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harts/chart6.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pivotTables/pivotTable1.xml" ContentType="application/vnd.openxmlformats-officedocument.spreadsheetml.pivotTable+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drawings/drawing11.xml" ContentType="application/vnd.openxmlformats-officedocument.drawing+xml"/>
  <Override PartName="/xl/drawings/drawing12.xml" ContentType="application/vnd.openxmlformats-officedocument.drawing+xml"/>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00" windowWidth="27795" windowHeight="12405" tabRatio="804"/>
  </bookViews>
  <sheets>
    <sheet name="Summary" sheetId="17" r:id="rId1"/>
    <sheet name="Graphs" sheetId="16" r:id="rId2"/>
    <sheet name="Assumptions" sheetId="1" r:id="rId3"/>
    <sheet name="ALL-Opex Baseline" sheetId="4" r:id="rId4"/>
    <sheet name="ALL-Garbutt Site Details" sheetId="5" r:id="rId5"/>
    <sheet name="OP1,3,8-Item Costs" sheetId="2" r:id="rId6"/>
    <sheet name="OP1,3,8-Project Cost" sheetId="3" r:id="rId7"/>
    <sheet name="OP2-Item Costs" sheetId="8" r:id="rId8"/>
    <sheet name="OP2-Project Cost" sheetId="9" r:id="rId9"/>
    <sheet name="OP4-Item Costs" sheetId="6" r:id="rId10"/>
    <sheet name="OP4-Project Cost" sheetId="7" r:id="rId11"/>
    <sheet name="OP5-Garbutt Projects" sheetId="14" r:id="rId12"/>
    <sheet name="OP6-Item Costs" sheetId="10" r:id="rId13"/>
    <sheet name="OP6-Project Cost" sheetId="11" r:id="rId14"/>
    <sheet name="OP7-Item Costs" sheetId="12" r:id="rId15"/>
    <sheet name="OP7-Project Cost" sheetId="13" r:id="rId16"/>
    <sheet name="NPVData" sheetId="15" r:id="rId17"/>
  </sheets>
  <externalReferences>
    <externalReference r:id="rId18"/>
  </externalReferences>
  <definedNames>
    <definedName name="_xlnm._FilterDatabase" localSheetId="6" hidden="1">'OP1,3,8-Project Cost'!$V$2:$V$2</definedName>
    <definedName name="_xlnm._FilterDatabase" localSheetId="8" hidden="1">'OP2-Project Cost'!$V$2:$V$2</definedName>
    <definedName name="_xlnm._FilterDatabase" localSheetId="10" hidden="1">'OP4-Project Cost'!$V$2:$V$2</definedName>
    <definedName name="_xlnm._FilterDatabase" localSheetId="11" hidden="1">'OP5-Garbutt Projects'!$A$1:$AA$1</definedName>
    <definedName name="_xlnm._FilterDatabase" localSheetId="13" hidden="1">'OP6-Project Cost'!$V$2:$V$2</definedName>
    <definedName name="_xlnm._FilterDatabase" localSheetId="15" hidden="1">'OP7-Project Cost'!$V$2:$V$2</definedName>
    <definedName name="_xlnm.Print_Area" localSheetId="2">Assumptions!$A:$M</definedName>
    <definedName name="_xlnm.Print_Area" localSheetId="6">'OP1,3,8-Project Cost'!$A$1:$J$43</definedName>
    <definedName name="_xlnm.Print_Area" localSheetId="8">'OP2-Project Cost'!$A$1:$J$43</definedName>
    <definedName name="_xlnm.Print_Area" localSheetId="10">'OP4-Project Cost'!$A$1:$J$43</definedName>
    <definedName name="_xlnm.Print_Area" localSheetId="13">'OP6-Project Cost'!$A$1:$J$43</definedName>
    <definedName name="_xlnm.Print_Area" localSheetId="15">'OP7-Project Cost'!$A$1:$J$43</definedName>
    <definedName name="_xlnm.Print_Area" localSheetId="0">Summary!$B$3:$J$66</definedName>
  </definedNames>
  <calcPr calcId="145621"/>
  <pivotCaches>
    <pivotCache cacheId="0" r:id="rId19"/>
  </pivotCaches>
</workbook>
</file>

<file path=xl/calcChain.xml><?xml version="1.0" encoding="utf-8"?>
<calcChain xmlns="http://schemas.openxmlformats.org/spreadsheetml/2006/main">
  <c r="AG75" i="15" l="1"/>
  <c r="W126" i="15"/>
  <c r="W109" i="15"/>
  <c r="W75" i="15"/>
  <c r="W58" i="15"/>
  <c r="W41" i="15"/>
  <c r="W24" i="15"/>
  <c r="W7" i="15"/>
  <c r="X127" i="15"/>
  <c r="Y127" i="15"/>
  <c r="Z127" i="15"/>
  <c r="AA127" i="15"/>
  <c r="AB127" i="15"/>
  <c r="AC127" i="15"/>
  <c r="AD127" i="15"/>
  <c r="AE127" i="15"/>
  <c r="AF127" i="15"/>
  <c r="AG127" i="15"/>
  <c r="X136" i="15"/>
  <c r="Y136" i="15"/>
  <c r="Z136" i="15"/>
  <c r="AA136" i="15"/>
  <c r="AB136" i="15"/>
  <c r="AC136" i="15"/>
  <c r="AD136" i="15"/>
  <c r="AE136" i="15"/>
  <c r="AF136" i="15"/>
  <c r="AG136" i="15"/>
  <c r="X138" i="15"/>
  <c r="Y138" i="15"/>
  <c r="Z138" i="15"/>
  <c r="AA138" i="15"/>
  <c r="AB138" i="15"/>
  <c r="AC138" i="15"/>
  <c r="AD138" i="15"/>
  <c r="AE138" i="15"/>
  <c r="AF138" i="15"/>
  <c r="X110" i="15"/>
  <c r="Y110" i="15"/>
  <c r="Z110" i="15"/>
  <c r="AA110" i="15"/>
  <c r="AB110" i="15"/>
  <c r="AC110" i="15"/>
  <c r="AD110" i="15"/>
  <c r="AE110" i="15"/>
  <c r="AF110" i="15"/>
  <c r="AG110" i="15"/>
  <c r="X119" i="15"/>
  <c r="Y119" i="15"/>
  <c r="Z119" i="15"/>
  <c r="AA119" i="15"/>
  <c r="AB119" i="15"/>
  <c r="AC119" i="15"/>
  <c r="AD119" i="15"/>
  <c r="AE119" i="15"/>
  <c r="AF119" i="15"/>
  <c r="AG119" i="15"/>
  <c r="X121" i="15"/>
  <c r="Y121" i="15"/>
  <c r="Z121" i="15"/>
  <c r="AA121" i="15"/>
  <c r="AB121" i="15"/>
  <c r="AC121" i="15"/>
  <c r="AD121" i="15"/>
  <c r="AE121" i="15"/>
  <c r="AF121" i="15"/>
  <c r="X93" i="15"/>
  <c r="Y93" i="15"/>
  <c r="Z93" i="15"/>
  <c r="AA93" i="15"/>
  <c r="AB93" i="15"/>
  <c r="AC93" i="15"/>
  <c r="AD93" i="15"/>
  <c r="AE93" i="15"/>
  <c r="AF93" i="15"/>
  <c r="AG93" i="15"/>
  <c r="X102" i="15"/>
  <c r="Y102" i="15"/>
  <c r="Z102" i="15"/>
  <c r="AA102" i="15"/>
  <c r="AB102" i="15"/>
  <c r="AC102" i="15"/>
  <c r="AD102" i="15"/>
  <c r="AE102" i="15"/>
  <c r="AF102" i="15"/>
  <c r="AG102" i="15"/>
  <c r="X104" i="15"/>
  <c r="Y104" i="15"/>
  <c r="Z104" i="15"/>
  <c r="AA104" i="15"/>
  <c r="AB104" i="15"/>
  <c r="AC104" i="15"/>
  <c r="AD104" i="15"/>
  <c r="AE104" i="15"/>
  <c r="AF104" i="15"/>
  <c r="X76" i="15"/>
  <c r="Y76" i="15"/>
  <c r="Z76" i="15"/>
  <c r="AA76" i="15"/>
  <c r="AB76" i="15"/>
  <c r="AC76" i="15"/>
  <c r="AD76" i="15"/>
  <c r="AE76" i="15"/>
  <c r="AF76" i="15"/>
  <c r="AG76" i="15"/>
  <c r="X85" i="15"/>
  <c r="Y85" i="15"/>
  <c r="Z85" i="15"/>
  <c r="AA85" i="15"/>
  <c r="AB85" i="15"/>
  <c r="AC85" i="15"/>
  <c r="AD85" i="15"/>
  <c r="AE85" i="15"/>
  <c r="AF85" i="15"/>
  <c r="AG85" i="15"/>
  <c r="X87" i="15"/>
  <c r="Y87" i="15"/>
  <c r="Z87" i="15"/>
  <c r="AA87" i="15"/>
  <c r="AB87" i="15"/>
  <c r="AC87" i="15"/>
  <c r="AD87" i="15"/>
  <c r="AE87" i="15"/>
  <c r="AF87" i="15"/>
  <c r="X59" i="15"/>
  <c r="Y59" i="15"/>
  <c r="Z59" i="15"/>
  <c r="AA59" i="15"/>
  <c r="AB59" i="15"/>
  <c r="AC59" i="15"/>
  <c r="AD59" i="15"/>
  <c r="AE59" i="15"/>
  <c r="AF59" i="15"/>
  <c r="AG59" i="15"/>
  <c r="X68" i="15"/>
  <c r="Y68" i="15"/>
  <c r="Z68" i="15"/>
  <c r="AA68" i="15"/>
  <c r="AB68" i="15"/>
  <c r="AC68" i="15"/>
  <c r="AD68" i="15"/>
  <c r="AE68" i="15"/>
  <c r="AF68" i="15"/>
  <c r="AG68" i="15"/>
  <c r="X70" i="15"/>
  <c r="Y70" i="15"/>
  <c r="Z70" i="15"/>
  <c r="AA70" i="15"/>
  <c r="AB70" i="15"/>
  <c r="AC70" i="15"/>
  <c r="AD70" i="15"/>
  <c r="AE70" i="15"/>
  <c r="AF70" i="15"/>
  <c r="X42" i="15"/>
  <c r="Y42" i="15"/>
  <c r="Z42" i="15"/>
  <c r="AA42" i="15"/>
  <c r="AB42" i="15"/>
  <c r="AC42" i="15"/>
  <c r="AD42" i="15"/>
  <c r="AE42" i="15"/>
  <c r="AF42" i="15"/>
  <c r="AG42" i="15"/>
  <c r="X51" i="15"/>
  <c r="Y51" i="15"/>
  <c r="Z51" i="15"/>
  <c r="AA51" i="15"/>
  <c r="AB51" i="15"/>
  <c r="AC51" i="15"/>
  <c r="AD51" i="15"/>
  <c r="AE51" i="15"/>
  <c r="AF51" i="15"/>
  <c r="AG51" i="15"/>
  <c r="X53" i="15"/>
  <c r="Y53" i="15"/>
  <c r="Z53" i="15"/>
  <c r="AA53" i="15"/>
  <c r="AB53" i="15"/>
  <c r="AC53" i="15"/>
  <c r="AD53" i="15"/>
  <c r="AE53" i="15"/>
  <c r="AF53" i="15"/>
  <c r="X25" i="15"/>
  <c r="Y25" i="15"/>
  <c r="Z25" i="15"/>
  <c r="AA25" i="15"/>
  <c r="AB25" i="15"/>
  <c r="AC25" i="15"/>
  <c r="AD25" i="15"/>
  <c r="AE25" i="15"/>
  <c r="AF25" i="15"/>
  <c r="AG25" i="15"/>
  <c r="X34" i="15"/>
  <c r="Y34" i="15"/>
  <c r="Z34" i="15"/>
  <c r="AA34" i="15"/>
  <c r="AB34" i="15"/>
  <c r="AC34" i="15"/>
  <c r="AD34" i="15"/>
  <c r="AE34" i="15"/>
  <c r="AF34" i="15"/>
  <c r="AG34" i="15"/>
  <c r="X36" i="15"/>
  <c r="Y36" i="15"/>
  <c r="Z36" i="15"/>
  <c r="AA36" i="15"/>
  <c r="AB36" i="15"/>
  <c r="AC36" i="15"/>
  <c r="AD36" i="15"/>
  <c r="AE36" i="15"/>
  <c r="AF36" i="15"/>
  <c r="X8" i="15"/>
  <c r="Y8" i="15"/>
  <c r="Z8" i="15"/>
  <c r="AA8" i="15"/>
  <c r="AB8" i="15"/>
  <c r="AC8" i="15"/>
  <c r="AD8" i="15"/>
  <c r="AE8" i="15"/>
  <c r="AF8" i="15"/>
  <c r="AG8" i="15"/>
  <c r="X17" i="15"/>
  <c r="Y17" i="15"/>
  <c r="Z17" i="15"/>
  <c r="AA17" i="15"/>
  <c r="AB17" i="15"/>
  <c r="AC17" i="15"/>
  <c r="AD17" i="15"/>
  <c r="AE17" i="15"/>
  <c r="AF17" i="15"/>
  <c r="AG17" i="15"/>
  <c r="X19" i="15"/>
  <c r="Y19" i="15"/>
  <c r="Z19" i="15"/>
  <c r="AA19" i="15"/>
  <c r="AB19" i="15"/>
  <c r="AC19" i="15"/>
  <c r="AD19" i="15"/>
  <c r="AE19" i="15"/>
  <c r="AF19" i="15"/>
  <c r="X2" i="15"/>
  <c r="Y2" i="15"/>
  <c r="Z2" i="15"/>
  <c r="AA2" i="15"/>
  <c r="AB2" i="15"/>
  <c r="AC2" i="15"/>
  <c r="AD2" i="15"/>
  <c r="AE2" i="15"/>
  <c r="AF2" i="15"/>
  <c r="AG2" i="15"/>
  <c r="AG87" i="15" l="1"/>
  <c r="O28" i="4"/>
  <c r="O46" i="4"/>
  <c r="AB7" i="4" l="1"/>
  <c r="AC7" i="4"/>
  <c r="AA7" i="4"/>
  <c r="B19" i="12" l="1"/>
  <c r="M459" i="1"/>
  <c r="I43" i="17" l="1"/>
  <c r="F43" i="17"/>
  <c r="E43" i="17"/>
  <c r="D43" i="17"/>
  <c r="F44" i="17"/>
  <c r="J41" i="17"/>
  <c r="I41" i="17"/>
  <c r="F41" i="17"/>
  <c r="E41" i="17"/>
  <c r="C41" i="17"/>
  <c r="D41" i="17"/>
  <c r="I29" i="17"/>
  <c r="I28" i="17"/>
  <c r="H29" i="17"/>
  <c r="H28" i="17"/>
  <c r="G29" i="17"/>
  <c r="G28" i="17"/>
  <c r="F28" i="17"/>
  <c r="M266" i="1"/>
  <c r="B10" i="7"/>
  <c r="M270" i="1"/>
  <c r="F29" i="17"/>
  <c r="E29" i="17"/>
  <c r="E28" i="17"/>
  <c r="D28" i="17"/>
  <c r="D29" i="17"/>
  <c r="C43" i="17"/>
  <c r="J35" i="17"/>
  <c r="G35" i="17"/>
  <c r="H35" i="17"/>
  <c r="C29" i="17"/>
  <c r="C28" i="17"/>
  <c r="A125" i="15"/>
  <c r="A108" i="15"/>
  <c r="H23" i="17" s="1"/>
  <c r="A91" i="15"/>
  <c r="G23" i="17" s="1"/>
  <c r="A74" i="15"/>
  <c r="J23" i="17" s="1"/>
  <c r="A57" i="15"/>
  <c r="F23" i="17" s="1"/>
  <c r="A40" i="15"/>
  <c r="E23" i="17" s="1"/>
  <c r="A23" i="15"/>
  <c r="D23" i="17" s="1"/>
  <c r="A6" i="15"/>
  <c r="C23" i="17" s="1"/>
  <c r="G124" i="15"/>
  <c r="J126" i="15"/>
  <c r="K126" i="15"/>
  <c r="I126" i="15"/>
  <c r="I23" i="17"/>
  <c r="J42" i="17" l="1"/>
  <c r="D107" i="15"/>
  <c r="D119" i="15" l="1"/>
  <c r="D110" i="15"/>
  <c r="AF13" i="11"/>
  <c r="AD13" i="9"/>
  <c r="AD13" i="3"/>
  <c r="AE13" i="3" s="1"/>
  <c r="M468" i="1" l="1"/>
  <c r="M395" i="1"/>
  <c r="M389" i="1"/>
  <c r="B27" i="2"/>
  <c r="M462" i="1"/>
  <c r="B5" i="13"/>
  <c r="C19" i="12"/>
  <c r="B29" i="12"/>
  <c r="B10" i="13" s="1"/>
  <c r="B21" i="12"/>
  <c r="B6" i="13" s="1"/>
  <c r="B19" i="10"/>
  <c r="M460" i="1" l="1"/>
  <c r="H37" i="17" s="1"/>
  <c r="B30" i="12"/>
  <c r="E74" i="15"/>
  <c r="E86" i="15" s="1"/>
  <c r="F74" i="15"/>
  <c r="F86" i="15" s="1"/>
  <c r="G74" i="15"/>
  <c r="G86" i="15" s="1"/>
  <c r="H74" i="15"/>
  <c r="H86" i="15" s="1"/>
  <c r="I74" i="15"/>
  <c r="I86" i="15" s="1"/>
  <c r="J74" i="15"/>
  <c r="J86" i="15" s="1"/>
  <c r="K74" i="15"/>
  <c r="K86" i="15" s="1"/>
  <c r="L74" i="15"/>
  <c r="L86" i="15" s="1"/>
  <c r="M74" i="15"/>
  <c r="M86" i="15" s="1"/>
  <c r="N74" i="15"/>
  <c r="N86" i="15" s="1"/>
  <c r="O74" i="15"/>
  <c r="O86" i="15" s="1"/>
  <c r="P74" i="15"/>
  <c r="P86" i="15" s="1"/>
  <c r="Q74" i="15"/>
  <c r="Q86" i="15" s="1"/>
  <c r="R74" i="15"/>
  <c r="R86" i="15" s="1"/>
  <c r="S74" i="15"/>
  <c r="S86" i="15" s="1"/>
  <c r="T74" i="15"/>
  <c r="T86" i="15" s="1"/>
  <c r="U74" i="15"/>
  <c r="U86" i="15" s="1"/>
  <c r="V74" i="15"/>
  <c r="V86" i="15" s="1"/>
  <c r="W74" i="15"/>
  <c r="D74" i="15"/>
  <c r="V126" i="15"/>
  <c r="V138" i="15" s="1"/>
  <c r="U126" i="15"/>
  <c r="U138" i="15" s="1"/>
  <c r="T126" i="15"/>
  <c r="T138" i="15" s="1"/>
  <c r="S126" i="15"/>
  <c r="S138" i="15" s="1"/>
  <c r="R126" i="15"/>
  <c r="R138" i="15" s="1"/>
  <c r="Q126" i="15"/>
  <c r="Q138" i="15" s="1"/>
  <c r="P126" i="15"/>
  <c r="P138" i="15" s="1"/>
  <c r="O126" i="15"/>
  <c r="O138" i="15" s="1"/>
  <c r="N126" i="15"/>
  <c r="N138" i="15" s="1"/>
  <c r="M126" i="15"/>
  <c r="M138" i="15" s="1"/>
  <c r="L126" i="15"/>
  <c r="L138" i="15" s="1"/>
  <c r="K138" i="15"/>
  <c r="J138" i="15"/>
  <c r="I138" i="15"/>
  <c r="H126" i="15"/>
  <c r="H138" i="15" s="1"/>
  <c r="G126" i="15"/>
  <c r="G138" i="15" s="1"/>
  <c r="F126" i="15"/>
  <c r="F138" i="15" s="1"/>
  <c r="E126" i="15"/>
  <c r="E138" i="15" s="1"/>
  <c r="D126" i="15"/>
  <c r="D138" i="15" s="1"/>
  <c r="W125" i="15"/>
  <c r="V125" i="15"/>
  <c r="V137" i="15" s="1"/>
  <c r="U125" i="15"/>
  <c r="U137" i="15" s="1"/>
  <c r="T125" i="15"/>
  <c r="T137" i="15" s="1"/>
  <c r="S125" i="15"/>
  <c r="S137" i="15" s="1"/>
  <c r="R125" i="15"/>
  <c r="R137" i="15" s="1"/>
  <c r="Q125" i="15"/>
  <c r="Q137" i="15" s="1"/>
  <c r="P125" i="15"/>
  <c r="P137" i="15" s="1"/>
  <c r="O125" i="15"/>
  <c r="O137" i="15" s="1"/>
  <c r="N125" i="15"/>
  <c r="N137" i="15" s="1"/>
  <c r="M125" i="15"/>
  <c r="M137" i="15" s="1"/>
  <c r="L125" i="15"/>
  <c r="L137" i="15" s="1"/>
  <c r="K125" i="15"/>
  <c r="K137" i="15" s="1"/>
  <c r="J125" i="15"/>
  <c r="J137" i="15" s="1"/>
  <c r="I125" i="15"/>
  <c r="I137" i="15" s="1"/>
  <c r="H125" i="15"/>
  <c r="H137" i="15" s="1"/>
  <c r="G125" i="15"/>
  <c r="G137" i="15" s="1"/>
  <c r="F125" i="15"/>
  <c r="F137" i="15" s="1"/>
  <c r="E125" i="15"/>
  <c r="E137" i="15" s="1"/>
  <c r="D125" i="15"/>
  <c r="W124" i="15"/>
  <c r="W127" i="15" s="1"/>
  <c r="V124" i="15"/>
  <c r="V127" i="15" s="1"/>
  <c r="U124" i="15"/>
  <c r="U127" i="15" s="1"/>
  <c r="T124" i="15"/>
  <c r="T127" i="15" s="1"/>
  <c r="S124" i="15"/>
  <c r="S127" i="15" s="1"/>
  <c r="R124" i="15"/>
  <c r="R127" i="15" s="1"/>
  <c r="Q124" i="15"/>
  <c r="Q127" i="15" s="1"/>
  <c r="P124" i="15"/>
  <c r="P127" i="15" s="1"/>
  <c r="O124" i="15"/>
  <c r="O127" i="15" s="1"/>
  <c r="N124" i="15"/>
  <c r="N127" i="15" s="1"/>
  <c r="M124" i="15"/>
  <c r="M127" i="15" s="1"/>
  <c r="L124" i="15"/>
  <c r="L127" i="15" s="1"/>
  <c r="K124" i="15"/>
  <c r="K127" i="15" s="1"/>
  <c r="J124" i="15"/>
  <c r="J127" i="15" s="1"/>
  <c r="I124" i="15"/>
  <c r="I127" i="15" s="1"/>
  <c r="H124" i="15"/>
  <c r="H127" i="15" s="1"/>
  <c r="G127" i="15"/>
  <c r="F124" i="15"/>
  <c r="F127" i="15" s="1"/>
  <c r="E124" i="15"/>
  <c r="E127" i="15" s="1"/>
  <c r="D124" i="15"/>
  <c r="V109" i="15"/>
  <c r="V121" i="15" s="1"/>
  <c r="U109" i="15"/>
  <c r="U121" i="15" s="1"/>
  <c r="T109" i="15"/>
  <c r="T121" i="15" s="1"/>
  <c r="S109" i="15"/>
  <c r="S121" i="15" s="1"/>
  <c r="R109" i="15"/>
  <c r="R121" i="15" s="1"/>
  <c r="Q109" i="15"/>
  <c r="Q121" i="15" s="1"/>
  <c r="P109" i="15"/>
  <c r="P121" i="15" s="1"/>
  <c r="O109" i="15"/>
  <c r="O121" i="15" s="1"/>
  <c r="N109" i="15"/>
  <c r="N121" i="15" s="1"/>
  <c r="M109" i="15"/>
  <c r="M121" i="15" s="1"/>
  <c r="L109" i="15"/>
  <c r="L121" i="15" s="1"/>
  <c r="K109" i="15"/>
  <c r="K121" i="15" s="1"/>
  <c r="J109" i="15"/>
  <c r="J121" i="15" s="1"/>
  <c r="I109" i="15"/>
  <c r="I121" i="15" s="1"/>
  <c r="H109" i="15"/>
  <c r="H121" i="15" s="1"/>
  <c r="G109" i="15"/>
  <c r="G121" i="15" s="1"/>
  <c r="F109" i="15"/>
  <c r="F121" i="15" s="1"/>
  <c r="E109" i="15"/>
  <c r="E121" i="15" s="1"/>
  <c r="D109" i="15"/>
  <c r="D121" i="15" s="1"/>
  <c r="W108" i="15"/>
  <c r="V108" i="15"/>
  <c r="V120" i="15" s="1"/>
  <c r="U108" i="15"/>
  <c r="U120" i="15" s="1"/>
  <c r="T108" i="15"/>
  <c r="T120" i="15" s="1"/>
  <c r="S108" i="15"/>
  <c r="S120" i="15" s="1"/>
  <c r="R108" i="15"/>
  <c r="R120" i="15" s="1"/>
  <c r="Q108" i="15"/>
  <c r="Q120" i="15" s="1"/>
  <c r="P108" i="15"/>
  <c r="P120" i="15" s="1"/>
  <c r="O108" i="15"/>
  <c r="O120" i="15" s="1"/>
  <c r="N108" i="15"/>
  <c r="N120" i="15" s="1"/>
  <c r="M108" i="15"/>
  <c r="M120" i="15" s="1"/>
  <c r="L108" i="15"/>
  <c r="L120" i="15" s="1"/>
  <c r="K108" i="15"/>
  <c r="K120" i="15" s="1"/>
  <c r="J108" i="15"/>
  <c r="J120" i="15" s="1"/>
  <c r="I108" i="15"/>
  <c r="I120" i="15" s="1"/>
  <c r="H108" i="15"/>
  <c r="H120" i="15" s="1"/>
  <c r="G108" i="15"/>
  <c r="G120" i="15" s="1"/>
  <c r="F108" i="15"/>
  <c r="F120" i="15" s="1"/>
  <c r="E108" i="15"/>
  <c r="E120" i="15" s="1"/>
  <c r="D108" i="15"/>
  <c r="W107" i="15"/>
  <c r="W110" i="15" s="1"/>
  <c r="V107" i="15"/>
  <c r="V110" i="15" s="1"/>
  <c r="U107" i="15"/>
  <c r="U110" i="15" s="1"/>
  <c r="T107" i="15"/>
  <c r="T110" i="15" s="1"/>
  <c r="S107" i="15"/>
  <c r="S110" i="15" s="1"/>
  <c r="R107" i="15"/>
  <c r="R110" i="15" s="1"/>
  <c r="Q107" i="15"/>
  <c r="Q110" i="15" s="1"/>
  <c r="P107" i="15"/>
  <c r="P110" i="15" s="1"/>
  <c r="O107" i="15"/>
  <c r="O110" i="15" s="1"/>
  <c r="N107" i="15"/>
  <c r="N110" i="15" s="1"/>
  <c r="M107" i="15"/>
  <c r="M110" i="15" s="1"/>
  <c r="L107" i="15"/>
  <c r="L110" i="15" s="1"/>
  <c r="K107" i="15"/>
  <c r="K110" i="15" s="1"/>
  <c r="J107" i="15"/>
  <c r="J110" i="15" s="1"/>
  <c r="I107" i="15"/>
  <c r="I110" i="15" s="1"/>
  <c r="H107" i="15"/>
  <c r="H110" i="15" s="1"/>
  <c r="G107" i="15"/>
  <c r="G110" i="15" s="1"/>
  <c r="F107" i="15"/>
  <c r="F110" i="15" s="1"/>
  <c r="E107" i="15"/>
  <c r="W92" i="15"/>
  <c r="W104" i="15" s="1"/>
  <c r="V92" i="15"/>
  <c r="V104" i="15" s="1"/>
  <c r="U92" i="15"/>
  <c r="U104" i="15" s="1"/>
  <c r="T92" i="15"/>
  <c r="T104" i="15" s="1"/>
  <c r="S92" i="15"/>
  <c r="S104" i="15" s="1"/>
  <c r="R92" i="15"/>
  <c r="R104" i="15" s="1"/>
  <c r="Q92" i="15"/>
  <c r="Q104" i="15" s="1"/>
  <c r="P92" i="15"/>
  <c r="P104" i="15" s="1"/>
  <c r="O92" i="15"/>
  <c r="O104" i="15" s="1"/>
  <c r="N92" i="15"/>
  <c r="N104" i="15" s="1"/>
  <c r="M92" i="15"/>
  <c r="M104" i="15" s="1"/>
  <c r="L92" i="15"/>
  <c r="L104" i="15" s="1"/>
  <c r="K92" i="15"/>
  <c r="K104" i="15" s="1"/>
  <c r="J92" i="15"/>
  <c r="J104" i="15" s="1"/>
  <c r="I92" i="15"/>
  <c r="I104" i="15" s="1"/>
  <c r="H92" i="15"/>
  <c r="H104" i="15" s="1"/>
  <c r="G92" i="15"/>
  <c r="G104" i="15" s="1"/>
  <c r="F92" i="15"/>
  <c r="F104" i="15" s="1"/>
  <c r="E92" i="15"/>
  <c r="E104" i="15" s="1"/>
  <c r="D92" i="15"/>
  <c r="W91" i="15"/>
  <c r="V91" i="15"/>
  <c r="V103" i="15" s="1"/>
  <c r="U91" i="15"/>
  <c r="U103" i="15" s="1"/>
  <c r="T91" i="15"/>
  <c r="T103" i="15" s="1"/>
  <c r="S91" i="15"/>
  <c r="S103" i="15" s="1"/>
  <c r="R91" i="15"/>
  <c r="R103" i="15" s="1"/>
  <c r="Q91" i="15"/>
  <c r="Q103" i="15" s="1"/>
  <c r="P91" i="15"/>
  <c r="P103" i="15" s="1"/>
  <c r="O91" i="15"/>
  <c r="O103" i="15" s="1"/>
  <c r="N91" i="15"/>
  <c r="N103" i="15" s="1"/>
  <c r="M91" i="15"/>
  <c r="M103" i="15" s="1"/>
  <c r="L91" i="15"/>
  <c r="L103" i="15" s="1"/>
  <c r="K91" i="15"/>
  <c r="K103" i="15" s="1"/>
  <c r="J91" i="15"/>
  <c r="J103" i="15" s="1"/>
  <c r="I91" i="15"/>
  <c r="I103" i="15" s="1"/>
  <c r="H91" i="15"/>
  <c r="H103" i="15" s="1"/>
  <c r="G91" i="15"/>
  <c r="G103" i="15" s="1"/>
  <c r="F91" i="15"/>
  <c r="F103" i="15" s="1"/>
  <c r="E91" i="15"/>
  <c r="E103" i="15" s="1"/>
  <c r="D91" i="15"/>
  <c r="W90" i="15"/>
  <c r="W93" i="15" s="1"/>
  <c r="V90" i="15"/>
  <c r="V93" i="15" s="1"/>
  <c r="U90" i="15"/>
  <c r="U93" i="15" s="1"/>
  <c r="T90" i="15"/>
  <c r="T93" i="15" s="1"/>
  <c r="S90" i="15"/>
  <c r="S93" i="15" s="1"/>
  <c r="R90" i="15"/>
  <c r="R93" i="15" s="1"/>
  <c r="Q90" i="15"/>
  <c r="Q93" i="15" s="1"/>
  <c r="P90" i="15"/>
  <c r="P93" i="15" s="1"/>
  <c r="O90" i="15"/>
  <c r="O93" i="15" s="1"/>
  <c r="N90" i="15"/>
  <c r="N93" i="15" s="1"/>
  <c r="M90" i="15"/>
  <c r="M93" i="15" s="1"/>
  <c r="L90" i="15"/>
  <c r="L93" i="15" s="1"/>
  <c r="K90" i="15"/>
  <c r="K93" i="15" s="1"/>
  <c r="J90" i="15"/>
  <c r="J93" i="15" s="1"/>
  <c r="I90" i="15"/>
  <c r="I93" i="15" s="1"/>
  <c r="H90" i="15"/>
  <c r="H93" i="15" s="1"/>
  <c r="G90" i="15"/>
  <c r="G93" i="15" s="1"/>
  <c r="F90" i="15"/>
  <c r="F93" i="15" s="1"/>
  <c r="E90" i="15"/>
  <c r="E93" i="15" s="1"/>
  <c r="D90" i="15"/>
  <c r="W87" i="15"/>
  <c r="V75" i="15"/>
  <c r="V87" i="15" s="1"/>
  <c r="U75" i="15"/>
  <c r="U87" i="15" s="1"/>
  <c r="T75" i="15"/>
  <c r="T87" i="15" s="1"/>
  <c r="S75" i="15"/>
  <c r="S87" i="15" s="1"/>
  <c r="R75" i="15"/>
  <c r="R87" i="15" s="1"/>
  <c r="Q75" i="15"/>
  <c r="Q87" i="15" s="1"/>
  <c r="P75" i="15"/>
  <c r="P87" i="15" s="1"/>
  <c r="O75" i="15"/>
  <c r="O87" i="15" s="1"/>
  <c r="N75" i="15"/>
  <c r="N87" i="15" s="1"/>
  <c r="M75" i="15"/>
  <c r="M87" i="15" s="1"/>
  <c r="L75" i="15"/>
  <c r="L87" i="15" s="1"/>
  <c r="K75" i="15"/>
  <c r="K87" i="15" s="1"/>
  <c r="J75" i="15"/>
  <c r="J87" i="15" s="1"/>
  <c r="I75" i="15"/>
  <c r="I87" i="15" s="1"/>
  <c r="H75" i="15"/>
  <c r="H87" i="15" s="1"/>
  <c r="G75" i="15"/>
  <c r="G87" i="15" s="1"/>
  <c r="F75" i="15"/>
  <c r="F87" i="15" s="1"/>
  <c r="E75" i="15"/>
  <c r="E87" i="15" s="1"/>
  <c r="D75" i="15"/>
  <c r="W73" i="15"/>
  <c r="W76" i="15" s="1"/>
  <c r="V73" i="15"/>
  <c r="V76" i="15" s="1"/>
  <c r="U73" i="15"/>
  <c r="U76" i="15" s="1"/>
  <c r="T73" i="15"/>
  <c r="T76" i="15" s="1"/>
  <c r="S73" i="15"/>
  <c r="S76" i="15" s="1"/>
  <c r="R73" i="15"/>
  <c r="R76" i="15" s="1"/>
  <c r="Q73" i="15"/>
  <c r="Q76" i="15" s="1"/>
  <c r="P73" i="15"/>
  <c r="P76" i="15" s="1"/>
  <c r="O73" i="15"/>
  <c r="O76" i="15" s="1"/>
  <c r="N73" i="15"/>
  <c r="N76" i="15" s="1"/>
  <c r="M73" i="15"/>
  <c r="M76" i="15" s="1"/>
  <c r="L73" i="15"/>
  <c r="L76" i="15" s="1"/>
  <c r="K73" i="15"/>
  <c r="K76" i="15" s="1"/>
  <c r="J73" i="15"/>
  <c r="J76" i="15" s="1"/>
  <c r="I73" i="15"/>
  <c r="I76" i="15" s="1"/>
  <c r="H73" i="15"/>
  <c r="H76" i="15" s="1"/>
  <c r="G73" i="15"/>
  <c r="G76" i="15" s="1"/>
  <c r="F73" i="15"/>
  <c r="F76" i="15" s="1"/>
  <c r="E73" i="15"/>
  <c r="E76" i="15" s="1"/>
  <c r="D73" i="15"/>
  <c r="V58" i="15"/>
  <c r="V70" i="15" s="1"/>
  <c r="U58" i="15"/>
  <c r="U70" i="15" s="1"/>
  <c r="T58" i="15"/>
  <c r="T70" i="15" s="1"/>
  <c r="S58" i="15"/>
  <c r="S70" i="15" s="1"/>
  <c r="R58" i="15"/>
  <c r="R70" i="15" s="1"/>
  <c r="Q58" i="15"/>
  <c r="Q70" i="15" s="1"/>
  <c r="P58" i="15"/>
  <c r="P70" i="15" s="1"/>
  <c r="O58" i="15"/>
  <c r="O70" i="15" s="1"/>
  <c r="N58" i="15"/>
  <c r="N70" i="15" s="1"/>
  <c r="M58" i="15"/>
  <c r="M70" i="15" s="1"/>
  <c r="L58" i="15"/>
  <c r="L70" i="15" s="1"/>
  <c r="K58" i="15"/>
  <c r="K70" i="15" s="1"/>
  <c r="J58" i="15"/>
  <c r="J70" i="15" s="1"/>
  <c r="I58" i="15"/>
  <c r="I70" i="15" s="1"/>
  <c r="H58" i="15"/>
  <c r="H70" i="15" s="1"/>
  <c r="G58" i="15"/>
  <c r="G70" i="15" s="1"/>
  <c r="F58" i="15"/>
  <c r="F70" i="15" s="1"/>
  <c r="E58" i="15"/>
  <c r="E70" i="15" s="1"/>
  <c r="D58" i="15"/>
  <c r="D70" i="15" s="1"/>
  <c r="W57" i="15"/>
  <c r="V57" i="15"/>
  <c r="V69" i="15" s="1"/>
  <c r="U57" i="15"/>
  <c r="U69" i="15" s="1"/>
  <c r="T57" i="15"/>
  <c r="T69" i="15" s="1"/>
  <c r="S57" i="15"/>
  <c r="S69" i="15" s="1"/>
  <c r="R57" i="15"/>
  <c r="R69" i="15" s="1"/>
  <c r="Q57" i="15"/>
  <c r="Q69" i="15" s="1"/>
  <c r="P57" i="15"/>
  <c r="P69" i="15" s="1"/>
  <c r="O57" i="15"/>
  <c r="O69" i="15" s="1"/>
  <c r="N57" i="15"/>
  <c r="N69" i="15" s="1"/>
  <c r="M57" i="15"/>
  <c r="M69" i="15" s="1"/>
  <c r="L57" i="15"/>
  <c r="L69" i="15" s="1"/>
  <c r="K57" i="15"/>
  <c r="K69" i="15" s="1"/>
  <c r="J57" i="15"/>
  <c r="J69" i="15" s="1"/>
  <c r="I57" i="15"/>
  <c r="I69" i="15" s="1"/>
  <c r="H57" i="15"/>
  <c r="H69" i="15" s="1"/>
  <c r="G57" i="15"/>
  <c r="G69" i="15" s="1"/>
  <c r="F57" i="15"/>
  <c r="F69" i="15" s="1"/>
  <c r="E57" i="15"/>
  <c r="E69" i="15" s="1"/>
  <c r="D57" i="15"/>
  <c r="W56" i="15"/>
  <c r="W59" i="15" s="1"/>
  <c r="V56" i="15"/>
  <c r="V59" i="15" s="1"/>
  <c r="U56" i="15"/>
  <c r="U59" i="15" s="1"/>
  <c r="T56" i="15"/>
  <c r="T59" i="15" s="1"/>
  <c r="S56" i="15"/>
  <c r="S59" i="15" s="1"/>
  <c r="R56" i="15"/>
  <c r="R59" i="15" s="1"/>
  <c r="Q56" i="15"/>
  <c r="Q59" i="15" s="1"/>
  <c r="P56" i="15"/>
  <c r="P59" i="15" s="1"/>
  <c r="O56" i="15"/>
  <c r="O59" i="15" s="1"/>
  <c r="N56" i="15"/>
  <c r="N59" i="15" s="1"/>
  <c r="M56" i="15"/>
  <c r="M59" i="15" s="1"/>
  <c r="L56" i="15"/>
  <c r="L59" i="15" s="1"/>
  <c r="K56" i="15"/>
  <c r="K59" i="15" s="1"/>
  <c r="J56" i="15"/>
  <c r="J59" i="15" s="1"/>
  <c r="I56" i="15"/>
  <c r="I59" i="15" s="1"/>
  <c r="H56" i="15"/>
  <c r="H59" i="15" s="1"/>
  <c r="G56" i="15"/>
  <c r="G59" i="15" s="1"/>
  <c r="F56" i="15"/>
  <c r="F59" i="15" s="1"/>
  <c r="E56" i="15"/>
  <c r="E59" i="15" s="1"/>
  <c r="D56" i="15"/>
  <c r="V41" i="15"/>
  <c r="V53" i="15" s="1"/>
  <c r="U41" i="15"/>
  <c r="U53" i="15" s="1"/>
  <c r="T41" i="15"/>
  <c r="T53" i="15" s="1"/>
  <c r="S41" i="15"/>
  <c r="S53" i="15" s="1"/>
  <c r="R41" i="15"/>
  <c r="R53" i="15" s="1"/>
  <c r="Q41" i="15"/>
  <c r="Q53" i="15" s="1"/>
  <c r="P41" i="15"/>
  <c r="P53" i="15" s="1"/>
  <c r="O41" i="15"/>
  <c r="O53" i="15" s="1"/>
  <c r="N41" i="15"/>
  <c r="N53" i="15" s="1"/>
  <c r="M41" i="15"/>
  <c r="M53" i="15" s="1"/>
  <c r="L41" i="15"/>
  <c r="L53" i="15" s="1"/>
  <c r="K41" i="15"/>
  <c r="K53" i="15" s="1"/>
  <c r="J41" i="15"/>
  <c r="J53" i="15" s="1"/>
  <c r="I41" i="15"/>
  <c r="I53" i="15" s="1"/>
  <c r="H41" i="15"/>
  <c r="H53" i="15" s="1"/>
  <c r="G41" i="15"/>
  <c r="G53" i="15" s="1"/>
  <c r="F41" i="15"/>
  <c r="F53" i="15" s="1"/>
  <c r="E41" i="15"/>
  <c r="E53" i="15" s="1"/>
  <c r="D41" i="15"/>
  <c r="D53" i="15" s="1"/>
  <c r="W40" i="15"/>
  <c r="V40" i="15"/>
  <c r="V52" i="15" s="1"/>
  <c r="U40" i="15"/>
  <c r="U52" i="15" s="1"/>
  <c r="T40" i="15"/>
  <c r="T52" i="15" s="1"/>
  <c r="S40" i="15"/>
  <c r="S52" i="15" s="1"/>
  <c r="R40" i="15"/>
  <c r="R52" i="15" s="1"/>
  <c r="Q40" i="15"/>
  <c r="Q52" i="15" s="1"/>
  <c r="P40" i="15"/>
  <c r="P52" i="15" s="1"/>
  <c r="O40" i="15"/>
  <c r="O52" i="15" s="1"/>
  <c r="N40" i="15"/>
  <c r="N52" i="15" s="1"/>
  <c r="M40" i="15"/>
  <c r="M52" i="15" s="1"/>
  <c r="L40" i="15"/>
  <c r="L52" i="15" s="1"/>
  <c r="K40" i="15"/>
  <c r="K52" i="15" s="1"/>
  <c r="J40" i="15"/>
  <c r="J52" i="15" s="1"/>
  <c r="I40" i="15"/>
  <c r="I52" i="15" s="1"/>
  <c r="H40" i="15"/>
  <c r="H52" i="15" s="1"/>
  <c r="G40" i="15"/>
  <c r="G52" i="15" s="1"/>
  <c r="F40" i="15"/>
  <c r="F52" i="15" s="1"/>
  <c r="E40" i="15"/>
  <c r="E52" i="15" s="1"/>
  <c r="D40" i="15"/>
  <c r="W39" i="15"/>
  <c r="W42" i="15" s="1"/>
  <c r="V39" i="15"/>
  <c r="V42" i="15" s="1"/>
  <c r="U39" i="15"/>
  <c r="U42" i="15" s="1"/>
  <c r="T39" i="15"/>
  <c r="T42" i="15" s="1"/>
  <c r="S39" i="15"/>
  <c r="S42" i="15" s="1"/>
  <c r="R39" i="15"/>
  <c r="R42" i="15" s="1"/>
  <c r="Q39" i="15"/>
  <c r="Q42" i="15" s="1"/>
  <c r="P39" i="15"/>
  <c r="P42" i="15" s="1"/>
  <c r="O39" i="15"/>
  <c r="O42" i="15" s="1"/>
  <c r="N39" i="15"/>
  <c r="N42" i="15" s="1"/>
  <c r="M39" i="15"/>
  <c r="M42" i="15" s="1"/>
  <c r="L39" i="15"/>
  <c r="L42" i="15" s="1"/>
  <c r="K39" i="15"/>
  <c r="K42" i="15" s="1"/>
  <c r="J39" i="15"/>
  <c r="J42" i="15" s="1"/>
  <c r="I39" i="15"/>
  <c r="I42" i="15" s="1"/>
  <c r="H39" i="15"/>
  <c r="H42" i="15" s="1"/>
  <c r="G39" i="15"/>
  <c r="G42" i="15" s="1"/>
  <c r="F39" i="15"/>
  <c r="F42" i="15" s="1"/>
  <c r="E39" i="15"/>
  <c r="E42" i="15" s="1"/>
  <c r="D39" i="15"/>
  <c r="V24" i="15"/>
  <c r="V36" i="15" s="1"/>
  <c r="U24" i="15"/>
  <c r="U36" i="15" s="1"/>
  <c r="T24" i="15"/>
  <c r="T36" i="15" s="1"/>
  <c r="S24" i="15"/>
  <c r="S36" i="15" s="1"/>
  <c r="R24" i="15"/>
  <c r="R36" i="15" s="1"/>
  <c r="Q24" i="15"/>
  <c r="Q36" i="15" s="1"/>
  <c r="P24" i="15"/>
  <c r="P36" i="15" s="1"/>
  <c r="O24" i="15"/>
  <c r="O36" i="15" s="1"/>
  <c r="N24" i="15"/>
  <c r="N36" i="15" s="1"/>
  <c r="M24" i="15"/>
  <c r="M36" i="15" s="1"/>
  <c r="L24" i="15"/>
  <c r="L36" i="15" s="1"/>
  <c r="K24" i="15"/>
  <c r="K36" i="15" s="1"/>
  <c r="J24" i="15"/>
  <c r="J36" i="15" s="1"/>
  <c r="I24" i="15"/>
  <c r="I36" i="15" s="1"/>
  <c r="H24" i="15"/>
  <c r="H36" i="15" s="1"/>
  <c r="G24" i="15"/>
  <c r="G36" i="15" s="1"/>
  <c r="F24" i="15"/>
  <c r="F36" i="15" s="1"/>
  <c r="E24" i="15"/>
  <c r="E36" i="15" s="1"/>
  <c r="D24" i="15"/>
  <c r="W23" i="15"/>
  <c r="V23" i="15"/>
  <c r="V35" i="15" s="1"/>
  <c r="U23" i="15"/>
  <c r="U35" i="15" s="1"/>
  <c r="T23" i="15"/>
  <c r="T35" i="15" s="1"/>
  <c r="S23" i="15"/>
  <c r="S35" i="15" s="1"/>
  <c r="R23" i="15"/>
  <c r="R35" i="15" s="1"/>
  <c r="Q23" i="15"/>
  <c r="Q35" i="15" s="1"/>
  <c r="P23" i="15"/>
  <c r="P35" i="15" s="1"/>
  <c r="O23" i="15"/>
  <c r="O35" i="15" s="1"/>
  <c r="N23" i="15"/>
  <c r="N35" i="15" s="1"/>
  <c r="M23" i="15"/>
  <c r="M35" i="15" s="1"/>
  <c r="L23" i="15"/>
  <c r="L35" i="15" s="1"/>
  <c r="K23" i="15"/>
  <c r="K35" i="15" s="1"/>
  <c r="J23" i="15"/>
  <c r="J35" i="15" s="1"/>
  <c r="I23" i="15"/>
  <c r="I35" i="15" s="1"/>
  <c r="H23" i="15"/>
  <c r="H35" i="15" s="1"/>
  <c r="G23" i="15"/>
  <c r="G35" i="15" s="1"/>
  <c r="F23" i="15"/>
  <c r="F35" i="15" s="1"/>
  <c r="E23" i="15"/>
  <c r="E35" i="15" s="1"/>
  <c r="D23" i="15"/>
  <c r="W22" i="15"/>
  <c r="W25" i="15" s="1"/>
  <c r="V22" i="15"/>
  <c r="V25" i="15" s="1"/>
  <c r="U22" i="15"/>
  <c r="U25" i="15" s="1"/>
  <c r="T22" i="15"/>
  <c r="T25" i="15" s="1"/>
  <c r="S22" i="15"/>
  <c r="S25" i="15" s="1"/>
  <c r="R22" i="15"/>
  <c r="R25" i="15" s="1"/>
  <c r="Q22" i="15"/>
  <c r="Q25" i="15" s="1"/>
  <c r="P22" i="15"/>
  <c r="P25" i="15" s="1"/>
  <c r="O22" i="15"/>
  <c r="O25" i="15" s="1"/>
  <c r="N22" i="15"/>
  <c r="N25" i="15" s="1"/>
  <c r="M22" i="15"/>
  <c r="M25" i="15" s="1"/>
  <c r="L22" i="15"/>
  <c r="L25" i="15" s="1"/>
  <c r="K22" i="15"/>
  <c r="K25" i="15" s="1"/>
  <c r="J22" i="15"/>
  <c r="J25" i="15" s="1"/>
  <c r="I22" i="15"/>
  <c r="I25" i="15" s="1"/>
  <c r="H22" i="15"/>
  <c r="H25" i="15" s="1"/>
  <c r="G22" i="15"/>
  <c r="G25" i="15" s="1"/>
  <c r="F22" i="15"/>
  <c r="F25" i="15" s="1"/>
  <c r="E22" i="15"/>
  <c r="E25" i="15" s="1"/>
  <c r="D22" i="15"/>
  <c r="J2" i="15"/>
  <c r="K2" i="15"/>
  <c r="L2" i="15"/>
  <c r="M2" i="15"/>
  <c r="N2" i="15"/>
  <c r="O2" i="15"/>
  <c r="P2" i="15"/>
  <c r="Q2" i="15"/>
  <c r="R2" i="15"/>
  <c r="S2" i="15"/>
  <c r="T2" i="15"/>
  <c r="U2" i="15"/>
  <c r="V2" i="15"/>
  <c r="W2" i="15"/>
  <c r="E2" i="15"/>
  <c r="F2" i="15"/>
  <c r="G2" i="15"/>
  <c r="H2" i="15"/>
  <c r="I2" i="15"/>
  <c r="D2" i="15"/>
  <c r="E7" i="15"/>
  <c r="E19" i="15" s="1"/>
  <c r="F7" i="15"/>
  <c r="F19" i="15" s="1"/>
  <c r="G7" i="15"/>
  <c r="G19" i="15" s="1"/>
  <c r="H7" i="15"/>
  <c r="H19" i="15" s="1"/>
  <c r="I7" i="15"/>
  <c r="I19" i="15" s="1"/>
  <c r="J7" i="15"/>
  <c r="J19" i="15" s="1"/>
  <c r="K7" i="15"/>
  <c r="K19" i="15" s="1"/>
  <c r="L7" i="15"/>
  <c r="L19" i="15" s="1"/>
  <c r="M7" i="15"/>
  <c r="M19" i="15" s="1"/>
  <c r="N7" i="15"/>
  <c r="N19" i="15" s="1"/>
  <c r="O7" i="15"/>
  <c r="O19" i="15" s="1"/>
  <c r="P7" i="15"/>
  <c r="P19" i="15" s="1"/>
  <c r="Q7" i="15"/>
  <c r="Q19" i="15" s="1"/>
  <c r="R7" i="15"/>
  <c r="R19" i="15" s="1"/>
  <c r="S7" i="15"/>
  <c r="S19" i="15" s="1"/>
  <c r="T7" i="15"/>
  <c r="T19" i="15" s="1"/>
  <c r="U7" i="15"/>
  <c r="U19" i="15" s="1"/>
  <c r="V7" i="15"/>
  <c r="V19" i="15" s="1"/>
  <c r="E6" i="15"/>
  <c r="E18" i="15" s="1"/>
  <c r="F6" i="15"/>
  <c r="F18" i="15" s="1"/>
  <c r="G6" i="15"/>
  <c r="G18" i="15" s="1"/>
  <c r="H6" i="15"/>
  <c r="H18" i="15" s="1"/>
  <c r="I6" i="15"/>
  <c r="I18" i="15" s="1"/>
  <c r="J6" i="15"/>
  <c r="J18" i="15" s="1"/>
  <c r="K6" i="15"/>
  <c r="K18" i="15" s="1"/>
  <c r="L6" i="15"/>
  <c r="L18" i="15" s="1"/>
  <c r="M6" i="15"/>
  <c r="M18" i="15" s="1"/>
  <c r="N6" i="15"/>
  <c r="N18" i="15" s="1"/>
  <c r="O6" i="15"/>
  <c r="O18" i="15" s="1"/>
  <c r="P6" i="15"/>
  <c r="P18" i="15" s="1"/>
  <c r="Q6" i="15"/>
  <c r="Q18" i="15" s="1"/>
  <c r="R6" i="15"/>
  <c r="R18" i="15" s="1"/>
  <c r="S6" i="15"/>
  <c r="S18" i="15" s="1"/>
  <c r="T6" i="15"/>
  <c r="T18" i="15" s="1"/>
  <c r="U6" i="15"/>
  <c r="U18" i="15" s="1"/>
  <c r="V6" i="15"/>
  <c r="V18" i="15" s="1"/>
  <c r="W6" i="15"/>
  <c r="D6" i="15"/>
  <c r="D7" i="15"/>
  <c r="D19" i="15" s="1"/>
  <c r="E5" i="15"/>
  <c r="E8" i="15" s="1"/>
  <c r="F5" i="15"/>
  <c r="F8" i="15" s="1"/>
  <c r="G5" i="15"/>
  <c r="G8" i="15" s="1"/>
  <c r="H5" i="15"/>
  <c r="H8" i="15" s="1"/>
  <c r="I5" i="15"/>
  <c r="I8" i="15" s="1"/>
  <c r="J5" i="15"/>
  <c r="J8" i="15" s="1"/>
  <c r="K5" i="15"/>
  <c r="K8" i="15" s="1"/>
  <c r="L5" i="15"/>
  <c r="L8" i="15" s="1"/>
  <c r="M5" i="15"/>
  <c r="M8" i="15" s="1"/>
  <c r="N5" i="15"/>
  <c r="N8" i="15" s="1"/>
  <c r="O5" i="15"/>
  <c r="O8" i="15" s="1"/>
  <c r="P5" i="15"/>
  <c r="P8" i="15" s="1"/>
  <c r="Q5" i="15"/>
  <c r="Q8" i="15" s="1"/>
  <c r="R5" i="15"/>
  <c r="R8" i="15" s="1"/>
  <c r="S5" i="15"/>
  <c r="S8" i="15" s="1"/>
  <c r="T5" i="15"/>
  <c r="T8" i="15" s="1"/>
  <c r="U5" i="15"/>
  <c r="U8" i="15" s="1"/>
  <c r="V5" i="15"/>
  <c r="V8" i="15" s="1"/>
  <c r="W5" i="15"/>
  <c r="W8" i="15" s="1"/>
  <c r="D5" i="15"/>
  <c r="W52" i="15" l="1"/>
  <c r="X40" i="15"/>
  <c r="D59" i="15"/>
  <c r="AH59" i="15" s="1"/>
  <c r="AG58" i="15" s="1"/>
  <c r="AG70" i="15" s="1"/>
  <c r="AH56" i="15"/>
  <c r="W137" i="15"/>
  <c r="X125" i="15"/>
  <c r="W18" i="15"/>
  <c r="X6" i="15"/>
  <c r="W35" i="15"/>
  <c r="X23" i="15"/>
  <c r="D42" i="15"/>
  <c r="AH42" i="15" s="1"/>
  <c r="AG41" i="15" s="1"/>
  <c r="AG53" i="15" s="1"/>
  <c r="AH39" i="15"/>
  <c r="W120" i="15"/>
  <c r="X108" i="15"/>
  <c r="D127" i="15"/>
  <c r="AH127" i="15" s="1"/>
  <c r="AG126" i="15" s="1"/>
  <c r="AG138" i="15" s="1"/>
  <c r="AH124" i="15"/>
  <c r="W86" i="15"/>
  <c r="X74" i="15"/>
  <c r="D25" i="15"/>
  <c r="AH25" i="15" s="1"/>
  <c r="AG24" i="15" s="1"/>
  <c r="AG36" i="15" s="1"/>
  <c r="AH22" i="15"/>
  <c r="AH87" i="15"/>
  <c r="J19" i="17" s="1"/>
  <c r="W103" i="15"/>
  <c r="X91" i="15"/>
  <c r="D8" i="15"/>
  <c r="AH8" i="15" s="1"/>
  <c r="AG7" i="15" s="1"/>
  <c r="AH5" i="15"/>
  <c r="W69" i="15"/>
  <c r="X57" i="15"/>
  <c r="D76" i="15"/>
  <c r="AH73" i="15"/>
  <c r="D87" i="15"/>
  <c r="AH75" i="15"/>
  <c r="D93" i="15"/>
  <c r="AH93" i="15" s="1"/>
  <c r="AG92" i="15" s="1"/>
  <c r="AG104" i="15" s="1"/>
  <c r="AH104" i="15" s="1"/>
  <c r="G19" i="17" s="1"/>
  <c r="AH90" i="15"/>
  <c r="D104" i="15"/>
  <c r="E110" i="15"/>
  <c r="AH110" i="15" s="1"/>
  <c r="AG109" i="15" s="1"/>
  <c r="AG121" i="15" s="1"/>
  <c r="AH107" i="15"/>
  <c r="F136" i="15"/>
  <c r="J136" i="15"/>
  <c r="N136" i="15"/>
  <c r="R136" i="15"/>
  <c r="V136" i="15"/>
  <c r="G136" i="15"/>
  <c r="K136" i="15"/>
  <c r="O136" i="15"/>
  <c r="S136" i="15"/>
  <c r="W136" i="15"/>
  <c r="D136" i="15"/>
  <c r="H136" i="15"/>
  <c r="L136" i="15"/>
  <c r="P136" i="15"/>
  <c r="T136" i="15"/>
  <c r="E136" i="15"/>
  <c r="I136" i="15"/>
  <c r="M136" i="15"/>
  <c r="Q136" i="15"/>
  <c r="U136" i="15"/>
  <c r="F119" i="15"/>
  <c r="J119" i="15"/>
  <c r="N119" i="15"/>
  <c r="R119" i="15"/>
  <c r="V119" i="15"/>
  <c r="G119" i="15"/>
  <c r="K119" i="15"/>
  <c r="O119" i="15"/>
  <c r="S119" i="15"/>
  <c r="W119" i="15"/>
  <c r="H119" i="15"/>
  <c r="L119" i="15"/>
  <c r="P119" i="15"/>
  <c r="T119" i="15"/>
  <c r="I119" i="15"/>
  <c r="M119" i="15"/>
  <c r="Q119" i="15"/>
  <c r="U119" i="15"/>
  <c r="E102" i="15"/>
  <c r="M102" i="15"/>
  <c r="U102" i="15"/>
  <c r="J102" i="15"/>
  <c r="R102" i="15"/>
  <c r="G102" i="15"/>
  <c r="K102" i="15"/>
  <c r="O102" i="15"/>
  <c r="S102" i="15"/>
  <c r="W102" i="15"/>
  <c r="I102" i="15"/>
  <c r="Q102" i="15"/>
  <c r="F102" i="15"/>
  <c r="N102" i="15"/>
  <c r="V102" i="15"/>
  <c r="D102" i="15"/>
  <c r="H102" i="15"/>
  <c r="L102" i="15"/>
  <c r="P102" i="15"/>
  <c r="T102" i="15"/>
  <c r="E85" i="15"/>
  <c r="M85" i="15"/>
  <c r="U85" i="15"/>
  <c r="F85" i="15"/>
  <c r="N85" i="15"/>
  <c r="V85" i="15"/>
  <c r="G85" i="15"/>
  <c r="K85" i="15"/>
  <c r="O85" i="15"/>
  <c r="S85" i="15"/>
  <c r="W85" i="15"/>
  <c r="I85" i="15"/>
  <c r="Q85" i="15"/>
  <c r="J85" i="15"/>
  <c r="R85" i="15"/>
  <c r="D85" i="15"/>
  <c r="H85" i="15"/>
  <c r="L85" i="15"/>
  <c r="P85" i="15"/>
  <c r="T85" i="15"/>
  <c r="E68" i="15"/>
  <c r="I68" i="15"/>
  <c r="M68" i="15"/>
  <c r="Q68" i="15"/>
  <c r="U68" i="15"/>
  <c r="F68" i="15"/>
  <c r="J68" i="15"/>
  <c r="N68" i="15"/>
  <c r="R68" i="15"/>
  <c r="V68" i="15"/>
  <c r="G68" i="15"/>
  <c r="K68" i="15"/>
  <c r="O68" i="15"/>
  <c r="S68" i="15"/>
  <c r="W68" i="15"/>
  <c r="D68" i="15"/>
  <c r="H68" i="15"/>
  <c r="L68" i="15"/>
  <c r="P68" i="15"/>
  <c r="T68" i="15"/>
  <c r="E51" i="15"/>
  <c r="M51" i="15"/>
  <c r="F51" i="15"/>
  <c r="N51" i="15"/>
  <c r="I51" i="15"/>
  <c r="Q51" i="15"/>
  <c r="U51" i="15"/>
  <c r="J51" i="15"/>
  <c r="R51" i="15"/>
  <c r="V51" i="15"/>
  <c r="G51" i="15"/>
  <c r="K51" i="15"/>
  <c r="O51" i="15"/>
  <c r="S51" i="15"/>
  <c r="W51" i="15"/>
  <c r="D51" i="15"/>
  <c r="H51" i="15"/>
  <c r="L51" i="15"/>
  <c r="P51" i="15"/>
  <c r="T51" i="15"/>
  <c r="S17" i="15"/>
  <c r="K17" i="15"/>
  <c r="I34" i="15"/>
  <c r="Q34" i="15"/>
  <c r="V17" i="15"/>
  <c r="N17" i="15"/>
  <c r="F17" i="15"/>
  <c r="J34" i="15"/>
  <c r="R34" i="15"/>
  <c r="U17" i="15"/>
  <c r="Q17" i="15"/>
  <c r="M17" i="15"/>
  <c r="I17" i="15"/>
  <c r="E17" i="15"/>
  <c r="G34" i="15"/>
  <c r="K34" i="15"/>
  <c r="O34" i="15"/>
  <c r="S34" i="15"/>
  <c r="W34" i="15"/>
  <c r="W17" i="15"/>
  <c r="O17" i="15"/>
  <c r="G17" i="15"/>
  <c r="E34" i="15"/>
  <c r="M34" i="15"/>
  <c r="U34" i="15"/>
  <c r="R17" i="15"/>
  <c r="J17" i="15"/>
  <c r="F34" i="15"/>
  <c r="N34" i="15"/>
  <c r="V34" i="15"/>
  <c r="T17" i="15"/>
  <c r="P17" i="15"/>
  <c r="L17" i="15"/>
  <c r="H17" i="15"/>
  <c r="D34" i="15"/>
  <c r="H34" i="15"/>
  <c r="L34" i="15"/>
  <c r="P34" i="15"/>
  <c r="T34" i="15"/>
  <c r="D14" i="15"/>
  <c r="E14" i="15" s="1"/>
  <c r="F14" i="15" s="1"/>
  <c r="G14" i="15" s="1"/>
  <c r="H14" i="15" s="1"/>
  <c r="I14" i="15" s="1"/>
  <c r="J14" i="15" s="1"/>
  <c r="K14" i="15" s="1"/>
  <c r="L14" i="15" s="1"/>
  <c r="M14" i="15" s="1"/>
  <c r="N14" i="15" s="1"/>
  <c r="O14" i="15" s="1"/>
  <c r="P14" i="15" s="1"/>
  <c r="Q14" i="15" s="1"/>
  <c r="R14" i="15" s="1"/>
  <c r="S14" i="15" s="1"/>
  <c r="T14" i="15" s="1"/>
  <c r="U14" i="15" s="1"/>
  <c r="V14" i="15" s="1"/>
  <c r="W14" i="15" s="1"/>
  <c r="X14" i="15" s="1"/>
  <c r="Y14" i="15" s="1"/>
  <c r="Z14" i="15" s="1"/>
  <c r="AA14" i="15" s="1"/>
  <c r="AB14" i="15" s="1"/>
  <c r="AC14" i="15" s="1"/>
  <c r="AD14" i="15" s="1"/>
  <c r="AE14" i="15" s="1"/>
  <c r="AF14" i="15" s="1"/>
  <c r="AG14" i="15" s="1"/>
  <c r="D17" i="15"/>
  <c r="AH17" i="15" s="1"/>
  <c r="E119" i="15"/>
  <c r="D133" i="15"/>
  <c r="E133" i="15" s="1"/>
  <c r="F133" i="15" s="1"/>
  <c r="G133" i="15" s="1"/>
  <c r="H133" i="15" s="1"/>
  <c r="I133" i="15" s="1"/>
  <c r="J133" i="15" s="1"/>
  <c r="K133" i="15" s="1"/>
  <c r="L133" i="15" s="1"/>
  <c r="M133" i="15" s="1"/>
  <c r="N133" i="15" s="1"/>
  <c r="O133" i="15" s="1"/>
  <c r="P133" i="15" s="1"/>
  <c r="Q133" i="15" s="1"/>
  <c r="R133" i="15" s="1"/>
  <c r="S133" i="15" s="1"/>
  <c r="T133" i="15" s="1"/>
  <c r="U133" i="15" s="1"/>
  <c r="V133" i="15" s="1"/>
  <c r="W133" i="15" s="1"/>
  <c r="X133" i="15" s="1"/>
  <c r="Y133" i="15" s="1"/>
  <c r="Z133" i="15" s="1"/>
  <c r="AA133" i="15" s="1"/>
  <c r="AB133" i="15" s="1"/>
  <c r="AC133" i="15" s="1"/>
  <c r="AD133" i="15" s="1"/>
  <c r="AE133" i="15" s="1"/>
  <c r="AF133" i="15" s="1"/>
  <c r="AG133" i="15" s="1"/>
  <c r="D134" i="15"/>
  <c r="E134" i="15" s="1"/>
  <c r="F134" i="15" s="1"/>
  <c r="G134" i="15" s="1"/>
  <c r="H134" i="15" s="1"/>
  <c r="I134" i="15" s="1"/>
  <c r="J134" i="15" s="1"/>
  <c r="K134" i="15" s="1"/>
  <c r="L134" i="15" s="1"/>
  <c r="M134" i="15" s="1"/>
  <c r="N134" i="15" s="1"/>
  <c r="O134" i="15" s="1"/>
  <c r="P134" i="15" s="1"/>
  <c r="Q134" i="15" s="1"/>
  <c r="R134" i="15" s="1"/>
  <c r="S134" i="15" s="1"/>
  <c r="T134" i="15" s="1"/>
  <c r="U134" i="15" s="1"/>
  <c r="V134" i="15" s="1"/>
  <c r="W134" i="15" s="1"/>
  <c r="D137" i="15"/>
  <c r="D116" i="15"/>
  <c r="E116" i="15" s="1"/>
  <c r="F116" i="15" s="1"/>
  <c r="G116" i="15" s="1"/>
  <c r="H116" i="15" s="1"/>
  <c r="I116" i="15" s="1"/>
  <c r="J116" i="15" s="1"/>
  <c r="K116" i="15" s="1"/>
  <c r="L116" i="15" s="1"/>
  <c r="M116" i="15" s="1"/>
  <c r="N116" i="15" s="1"/>
  <c r="O116" i="15" s="1"/>
  <c r="P116" i="15" s="1"/>
  <c r="Q116" i="15" s="1"/>
  <c r="R116" i="15" s="1"/>
  <c r="S116" i="15" s="1"/>
  <c r="T116" i="15" s="1"/>
  <c r="U116" i="15" s="1"/>
  <c r="V116" i="15" s="1"/>
  <c r="W116" i="15" s="1"/>
  <c r="X116" i="15" s="1"/>
  <c r="Y116" i="15" s="1"/>
  <c r="Z116" i="15" s="1"/>
  <c r="AA116" i="15" s="1"/>
  <c r="AB116" i="15" s="1"/>
  <c r="AC116" i="15" s="1"/>
  <c r="AD116" i="15" s="1"/>
  <c r="AE116" i="15" s="1"/>
  <c r="AF116" i="15" s="1"/>
  <c r="AG116" i="15" s="1"/>
  <c r="D117" i="15"/>
  <c r="E117" i="15" s="1"/>
  <c r="F117" i="15" s="1"/>
  <c r="G117" i="15" s="1"/>
  <c r="H117" i="15" s="1"/>
  <c r="I117" i="15" s="1"/>
  <c r="J117" i="15" s="1"/>
  <c r="K117" i="15" s="1"/>
  <c r="L117" i="15" s="1"/>
  <c r="M117" i="15" s="1"/>
  <c r="N117" i="15" s="1"/>
  <c r="O117" i="15" s="1"/>
  <c r="P117" i="15" s="1"/>
  <c r="Q117" i="15" s="1"/>
  <c r="R117" i="15" s="1"/>
  <c r="S117" i="15" s="1"/>
  <c r="T117" i="15" s="1"/>
  <c r="U117" i="15" s="1"/>
  <c r="V117" i="15" s="1"/>
  <c r="W117" i="15" s="1"/>
  <c r="D120" i="15"/>
  <c r="D99" i="15"/>
  <c r="E99" i="15" s="1"/>
  <c r="F99" i="15" s="1"/>
  <c r="G99" i="15" s="1"/>
  <c r="H99" i="15" s="1"/>
  <c r="I99" i="15" s="1"/>
  <c r="J99" i="15" s="1"/>
  <c r="K99" i="15" s="1"/>
  <c r="L99" i="15" s="1"/>
  <c r="M99" i="15" s="1"/>
  <c r="N99" i="15" s="1"/>
  <c r="O99" i="15" s="1"/>
  <c r="P99" i="15" s="1"/>
  <c r="Q99" i="15" s="1"/>
  <c r="R99" i="15" s="1"/>
  <c r="S99" i="15" s="1"/>
  <c r="T99" i="15" s="1"/>
  <c r="U99" i="15" s="1"/>
  <c r="V99" i="15" s="1"/>
  <c r="W99" i="15" s="1"/>
  <c r="X99" i="15" s="1"/>
  <c r="Y99" i="15" s="1"/>
  <c r="Z99" i="15" s="1"/>
  <c r="AA99" i="15" s="1"/>
  <c r="AB99" i="15" s="1"/>
  <c r="AC99" i="15" s="1"/>
  <c r="AD99" i="15" s="1"/>
  <c r="AE99" i="15" s="1"/>
  <c r="AF99" i="15" s="1"/>
  <c r="AG99" i="15" s="1"/>
  <c r="D100" i="15"/>
  <c r="E100" i="15" s="1"/>
  <c r="F100" i="15" s="1"/>
  <c r="G100" i="15" s="1"/>
  <c r="H100" i="15" s="1"/>
  <c r="I100" i="15" s="1"/>
  <c r="J100" i="15" s="1"/>
  <c r="K100" i="15" s="1"/>
  <c r="L100" i="15" s="1"/>
  <c r="M100" i="15" s="1"/>
  <c r="N100" i="15" s="1"/>
  <c r="O100" i="15" s="1"/>
  <c r="P100" i="15" s="1"/>
  <c r="Q100" i="15" s="1"/>
  <c r="R100" i="15" s="1"/>
  <c r="S100" i="15" s="1"/>
  <c r="T100" i="15" s="1"/>
  <c r="U100" i="15" s="1"/>
  <c r="V100" i="15" s="1"/>
  <c r="W100" i="15" s="1"/>
  <c r="D103" i="15"/>
  <c r="D82" i="15"/>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D83" i="15"/>
  <c r="E83" i="15" s="1"/>
  <c r="F83" i="15" s="1"/>
  <c r="G83" i="15" s="1"/>
  <c r="H83" i="15" s="1"/>
  <c r="I83" i="15" s="1"/>
  <c r="J83" i="15" s="1"/>
  <c r="K83" i="15" s="1"/>
  <c r="L83" i="15" s="1"/>
  <c r="M83" i="15" s="1"/>
  <c r="N83" i="15" s="1"/>
  <c r="O83" i="15" s="1"/>
  <c r="P83" i="15" s="1"/>
  <c r="Q83" i="15" s="1"/>
  <c r="R83" i="15" s="1"/>
  <c r="S83" i="15" s="1"/>
  <c r="T83" i="15" s="1"/>
  <c r="U83" i="15" s="1"/>
  <c r="V83" i="15" s="1"/>
  <c r="W83" i="15" s="1"/>
  <c r="D86" i="15"/>
  <c r="D65" i="15"/>
  <c r="E65" i="15" s="1"/>
  <c r="F65" i="15" s="1"/>
  <c r="G65" i="15" s="1"/>
  <c r="H65" i="15" s="1"/>
  <c r="I65" i="15" s="1"/>
  <c r="J65" i="15" s="1"/>
  <c r="K65" i="15" s="1"/>
  <c r="L65" i="15" s="1"/>
  <c r="M65" i="15" s="1"/>
  <c r="N65" i="15" s="1"/>
  <c r="O65" i="15" s="1"/>
  <c r="P65" i="15" s="1"/>
  <c r="Q65" i="15" s="1"/>
  <c r="R65" i="15" s="1"/>
  <c r="S65" i="15" s="1"/>
  <c r="T65" i="15" s="1"/>
  <c r="U65" i="15" s="1"/>
  <c r="V65" i="15" s="1"/>
  <c r="W65" i="15" s="1"/>
  <c r="X65" i="15" s="1"/>
  <c r="Y65" i="15" s="1"/>
  <c r="Z65" i="15" s="1"/>
  <c r="AA65" i="15" s="1"/>
  <c r="AB65" i="15" s="1"/>
  <c r="AC65" i="15" s="1"/>
  <c r="AD65" i="15" s="1"/>
  <c r="AE65" i="15" s="1"/>
  <c r="AF65" i="15" s="1"/>
  <c r="AG65" i="15" s="1"/>
  <c r="D66" i="15"/>
  <c r="E66" i="15" s="1"/>
  <c r="F66" i="15" s="1"/>
  <c r="G66" i="15" s="1"/>
  <c r="H66" i="15" s="1"/>
  <c r="I66" i="15" s="1"/>
  <c r="J66" i="15" s="1"/>
  <c r="K66" i="15" s="1"/>
  <c r="L66" i="15" s="1"/>
  <c r="M66" i="15" s="1"/>
  <c r="N66" i="15" s="1"/>
  <c r="O66" i="15" s="1"/>
  <c r="P66" i="15" s="1"/>
  <c r="Q66" i="15" s="1"/>
  <c r="R66" i="15" s="1"/>
  <c r="S66" i="15" s="1"/>
  <c r="T66" i="15" s="1"/>
  <c r="U66" i="15" s="1"/>
  <c r="V66" i="15" s="1"/>
  <c r="W66" i="15" s="1"/>
  <c r="D69" i="15"/>
  <c r="D36" i="15"/>
  <c r="D48" i="15"/>
  <c r="E48" i="15" s="1"/>
  <c r="F48" i="15" s="1"/>
  <c r="G48" i="15" s="1"/>
  <c r="H48" i="15" s="1"/>
  <c r="I48" i="15" s="1"/>
  <c r="J48" i="15" s="1"/>
  <c r="K48" i="15" s="1"/>
  <c r="L48" i="15" s="1"/>
  <c r="M48" i="15" s="1"/>
  <c r="N48" i="15" s="1"/>
  <c r="O48" i="15" s="1"/>
  <c r="P48" i="15" s="1"/>
  <c r="Q48" i="15" s="1"/>
  <c r="R48" i="15" s="1"/>
  <c r="S48" i="15" s="1"/>
  <c r="T48" i="15" s="1"/>
  <c r="U48" i="15" s="1"/>
  <c r="V48" i="15" s="1"/>
  <c r="W48" i="15" s="1"/>
  <c r="X48" i="15" s="1"/>
  <c r="Y48" i="15" s="1"/>
  <c r="Z48" i="15" s="1"/>
  <c r="AA48" i="15" s="1"/>
  <c r="AB48" i="15" s="1"/>
  <c r="AC48" i="15" s="1"/>
  <c r="AD48" i="15" s="1"/>
  <c r="AE48" i="15" s="1"/>
  <c r="AF48" i="15" s="1"/>
  <c r="AG48" i="15" s="1"/>
  <c r="D49" i="15"/>
  <c r="E49" i="15" s="1"/>
  <c r="F49" i="15" s="1"/>
  <c r="G49" i="15" s="1"/>
  <c r="H49" i="15" s="1"/>
  <c r="I49" i="15" s="1"/>
  <c r="J49" i="15" s="1"/>
  <c r="K49" i="15" s="1"/>
  <c r="L49" i="15" s="1"/>
  <c r="M49" i="15" s="1"/>
  <c r="N49" i="15" s="1"/>
  <c r="O49" i="15" s="1"/>
  <c r="P49" i="15" s="1"/>
  <c r="Q49" i="15" s="1"/>
  <c r="R49" i="15" s="1"/>
  <c r="S49" i="15" s="1"/>
  <c r="T49" i="15" s="1"/>
  <c r="U49" i="15" s="1"/>
  <c r="V49" i="15" s="1"/>
  <c r="W49" i="15" s="1"/>
  <c r="D52" i="15"/>
  <c r="D31" i="15"/>
  <c r="E31" i="15" s="1"/>
  <c r="F31" i="15" s="1"/>
  <c r="G31" i="15" s="1"/>
  <c r="H31" i="15" s="1"/>
  <c r="I31" i="15" s="1"/>
  <c r="J31" i="15" s="1"/>
  <c r="K31" i="15" s="1"/>
  <c r="L31" i="15" s="1"/>
  <c r="M31" i="15" s="1"/>
  <c r="N31" i="15" s="1"/>
  <c r="O31" i="15" s="1"/>
  <c r="P31" i="15" s="1"/>
  <c r="Q31" i="15" s="1"/>
  <c r="R31" i="15" s="1"/>
  <c r="S31" i="15" s="1"/>
  <c r="T31" i="15" s="1"/>
  <c r="U31" i="15" s="1"/>
  <c r="V31" i="15" s="1"/>
  <c r="W31" i="15" s="1"/>
  <c r="X31" i="15" s="1"/>
  <c r="Y31" i="15" s="1"/>
  <c r="Z31" i="15" s="1"/>
  <c r="AA31" i="15" s="1"/>
  <c r="AB31" i="15" s="1"/>
  <c r="AC31" i="15" s="1"/>
  <c r="AD31" i="15" s="1"/>
  <c r="AE31" i="15" s="1"/>
  <c r="AF31" i="15" s="1"/>
  <c r="AG31" i="15" s="1"/>
  <c r="D32" i="15"/>
  <c r="E32" i="15" s="1"/>
  <c r="F32" i="15" s="1"/>
  <c r="G32" i="15" s="1"/>
  <c r="H32" i="15" s="1"/>
  <c r="I32" i="15" s="1"/>
  <c r="J32" i="15" s="1"/>
  <c r="K32" i="15" s="1"/>
  <c r="L32" i="15" s="1"/>
  <c r="M32" i="15" s="1"/>
  <c r="N32" i="15" s="1"/>
  <c r="O32" i="15" s="1"/>
  <c r="P32" i="15" s="1"/>
  <c r="Q32" i="15" s="1"/>
  <c r="R32" i="15" s="1"/>
  <c r="S32" i="15" s="1"/>
  <c r="T32" i="15" s="1"/>
  <c r="U32" i="15" s="1"/>
  <c r="V32" i="15" s="1"/>
  <c r="W32" i="15" s="1"/>
  <c r="D35" i="15"/>
  <c r="D15" i="15"/>
  <c r="E15" i="15" s="1"/>
  <c r="F15" i="15" s="1"/>
  <c r="G15" i="15" s="1"/>
  <c r="H15" i="15" s="1"/>
  <c r="I15" i="15" s="1"/>
  <c r="J15" i="15" s="1"/>
  <c r="K15" i="15" s="1"/>
  <c r="L15" i="15" s="1"/>
  <c r="M15" i="15" s="1"/>
  <c r="N15" i="15" s="1"/>
  <c r="O15" i="15" s="1"/>
  <c r="P15" i="15" s="1"/>
  <c r="Q15" i="15" s="1"/>
  <c r="R15" i="15" s="1"/>
  <c r="S15" i="15" s="1"/>
  <c r="T15" i="15" s="1"/>
  <c r="U15" i="15" s="1"/>
  <c r="V15" i="15" s="1"/>
  <c r="W15" i="15" s="1"/>
  <c r="D18" i="15"/>
  <c r="J26" i="15"/>
  <c r="J28" i="15" s="1"/>
  <c r="R26" i="15"/>
  <c r="R28" i="15" s="1"/>
  <c r="R43" i="15"/>
  <c r="R45" i="15" s="1"/>
  <c r="N60" i="15"/>
  <c r="N62" i="15" s="1"/>
  <c r="J77" i="15"/>
  <c r="J79" i="15" s="1"/>
  <c r="V77" i="15"/>
  <c r="V79" i="15" s="1"/>
  <c r="N111" i="15"/>
  <c r="N113" i="15" s="1"/>
  <c r="V111" i="15"/>
  <c r="V113" i="15" s="1"/>
  <c r="J128" i="15"/>
  <c r="J130" i="15" s="1"/>
  <c r="V128" i="15"/>
  <c r="V130" i="15" s="1"/>
  <c r="F26" i="15"/>
  <c r="F28" i="15" s="1"/>
  <c r="V26" i="15"/>
  <c r="V28" i="15" s="1"/>
  <c r="F43" i="15"/>
  <c r="F45" i="15" s="1"/>
  <c r="N43" i="15"/>
  <c r="N45" i="15" s="1"/>
  <c r="V43" i="15"/>
  <c r="V45" i="15" s="1"/>
  <c r="J60" i="15"/>
  <c r="J62" i="15" s="1"/>
  <c r="R60" i="15"/>
  <c r="R62" i="15" s="1"/>
  <c r="F77" i="15"/>
  <c r="F79" i="15" s="1"/>
  <c r="N77" i="15"/>
  <c r="N79" i="15" s="1"/>
  <c r="F111" i="15"/>
  <c r="F113" i="15" s="1"/>
  <c r="R111" i="15"/>
  <c r="R113" i="15" s="1"/>
  <c r="R128" i="15"/>
  <c r="R130" i="15" s="1"/>
  <c r="V9" i="15"/>
  <c r="V11" i="15" s="1"/>
  <c r="N9" i="15"/>
  <c r="N11" i="15" s="1"/>
  <c r="N26" i="15"/>
  <c r="N28" i="15" s="1"/>
  <c r="J43" i="15"/>
  <c r="J45" i="15" s="1"/>
  <c r="F60" i="15"/>
  <c r="F62" i="15" s="1"/>
  <c r="V60" i="15"/>
  <c r="V62" i="15" s="1"/>
  <c r="R77" i="15"/>
  <c r="R79" i="15" s="1"/>
  <c r="J111" i="15"/>
  <c r="J113" i="15" s="1"/>
  <c r="F128" i="15"/>
  <c r="F130" i="15" s="1"/>
  <c r="Q9" i="15"/>
  <c r="Q11" i="15" s="1"/>
  <c r="I9" i="15"/>
  <c r="I11" i="15" s="1"/>
  <c r="K26" i="15"/>
  <c r="K28" i="15" s="1"/>
  <c r="S26" i="15"/>
  <c r="S28" i="15" s="1"/>
  <c r="G43" i="15"/>
  <c r="G45" i="15" s="1"/>
  <c r="O43" i="15"/>
  <c r="O45" i="15" s="1"/>
  <c r="K60" i="15"/>
  <c r="K62" i="15" s="1"/>
  <c r="S60" i="15"/>
  <c r="S62" i="15" s="1"/>
  <c r="K77" i="15"/>
  <c r="K79" i="15" s="1"/>
  <c r="S77" i="15"/>
  <c r="S79" i="15" s="1"/>
  <c r="K94" i="15"/>
  <c r="K96" i="15" s="1"/>
  <c r="W94" i="15"/>
  <c r="W96" i="15" s="1"/>
  <c r="F9" i="15"/>
  <c r="F11" i="15" s="1"/>
  <c r="U9" i="15"/>
  <c r="U11" i="15" s="1"/>
  <c r="M9" i="15"/>
  <c r="M11" i="15" s="1"/>
  <c r="E9" i="15"/>
  <c r="E11" i="15" s="1"/>
  <c r="G26" i="15"/>
  <c r="G28" i="15" s="1"/>
  <c r="O26" i="15"/>
  <c r="O28" i="15" s="1"/>
  <c r="K43" i="15"/>
  <c r="K45" i="15" s="1"/>
  <c r="S43" i="15"/>
  <c r="S45" i="15" s="1"/>
  <c r="G60" i="15"/>
  <c r="G62" i="15" s="1"/>
  <c r="O60" i="15"/>
  <c r="O62" i="15" s="1"/>
  <c r="G77" i="15"/>
  <c r="G79" i="15" s="1"/>
  <c r="O77" i="15"/>
  <c r="O79" i="15" s="1"/>
  <c r="W77" i="15"/>
  <c r="W79" i="15" s="1"/>
  <c r="G94" i="15"/>
  <c r="G96" i="15" s="1"/>
  <c r="O94" i="15"/>
  <c r="O96" i="15" s="1"/>
  <c r="S94" i="15"/>
  <c r="S96" i="15" s="1"/>
  <c r="G111" i="15"/>
  <c r="G113" i="15" s="1"/>
  <c r="K111" i="15"/>
  <c r="K113" i="15" s="1"/>
  <c r="O111" i="15"/>
  <c r="O113" i="15" s="1"/>
  <c r="S111" i="15"/>
  <c r="S113" i="15" s="1"/>
  <c r="G128" i="15"/>
  <c r="G130" i="15" s="1"/>
  <c r="K128" i="15"/>
  <c r="K130" i="15" s="1"/>
  <c r="O128" i="15"/>
  <c r="O130" i="15" s="1"/>
  <c r="S128" i="15"/>
  <c r="S130" i="15" s="1"/>
  <c r="D13" i="15"/>
  <c r="E13" i="15" s="1"/>
  <c r="F13" i="15" s="1"/>
  <c r="G13" i="15" s="1"/>
  <c r="H13" i="15" s="1"/>
  <c r="I13" i="15" s="1"/>
  <c r="J13" i="15" s="1"/>
  <c r="K13" i="15" s="1"/>
  <c r="L13" i="15" s="1"/>
  <c r="M13" i="15" s="1"/>
  <c r="N13" i="15" s="1"/>
  <c r="O13" i="15" s="1"/>
  <c r="P13" i="15" s="1"/>
  <c r="Q13" i="15" s="1"/>
  <c r="R13" i="15" s="1"/>
  <c r="S13" i="15" s="1"/>
  <c r="T13" i="15" s="1"/>
  <c r="U13" i="15" s="1"/>
  <c r="V13" i="15" s="1"/>
  <c r="T9" i="15"/>
  <c r="T11" i="15" s="1"/>
  <c r="P9" i="15"/>
  <c r="P11" i="15" s="1"/>
  <c r="L9" i="15"/>
  <c r="L11" i="15" s="1"/>
  <c r="H9" i="15"/>
  <c r="H11" i="15" s="1"/>
  <c r="E26" i="15"/>
  <c r="E28" i="15" s="1"/>
  <c r="I26" i="15"/>
  <c r="I28" i="15" s="1"/>
  <c r="M26" i="15"/>
  <c r="M28" i="15" s="1"/>
  <c r="Q26" i="15"/>
  <c r="Q28" i="15" s="1"/>
  <c r="U26" i="15"/>
  <c r="U28" i="15" s="1"/>
  <c r="E43" i="15"/>
  <c r="E45" i="15" s="1"/>
  <c r="I43" i="15"/>
  <c r="I45" i="15" s="1"/>
  <c r="M43" i="15"/>
  <c r="M45" i="15" s="1"/>
  <c r="Q43" i="15"/>
  <c r="Q45" i="15" s="1"/>
  <c r="U43" i="15"/>
  <c r="U45" i="15" s="1"/>
  <c r="E60" i="15"/>
  <c r="E62" i="15" s="1"/>
  <c r="I60" i="15"/>
  <c r="I62" i="15" s="1"/>
  <c r="M60" i="15"/>
  <c r="M62" i="15" s="1"/>
  <c r="Q60" i="15"/>
  <c r="Q62" i="15" s="1"/>
  <c r="U60" i="15"/>
  <c r="U62" i="15" s="1"/>
  <c r="I77" i="15"/>
  <c r="I79" i="15" s="1"/>
  <c r="M77" i="15"/>
  <c r="M79" i="15" s="1"/>
  <c r="Q77" i="15"/>
  <c r="Q79" i="15" s="1"/>
  <c r="U77" i="15"/>
  <c r="U79" i="15" s="1"/>
  <c r="E94" i="15"/>
  <c r="E96" i="15" s="1"/>
  <c r="I94" i="15"/>
  <c r="I96" i="15" s="1"/>
  <c r="M94" i="15"/>
  <c r="M96" i="15" s="1"/>
  <c r="Q94" i="15"/>
  <c r="Q96" i="15" s="1"/>
  <c r="U94" i="15"/>
  <c r="U96" i="15" s="1"/>
  <c r="E111" i="15"/>
  <c r="E113" i="15" s="1"/>
  <c r="I111" i="15"/>
  <c r="I113" i="15" s="1"/>
  <c r="M111" i="15"/>
  <c r="M113" i="15" s="1"/>
  <c r="Q111" i="15"/>
  <c r="Q113" i="15" s="1"/>
  <c r="U111" i="15"/>
  <c r="U113" i="15" s="1"/>
  <c r="E128" i="15"/>
  <c r="E130" i="15" s="1"/>
  <c r="I128" i="15"/>
  <c r="I130" i="15" s="1"/>
  <c r="M128" i="15"/>
  <c r="M130" i="15" s="1"/>
  <c r="Q128" i="15"/>
  <c r="Q130" i="15" s="1"/>
  <c r="U128" i="15"/>
  <c r="U130" i="15" s="1"/>
  <c r="R9" i="15"/>
  <c r="R11" i="15" s="1"/>
  <c r="J9" i="15"/>
  <c r="J11" i="15" s="1"/>
  <c r="F94" i="15"/>
  <c r="F96" i="15" s="1"/>
  <c r="J94" i="15"/>
  <c r="J96" i="15" s="1"/>
  <c r="N94" i="15"/>
  <c r="N96" i="15" s="1"/>
  <c r="R94" i="15"/>
  <c r="R96" i="15" s="1"/>
  <c r="V94" i="15"/>
  <c r="V96" i="15" s="1"/>
  <c r="N128" i="15"/>
  <c r="N130" i="15" s="1"/>
  <c r="H26" i="15"/>
  <c r="H28" i="15" s="1"/>
  <c r="L26" i="15"/>
  <c r="L28" i="15" s="1"/>
  <c r="P26" i="15"/>
  <c r="P28" i="15" s="1"/>
  <c r="T26" i="15"/>
  <c r="T28" i="15" s="1"/>
  <c r="H43" i="15"/>
  <c r="H45" i="15" s="1"/>
  <c r="L43" i="15"/>
  <c r="L45" i="15" s="1"/>
  <c r="P43" i="15"/>
  <c r="P45" i="15" s="1"/>
  <c r="T43" i="15"/>
  <c r="T45" i="15" s="1"/>
  <c r="H60" i="15"/>
  <c r="H62" i="15" s="1"/>
  <c r="P60" i="15"/>
  <c r="P62" i="15" s="1"/>
  <c r="H77" i="15"/>
  <c r="H79" i="15" s="1"/>
  <c r="L77" i="15"/>
  <c r="L79" i="15" s="1"/>
  <c r="P77" i="15"/>
  <c r="P79" i="15" s="1"/>
  <c r="T77" i="15"/>
  <c r="T79" i="15" s="1"/>
  <c r="H94" i="15"/>
  <c r="H96" i="15" s="1"/>
  <c r="L94" i="15"/>
  <c r="L96" i="15" s="1"/>
  <c r="P94" i="15"/>
  <c r="P96" i="15" s="1"/>
  <c r="T94" i="15"/>
  <c r="T96" i="15" s="1"/>
  <c r="D115" i="15"/>
  <c r="E115" i="15" s="1"/>
  <c r="F115" i="15" s="1"/>
  <c r="G115" i="15" s="1"/>
  <c r="H115" i="15" s="1"/>
  <c r="I115" i="15" s="1"/>
  <c r="J115" i="15" s="1"/>
  <c r="K115" i="15" s="1"/>
  <c r="L115" i="15" s="1"/>
  <c r="M115" i="15" s="1"/>
  <c r="N115" i="15" s="1"/>
  <c r="O115" i="15" s="1"/>
  <c r="P115" i="15" s="1"/>
  <c r="Q115" i="15" s="1"/>
  <c r="R115" i="15" s="1"/>
  <c r="S115" i="15" s="1"/>
  <c r="T115" i="15" s="1"/>
  <c r="U115" i="15" s="1"/>
  <c r="V115" i="15" s="1"/>
  <c r="D111" i="15"/>
  <c r="D112" i="15" s="1"/>
  <c r="D118" i="15"/>
  <c r="E118" i="15" s="1"/>
  <c r="F118" i="15" s="1"/>
  <c r="G118" i="15" s="1"/>
  <c r="H118" i="15" s="1"/>
  <c r="I118" i="15" s="1"/>
  <c r="J118" i="15" s="1"/>
  <c r="K118" i="15" s="1"/>
  <c r="L118" i="15" s="1"/>
  <c r="M118" i="15" s="1"/>
  <c r="N118" i="15" s="1"/>
  <c r="O118" i="15" s="1"/>
  <c r="P118" i="15" s="1"/>
  <c r="Q118" i="15" s="1"/>
  <c r="R118" i="15" s="1"/>
  <c r="S118" i="15" s="1"/>
  <c r="T118" i="15" s="1"/>
  <c r="U118" i="15" s="1"/>
  <c r="V118" i="15" s="1"/>
  <c r="H111" i="15"/>
  <c r="H113" i="15" s="1"/>
  <c r="L111" i="15"/>
  <c r="L113" i="15" s="1"/>
  <c r="P111" i="15"/>
  <c r="P113" i="15" s="1"/>
  <c r="T111" i="15"/>
  <c r="T113" i="15" s="1"/>
  <c r="D132" i="15"/>
  <c r="E132" i="15" s="1"/>
  <c r="F132" i="15" s="1"/>
  <c r="G132" i="15" s="1"/>
  <c r="H132" i="15" s="1"/>
  <c r="I132" i="15" s="1"/>
  <c r="J132" i="15" s="1"/>
  <c r="K132" i="15" s="1"/>
  <c r="L132" i="15" s="1"/>
  <c r="M132" i="15" s="1"/>
  <c r="N132" i="15" s="1"/>
  <c r="O132" i="15" s="1"/>
  <c r="P132" i="15" s="1"/>
  <c r="Q132" i="15" s="1"/>
  <c r="R132" i="15" s="1"/>
  <c r="S132" i="15" s="1"/>
  <c r="T132" i="15" s="1"/>
  <c r="U132" i="15" s="1"/>
  <c r="V132" i="15" s="1"/>
  <c r="D128" i="15"/>
  <c r="D129" i="15" s="1"/>
  <c r="D135" i="15"/>
  <c r="E135" i="15" s="1"/>
  <c r="F135" i="15" s="1"/>
  <c r="G135" i="15" s="1"/>
  <c r="H135" i="15" s="1"/>
  <c r="I135" i="15" s="1"/>
  <c r="J135" i="15" s="1"/>
  <c r="K135" i="15" s="1"/>
  <c r="L135" i="15" s="1"/>
  <c r="M135" i="15" s="1"/>
  <c r="N135" i="15" s="1"/>
  <c r="O135" i="15" s="1"/>
  <c r="P135" i="15" s="1"/>
  <c r="Q135" i="15" s="1"/>
  <c r="R135" i="15" s="1"/>
  <c r="S135" i="15" s="1"/>
  <c r="T135" i="15" s="1"/>
  <c r="U135" i="15" s="1"/>
  <c r="V135" i="15" s="1"/>
  <c r="H128" i="15"/>
  <c r="H130" i="15" s="1"/>
  <c r="L128" i="15"/>
  <c r="L130" i="15" s="1"/>
  <c r="P128" i="15"/>
  <c r="P130" i="15" s="1"/>
  <c r="T128" i="15"/>
  <c r="T130" i="15" s="1"/>
  <c r="S9" i="15"/>
  <c r="S11" i="15" s="1"/>
  <c r="O9" i="15"/>
  <c r="O11" i="15" s="1"/>
  <c r="K9" i="15"/>
  <c r="K11" i="15" s="1"/>
  <c r="G9" i="15"/>
  <c r="G11" i="15" s="1"/>
  <c r="D30" i="15"/>
  <c r="E30" i="15" s="1"/>
  <c r="F30" i="15" s="1"/>
  <c r="G30" i="15" s="1"/>
  <c r="H30" i="15" s="1"/>
  <c r="I30" i="15" s="1"/>
  <c r="J30" i="15" s="1"/>
  <c r="K30" i="15" s="1"/>
  <c r="L30" i="15" s="1"/>
  <c r="M30" i="15" s="1"/>
  <c r="N30" i="15" s="1"/>
  <c r="O30" i="15" s="1"/>
  <c r="P30" i="15" s="1"/>
  <c r="Q30" i="15" s="1"/>
  <c r="R30" i="15" s="1"/>
  <c r="S30" i="15" s="1"/>
  <c r="T30" i="15" s="1"/>
  <c r="U30" i="15" s="1"/>
  <c r="V30" i="15" s="1"/>
  <c r="D26" i="15"/>
  <c r="D27" i="15" s="1"/>
  <c r="D33" i="15"/>
  <c r="E33" i="15" s="1"/>
  <c r="F33" i="15" s="1"/>
  <c r="G33" i="15" s="1"/>
  <c r="H33" i="15" s="1"/>
  <c r="I33" i="15" s="1"/>
  <c r="J33" i="15" s="1"/>
  <c r="K33" i="15" s="1"/>
  <c r="L33" i="15" s="1"/>
  <c r="M33" i="15" s="1"/>
  <c r="N33" i="15" s="1"/>
  <c r="O33" i="15" s="1"/>
  <c r="P33" i="15" s="1"/>
  <c r="Q33" i="15" s="1"/>
  <c r="R33" i="15" s="1"/>
  <c r="S33" i="15" s="1"/>
  <c r="T33" i="15" s="1"/>
  <c r="U33" i="15" s="1"/>
  <c r="V33" i="15" s="1"/>
  <c r="D47" i="15"/>
  <c r="E47" i="15" s="1"/>
  <c r="F47" i="15" s="1"/>
  <c r="G47" i="15" s="1"/>
  <c r="H47" i="15" s="1"/>
  <c r="I47" i="15" s="1"/>
  <c r="J47" i="15" s="1"/>
  <c r="K47" i="15" s="1"/>
  <c r="L47" i="15" s="1"/>
  <c r="M47" i="15" s="1"/>
  <c r="N47" i="15" s="1"/>
  <c r="O47" i="15" s="1"/>
  <c r="P47" i="15" s="1"/>
  <c r="Q47" i="15" s="1"/>
  <c r="R47" i="15" s="1"/>
  <c r="S47" i="15" s="1"/>
  <c r="T47" i="15" s="1"/>
  <c r="U47" i="15" s="1"/>
  <c r="V47" i="15" s="1"/>
  <c r="D43" i="15"/>
  <c r="D44" i="15" s="1"/>
  <c r="D50" i="15"/>
  <c r="E50" i="15" s="1"/>
  <c r="F50" i="15" s="1"/>
  <c r="G50" i="15" s="1"/>
  <c r="H50" i="15" s="1"/>
  <c r="I50" i="15" s="1"/>
  <c r="J50" i="15" s="1"/>
  <c r="K50" i="15" s="1"/>
  <c r="L50" i="15" s="1"/>
  <c r="M50" i="15" s="1"/>
  <c r="N50" i="15" s="1"/>
  <c r="O50" i="15" s="1"/>
  <c r="P50" i="15" s="1"/>
  <c r="Q50" i="15" s="1"/>
  <c r="R50" i="15" s="1"/>
  <c r="S50" i="15" s="1"/>
  <c r="T50" i="15" s="1"/>
  <c r="U50" i="15" s="1"/>
  <c r="V50" i="15" s="1"/>
  <c r="D64" i="15"/>
  <c r="E64" i="15" s="1"/>
  <c r="F64" i="15" s="1"/>
  <c r="G64" i="15" s="1"/>
  <c r="H64" i="15" s="1"/>
  <c r="I64" i="15" s="1"/>
  <c r="J64" i="15" s="1"/>
  <c r="K64" i="15" s="1"/>
  <c r="L64" i="15" s="1"/>
  <c r="M64" i="15" s="1"/>
  <c r="N64" i="15" s="1"/>
  <c r="O64" i="15" s="1"/>
  <c r="P64" i="15" s="1"/>
  <c r="Q64" i="15" s="1"/>
  <c r="R64" i="15" s="1"/>
  <c r="S64" i="15" s="1"/>
  <c r="T64" i="15" s="1"/>
  <c r="U64" i="15" s="1"/>
  <c r="V64" i="15" s="1"/>
  <c r="D60" i="15"/>
  <c r="D61" i="15" s="1"/>
  <c r="D67" i="15"/>
  <c r="E67" i="15" s="1"/>
  <c r="F67" i="15" s="1"/>
  <c r="G67" i="15" s="1"/>
  <c r="H67" i="15" s="1"/>
  <c r="I67" i="15" s="1"/>
  <c r="J67" i="15" s="1"/>
  <c r="K67" i="15" s="1"/>
  <c r="L67" i="15" s="1"/>
  <c r="M67" i="15" s="1"/>
  <c r="N67" i="15" s="1"/>
  <c r="O67" i="15" s="1"/>
  <c r="P67" i="15" s="1"/>
  <c r="Q67" i="15" s="1"/>
  <c r="R67" i="15" s="1"/>
  <c r="S67" i="15" s="1"/>
  <c r="T67" i="15" s="1"/>
  <c r="U67" i="15" s="1"/>
  <c r="V67" i="15" s="1"/>
  <c r="L60" i="15"/>
  <c r="L62" i="15" s="1"/>
  <c r="T60" i="15"/>
  <c r="T62" i="15" s="1"/>
  <c r="D84" i="15"/>
  <c r="E84" i="15" s="1"/>
  <c r="F84" i="15" s="1"/>
  <c r="G84" i="15" s="1"/>
  <c r="H84" i="15" s="1"/>
  <c r="I84" i="15" s="1"/>
  <c r="J84" i="15" s="1"/>
  <c r="K84" i="15" s="1"/>
  <c r="L84" i="15" s="1"/>
  <c r="M84" i="15" s="1"/>
  <c r="N84" i="15" s="1"/>
  <c r="O84" i="15" s="1"/>
  <c r="P84" i="15" s="1"/>
  <c r="Q84" i="15" s="1"/>
  <c r="R84" i="15" s="1"/>
  <c r="S84" i="15" s="1"/>
  <c r="T84" i="15" s="1"/>
  <c r="U84" i="15" s="1"/>
  <c r="V84" i="15" s="1"/>
  <c r="W84" i="15" s="1"/>
  <c r="X84" i="15" s="1"/>
  <c r="Y84" i="15" s="1"/>
  <c r="Z84" i="15" s="1"/>
  <c r="AA84" i="15" s="1"/>
  <c r="AB84" i="15" s="1"/>
  <c r="AC84" i="15" s="1"/>
  <c r="AD84" i="15" s="1"/>
  <c r="AE84" i="15" s="1"/>
  <c r="AF84" i="15" s="1"/>
  <c r="AG84" i="15" s="1"/>
  <c r="D81" i="15"/>
  <c r="E81" i="15" s="1"/>
  <c r="F81" i="15" s="1"/>
  <c r="G81" i="15" s="1"/>
  <c r="H81" i="15" s="1"/>
  <c r="I81" i="15" s="1"/>
  <c r="J81" i="15" s="1"/>
  <c r="K81" i="15" s="1"/>
  <c r="L81" i="15" s="1"/>
  <c r="M81" i="15" s="1"/>
  <c r="N81" i="15" s="1"/>
  <c r="O81" i="15" s="1"/>
  <c r="P81" i="15" s="1"/>
  <c r="Q81" i="15" s="1"/>
  <c r="R81" i="15" s="1"/>
  <c r="S81" i="15" s="1"/>
  <c r="T81" i="15" s="1"/>
  <c r="U81" i="15" s="1"/>
  <c r="V81" i="15" s="1"/>
  <c r="W81" i="15" s="1"/>
  <c r="D77" i="15"/>
  <c r="D78" i="15" s="1"/>
  <c r="D101" i="15"/>
  <c r="E101" i="15" s="1"/>
  <c r="F101" i="15" s="1"/>
  <c r="G101" i="15" s="1"/>
  <c r="H101" i="15" s="1"/>
  <c r="I101" i="15" s="1"/>
  <c r="J101" i="15" s="1"/>
  <c r="K101" i="15" s="1"/>
  <c r="L101" i="15" s="1"/>
  <c r="M101" i="15" s="1"/>
  <c r="N101" i="15" s="1"/>
  <c r="O101" i="15" s="1"/>
  <c r="P101" i="15" s="1"/>
  <c r="Q101" i="15" s="1"/>
  <c r="R101" i="15" s="1"/>
  <c r="S101" i="15" s="1"/>
  <c r="T101" i="15" s="1"/>
  <c r="U101" i="15" s="1"/>
  <c r="V101" i="15" s="1"/>
  <c r="W101" i="15" s="1"/>
  <c r="X101" i="15" s="1"/>
  <c r="Y101" i="15" s="1"/>
  <c r="Z101" i="15" s="1"/>
  <c r="AA101" i="15" s="1"/>
  <c r="AB101" i="15" s="1"/>
  <c r="AC101" i="15" s="1"/>
  <c r="AD101" i="15" s="1"/>
  <c r="AE101" i="15" s="1"/>
  <c r="AF101" i="15" s="1"/>
  <c r="AG101" i="15" s="1"/>
  <c r="D98" i="15"/>
  <c r="E98" i="15" s="1"/>
  <c r="F98" i="15" s="1"/>
  <c r="G98" i="15" s="1"/>
  <c r="H98" i="15" s="1"/>
  <c r="I98" i="15" s="1"/>
  <c r="J98" i="15" s="1"/>
  <c r="K98" i="15" s="1"/>
  <c r="L98" i="15" s="1"/>
  <c r="M98" i="15" s="1"/>
  <c r="N98" i="15" s="1"/>
  <c r="O98" i="15" s="1"/>
  <c r="P98" i="15" s="1"/>
  <c r="Q98" i="15" s="1"/>
  <c r="R98" i="15" s="1"/>
  <c r="S98" i="15" s="1"/>
  <c r="T98" i="15" s="1"/>
  <c r="U98" i="15" s="1"/>
  <c r="V98" i="15" s="1"/>
  <c r="W98" i="15" s="1"/>
  <c r="D94" i="15"/>
  <c r="D96" i="15" s="1"/>
  <c r="D97" i="15" s="1"/>
  <c r="D9" i="15"/>
  <c r="D10" i="15" s="1"/>
  <c r="D16" i="15"/>
  <c r="E16" i="15" s="1"/>
  <c r="F16" i="15" s="1"/>
  <c r="G16" i="15" s="1"/>
  <c r="H16" i="15" s="1"/>
  <c r="I16" i="15" s="1"/>
  <c r="J16" i="15" s="1"/>
  <c r="K16" i="15" s="1"/>
  <c r="L16" i="15" s="1"/>
  <c r="M16" i="15" s="1"/>
  <c r="N16" i="15" s="1"/>
  <c r="O16" i="15" s="1"/>
  <c r="P16" i="15" s="1"/>
  <c r="Q16" i="15" s="1"/>
  <c r="R16" i="15" s="1"/>
  <c r="S16" i="15" s="1"/>
  <c r="T16" i="15" s="1"/>
  <c r="U16" i="15" s="1"/>
  <c r="V16" i="15" s="1"/>
  <c r="E77" i="15"/>
  <c r="E79" i="15" s="1"/>
  <c r="B31" i="12"/>
  <c r="B11" i="13"/>
  <c r="X9" i="15" l="1"/>
  <c r="X11" i="15" s="1"/>
  <c r="X15" i="15"/>
  <c r="X18" i="15"/>
  <c r="Y6" i="15"/>
  <c r="X81" i="15"/>
  <c r="AH51" i="15"/>
  <c r="E17" i="17" s="1"/>
  <c r="AH68" i="15"/>
  <c r="AH85" i="15"/>
  <c r="AH102" i="15"/>
  <c r="Y57" i="15"/>
  <c r="X66" i="15"/>
  <c r="X60" i="15"/>
  <c r="X62" i="15" s="1"/>
  <c r="X69" i="15"/>
  <c r="X120" i="15"/>
  <c r="X111" i="15"/>
  <c r="X113" i="15" s="1"/>
  <c r="X117" i="15"/>
  <c r="Y108" i="15"/>
  <c r="X134" i="15"/>
  <c r="Y125" i="15"/>
  <c r="X128" i="15"/>
  <c r="X130" i="15" s="1"/>
  <c r="X137" i="15"/>
  <c r="AH136" i="15"/>
  <c r="AH92" i="15"/>
  <c r="X77" i="15"/>
  <c r="X79" i="15" s="1"/>
  <c r="Y74" i="15"/>
  <c r="X83" i="15"/>
  <c r="X86" i="15"/>
  <c r="Y40" i="15"/>
  <c r="X52" i="15"/>
  <c r="X49" i="15"/>
  <c r="X43" i="15"/>
  <c r="X45" i="15" s="1"/>
  <c r="AH119" i="15"/>
  <c r="H17" i="17" s="1"/>
  <c r="AH34" i="15"/>
  <c r="Y91" i="15"/>
  <c r="X98" i="15"/>
  <c r="X100" i="15"/>
  <c r="X94" i="15"/>
  <c r="X103" i="15"/>
  <c r="Y23" i="15"/>
  <c r="X35" i="15"/>
  <c r="X32" i="15"/>
  <c r="X26" i="15"/>
  <c r="X28" i="15" s="1"/>
  <c r="W138" i="15"/>
  <c r="AH126" i="15"/>
  <c r="W121" i="15"/>
  <c r="AH109" i="15"/>
  <c r="W70" i="15"/>
  <c r="AH58" i="15"/>
  <c r="W53" i="15"/>
  <c r="AH41" i="15"/>
  <c r="W36" i="15"/>
  <c r="AH36" i="15" s="1"/>
  <c r="D19" i="17" s="1"/>
  <c r="AH24" i="15"/>
  <c r="W33" i="15"/>
  <c r="X33" i="15" s="1"/>
  <c r="Y33" i="15" s="1"/>
  <c r="Z33" i="15" s="1"/>
  <c r="AA33" i="15" s="1"/>
  <c r="AB33" i="15" s="1"/>
  <c r="AC33" i="15" s="1"/>
  <c r="AD33" i="15" s="1"/>
  <c r="AE33" i="15" s="1"/>
  <c r="AF33" i="15" s="1"/>
  <c r="AG33" i="15" s="1"/>
  <c r="W115" i="15"/>
  <c r="X115" i="15" s="1"/>
  <c r="Y115" i="15" s="1"/>
  <c r="W111" i="15"/>
  <c r="W113" i="15" s="1"/>
  <c r="W135" i="15"/>
  <c r="X135" i="15" s="1"/>
  <c r="Y135" i="15" s="1"/>
  <c r="Z135" i="15" s="1"/>
  <c r="AA135" i="15" s="1"/>
  <c r="AB135" i="15" s="1"/>
  <c r="AC135" i="15" s="1"/>
  <c r="AD135" i="15" s="1"/>
  <c r="AE135" i="15" s="1"/>
  <c r="AF135" i="15" s="1"/>
  <c r="AG135" i="15" s="1"/>
  <c r="W30" i="15"/>
  <c r="X30" i="15" s="1"/>
  <c r="W118" i="15"/>
  <c r="X118" i="15" s="1"/>
  <c r="Y118" i="15" s="1"/>
  <c r="Z118" i="15" s="1"/>
  <c r="AA118" i="15" s="1"/>
  <c r="AB118" i="15" s="1"/>
  <c r="AC118" i="15" s="1"/>
  <c r="AD118" i="15" s="1"/>
  <c r="AE118" i="15" s="1"/>
  <c r="AF118" i="15" s="1"/>
  <c r="AG118" i="15" s="1"/>
  <c r="W128" i="15"/>
  <c r="W130" i="15" s="1"/>
  <c r="W26" i="15"/>
  <c r="W28" i="15" s="1"/>
  <c r="W67" i="15"/>
  <c r="X67" i="15" s="1"/>
  <c r="Y67" i="15" s="1"/>
  <c r="Z67" i="15" s="1"/>
  <c r="AA67" i="15" s="1"/>
  <c r="AB67" i="15" s="1"/>
  <c r="AC67" i="15" s="1"/>
  <c r="AD67" i="15" s="1"/>
  <c r="AE67" i="15" s="1"/>
  <c r="AF67" i="15" s="1"/>
  <c r="AG67" i="15" s="1"/>
  <c r="W47" i="15"/>
  <c r="X47" i="15" s="1"/>
  <c r="Y47" i="15" s="1"/>
  <c r="W43" i="15"/>
  <c r="W45" i="15" s="1"/>
  <c r="E61" i="15"/>
  <c r="F61" i="15" s="1"/>
  <c r="G61" i="15" s="1"/>
  <c r="H61" i="15" s="1"/>
  <c r="I61" i="15" s="1"/>
  <c r="J61" i="15" s="1"/>
  <c r="K61" i="15" s="1"/>
  <c r="L61" i="15" s="1"/>
  <c r="M61" i="15" s="1"/>
  <c r="N61" i="15" s="1"/>
  <c r="O61" i="15" s="1"/>
  <c r="P61" i="15" s="1"/>
  <c r="Q61" i="15" s="1"/>
  <c r="R61" i="15" s="1"/>
  <c r="S61" i="15" s="1"/>
  <c r="T61" i="15" s="1"/>
  <c r="U61" i="15" s="1"/>
  <c r="V61" i="15" s="1"/>
  <c r="W50" i="15"/>
  <c r="X50" i="15" s="1"/>
  <c r="Y50" i="15" s="1"/>
  <c r="Z50" i="15" s="1"/>
  <c r="AA50" i="15" s="1"/>
  <c r="AB50" i="15" s="1"/>
  <c r="AC50" i="15" s="1"/>
  <c r="AD50" i="15" s="1"/>
  <c r="AE50" i="15" s="1"/>
  <c r="AF50" i="15" s="1"/>
  <c r="AG50" i="15" s="1"/>
  <c r="E27" i="15"/>
  <c r="F27" i="15" s="1"/>
  <c r="G27" i="15" s="1"/>
  <c r="H27" i="15" s="1"/>
  <c r="I27" i="15" s="1"/>
  <c r="J27" i="15" s="1"/>
  <c r="K27" i="15" s="1"/>
  <c r="L27" i="15" s="1"/>
  <c r="M27" i="15" s="1"/>
  <c r="N27" i="15" s="1"/>
  <c r="O27" i="15" s="1"/>
  <c r="P27" i="15" s="1"/>
  <c r="Q27" i="15" s="1"/>
  <c r="R27" i="15" s="1"/>
  <c r="S27" i="15" s="1"/>
  <c r="T27" i="15" s="1"/>
  <c r="U27" i="15" s="1"/>
  <c r="V27" i="15" s="1"/>
  <c r="W60" i="15"/>
  <c r="W62" i="15" s="1"/>
  <c r="W64" i="15"/>
  <c r="X64" i="15" s="1"/>
  <c r="Y64" i="15" s="1"/>
  <c r="W132" i="15"/>
  <c r="X132" i="15" s="1"/>
  <c r="Y132" i="15" s="1"/>
  <c r="I17" i="17"/>
  <c r="G17" i="17"/>
  <c r="D62" i="15"/>
  <c r="D63" i="15" s="1"/>
  <c r="E63" i="15" s="1"/>
  <c r="F63" i="15" s="1"/>
  <c r="G63" i="15" s="1"/>
  <c r="H63" i="15" s="1"/>
  <c r="I63" i="15" s="1"/>
  <c r="J63" i="15" s="1"/>
  <c r="K63" i="15" s="1"/>
  <c r="L63" i="15" s="1"/>
  <c r="M63" i="15" s="1"/>
  <c r="N63" i="15" s="1"/>
  <c r="O63" i="15" s="1"/>
  <c r="P63" i="15" s="1"/>
  <c r="Q63" i="15" s="1"/>
  <c r="R63" i="15" s="1"/>
  <c r="S63" i="15" s="1"/>
  <c r="T63" i="15" s="1"/>
  <c r="U63" i="15" s="1"/>
  <c r="V63" i="15" s="1"/>
  <c r="F17" i="17"/>
  <c r="J17" i="17"/>
  <c r="D17" i="17"/>
  <c r="C17" i="17"/>
  <c r="D130" i="15"/>
  <c r="D131" i="15" s="1"/>
  <c r="E131" i="15" s="1"/>
  <c r="F131" i="15" s="1"/>
  <c r="G131" i="15" s="1"/>
  <c r="H131" i="15" s="1"/>
  <c r="I131" i="15" s="1"/>
  <c r="J131" i="15" s="1"/>
  <c r="K131" i="15" s="1"/>
  <c r="L131" i="15" s="1"/>
  <c r="M131" i="15" s="1"/>
  <c r="N131" i="15" s="1"/>
  <c r="O131" i="15" s="1"/>
  <c r="P131" i="15" s="1"/>
  <c r="Q131" i="15" s="1"/>
  <c r="R131" i="15" s="1"/>
  <c r="S131" i="15" s="1"/>
  <c r="T131" i="15" s="1"/>
  <c r="U131" i="15" s="1"/>
  <c r="V131" i="15" s="1"/>
  <c r="D113" i="15"/>
  <c r="D114" i="15" s="1"/>
  <c r="E114" i="15" s="1"/>
  <c r="F114" i="15" s="1"/>
  <c r="G114" i="15" s="1"/>
  <c r="H114" i="15" s="1"/>
  <c r="I114" i="15" s="1"/>
  <c r="J114" i="15" s="1"/>
  <c r="K114" i="15" s="1"/>
  <c r="L114" i="15" s="1"/>
  <c r="M114" i="15" s="1"/>
  <c r="N114" i="15" s="1"/>
  <c r="O114" i="15" s="1"/>
  <c r="P114" i="15" s="1"/>
  <c r="Q114" i="15" s="1"/>
  <c r="R114" i="15" s="1"/>
  <c r="S114" i="15" s="1"/>
  <c r="T114" i="15" s="1"/>
  <c r="U114" i="15" s="1"/>
  <c r="V114" i="15" s="1"/>
  <c r="D79" i="15"/>
  <c r="D80" i="15" s="1"/>
  <c r="E80" i="15" s="1"/>
  <c r="F80" i="15" s="1"/>
  <c r="G80" i="15" s="1"/>
  <c r="H80" i="15" s="1"/>
  <c r="I80" i="15" s="1"/>
  <c r="J80" i="15" s="1"/>
  <c r="K80" i="15" s="1"/>
  <c r="L80" i="15" s="1"/>
  <c r="M80" i="15" s="1"/>
  <c r="N80" i="15" s="1"/>
  <c r="O80" i="15" s="1"/>
  <c r="P80" i="15" s="1"/>
  <c r="Q80" i="15" s="1"/>
  <c r="R80" i="15" s="1"/>
  <c r="S80" i="15" s="1"/>
  <c r="T80" i="15" s="1"/>
  <c r="U80" i="15" s="1"/>
  <c r="V80" i="15" s="1"/>
  <c r="W80" i="15" s="1"/>
  <c r="E10" i="15"/>
  <c r="F10" i="15" s="1"/>
  <c r="G10" i="15" s="1"/>
  <c r="H10" i="15" s="1"/>
  <c r="I10" i="15" s="1"/>
  <c r="J10" i="15" s="1"/>
  <c r="K10" i="15" s="1"/>
  <c r="L10" i="15" s="1"/>
  <c r="M10" i="15" s="1"/>
  <c r="N10" i="15" s="1"/>
  <c r="O10" i="15" s="1"/>
  <c r="P10" i="15" s="1"/>
  <c r="Q10" i="15" s="1"/>
  <c r="R10" i="15" s="1"/>
  <c r="S10" i="15" s="1"/>
  <c r="T10" i="15" s="1"/>
  <c r="U10" i="15" s="1"/>
  <c r="V10" i="15" s="1"/>
  <c r="E129" i="15"/>
  <c r="F129" i="15" s="1"/>
  <c r="G129" i="15" s="1"/>
  <c r="H129" i="15" s="1"/>
  <c r="I129" i="15" s="1"/>
  <c r="J129" i="15" s="1"/>
  <c r="K129" i="15" s="1"/>
  <c r="L129" i="15" s="1"/>
  <c r="M129" i="15" s="1"/>
  <c r="N129" i="15" s="1"/>
  <c r="O129" i="15" s="1"/>
  <c r="P129" i="15" s="1"/>
  <c r="Q129" i="15" s="1"/>
  <c r="R129" i="15" s="1"/>
  <c r="S129" i="15" s="1"/>
  <c r="T129" i="15" s="1"/>
  <c r="U129" i="15" s="1"/>
  <c r="V129" i="15" s="1"/>
  <c r="D95" i="15"/>
  <c r="E95" i="15" s="1"/>
  <c r="F95" i="15" s="1"/>
  <c r="G95" i="15" s="1"/>
  <c r="H95" i="15" s="1"/>
  <c r="I95" i="15" s="1"/>
  <c r="J95" i="15" s="1"/>
  <c r="K95" i="15" s="1"/>
  <c r="L95" i="15" s="1"/>
  <c r="M95" i="15" s="1"/>
  <c r="N95" i="15" s="1"/>
  <c r="O95" i="15" s="1"/>
  <c r="P95" i="15" s="1"/>
  <c r="Q95" i="15" s="1"/>
  <c r="R95" i="15" s="1"/>
  <c r="S95" i="15" s="1"/>
  <c r="T95" i="15" s="1"/>
  <c r="U95" i="15" s="1"/>
  <c r="V95" i="15" s="1"/>
  <c r="W95" i="15" s="1"/>
  <c r="D28" i="15"/>
  <c r="D29" i="15" s="1"/>
  <c r="E29" i="15" s="1"/>
  <c r="F29" i="15" s="1"/>
  <c r="G29" i="15" s="1"/>
  <c r="H29" i="15" s="1"/>
  <c r="I29" i="15" s="1"/>
  <c r="J29" i="15" s="1"/>
  <c r="K29" i="15" s="1"/>
  <c r="L29" i="15" s="1"/>
  <c r="M29" i="15" s="1"/>
  <c r="N29" i="15" s="1"/>
  <c r="O29" i="15" s="1"/>
  <c r="P29" i="15" s="1"/>
  <c r="Q29" i="15" s="1"/>
  <c r="R29" i="15" s="1"/>
  <c r="S29" i="15" s="1"/>
  <c r="T29" i="15" s="1"/>
  <c r="U29" i="15" s="1"/>
  <c r="V29" i="15" s="1"/>
  <c r="E78" i="15"/>
  <c r="F78" i="15" s="1"/>
  <c r="G78" i="15" s="1"/>
  <c r="H78" i="15" s="1"/>
  <c r="I78" i="15" s="1"/>
  <c r="J78" i="15" s="1"/>
  <c r="K78" i="15" s="1"/>
  <c r="L78" i="15" s="1"/>
  <c r="M78" i="15" s="1"/>
  <c r="N78" i="15" s="1"/>
  <c r="O78" i="15" s="1"/>
  <c r="P78" i="15" s="1"/>
  <c r="Q78" i="15" s="1"/>
  <c r="R78" i="15" s="1"/>
  <c r="S78" i="15" s="1"/>
  <c r="T78" i="15" s="1"/>
  <c r="U78" i="15" s="1"/>
  <c r="V78" i="15" s="1"/>
  <c r="W78" i="15" s="1"/>
  <c r="X78" i="15" s="1"/>
  <c r="E112" i="15"/>
  <c r="F112" i="15" s="1"/>
  <c r="G112" i="15" s="1"/>
  <c r="H112" i="15" s="1"/>
  <c r="I112" i="15" s="1"/>
  <c r="J112" i="15" s="1"/>
  <c r="K112" i="15" s="1"/>
  <c r="L112" i="15" s="1"/>
  <c r="M112" i="15" s="1"/>
  <c r="N112" i="15" s="1"/>
  <c r="O112" i="15" s="1"/>
  <c r="P112" i="15" s="1"/>
  <c r="Q112" i="15" s="1"/>
  <c r="R112" i="15" s="1"/>
  <c r="S112" i="15" s="1"/>
  <c r="T112" i="15" s="1"/>
  <c r="U112" i="15" s="1"/>
  <c r="V112" i="15" s="1"/>
  <c r="E44" i="15"/>
  <c r="F44" i="15" s="1"/>
  <c r="G44" i="15" s="1"/>
  <c r="H44" i="15" s="1"/>
  <c r="I44" i="15" s="1"/>
  <c r="J44" i="15" s="1"/>
  <c r="K44" i="15" s="1"/>
  <c r="L44" i="15" s="1"/>
  <c r="M44" i="15" s="1"/>
  <c r="N44" i="15" s="1"/>
  <c r="O44" i="15" s="1"/>
  <c r="P44" i="15" s="1"/>
  <c r="Q44" i="15" s="1"/>
  <c r="R44" i="15" s="1"/>
  <c r="S44" i="15" s="1"/>
  <c r="T44" i="15" s="1"/>
  <c r="U44" i="15" s="1"/>
  <c r="V44" i="15" s="1"/>
  <c r="D45" i="15"/>
  <c r="D46" i="15" s="1"/>
  <c r="E46" i="15" s="1"/>
  <c r="F46" i="15" s="1"/>
  <c r="G46" i="15" s="1"/>
  <c r="H46" i="15" s="1"/>
  <c r="I46" i="15" s="1"/>
  <c r="J46" i="15" s="1"/>
  <c r="K46" i="15" s="1"/>
  <c r="L46" i="15" s="1"/>
  <c r="M46" i="15" s="1"/>
  <c r="N46" i="15" s="1"/>
  <c r="O46" i="15" s="1"/>
  <c r="P46" i="15" s="1"/>
  <c r="Q46" i="15" s="1"/>
  <c r="R46" i="15" s="1"/>
  <c r="S46" i="15" s="1"/>
  <c r="T46" i="15" s="1"/>
  <c r="U46" i="15" s="1"/>
  <c r="V46" i="15" s="1"/>
  <c r="D11" i="15"/>
  <c r="D12" i="15" s="1"/>
  <c r="E12" i="15" s="1"/>
  <c r="F12" i="15" s="1"/>
  <c r="G12" i="15" s="1"/>
  <c r="H12" i="15" s="1"/>
  <c r="I12" i="15" s="1"/>
  <c r="J12" i="15" s="1"/>
  <c r="K12" i="15" s="1"/>
  <c r="L12" i="15" s="1"/>
  <c r="M12" i="15" s="1"/>
  <c r="N12" i="15" s="1"/>
  <c r="O12" i="15" s="1"/>
  <c r="P12" i="15" s="1"/>
  <c r="Q12" i="15" s="1"/>
  <c r="R12" i="15" s="1"/>
  <c r="S12" i="15" s="1"/>
  <c r="T12" i="15" s="1"/>
  <c r="U12" i="15" s="1"/>
  <c r="V12" i="15" s="1"/>
  <c r="E97" i="15"/>
  <c r="F97" i="15" s="1"/>
  <c r="G97" i="15" s="1"/>
  <c r="H97" i="15" s="1"/>
  <c r="I97" i="15" s="1"/>
  <c r="J97" i="15" s="1"/>
  <c r="K97" i="15" s="1"/>
  <c r="L97" i="15" s="1"/>
  <c r="M97" i="15" s="1"/>
  <c r="N97" i="15" s="1"/>
  <c r="O97" i="15" s="1"/>
  <c r="P97" i="15" s="1"/>
  <c r="Q97" i="15" s="1"/>
  <c r="R97" i="15" s="1"/>
  <c r="S97" i="15" s="1"/>
  <c r="T97" i="15" s="1"/>
  <c r="U97" i="15" s="1"/>
  <c r="V97" i="15" s="1"/>
  <c r="W97" i="15" s="1"/>
  <c r="D62" i="14"/>
  <c r="C62" i="14"/>
  <c r="M328" i="1" s="1"/>
  <c r="M457" i="1" s="1"/>
  <c r="B62" i="14"/>
  <c r="M329" i="1" s="1"/>
  <c r="M385" i="1" s="1"/>
  <c r="Z91" i="15" l="1"/>
  <c r="Y100" i="15"/>
  <c r="Z100" i="15" s="1"/>
  <c r="Y103" i="15"/>
  <c r="Y98" i="15"/>
  <c r="Z98" i="15" s="1"/>
  <c r="Y94" i="15"/>
  <c r="Y128" i="15"/>
  <c r="Y130" i="15" s="1"/>
  <c r="Y137" i="15"/>
  <c r="Z125" i="15"/>
  <c r="Y134" i="15"/>
  <c r="X95" i="15"/>
  <c r="X96" i="15"/>
  <c r="X97" i="15" s="1"/>
  <c r="Z74" i="15"/>
  <c r="Y83" i="15"/>
  <c r="Z83" i="15" s="1"/>
  <c r="Y77" i="15"/>
  <c r="Y79" i="15" s="1"/>
  <c r="Y86" i="15"/>
  <c r="Y81" i="15"/>
  <c r="Z81" i="15" s="1"/>
  <c r="Y35" i="15"/>
  <c r="Z23" i="15"/>
  <c r="Y32" i="15"/>
  <c r="Y26" i="15"/>
  <c r="Y28" i="15" s="1"/>
  <c r="Y43" i="15"/>
  <c r="Y45" i="15" s="1"/>
  <c r="Y49" i="15"/>
  <c r="Z40" i="15"/>
  <c r="Y52" i="15"/>
  <c r="Z57" i="15"/>
  <c r="Y69" i="15"/>
  <c r="Y60" i="15"/>
  <c r="Y62" i="15" s="1"/>
  <c r="Y66" i="15"/>
  <c r="Z6" i="15"/>
  <c r="Y9" i="15"/>
  <c r="Y11" i="15" s="1"/>
  <c r="Y15" i="15"/>
  <c r="Z15" i="15" s="1"/>
  <c r="Y18" i="15"/>
  <c r="X80" i="15"/>
  <c r="Z132" i="15"/>
  <c r="Y30" i="15"/>
  <c r="Z30" i="15" s="1"/>
  <c r="Y111" i="15"/>
  <c r="Y113" i="15" s="1"/>
  <c r="Y120" i="15"/>
  <c r="Z108" i="15"/>
  <c r="Y117" i="15"/>
  <c r="AH138" i="15"/>
  <c r="I19" i="17" s="1"/>
  <c r="AH121" i="15"/>
  <c r="H19" i="17" s="1"/>
  <c r="AH70" i="15"/>
  <c r="F19" i="17" s="1"/>
  <c r="E19" i="17"/>
  <c r="AH53" i="15"/>
  <c r="W114" i="15"/>
  <c r="X114" i="15" s="1"/>
  <c r="W112" i="15"/>
  <c r="X112" i="15" s="1"/>
  <c r="W29" i="15"/>
  <c r="X29" i="15" s="1"/>
  <c r="Y29" i="15" s="1"/>
  <c r="W27" i="15"/>
  <c r="X27" i="15" s="1"/>
  <c r="W129" i="15"/>
  <c r="X129" i="15" s="1"/>
  <c r="W131" i="15"/>
  <c r="X131" i="15" s="1"/>
  <c r="W46" i="15"/>
  <c r="X46" i="15" s="1"/>
  <c r="Y46" i="15" s="1"/>
  <c r="W44" i="15"/>
  <c r="X44" i="15" s="1"/>
  <c r="Y44" i="15" s="1"/>
  <c r="W61" i="15"/>
  <c r="X61" i="15" s="1"/>
  <c r="Y61" i="15" s="1"/>
  <c r="W63" i="15"/>
  <c r="X63" i="15" s="1"/>
  <c r="Y63" i="15" s="1"/>
  <c r="M384" i="1"/>
  <c r="M458" i="1"/>
  <c r="M202" i="1"/>
  <c r="M209" i="1"/>
  <c r="M284" i="1"/>
  <c r="M144" i="1"/>
  <c r="M143" i="1"/>
  <c r="M142" i="1"/>
  <c r="AA132" i="15" l="1"/>
  <c r="Z52" i="15"/>
  <c r="AA40" i="15"/>
  <c r="Z43" i="15"/>
  <c r="Z45" i="15" s="1"/>
  <c r="Z47" i="15"/>
  <c r="AA47" i="15" s="1"/>
  <c r="Y131" i="15"/>
  <c r="Y112" i="15"/>
  <c r="Y80" i="15"/>
  <c r="Z9" i="15"/>
  <c r="Z11" i="15" s="1"/>
  <c r="AA6" i="15"/>
  <c r="Z18" i="15"/>
  <c r="Z60" i="15"/>
  <c r="Z62" i="15" s="1"/>
  <c r="AA57" i="15"/>
  <c r="Z66" i="15"/>
  <c r="AA66" i="15" s="1"/>
  <c r="Z69" i="15"/>
  <c r="Z49" i="15"/>
  <c r="Y78" i="15"/>
  <c r="Z44" i="15"/>
  <c r="Y129" i="15"/>
  <c r="Y114" i="15"/>
  <c r="Z111" i="15"/>
  <c r="Z113" i="15" s="1"/>
  <c r="Z120" i="15"/>
  <c r="AA108" i="15"/>
  <c r="Z117" i="15"/>
  <c r="AA117" i="15" s="1"/>
  <c r="Z115" i="15"/>
  <c r="AA115" i="15" s="1"/>
  <c r="Z26" i="15"/>
  <c r="Z28" i="15" s="1"/>
  <c r="Z29" i="15" s="1"/>
  <c r="Z32" i="15"/>
  <c r="Z35" i="15"/>
  <c r="AA23" i="15"/>
  <c r="AA74" i="15"/>
  <c r="Z86" i="15"/>
  <c r="Z77" i="15"/>
  <c r="Z79" i="15" s="1"/>
  <c r="Z137" i="15"/>
  <c r="AA125" i="15"/>
  <c r="Z128" i="15"/>
  <c r="Z130" i="15" s="1"/>
  <c r="Z134" i="15"/>
  <c r="AA134" i="15" s="1"/>
  <c r="Y96" i="15"/>
  <c r="Y97" i="15" s="1"/>
  <c r="Y95" i="15"/>
  <c r="Z94" i="15"/>
  <c r="Z103" i="15"/>
  <c r="AA91" i="15"/>
  <c r="Z63" i="15"/>
  <c r="Z46" i="15"/>
  <c r="Y27" i="15"/>
  <c r="Z27" i="15" s="1"/>
  <c r="AA30" i="15"/>
  <c r="AA15" i="15"/>
  <c r="Z64" i="15"/>
  <c r="AA64" i="15" s="1"/>
  <c r="W16" i="15"/>
  <c r="X16" i="15" s="1"/>
  <c r="Y16" i="15" s="1"/>
  <c r="Z16" i="15" s="1"/>
  <c r="AA16" i="15" s="1"/>
  <c r="AB16" i="15" s="1"/>
  <c r="AC16" i="15" s="1"/>
  <c r="AD16" i="15" s="1"/>
  <c r="AE16" i="15" s="1"/>
  <c r="AF16" i="15" s="1"/>
  <c r="AG16" i="15" s="1"/>
  <c r="AH7" i="15"/>
  <c r="W19" i="15"/>
  <c r="W13" i="15"/>
  <c r="X13" i="15" s="1"/>
  <c r="Y13" i="15" s="1"/>
  <c r="Z13" i="15" s="1"/>
  <c r="AA13" i="15" s="1"/>
  <c r="W9" i="15"/>
  <c r="W11" i="15" s="1"/>
  <c r="W12" i="15" s="1"/>
  <c r="X12" i="15" s="1"/>
  <c r="Y12" i="15" s="1"/>
  <c r="Z12" i="15" s="1"/>
  <c r="AG19" i="15"/>
  <c r="M274" i="1"/>
  <c r="M275" i="1"/>
  <c r="M20" i="4"/>
  <c r="Z20" i="4"/>
  <c r="Z9" i="4"/>
  <c r="Z38" i="4"/>
  <c r="M286" i="1"/>
  <c r="M290" i="1"/>
  <c r="M269" i="1"/>
  <c r="M267" i="1"/>
  <c r="B6" i="7"/>
  <c r="B6" i="6"/>
  <c r="O36" i="4"/>
  <c r="P46" i="4"/>
  <c r="P28" i="4"/>
  <c r="N22" i="4"/>
  <c r="M546" i="1"/>
  <c r="K18" i="4"/>
  <c r="K28" i="4"/>
  <c r="AA98" i="15" l="1"/>
  <c r="AA103" i="15"/>
  <c r="AA100" i="15"/>
  <c r="AA94" i="15"/>
  <c r="AB91" i="15"/>
  <c r="AB74" i="15"/>
  <c r="AA83" i="15"/>
  <c r="AA86" i="15"/>
  <c r="AA77" i="15"/>
  <c r="AA79" i="15" s="1"/>
  <c r="AB132" i="15"/>
  <c r="AB30" i="15"/>
  <c r="Z96" i="15"/>
  <c r="Z97" i="15" s="1"/>
  <c r="Z95" i="15"/>
  <c r="AA32" i="15"/>
  <c r="AA35" i="15"/>
  <c r="AA26" i="15"/>
  <c r="AA28" i="15" s="1"/>
  <c r="AA29" i="15" s="1"/>
  <c r="AB23" i="15"/>
  <c r="AB108" i="15"/>
  <c r="AA111" i="15"/>
  <c r="AA113" i="15" s="1"/>
  <c r="AA120" i="15"/>
  <c r="Z114" i="15"/>
  <c r="AA60" i="15"/>
  <c r="AA62" i="15" s="1"/>
  <c r="AA63" i="15" s="1"/>
  <c r="AB57" i="15"/>
  <c r="AA69" i="15"/>
  <c r="Z131" i="15"/>
  <c r="AA49" i="15"/>
  <c r="AB49" i="15" s="1"/>
  <c r="AA52" i="15"/>
  <c r="AA43" i="15"/>
  <c r="AA45" i="15" s="1"/>
  <c r="AA46" i="15" s="1"/>
  <c r="AB40" i="15"/>
  <c r="AB47" i="15" s="1"/>
  <c r="AA137" i="15"/>
  <c r="AB125" i="15"/>
  <c r="AA128" i="15"/>
  <c r="AA130" i="15" s="1"/>
  <c r="Z129" i="15"/>
  <c r="Z80" i="15"/>
  <c r="AA80" i="15" s="1"/>
  <c r="Z61" i="15"/>
  <c r="AA27" i="15"/>
  <c r="AB15" i="15"/>
  <c r="AA81" i="15"/>
  <c r="AB81" i="15" s="1"/>
  <c r="Z78" i="15"/>
  <c r="AA78" i="15" s="1"/>
  <c r="AA9" i="15"/>
  <c r="AA11" i="15" s="1"/>
  <c r="AA12" i="15" s="1"/>
  <c r="AA18" i="15"/>
  <c r="AB6" i="15"/>
  <c r="AB13" i="15" s="1"/>
  <c r="Z112" i="15"/>
  <c r="W10" i="15"/>
  <c r="X10" i="15" s="1"/>
  <c r="Y10" i="15" s="1"/>
  <c r="Z10" i="15" s="1"/>
  <c r="AA10" i="15" s="1"/>
  <c r="AH19" i="15"/>
  <c r="C19" i="17" s="1"/>
  <c r="F31" i="17"/>
  <c r="M126" i="1"/>
  <c r="M198" i="1"/>
  <c r="AB63" i="15" l="1"/>
  <c r="AB12" i="15"/>
  <c r="AA129" i="15"/>
  <c r="AB129" i="15" s="1"/>
  <c r="AA131" i="15"/>
  <c r="AB131" i="15" s="1"/>
  <c r="AB117" i="15"/>
  <c r="AB120" i="15"/>
  <c r="AB111" i="15"/>
  <c r="AB113" i="15" s="1"/>
  <c r="AC108" i="15"/>
  <c r="AA112" i="15"/>
  <c r="AA61" i="15"/>
  <c r="AB61" i="15" s="1"/>
  <c r="AB32" i="15"/>
  <c r="AA44" i="15"/>
  <c r="AC74" i="15"/>
  <c r="AB83" i="15"/>
  <c r="AB86" i="15"/>
  <c r="AB77" i="15"/>
  <c r="AB79" i="15" s="1"/>
  <c r="AB27" i="15"/>
  <c r="AB98" i="15"/>
  <c r="AB94" i="15"/>
  <c r="AB96" i="15" s="1"/>
  <c r="AB100" i="15"/>
  <c r="AC100" i="15" s="1"/>
  <c r="AC91" i="15"/>
  <c r="AB103" i="15"/>
  <c r="AB134" i="15"/>
  <c r="AC125" i="15"/>
  <c r="AB128" i="15"/>
  <c r="AB130" i="15" s="1"/>
  <c r="AB137" i="15"/>
  <c r="AC40" i="15"/>
  <c r="AB52" i="15"/>
  <c r="AB43" i="15"/>
  <c r="AB45" i="15" s="1"/>
  <c r="AB46" i="15" s="1"/>
  <c r="AA114" i="15"/>
  <c r="AB114" i="15" s="1"/>
  <c r="AA96" i="15"/>
  <c r="AA97" i="15" s="1"/>
  <c r="AB97" i="15" s="1"/>
  <c r="AA95" i="15"/>
  <c r="AC6" i="15"/>
  <c r="AB18" i="15"/>
  <c r="AB9" i="15"/>
  <c r="AB11" i="15" s="1"/>
  <c r="AB115" i="15"/>
  <c r="AB80" i="15"/>
  <c r="AB66" i="15"/>
  <c r="AC57" i="15"/>
  <c r="AB69" i="15"/>
  <c r="AB60" i="15"/>
  <c r="AB62" i="15" s="1"/>
  <c r="AB26" i="15"/>
  <c r="AB28" i="15" s="1"/>
  <c r="AB29" i="15" s="1"/>
  <c r="AB35" i="15"/>
  <c r="AC23" i="15"/>
  <c r="AC30" i="15" s="1"/>
  <c r="AB64" i="15"/>
  <c r="M480" i="1"/>
  <c r="M478" i="1"/>
  <c r="M477" i="1"/>
  <c r="M476" i="1"/>
  <c r="M474" i="1"/>
  <c r="M473" i="1"/>
  <c r="M407" i="1"/>
  <c r="M410" i="1"/>
  <c r="M408" i="1"/>
  <c r="M405" i="1"/>
  <c r="M404" i="1"/>
  <c r="M403" i="1"/>
  <c r="M401" i="1"/>
  <c r="M400" i="1"/>
  <c r="M560" i="1"/>
  <c r="M558" i="1"/>
  <c r="M556" i="1"/>
  <c r="M561" i="1"/>
  <c r="M559" i="1"/>
  <c r="M557" i="1"/>
  <c r="M555" i="1"/>
  <c r="M554" i="1"/>
  <c r="M553" i="1"/>
  <c r="M551" i="1"/>
  <c r="M550" i="1"/>
  <c r="M538" i="1"/>
  <c r="M540" i="1" s="1"/>
  <c r="M536" i="1"/>
  <c r="M535" i="1"/>
  <c r="I31" i="17" s="1"/>
  <c r="AC46" i="15" l="1"/>
  <c r="AC128" i="15"/>
  <c r="AC130" i="15" s="1"/>
  <c r="AC131" i="15" s="1"/>
  <c r="AD125" i="15"/>
  <c r="AC137" i="15"/>
  <c r="AC12" i="15"/>
  <c r="AC115" i="15"/>
  <c r="AC18" i="15"/>
  <c r="AC9" i="15"/>
  <c r="AC11" i="15" s="1"/>
  <c r="AC15" i="15"/>
  <c r="AD15" i="15" s="1"/>
  <c r="AD6" i="15"/>
  <c r="AC49" i="15"/>
  <c r="AD40" i="15"/>
  <c r="AC52" i="15"/>
  <c r="AC43" i="15"/>
  <c r="AC45" i="15" s="1"/>
  <c r="AD74" i="15"/>
  <c r="AC77" i="15"/>
  <c r="AC79" i="15" s="1"/>
  <c r="AC80" i="15" s="1"/>
  <c r="AC86" i="15"/>
  <c r="AC83" i="15"/>
  <c r="AC47" i="15"/>
  <c r="AD47" i="15" s="1"/>
  <c r="AC81" i="15"/>
  <c r="AD81" i="15" s="1"/>
  <c r="AB95" i="15"/>
  <c r="AB44" i="15"/>
  <c r="AB78" i="15"/>
  <c r="AC78" i="15" s="1"/>
  <c r="AB10" i="15"/>
  <c r="AC10" i="15" s="1"/>
  <c r="AC13" i="15"/>
  <c r="AD13" i="15" s="1"/>
  <c r="AC32" i="15"/>
  <c r="AC26" i="15"/>
  <c r="AC28" i="15" s="1"/>
  <c r="AC29" i="15" s="1"/>
  <c r="AC35" i="15"/>
  <c r="AD23" i="15"/>
  <c r="AC117" i="15"/>
  <c r="AD117" i="15" s="1"/>
  <c r="AC120" i="15"/>
  <c r="AC111" i="15"/>
  <c r="AC113" i="15" s="1"/>
  <c r="AD108" i="15"/>
  <c r="AC66" i="15"/>
  <c r="AD66" i="15" s="1"/>
  <c r="AC60" i="15"/>
  <c r="AC62" i="15" s="1"/>
  <c r="AD57" i="15"/>
  <c r="AC69" i="15"/>
  <c r="AC114" i="15"/>
  <c r="AC134" i="15"/>
  <c r="AC63" i="15"/>
  <c r="AC64" i="15"/>
  <c r="AD64" i="15" s="1"/>
  <c r="AC98" i="15"/>
  <c r="AC103" i="15"/>
  <c r="AD91" i="15"/>
  <c r="AC94" i="15"/>
  <c r="AB112" i="15"/>
  <c r="AC112" i="15" s="1"/>
  <c r="AC132" i="15"/>
  <c r="AD132" i="15" s="1"/>
  <c r="M331" i="1"/>
  <c r="M340" i="1"/>
  <c r="M339" i="1"/>
  <c r="M337" i="1"/>
  <c r="M336" i="1"/>
  <c r="M282" i="1"/>
  <c r="M281" i="1"/>
  <c r="M279" i="1"/>
  <c r="M278" i="1"/>
  <c r="M216" i="1"/>
  <c r="M215" i="1"/>
  <c r="M213" i="1"/>
  <c r="M212" i="1"/>
  <c r="M140" i="1"/>
  <c r="M139" i="1"/>
  <c r="M137" i="1"/>
  <c r="M136" i="1"/>
  <c r="M65" i="1"/>
  <c r="M64" i="1"/>
  <c r="M62" i="1"/>
  <c r="M61" i="1"/>
  <c r="M341" i="1"/>
  <c r="M332" i="1"/>
  <c r="M223" i="1"/>
  <c r="M221" i="1"/>
  <c r="M219" i="1"/>
  <c r="M222" i="1"/>
  <c r="M220" i="1"/>
  <c r="M218" i="1"/>
  <c r="M217" i="1"/>
  <c r="M200" i="1"/>
  <c r="M197" i="1"/>
  <c r="M72" i="1"/>
  <c r="M71" i="1"/>
  <c r="M70" i="1"/>
  <c r="M69" i="1"/>
  <c r="M68" i="1"/>
  <c r="M67" i="1"/>
  <c r="M52" i="1"/>
  <c r="M50" i="1"/>
  <c r="M49" i="1"/>
  <c r="M146" i="1"/>
  <c r="M147" i="1"/>
  <c r="AD80" i="15" l="1"/>
  <c r="AC96" i="15"/>
  <c r="AC97" i="15" s="1"/>
  <c r="AC95" i="15"/>
  <c r="AD114" i="15"/>
  <c r="AD111" i="15"/>
  <c r="AD113" i="15" s="1"/>
  <c r="AD120" i="15"/>
  <c r="AE108" i="15"/>
  <c r="AC27" i="15"/>
  <c r="AD78" i="15"/>
  <c r="AC61" i="15"/>
  <c r="AD60" i="15"/>
  <c r="AD62" i="15" s="1"/>
  <c r="AD63" i="15" s="1"/>
  <c r="AE57" i="15"/>
  <c r="AD69" i="15"/>
  <c r="AC44" i="15"/>
  <c r="AC129" i="15"/>
  <c r="AE74" i="15"/>
  <c r="AD83" i="15"/>
  <c r="AD77" i="15"/>
  <c r="AD79" i="15" s="1"/>
  <c r="AD86" i="15"/>
  <c r="AE64" i="15"/>
  <c r="AD100" i="15"/>
  <c r="AD98" i="15"/>
  <c r="AD94" i="15"/>
  <c r="AD103" i="15"/>
  <c r="AE91" i="15"/>
  <c r="AE47" i="15"/>
  <c r="AD49" i="15"/>
  <c r="AD52" i="15"/>
  <c r="AE40" i="15"/>
  <c r="AD43" i="15"/>
  <c r="AD45" i="15" s="1"/>
  <c r="AD46" i="15" s="1"/>
  <c r="AD35" i="15"/>
  <c r="AD26" i="15"/>
  <c r="AD28" i="15" s="1"/>
  <c r="AD29" i="15" s="1"/>
  <c r="AD32" i="15"/>
  <c r="AE32" i="15" s="1"/>
  <c r="AE23" i="15"/>
  <c r="AE6" i="15"/>
  <c r="AD9" i="15"/>
  <c r="AD11" i="15" s="1"/>
  <c r="AD12" i="15" s="1"/>
  <c r="AD18" i="15"/>
  <c r="AD115" i="15"/>
  <c r="AE115" i="15" s="1"/>
  <c r="AD134" i="15"/>
  <c r="AD128" i="15"/>
  <c r="AD130" i="15" s="1"/>
  <c r="AD131" i="15" s="1"/>
  <c r="AD137" i="15"/>
  <c r="AE125" i="15"/>
  <c r="AD30" i="15"/>
  <c r="AE30" i="15" s="1"/>
  <c r="E31" i="17"/>
  <c r="M207" i="1"/>
  <c r="M545" i="1"/>
  <c r="B12" i="7"/>
  <c r="AE29" i="15" l="1"/>
  <c r="AF74" i="15"/>
  <c r="AE77" i="15"/>
  <c r="AE79" i="15" s="1"/>
  <c r="AE86" i="15"/>
  <c r="AE83" i="15"/>
  <c r="AF30" i="15"/>
  <c r="AE18" i="15"/>
  <c r="AE15" i="15"/>
  <c r="AF6" i="15"/>
  <c r="AE9" i="15"/>
  <c r="AE11" i="15" s="1"/>
  <c r="AE12" i="15" s="1"/>
  <c r="AE43" i="15"/>
  <c r="AE45" i="15" s="1"/>
  <c r="AE46" i="15" s="1"/>
  <c r="AE52" i="15"/>
  <c r="AE49" i="15"/>
  <c r="AF40" i="15"/>
  <c r="AF47" i="15" s="1"/>
  <c r="AD129" i="15"/>
  <c r="AE78" i="15"/>
  <c r="AE80" i="15"/>
  <c r="AE128" i="15"/>
  <c r="AE130" i="15" s="1"/>
  <c r="AE131" i="15" s="1"/>
  <c r="AE134" i="15"/>
  <c r="AF125" i="15"/>
  <c r="AE137" i="15"/>
  <c r="AE13" i="15"/>
  <c r="AD44" i="15"/>
  <c r="AE44" i="15" s="1"/>
  <c r="AD61" i="15"/>
  <c r="AD27" i="15"/>
  <c r="AE27" i="15" s="1"/>
  <c r="AE35" i="15"/>
  <c r="AE26" i="15"/>
  <c r="AE28" i="15" s="1"/>
  <c r="AF23" i="15"/>
  <c r="AD112" i="15"/>
  <c r="AE112" i="15" s="1"/>
  <c r="AD95" i="15"/>
  <c r="AD96" i="15"/>
  <c r="AD97" i="15" s="1"/>
  <c r="AD10" i="15"/>
  <c r="AE132" i="15"/>
  <c r="AF132" i="15" s="1"/>
  <c r="AE117" i="15"/>
  <c r="AE120" i="15"/>
  <c r="AE111" i="15"/>
  <c r="AE113" i="15" s="1"/>
  <c r="AE114" i="15" s="1"/>
  <c r="AF108" i="15"/>
  <c r="AE81" i="15"/>
  <c r="AE66" i="15"/>
  <c r="AE60" i="15"/>
  <c r="AE62" i="15" s="1"/>
  <c r="AE63" i="15" s="1"/>
  <c r="AF57" i="15"/>
  <c r="AE69" i="15"/>
  <c r="AE100" i="15"/>
  <c r="AF91" i="15"/>
  <c r="AE103" i="15"/>
  <c r="AE98" i="15"/>
  <c r="AE94" i="15"/>
  <c r="M57" i="1"/>
  <c r="AF12" i="15" l="1"/>
  <c r="AF114" i="15"/>
  <c r="AG91" i="15"/>
  <c r="AF103" i="15"/>
  <c r="AF94" i="15"/>
  <c r="AF66" i="15"/>
  <c r="AG57" i="15"/>
  <c r="AF69" i="15"/>
  <c r="AF60" i="15"/>
  <c r="AF62" i="15" s="1"/>
  <c r="AF63" i="15" s="1"/>
  <c r="AF117" i="15"/>
  <c r="AF111" i="15"/>
  <c r="AF113" i="15" s="1"/>
  <c r="AF120" i="15"/>
  <c r="AG108" i="15"/>
  <c r="AG30" i="15"/>
  <c r="AG74" i="15"/>
  <c r="AF86" i="15"/>
  <c r="AF77" i="15"/>
  <c r="AF79" i="15" s="1"/>
  <c r="AF83" i="15"/>
  <c r="AE95" i="15"/>
  <c r="AE96" i="15"/>
  <c r="AE97" i="15" s="1"/>
  <c r="AE10" i="15"/>
  <c r="AF35" i="15"/>
  <c r="AF32" i="15"/>
  <c r="AG23" i="15"/>
  <c r="AF26" i="15"/>
  <c r="AF28" i="15" s="1"/>
  <c r="AF80" i="15"/>
  <c r="AF98" i="15"/>
  <c r="AF137" i="15"/>
  <c r="AG125" i="15"/>
  <c r="AF128" i="15"/>
  <c r="AF130" i="15" s="1"/>
  <c r="AF131" i="15" s="1"/>
  <c r="AF134" i="15"/>
  <c r="AF78" i="15"/>
  <c r="AF27" i="15"/>
  <c r="AF115" i="15"/>
  <c r="AG115" i="15" s="1"/>
  <c r="AF43" i="15"/>
  <c r="AF45" i="15" s="1"/>
  <c r="AF46" i="15" s="1"/>
  <c r="AF52" i="15"/>
  <c r="AG40" i="15"/>
  <c r="AF29" i="15"/>
  <c r="AF100" i="15"/>
  <c r="AE61" i="15"/>
  <c r="AF61" i="15" s="1"/>
  <c r="AF49" i="15"/>
  <c r="AF18" i="15"/>
  <c r="AF9" i="15"/>
  <c r="AF11" i="15" s="1"/>
  <c r="AF15" i="15"/>
  <c r="AG6" i="15"/>
  <c r="AF64" i="15"/>
  <c r="AF81" i="15"/>
  <c r="AF13" i="15"/>
  <c r="AE129" i="15"/>
  <c r="AF129" i="15" s="1"/>
  <c r="M283" i="1"/>
  <c r="M141" i="1"/>
  <c r="M132" i="1"/>
  <c r="M74" i="13"/>
  <c r="M77" i="13" s="1"/>
  <c r="B71" i="13"/>
  <c r="C70" i="13"/>
  <c r="H69" i="13"/>
  <c r="G69" i="13"/>
  <c r="I69" i="13" s="1"/>
  <c r="F69" i="13"/>
  <c r="I68" i="13"/>
  <c r="B36" i="13"/>
  <c r="M31" i="13"/>
  <c r="G20" i="13"/>
  <c r="H17" i="13" s="1"/>
  <c r="M74" i="11"/>
  <c r="M77" i="11" s="1"/>
  <c r="B71" i="11"/>
  <c r="C70" i="11"/>
  <c r="H69" i="11"/>
  <c r="H67" i="11" s="1"/>
  <c r="G69" i="11"/>
  <c r="I69" i="11" s="1"/>
  <c r="F69" i="11"/>
  <c r="I68" i="11"/>
  <c r="G67" i="11"/>
  <c r="B36" i="11"/>
  <c r="M31" i="11"/>
  <c r="G20" i="11"/>
  <c r="H17" i="11" s="1"/>
  <c r="B5" i="11"/>
  <c r="B29" i="10"/>
  <c r="B21" i="10"/>
  <c r="M386" i="1" s="1"/>
  <c r="M74" i="9"/>
  <c r="M77" i="9" s="1"/>
  <c r="B71" i="9"/>
  <c r="C70" i="9"/>
  <c r="H69" i="9"/>
  <c r="G69" i="9"/>
  <c r="I69" i="9" s="1"/>
  <c r="F69" i="9"/>
  <c r="I68" i="9"/>
  <c r="G67" i="9"/>
  <c r="B36" i="9"/>
  <c r="M31" i="9"/>
  <c r="G20" i="9"/>
  <c r="H17" i="9" s="1"/>
  <c r="B28" i="8"/>
  <c r="B8" i="8"/>
  <c r="B11" i="8" s="1"/>
  <c r="AA37" i="4"/>
  <c r="AC36" i="4"/>
  <c r="AC18" i="4"/>
  <c r="AG18" i="15" l="1"/>
  <c r="AH18" i="15" s="1"/>
  <c r="C18" i="17" s="1"/>
  <c r="C20" i="17" s="1"/>
  <c r="AH6" i="15"/>
  <c r="AG9" i="15"/>
  <c r="AG11" i="15" s="1"/>
  <c r="AG49" i="15"/>
  <c r="AG52" i="15"/>
  <c r="AH52" i="15" s="1"/>
  <c r="E18" i="17" s="1"/>
  <c r="E20" i="17" s="1"/>
  <c r="AG43" i="15"/>
  <c r="AG45" i="15" s="1"/>
  <c r="AG46" i="15" s="1"/>
  <c r="AH40" i="15"/>
  <c r="AG83" i="15"/>
  <c r="AG86" i="15"/>
  <c r="AH86" i="15" s="1"/>
  <c r="J18" i="17" s="1"/>
  <c r="J20" i="17" s="1"/>
  <c r="AG77" i="15"/>
  <c r="AG79" i="15" s="1"/>
  <c r="AH74" i="15"/>
  <c r="AG15" i="15"/>
  <c r="AG137" i="15"/>
  <c r="AH137" i="15" s="1"/>
  <c r="I18" i="17" s="1"/>
  <c r="I20" i="17" s="1"/>
  <c r="AG134" i="15"/>
  <c r="AG128" i="15"/>
  <c r="AG130" i="15" s="1"/>
  <c r="AG131" i="15" s="1"/>
  <c r="AH125" i="15"/>
  <c r="AG12" i="15"/>
  <c r="AG81" i="15"/>
  <c r="AG78" i="15"/>
  <c r="AF10" i="15"/>
  <c r="AG10" i="15" s="1"/>
  <c r="AF112" i="15"/>
  <c r="AG47" i="15"/>
  <c r="AG129" i="15"/>
  <c r="AG27" i="15"/>
  <c r="AG13" i="15"/>
  <c r="AG132" i="15"/>
  <c r="AG80" i="15"/>
  <c r="AG66" i="15"/>
  <c r="AG69" i="15"/>
  <c r="AH69" i="15" s="1"/>
  <c r="F18" i="17" s="1"/>
  <c r="F20" i="17" s="1"/>
  <c r="AG60" i="15"/>
  <c r="AG62" i="15" s="1"/>
  <c r="AG63" i="15" s="1"/>
  <c r="AH57" i="15"/>
  <c r="AG103" i="15"/>
  <c r="AH103" i="15" s="1"/>
  <c r="G18" i="17" s="1"/>
  <c r="G20" i="17" s="1"/>
  <c r="AG98" i="15"/>
  <c r="AG100" i="15"/>
  <c r="AG94" i="15"/>
  <c r="AH91" i="15"/>
  <c r="AG64" i="15"/>
  <c r="AF44" i="15"/>
  <c r="AG44" i="15" s="1"/>
  <c r="AG35" i="15"/>
  <c r="AH35" i="15" s="1"/>
  <c r="D18" i="17" s="1"/>
  <c r="D20" i="17" s="1"/>
  <c r="AG32" i="15"/>
  <c r="AG26" i="15"/>
  <c r="AG28" i="15" s="1"/>
  <c r="AG29" i="15" s="1"/>
  <c r="AH23" i="15"/>
  <c r="AG117" i="15"/>
  <c r="AG120" i="15"/>
  <c r="AH120" i="15" s="1"/>
  <c r="H18" i="17" s="1"/>
  <c r="H20" i="17" s="1"/>
  <c r="AG111" i="15"/>
  <c r="AG113" i="15" s="1"/>
  <c r="AG114" i="15" s="1"/>
  <c r="AH108" i="15"/>
  <c r="H46" i="17" s="1"/>
  <c r="H47" i="17" s="1"/>
  <c r="AF96" i="15"/>
  <c r="AF97" i="15" s="1"/>
  <c r="AF95" i="15"/>
  <c r="G36" i="17"/>
  <c r="B10" i="11"/>
  <c r="M387" i="1"/>
  <c r="B23" i="8"/>
  <c r="B24" i="8" s="1"/>
  <c r="M123" i="1"/>
  <c r="B5" i="9"/>
  <c r="J71" i="13"/>
  <c r="H67" i="13"/>
  <c r="F67" i="13"/>
  <c r="G67" i="13"/>
  <c r="B72" i="13"/>
  <c r="B73" i="13" s="1"/>
  <c r="B30" i="10"/>
  <c r="B6" i="11"/>
  <c r="B72" i="11"/>
  <c r="B73" i="11" s="1"/>
  <c r="F67" i="11"/>
  <c r="J71" i="11"/>
  <c r="B6" i="9"/>
  <c r="B72" i="9"/>
  <c r="B73" i="9" s="1"/>
  <c r="F67" i="9"/>
  <c r="J71" i="9"/>
  <c r="H67" i="9"/>
  <c r="AB37" i="4"/>
  <c r="AB36" i="4"/>
  <c r="AB35" i="4"/>
  <c r="Z35" i="4"/>
  <c r="X35" i="4"/>
  <c r="AD35" i="4"/>
  <c r="Y35" i="4"/>
  <c r="AA17" i="4"/>
  <c r="AB19" i="4"/>
  <c r="AB18" i="4"/>
  <c r="X17" i="4"/>
  <c r="Z17" i="4"/>
  <c r="Y17" i="4"/>
  <c r="AD17" i="4"/>
  <c r="AA6" i="4"/>
  <c r="AB6" i="4" s="1"/>
  <c r="W6" i="4"/>
  <c r="AD6" i="4" s="1"/>
  <c r="AB17" i="4"/>
  <c r="AA36" i="4"/>
  <c r="AA8" i="4"/>
  <c r="AA19" i="4"/>
  <c r="X9" i="4"/>
  <c r="AA9" i="4"/>
  <c r="AC9" i="4" s="1"/>
  <c r="AC20" i="4"/>
  <c r="AB20" i="4"/>
  <c r="AA20" i="4"/>
  <c r="X20" i="4"/>
  <c r="AD20" i="4"/>
  <c r="Y38" i="4"/>
  <c r="AA38" i="4"/>
  <c r="AC38" i="4" s="1"/>
  <c r="W38" i="4"/>
  <c r="AD38" i="4" s="1"/>
  <c r="X38" i="4"/>
  <c r="W9" i="4"/>
  <c r="Y9" i="4" s="1"/>
  <c r="W20" i="4"/>
  <c r="Y20" i="4" s="1"/>
  <c r="U6" i="4"/>
  <c r="C24" i="17" l="1"/>
  <c r="C21" i="17"/>
  <c r="H24" i="17"/>
  <c r="H21" i="17"/>
  <c r="F24" i="17"/>
  <c r="F21" i="17"/>
  <c r="AG61" i="15"/>
  <c r="AG96" i="15"/>
  <c r="AG95" i="15"/>
  <c r="E24" i="17"/>
  <c r="E21" i="17"/>
  <c r="AG97" i="15"/>
  <c r="D24" i="17"/>
  <c r="D21" i="17"/>
  <c r="G24" i="17"/>
  <c r="G21" i="17"/>
  <c r="AG112" i="15"/>
  <c r="I24" i="17"/>
  <c r="I21" i="17"/>
  <c r="C46" i="17"/>
  <c r="C47" i="17" s="1"/>
  <c r="AH9" i="15"/>
  <c r="M124" i="1"/>
  <c r="D31" i="17" s="1"/>
  <c r="B10" i="9"/>
  <c r="B74" i="13"/>
  <c r="B75" i="13" s="1"/>
  <c r="B13" i="13"/>
  <c r="F71" i="13"/>
  <c r="H71" i="13"/>
  <c r="H72" i="13" s="1"/>
  <c r="G71" i="13"/>
  <c r="G72" i="13" s="1"/>
  <c r="B75" i="11"/>
  <c r="B74" i="11"/>
  <c r="D75" i="11"/>
  <c r="B11" i="11"/>
  <c r="B13" i="11" s="1"/>
  <c r="B31" i="10"/>
  <c r="H71" i="11"/>
  <c r="H72" i="11" s="1"/>
  <c r="F71" i="11"/>
  <c r="G71" i="11"/>
  <c r="G72" i="11" s="1"/>
  <c r="B75" i="9"/>
  <c r="B74" i="9"/>
  <c r="D75" i="9"/>
  <c r="B13" i="9"/>
  <c r="B26" i="8"/>
  <c r="H71" i="9"/>
  <c r="H72" i="9" s="1"/>
  <c r="G71" i="9"/>
  <c r="G72" i="9" s="1"/>
  <c r="F71" i="9"/>
  <c r="Z6" i="4"/>
  <c r="AD9" i="4"/>
  <c r="AD10" i="4" s="1"/>
  <c r="AB38" i="4"/>
  <c r="AC6" i="4"/>
  <c r="AB8" i="4"/>
  <c r="AB10" i="4" s="1"/>
  <c r="M406" i="1" s="1"/>
  <c r="X6" i="4"/>
  <c r="X10" i="4" s="1"/>
  <c r="Y6" i="4"/>
  <c r="AB9" i="4"/>
  <c r="U35" i="4"/>
  <c r="AA35" i="4" s="1"/>
  <c r="AD39" i="4"/>
  <c r="AC39" i="4"/>
  <c r="M483" i="1" s="1"/>
  <c r="AB39" i="4"/>
  <c r="AA39" i="4"/>
  <c r="Z39" i="4"/>
  <c r="Y39" i="4"/>
  <c r="X39" i="4"/>
  <c r="W39" i="4"/>
  <c r="V39" i="4"/>
  <c r="AD21" i="4"/>
  <c r="AC21" i="4"/>
  <c r="M481" i="1" s="1"/>
  <c r="AB21" i="4"/>
  <c r="AA21" i="4"/>
  <c r="Z21" i="4"/>
  <c r="M287" i="1" s="1"/>
  <c r="Y21" i="4"/>
  <c r="X21" i="4"/>
  <c r="W21" i="4"/>
  <c r="V21" i="4"/>
  <c r="U21" i="4"/>
  <c r="W10" i="4"/>
  <c r="Y10" i="4"/>
  <c r="Z10" i="4"/>
  <c r="M285" i="1" s="1"/>
  <c r="AA10" i="4"/>
  <c r="AC10" i="4"/>
  <c r="M479" i="1" s="1"/>
  <c r="V10" i="4"/>
  <c r="V41" i="4" s="1"/>
  <c r="U10" i="4"/>
  <c r="B3" i="6"/>
  <c r="P22" i="4"/>
  <c r="N47" i="4"/>
  <c r="N44" i="4"/>
  <c r="J25" i="4"/>
  <c r="N25" i="4"/>
  <c r="O25" i="4" s="1"/>
  <c r="N36" i="4"/>
  <c r="P36" i="4" s="1"/>
  <c r="N30" i="4"/>
  <c r="P30" i="4" s="1"/>
  <c r="N23" i="4"/>
  <c r="O23" i="4" s="1"/>
  <c r="N21" i="4"/>
  <c r="P21" i="4" s="1"/>
  <c r="N18" i="4"/>
  <c r="P18" i="4" s="1"/>
  <c r="J18" i="4"/>
  <c r="L42" i="4"/>
  <c r="K42" i="4"/>
  <c r="L41" i="4"/>
  <c r="K41" i="4"/>
  <c r="P24" i="4"/>
  <c r="O24" i="4"/>
  <c r="Q24" i="4"/>
  <c r="Q25" i="4"/>
  <c r="Q41" i="4"/>
  <c r="Q42" i="4"/>
  <c r="M31" i="4"/>
  <c r="M27" i="4"/>
  <c r="M22" i="4"/>
  <c r="M399" i="1" l="1"/>
  <c r="M549" i="1"/>
  <c r="M472" i="1"/>
  <c r="M135" i="1"/>
  <c r="M335" i="1"/>
  <c r="M60" i="1"/>
  <c r="M277" i="1"/>
  <c r="M211" i="1"/>
  <c r="Z6" i="13"/>
  <c r="AB6" i="13"/>
  <c r="X6" i="13"/>
  <c r="AA6" i="13"/>
  <c r="Y6" i="13"/>
  <c r="F72" i="13"/>
  <c r="I71" i="13"/>
  <c r="I72" i="13" s="1"/>
  <c r="I73" i="13" s="1"/>
  <c r="D75" i="13"/>
  <c r="AB6" i="11"/>
  <c r="X6" i="11"/>
  <c r="AA6" i="11"/>
  <c r="Y6" i="11"/>
  <c r="Z6" i="11"/>
  <c r="F72" i="11"/>
  <c r="I71" i="11"/>
  <c r="I72" i="11" s="1"/>
  <c r="I73" i="11" s="1"/>
  <c r="E87" i="11"/>
  <c r="E83" i="11"/>
  <c r="E79" i="11"/>
  <c r="E85" i="11"/>
  <c r="E81" i="11"/>
  <c r="F81" i="11" s="1"/>
  <c r="G81" i="11" s="1"/>
  <c r="E88" i="11"/>
  <c r="E84" i="11"/>
  <c r="E80" i="11"/>
  <c r="E86" i="11"/>
  <c r="F86" i="11" s="1"/>
  <c r="G86" i="11" s="1"/>
  <c r="E78" i="11"/>
  <c r="E82" i="11"/>
  <c r="E77" i="11"/>
  <c r="AA6" i="9"/>
  <c r="Y6" i="9"/>
  <c r="Z6" i="9"/>
  <c r="X6" i="9"/>
  <c r="AB6" i="9"/>
  <c r="F72" i="9"/>
  <c r="I71" i="9"/>
  <c r="I72" i="9" s="1"/>
  <c r="I73" i="9" s="1"/>
  <c r="E87" i="9"/>
  <c r="E83" i="9"/>
  <c r="E79" i="9"/>
  <c r="E88" i="9"/>
  <c r="E84" i="9"/>
  <c r="F84" i="9" s="1"/>
  <c r="G84" i="9" s="1"/>
  <c r="E80" i="9"/>
  <c r="E85" i="9"/>
  <c r="E81" i="9"/>
  <c r="E86" i="9"/>
  <c r="F86" i="9" s="1"/>
  <c r="G86" i="9" s="1"/>
  <c r="E82" i="9"/>
  <c r="E78" i="9"/>
  <c r="E77" i="9"/>
  <c r="O21" i="4"/>
  <c r="U39" i="4"/>
  <c r="U41" i="4" s="1"/>
  <c r="AA41" i="4"/>
  <c r="AC41" i="4"/>
  <c r="AB41" i="4"/>
  <c r="AD41" i="4"/>
  <c r="Z41" i="4"/>
  <c r="M289" i="1" s="1"/>
  <c r="W41" i="4"/>
  <c r="X41" i="4"/>
  <c r="Y41" i="4"/>
  <c r="O30" i="4"/>
  <c r="P23" i="4"/>
  <c r="O22" i="4"/>
  <c r="P25" i="4"/>
  <c r="Q18" i="4"/>
  <c r="O18" i="4"/>
  <c r="J30" i="4"/>
  <c r="J23" i="4"/>
  <c r="J21" i="4"/>
  <c r="M74" i="7"/>
  <c r="M77" i="7" s="1"/>
  <c r="B71" i="7"/>
  <c r="C70" i="7"/>
  <c r="H69" i="7"/>
  <c r="G69" i="7"/>
  <c r="I69" i="7" s="1"/>
  <c r="F69" i="7"/>
  <c r="I68" i="7"/>
  <c r="B36" i="7"/>
  <c r="M31" i="7"/>
  <c r="G20" i="7"/>
  <c r="H17" i="7" s="1"/>
  <c r="B22" i="6"/>
  <c r="B18" i="6"/>
  <c r="W11" i="5"/>
  <c r="W12" i="5"/>
  <c r="W13" i="5"/>
  <c r="V12" i="5"/>
  <c r="V13" i="5"/>
  <c r="V11" i="5"/>
  <c r="W7" i="5"/>
  <c r="V7" i="5"/>
  <c r="E85" i="13" l="1"/>
  <c r="E81" i="13"/>
  <c r="E87" i="13"/>
  <c r="E83" i="13"/>
  <c r="E79" i="13"/>
  <c r="E86" i="13"/>
  <c r="F86" i="13" s="1"/>
  <c r="G86" i="13" s="1"/>
  <c r="E78" i="13"/>
  <c r="E88" i="13"/>
  <c r="E84" i="13"/>
  <c r="E80" i="13"/>
  <c r="F80" i="13" s="1"/>
  <c r="G80" i="13" s="1"/>
  <c r="E82" i="13"/>
  <c r="E77" i="13"/>
  <c r="AA7" i="13"/>
  <c r="E36" i="13" s="1"/>
  <c r="E35" i="13"/>
  <c r="B35" i="13"/>
  <c r="X8" i="13"/>
  <c r="AC6" i="13"/>
  <c r="F35" i="13"/>
  <c r="AB7" i="13"/>
  <c r="F36" i="13" s="1"/>
  <c r="Y7" i="13"/>
  <c r="Y8" i="13" s="1"/>
  <c r="C35" i="13"/>
  <c r="D35" i="13"/>
  <c r="Z7" i="13"/>
  <c r="D36" i="13" s="1"/>
  <c r="F87" i="11"/>
  <c r="G87" i="11" s="1"/>
  <c r="C35" i="11"/>
  <c r="Y7" i="11"/>
  <c r="Y8" i="11" s="1"/>
  <c r="C37" i="11" s="1"/>
  <c r="AA7" i="11"/>
  <c r="E36" i="11" s="1"/>
  <c r="E35" i="11"/>
  <c r="F82" i="11"/>
  <c r="G82" i="11" s="1"/>
  <c r="F84" i="11"/>
  <c r="G84" i="11" s="1"/>
  <c r="F79" i="11"/>
  <c r="G79" i="11" s="1"/>
  <c r="B35" i="11"/>
  <c r="X8" i="11"/>
  <c r="AC6" i="11"/>
  <c r="E75" i="11"/>
  <c r="F77" i="11"/>
  <c r="G77" i="11" s="1"/>
  <c r="G89" i="11" s="1"/>
  <c r="B76" i="11" s="1"/>
  <c r="B77" i="11" s="1"/>
  <c r="F80" i="11"/>
  <c r="G80" i="11" s="1"/>
  <c r="F85" i="11"/>
  <c r="G85" i="11" s="1"/>
  <c r="F78" i="11"/>
  <c r="G78" i="11" s="1"/>
  <c r="F88" i="11"/>
  <c r="G88" i="11" s="1"/>
  <c r="F83" i="11"/>
  <c r="G83" i="11" s="1"/>
  <c r="D35" i="11"/>
  <c r="Z7" i="11"/>
  <c r="D36" i="11" s="1"/>
  <c r="F35" i="11"/>
  <c r="AB7" i="11"/>
  <c r="F36" i="11" s="1"/>
  <c r="F35" i="9"/>
  <c r="AB7" i="9"/>
  <c r="F36" i="9" s="1"/>
  <c r="F78" i="9"/>
  <c r="G78" i="9" s="1"/>
  <c r="F85" i="9"/>
  <c r="G85" i="9" s="1"/>
  <c r="F79" i="9"/>
  <c r="G79" i="9" s="1"/>
  <c r="B35" i="9"/>
  <c r="X8" i="9"/>
  <c r="X12" i="9" s="1"/>
  <c r="X13" i="9" s="1"/>
  <c r="Y13" i="9" s="1"/>
  <c r="AC6" i="9"/>
  <c r="F87" i="9"/>
  <c r="G87" i="9" s="1"/>
  <c r="C35" i="9"/>
  <c r="Y7" i="9"/>
  <c r="F77" i="9"/>
  <c r="G77" i="9" s="1"/>
  <c r="E75" i="9"/>
  <c r="F81" i="9"/>
  <c r="G81" i="9" s="1"/>
  <c r="F88" i="9"/>
  <c r="G88" i="9" s="1"/>
  <c r="E35" i="9"/>
  <c r="AA7" i="9"/>
  <c r="E36" i="9" s="1"/>
  <c r="F82" i="9"/>
  <c r="G82" i="9" s="1"/>
  <c r="F80" i="9"/>
  <c r="G80" i="9" s="1"/>
  <c r="F83" i="9"/>
  <c r="G83" i="9" s="1"/>
  <c r="Z7" i="9"/>
  <c r="D36" i="9" s="1"/>
  <c r="D35" i="9"/>
  <c r="W42" i="4"/>
  <c r="AB42" i="4"/>
  <c r="AA42" i="4"/>
  <c r="Z42" i="4"/>
  <c r="X42" i="4"/>
  <c r="AC42" i="4"/>
  <c r="Y42" i="4"/>
  <c r="AD42" i="4"/>
  <c r="Q21" i="4"/>
  <c r="M21" i="4"/>
  <c r="M23" i="4"/>
  <c r="Q23" i="4"/>
  <c r="Q30" i="4"/>
  <c r="G67" i="7"/>
  <c r="B72" i="7"/>
  <c r="B73" i="7" s="1"/>
  <c r="F67" i="7"/>
  <c r="J71" i="7"/>
  <c r="H67" i="7"/>
  <c r="B19" i="6"/>
  <c r="M66" i="1"/>
  <c r="Z8" i="13" l="1"/>
  <c r="D37" i="13" s="1"/>
  <c r="C37" i="13"/>
  <c r="Z12" i="13"/>
  <c r="I35" i="13"/>
  <c r="F77" i="13"/>
  <c r="G77" i="13" s="1"/>
  <c r="E75" i="13"/>
  <c r="F88" i="13"/>
  <c r="G88" i="13" s="1"/>
  <c r="F83" i="13"/>
  <c r="G83" i="13" s="1"/>
  <c r="AB8" i="13"/>
  <c r="F37" i="13" s="1"/>
  <c r="B37" i="13"/>
  <c r="F44" i="13"/>
  <c r="F82" i="13"/>
  <c r="G82" i="13" s="1"/>
  <c r="F78" i="13"/>
  <c r="G78" i="13" s="1"/>
  <c r="F87" i="13"/>
  <c r="G87" i="13" s="1"/>
  <c r="F81" i="13"/>
  <c r="G81" i="13" s="1"/>
  <c r="D44" i="13"/>
  <c r="AC7" i="13"/>
  <c r="I36" i="13" s="1"/>
  <c r="C36" i="13"/>
  <c r="X12" i="13"/>
  <c r="AA8" i="13"/>
  <c r="E37" i="13" s="1"/>
  <c r="F84" i="13"/>
  <c r="G84" i="13" s="1"/>
  <c r="F79" i="13"/>
  <c r="G79" i="13" s="1"/>
  <c r="F85" i="13"/>
  <c r="G85" i="13" s="1"/>
  <c r="B37" i="11"/>
  <c r="AB8" i="11"/>
  <c r="F37" i="11" s="1"/>
  <c r="D44" i="11"/>
  <c r="C36" i="11"/>
  <c r="AC7" i="11"/>
  <c r="I36" i="11" s="1"/>
  <c r="X12" i="11"/>
  <c r="AA8" i="11"/>
  <c r="E37" i="11" s="1"/>
  <c r="Z8" i="11"/>
  <c r="D37" i="11" s="1"/>
  <c r="I35" i="11"/>
  <c r="F44" i="11"/>
  <c r="Z12" i="11"/>
  <c r="AB8" i="9"/>
  <c r="F37" i="9" s="1"/>
  <c r="F44" i="9"/>
  <c r="B37" i="9"/>
  <c r="C36" i="9"/>
  <c r="AC7" i="9"/>
  <c r="I36" i="9" s="1"/>
  <c r="D44" i="9"/>
  <c r="G89" i="9"/>
  <c r="B76" i="9" s="1"/>
  <c r="B77" i="9" s="1"/>
  <c r="Z8" i="9"/>
  <c r="D37" i="9" s="1"/>
  <c r="AA8" i="9"/>
  <c r="Y8" i="9"/>
  <c r="I35" i="9"/>
  <c r="B75" i="7"/>
  <c r="B74" i="7"/>
  <c r="D75" i="7"/>
  <c r="B11" i="7"/>
  <c r="B13" i="7" s="1"/>
  <c r="B20" i="6"/>
  <c r="H71" i="7"/>
  <c r="H72" i="7" s="1"/>
  <c r="G71" i="7"/>
  <c r="G72" i="7" s="1"/>
  <c r="F71" i="7"/>
  <c r="AF12" i="13" l="1"/>
  <c r="AD12" i="13"/>
  <c r="AC8" i="13"/>
  <c r="I37" i="13" s="1"/>
  <c r="B36" i="12" s="1"/>
  <c r="M465" i="1" s="1"/>
  <c r="H39" i="17" s="1"/>
  <c r="AB12" i="13"/>
  <c r="AD12" i="11"/>
  <c r="AF12" i="11"/>
  <c r="AG13" i="11" s="1"/>
  <c r="AB12" i="11"/>
  <c r="AC8" i="11"/>
  <c r="I37" i="11" s="1"/>
  <c r="X13" i="13"/>
  <c r="Y13" i="13" s="1"/>
  <c r="G89" i="13"/>
  <c r="B76" i="13" s="1"/>
  <c r="B77" i="13" s="1"/>
  <c r="X13" i="11"/>
  <c r="Y13" i="11" s="1"/>
  <c r="AF12" i="9"/>
  <c r="AF13" i="9" s="1"/>
  <c r="AB12" i="9"/>
  <c r="C37" i="9"/>
  <c r="Z12" i="9"/>
  <c r="AC8" i="9"/>
  <c r="X14" i="9"/>
  <c r="Y14" i="9" s="1"/>
  <c r="E37" i="9"/>
  <c r="AD12" i="9"/>
  <c r="AA6" i="7"/>
  <c r="AB6" i="7"/>
  <c r="Z6" i="7"/>
  <c r="X6" i="7"/>
  <c r="Y6" i="7"/>
  <c r="E87" i="7"/>
  <c r="E83" i="7"/>
  <c r="E79" i="7"/>
  <c r="F79" i="7" s="1"/>
  <c r="G79" i="7" s="1"/>
  <c r="E88" i="7"/>
  <c r="E84" i="7"/>
  <c r="E80" i="7"/>
  <c r="E85" i="7"/>
  <c r="E81" i="7"/>
  <c r="E78" i="7"/>
  <c r="F78" i="7" s="1"/>
  <c r="G78" i="7" s="1"/>
  <c r="E86" i="7"/>
  <c r="E82" i="7"/>
  <c r="F82" i="7" s="1"/>
  <c r="G82" i="7" s="1"/>
  <c r="E77" i="7"/>
  <c r="F72" i="7"/>
  <c r="I71" i="7"/>
  <c r="I72" i="7" s="1"/>
  <c r="I73" i="7" s="1"/>
  <c r="M31" i="3"/>
  <c r="I32" i="4"/>
  <c r="J46" i="4"/>
  <c r="J28" i="4"/>
  <c r="B36" i="10" l="1"/>
  <c r="M392" i="1" s="1"/>
  <c r="G39" i="17" s="1"/>
  <c r="AF14" i="11"/>
  <c r="AG14" i="11" s="1"/>
  <c r="X14" i="11"/>
  <c r="Y14" i="11" s="1"/>
  <c r="X14" i="13"/>
  <c r="Y14" i="13" s="1"/>
  <c r="I37" i="9"/>
  <c r="B29" i="8" s="1"/>
  <c r="AE13" i="9"/>
  <c r="X15" i="9"/>
  <c r="Y15" i="9" s="1"/>
  <c r="L28" i="4"/>
  <c r="M28" i="4"/>
  <c r="Q28" i="4"/>
  <c r="K46" i="4"/>
  <c r="Q46" i="4"/>
  <c r="L46" i="4"/>
  <c r="F85" i="7"/>
  <c r="G85" i="7" s="1"/>
  <c r="B35" i="7"/>
  <c r="X8" i="7"/>
  <c r="X12" i="7" s="1"/>
  <c r="AC6" i="7"/>
  <c r="F86" i="7"/>
  <c r="G86" i="7" s="1"/>
  <c r="F84" i="7"/>
  <c r="G84" i="7" s="1"/>
  <c r="F87" i="7"/>
  <c r="G87" i="7" s="1"/>
  <c r="F35" i="7"/>
  <c r="AB7" i="7"/>
  <c r="F36" i="7" s="1"/>
  <c r="F77" i="7"/>
  <c r="G77" i="7" s="1"/>
  <c r="E75" i="7"/>
  <c r="F81" i="7"/>
  <c r="G81" i="7" s="1"/>
  <c r="F88" i="7"/>
  <c r="G88" i="7" s="1"/>
  <c r="C35" i="7"/>
  <c r="Y7" i="7"/>
  <c r="E35" i="7"/>
  <c r="AA7" i="7"/>
  <c r="E36" i="7" s="1"/>
  <c r="F80" i="7"/>
  <c r="G80" i="7" s="1"/>
  <c r="F83" i="7"/>
  <c r="G83" i="7" s="1"/>
  <c r="Z7" i="7"/>
  <c r="D36" i="7" s="1"/>
  <c r="D35" i="7"/>
  <c r="J37" i="4"/>
  <c r="J38" i="4"/>
  <c r="J36" i="4"/>
  <c r="Q10" i="4"/>
  <c r="J44" i="4"/>
  <c r="N41" i="4"/>
  <c r="AF15" i="11" l="1"/>
  <c r="X15" i="11"/>
  <c r="Y15" i="11" s="1"/>
  <c r="X15" i="13"/>
  <c r="Y15" i="13" s="1"/>
  <c r="AD14" i="9"/>
  <c r="AE14" i="9" s="1"/>
  <c r="M128" i="1"/>
  <c r="D32" i="17" s="1"/>
  <c r="L44" i="4"/>
  <c r="K44" i="4"/>
  <c r="Q44" i="4"/>
  <c r="M44" i="4"/>
  <c r="P41" i="4"/>
  <c r="O41" i="4"/>
  <c r="Q38" i="4"/>
  <c r="L38" i="4"/>
  <c r="K38" i="4"/>
  <c r="L36" i="4"/>
  <c r="K36" i="4"/>
  <c r="Q36" i="4"/>
  <c r="M18" i="4"/>
  <c r="L37" i="4"/>
  <c r="Q37" i="4"/>
  <c r="K37" i="4"/>
  <c r="O44" i="4"/>
  <c r="P44" i="4"/>
  <c r="AB8" i="7"/>
  <c r="C36" i="7"/>
  <c r="AC7" i="7"/>
  <c r="I36" i="7" s="1"/>
  <c r="B23" i="6" s="1"/>
  <c r="M268" i="1" s="1"/>
  <c r="F33" i="17" s="1"/>
  <c r="X13" i="7"/>
  <c r="Y13" i="7" s="1"/>
  <c r="B37" i="7"/>
  <c r="Z8" i="7"/>
  <c r="D37" i="7" s="1"/>
  <c r="AA8" i="7"/>
  <c r="Y8" i="7"/>
  <c r="C37" i="7" s="1"/>
  <c r="D44" i="7"/>
  <c r="F44" i="7"/>
  <c r="G89" i="7"/>
  <c r="B76" i="7" s="1"/>
  <c r="B77" i="7" s="1"/>
  <c r="I35" i="7"/>
  <c r="L18" i="4"/>
  <c r="J47" i="4"/>
  <c r="J45" i="4"/>
  <c r="J43" i="4"/>
  <c r="J39" i="4"/>
  <c r="J35" i="4"/>
  <c r="L30" i="4"/>
  <c r="J27" i="4"/>
  <c r="Q27" i="4" s="1"/>
  <c r="L25" i="4"/>
  <c r="K25" i="4"/>
  <c r="K24" i="4"/>
  <c r="J17" i="4"/>
  <c r="N7" i="4"/>
  <c r="N8" i="4"/>
  <c r="N9" i="4"/>
  <c r="N10" i="4"/>
  <c r="N11" i="4"/>
  <c r="N12" i="4"/>
  <c r="N13" i="4"/>
  <c r="N6" i="4"/>
  <c r="N19" i="4"/>
  <c r="N20" i="4"/>
  <c r="N26" i="4"/>
  <c r="N27" i="4"/>
  <c r="N28" i="4"/>
  <c r="N29" i="4"/>
  <c r="N31" i="4"/>
  <c r="N17" i="4"/>
  <c r="N37" i="4"/>
  <c r="N38" i="4"/>
  <c r="N39" i="4"/>
  <c r="N40" i="4"/>
  <c r="N42" i="4"/>
  <c r="N43" i="4"/>
  <c r="N45" i="4"/>
  <c r="N46" i="4"/>
  <c r="N48" i="4"/>
  <c r="N35" i="4"/>
  <c r="L10" i="4"/>
  <c r="J12" i="4"/>
  <c r="Q12" i="4" s="1"/>
  <c r="B5" i="3"/>
  <c r="K10" i="4"/>
  <c r="AG15" i="11" l="1"/>
  <c r="AF16" i="11" s="1"/>
  <c r="AG16" i="11" s="1"/>
  <c r="X16" i="11"/>
  <c r="Y16" i="11" s="1"/>
  <c r="X16" i="13"/>
  <c r="Y16" i="13" s="1"/>
  <c r="X16" i="9"/>
  <c r="Y16" i="9" s="1"/>
  <c r="AD15" i="9"/>
  <c r="AE15" i="9" s="1"/>
  <c r="O48" i="4"/>
  <c r="P48" i="4"/>
  <c r="P42" i="4"/>
  <c r="O42" i="4"/>
  <c r="P37" i="4"/>
  <c r="O37" i="4"/>
  <c r="P19" i="4"/>
  <c r="O19" i="4"/>
  <c r="O11" i="4"/>
  <c r="P11" i="4"/>
  <c r="O7" i="4"/>
  <c r="P7" i="4"/>
  <c r="L39" i="4"/>
  <c r="K39" i="4"/>
  <c r="Q39" i="4"/>
  <c r="P40" i="4"/>
  <c r="O40" i="4"/>
  <c r="P17" i="4"/>
  <c r="O17" i="4"/>
  <c r="N32" i="4"/>
  <c r="P27" i="4"/>
  <c r="O27" i="4"/>
  <c r="P10" i="4"/>
  <c r="O10" i="4"/>
  <c r="Q17" i="4"/>
  <c r="L27" i="4"/>
  <c r="P45" i="4"/>
  <c r="O45" i="4"/>
  <c r="P39" i="4"/>
  <c r="O39" i="4"/>
  <c r="P31" i="4"/>
  <c r="O31" i="4"/>
  <c r="O26" i="4"/>
  <c r="P26" i="4"/>
  <c r="P13" i="4"/>
  <c r="O13" i="4"/>
  <c r="O9" i="4"/>
  <c r="P9" i="4"/>
  <c r="Q45" i="4"/>
  <c r="L45" i="4"/>
  <c r="K45" i="4"/>
  <c r="K27" i="4"/>
  <c r="P35" i="4"/>
  <c r="O35" i="4"/>
  <c r="P43" i="4"/>
  <c r="O43" i="4"/>
  <c r="P38" i="4"/>
  <c r="O38" i="4"/>
  <c r="O29" i="4"/>
  <c r="P29" i="4"/>
  <c r="P20" i="4"/>
  <c r="O20" i="4"/>
  <c r="P12" i="4"/>
  <c r="O12" i="4"/>
  <c r="O14" i="4" s="1"/>
  <c r="P8" i="4"/>
  <c r="O8" i="4"/>
  <c r="L35" i="4"/>
  <c r="Q35" i="4"/>
  <c r="K35" i="4"/>
  <c r="L47" i="4"/>
  <c r="K47" i="4"/>
  <c r="Q47" i="4"/>
  <c r="M30" i="4"/>
  <c r="L43" i="4"/>
  <c r="Q43" i="4"/>
  <c r="K43" i="4"/>
  <c r="X14" i="7"/>
  <c r="Y14" i="7" s="1"/>
  <c r="E37" i="7"/>
  <c r="AD12" i="7"/>
  <c r="AD13" i="7" s="1"/>
  <c r="AB12" i="7"/>
  <c r="F37" i="7"/>
  <c r="AF12" i="7"/>
  <c r="AF13" i="7" s="1"/>
  <c r="Z12" i="7"/>
  <c r="AC8" i="7"/>
  <c r="K30" i="4"/>
  <c r="K12" i="4"/>
  <c r="L12" i="4"/>
  <c r="L23" i="4"/>
  <c r="L21" i="4"/>
  <c r="K17" i="4"/>
  <c r="L17" i="4" s="1"/>
  <c r="K21" i="4"/>
  <c r="K23" i="4"/>
  <c r="G5" i="5"/>
  <c r="I14" i="4"/>
  <c r="I49" i="4"/>
  <c r="K29" i="4"/>
  <c r="J8" i="4"/>
  <c r="J22" i="4"/>
  <c r="Q22" i="4" s="1"/>
  <c r="Q13" i="5"/>
  <c r="Q12" i="5"/>
  <c r="Q11" i="5"/>
  <c r="J48" i="4"/>
  <c r="J31" i="4"/>
  <c r="Q31" i="4" s="1"/>
  <c r="J29" i="4"/>
  <c r="Q29" i="4" s="1"/>
  <c r="J7" i="4"/>
  <c r="J11" i="4"/>
  <c r="L11" i="4" s="1"/>
  <c r="J9" i="4"/>
  <c r="J26" i="4"/>
  <c r="Q26" i="4" s="1"/>
  <c r="J20" i="4"/>
  <c r="Q20" i="4" s="1"/>
  <c r="K7" i="4"/>
  <c r="M49" i="4"/>
  <c r="M14" i="4"/>
  <c r="N14" i="4"/>
  <c r="J40" i="4"/>
  <c r="AF17" i="11" l="1"/>
  <c r="X17" i="11"/>
  <c r="Y17" i="11" s="1"/>
  <c r="M402" i="1"/>
  <c r="M552" i="1"/>
  <c r="M475" i="1"/>
  <c r="M338" i="1"/>
  <c r="M214" i="1"/>
  <c r="M63" i="1"/>
  <c r="M280" i="1"/>
  <c r="M138" i="1"/>
  <c r="X17" i="13"/>
  <c r="Y17" i="13" s="1"/>
  <c r="X17" i="9"/>
  <c r="Y17" i="9" s="1"/>
  <c r="AD16" i="9"/>
  <c r="AE16" i="9" s="1"/>
  <c r="P14" i="4"/>
  <c r="I51" i="4"/>
  <c r="L40" i="4"/>
  <c r="Q40" i="4"/>
  <c r="K40" i="4"/>
  <c r="O32" i="4"/>
  <c r="M409" i="1" s="1"/>
  <c r="L48" i="4"/>
  <c r="Q48" i="4"/>
  <c r="K48" i="4"/>
  <c r="P32" i="4"/>
  <c r="M482" i="1" s="1"/>
  <c r="X15" i="7"/>
  <c r="J19" i="4"/>
  <c r="K19" i="4"/>
  <c r="N49" i="4"/>
  <c r="N51" i="4" s="1"/>
  <c r="O47" i="4"/>
  <c r="O49" i="4" s="1"/>
  <c r="M411" i="1" s="1"/>
  <c r="P47" i="4"/>
  <c r="P49" i="4" s="1"/>
  <c r="M484" i="1" s="1"/>
  <c r="AE13" i="7"/>
  <c r="I37" i="7"/>
  <c r="Q9" i="4"/>
  <c r="K9" i="4"/>
  <c r="L22" i="4"/>
  <c r="K22" i="4"/>
  <c r="L49" i="4"/>
  <c r="K20" i="4"/>
  <c r="L20" i="4"/>
  <c r="Q7" i="4"/>
  <c r="L7" i="4"/>
  <c r="Q8" i="4"/>
  <c r="K8" i="4"/>
  <c r="L8" i="4"/>
  <c r="L9" i="4"/>
  <c r="L31" i="4"/>
  <c r="K31" i="4"/>
  <c r="Q11" i="4"/>
  <c r="K11" i="4"/>
  <c r="L26" i="4"/>
  <c r="M26" i="4" s="1"/>
  <c r="K26" i="4"/>
  <c r="L29" i="4"/>
  <c r="AG17" i="11" l="1"/>
  <c r="AF18" i="11" s="1"/>
  <c r="Y15" i="7"/>
  <c r="X16" i="7" s="1"/>
  <c r="X18" i="11"/>
  <c r="Y18" i="11" s="1"/>
  <c r="I46" i="17"/>
  <c r="I47" i="17" s="1"/>
  <c r="G46" i="17"/>
  <c r="G47" i="17" s="1"/>
  <c r="F46" i="17"/>
  <c r="F47" i="17" s="1"/>
  <c r="E46" i="17"/>
  <c r="E47" i="17" s="1"/>
  <c r="D46" i="17"/>
  <c r="D47" i="17" s="1"/>
  <c r="X18" i="13"/>
  <c r="Y18" i="13" s="1"/>
  <c r="AD17" i="9"/>
  <c r="AE17" i="9" s="1"/>
  <c r="X18" i="9"/>
  <c r="Y18" i="9" s="1"/>
  <c r="Q49" i="4"/>
  <c r="K49" i="4"/>
  <c r="K32" i="4"/>
  <c r="M145" i="1" s="1"/>
  <c r="P51" i="4"/>
  <c r="O51" i="4"/>
  <c r="M19" i="4"/>
  <c r="Q19" i="4"/>
  <c r="Q32" i="4" s="1"/>
  <c r="J32" i="4"/>
  <c r="L19" i="4"/>
  <c r="L32" i="4" s="1"/>
  <c r="B25" i="6"/>
  <c r="M272" i="1" s="1"/>
  <c r="F32" i="17" s="1"/>
  <c r="AD14" i="7"/>
  <c r="AE14" i="7" s="1"/>
  <c r="J49" i="4"/>
  <c r="AG18" i="11" l="1"/>
  <c r="AF19" i="11" s="1"/>
  <c r="Y16" i="7"/>
  <c r="X17" i="7"/>
  <c r="Y17" i="7" s="1"/>
  <c r="X19" i="11"/>
  <c r="Y19" i="11" s="1"/>
  <c r="AH111" i="15"/>
  <c r="J46" i="17"/>
  <c r="AH60" i="15"/>
  <c r="AH43" i="15"/>
  <c r="AH26" i="15"/>
  <c r="X19" i="13"/>
  <c r="Y19" i="13" s="1"/>
  <c r="AD18" i="9"/>
  <c r="AE18" i="9" s="1"/>
  <c r="X19" i="9"/>
  <c r="Y19" i="9" s="1"/>
  <c r="AD15" i="7"/>
  <c r="AE15" i="7" s="1"/>
  <c r="J13" i="4"/>
  <c r="J6" i="4"/>
  <c r="M17" i="4" s="1"/>
  <c r="M32" i="4" s="1"/>
  <c r="J47" i="17" l="1"/>
  <c r="J48" i="17"/>
  <c r="AG19" i="11"/>
  <c r="AF20" i="11" s="1"/>
  <c r="X18" i="7"/>
  <c r="Y18" i="7" s="1"/>
  <c r="X20" i="11"/>
  <c r="Y20" i="11" s="1"/>
  <c r="AH128" i="15"/>
  <c r="AH94" i="15"/>
  <c r="AH77" i="15"/>
  <c r="M51" i="4"/>
  <c r="M288" i="1"/>
  <c r="X20" i="13"/>
  <c r="Y20" i="13" s="1"/>
  <c r="X20" i="9"/>
  <c r="Y20" i="9" s="1"/>
  <c r="AD19" i="9"/>
  <c r="AE19" i="9" s="1"/>
  <c r="AD16" i="7"/>
  <c r="AE16" i="7" s="1"/>
  <c r="X19" i="7"/>
  <c r="Y19" i="7" s="1"/>
  <c r="K6" i="4"/>
  <c r="Q6" i="4"/>
  <c r="L6" i="4"/>
  <c r="Q13" i="4"/>
  <c r="K13" i="4"/>
  <c r="L13" i="4"/>
  <c r="J14" i="4"/>
  <c r="AG20" i="11" l="1"/>
  <c r="AF21" i="11" s="1"/>
  <c r="X21" i="11"/>
  <c r="Y21" i="11" s="1"/>
  <c r="X21" i="13"/>
  <c r="Y21" i="13" s="1"/>
  <c r="AD20" i="9"/>
  <c r="AE20" i="9" s="1"/>
  <c r="X21" i="9"/>
  <c r="Y21" i="9" s="1"/>
  <c r="K14" i="4"/>
  <c r="K51" i="4" s="1"/>
  <c r="J51" i="4"/>
  <c r="X20" i="7"/>
  <c r="Y20" i="7" s="1"/>
  <c r="L14" i="4"/>
  <c r="L51" i="4" s="1"/>
  <c r="Q14" i="4"/>
  <c r="Q51" i="4" s="1"/>
  <c r="C11" i="4"/>
  <c r="C10" i="4"/>
  <c r="C21" i="4"/>
  <c r="C20" i="4"/>
  <c r="C31" i="4"/>
  <c r="C30" i="4"/>
  <c r="M77" i="3"/>
  <c r="M74" i="3"/>
  <c r="B71" i="3"/>
  <c r="C70" i="3"/>
  <c r="H69" i="3"/>
  <c r="G69" i="3"/>
  <c r="F69" i="3"/>
  <c r="I68" i="3"/>
  <c r="B36" i="3"/>
  <c r="G20" i="3"/>
  <c r="H17" i="3" s="1"/>
  <c r="AG21" i="11" l="1"/>
  <c r="AF22" i="11" s="1"/>
  <c r="X22" i="11"/>
  <c r="Y22" i="11" s="1"/>
  <c r="X22" i="13"/>
  <c r="Y22" i="13" s="1"/>
  <c r="X22" i="9"/>
  <c r="Y22" i="9" s="1"/>
  <c r="AD21" i="9"/>
  <c r="AE21" i="9" s="1"/>
  <c r="Q52" i="4"/>
  <c r="J52" i="4"/>
  <c r="M52" i="4"/>
  <c r="P52" i="4"/>
  <c r="O52" i="4"/>
  <c r="N52" i="4"/>
  <c r="L52" i="4"/>
  <c r="K52" i="4"/>
  <c r="X21" i="7"/>
  <c r="Y21" i="7" s="1"/>
  <c r="AD17" i="7"/>
  <c r="AE17" i="7" s="1"/>
  <c r="G67" i="3"/>
  <c r="I69" i="3"/>
  <c r="B73" i="3"/>
  <c r="B72" i="3"/>
  <c r="AG22" i="11" l="1"/>
  <c r="AF23" i="11" s="1"/>
  <c r="X23" i="11"/>
  <c r="Y23" i="11" s="1"/>
  <c r="X23" i="13"/>
  <c r="Y23" i="13" s="1"/>
  <c r="AD22" i="9"/>
  <c r="AE22" i="9" s="1"/>
  <c r="X23" i="9"/>
  <c r="Y23" i="9" s="1"/>
  <c r="X22" i="7"/>
  <c r="Y22" i="7" s="1"/>
  <c r="AD18" i="7"/>
  <c r="AE18" i="7" s="1"/>
  <c r="F67" i="3"/>
  <c r="J71" i="3"/>
  <c r="H67" i="3"/>
  <c r="B75" i="3"/>
  <c r="B74" i="3"/>
  <c r="D75" i="3"/>
  <c r="AG23" i="11" l="1"/>
  <c r="AF24" i="11" s="1"/>
  <c r="X24" i="11"/>
  <c r="X24" i="13"/>
  <c r="AD23" i="9"/>
  <c r="AE23" i="9" s="1"/>
  <c r="X24" i="9"/>
  <c r="X23" i="7"/>
  <c r="Y23" i="7" s="1"/>
  <c r="AD19" i="7"/>
  <c r="AE19" i="7" s="1"/>
  <c r="E87" i="3"/>
  <c r="E83" i="3"/>
  <c r="E79" i="3"/>
  <c r="E85" i="3"/>
  <c r="E81" i="3"/>
  <c r="E88" i="3"/>
  <c r="E84" i="3"/>
  <c r="E80" i="3"/>
  <c r="E78" i="3"/>
  <c r="F78" i="3" s="1"/>
  <c r="G78" i="3" s="1"/>
  <c r="E82" i="3"/>
  <c r="F82" i="3" s="1"/>
  <c r="G82" i="3" s="1"/>
  <c r="E86" i="3"/>
  <c r="E77" i="3"/>
  <c r="H71" i="3"/>
  <c r="H72" i="3" s="1"/>
  <c r="F71" i="3"/>
  <c r="G71" i="3"/>
  <c r="G72" i="3" s="1"/>
  <c r="Y24" i="13" l="1"/>
  <c r="Z13" i="13" s="1"/>
  <c r="AA13" i="13" s="1"/>
  <c r="Y24" i="11"/>
  <c r="Z13" i="11" s="1"/>
  <c r="AA13" i="11" s="1"/>
  <c r="AG24" i="11"/>
  <c r="AG25" i="11" s="1"/>
  <c r="AB9" i="11" s="1"/>
  <c r="F38" i="11" s="1"/>
  <c r="F40" i="11" s="1"/>
  <c r="Y24" i="9"/>
  <c r="Z13" i="9" s="1"/>
  <c r="AA13" i="9" s="1"/>
  <c r="Y25" i="13"/>
  <c r="X9" i="13" s="1"/>
  <c r="AD24" i="9"/>
  <c r="AE24" i="9" s="1"/>
  <c r="X24" i="7"/>
  <c r="AD20" i="7"/>
  <c r="AE20" i="7" s="1"/>
  <c r="F88" i="3"/>
  <c r="G88" i="3" s="1"/>
  <c r="F81" i="3"/>
  <c r="G81" i="3" s="1"/>
  <c r="F87" i="3"/>
  <c r="G87" i="3" s="1"/>
  <c r="F72" i="3"/>
  <c r="I71" i="3"/>
  <c r="I72" i="3" s="1"/>
  <c r="I73" i="3" s="1"/>
  <c r="F77" i="3"/>
  <c r="G77" i="3" s="1"/>
  <c r="G89" i="3" s="1"/>
  <c r="B76" i="3" s="1"/>
  <c r="B77" i="3" s="1"/>
  <c r="E75" i="3"/>
  <c r="F80" i="3"/>
  <c r="G80" i="3" s="1"/>
  <c r="F85" i="3"/>
  <c r="G85" i="3" s="1"/>
  <c r="F83" i="3"/>
  <c r="G83" i="3" s="1"/>
  <c r="F86" i="3"/>
  <c r="G86" i="3" s="1"/>
  <c r="F84" i="3"/>
  <c r="G84" i="3" s="1"/>
  <c r="F79" i="3"/>
  <c r="G79" i="3" s="1"/>
  <c r="Y25" i="9" l="1"/>
  <c r="X9" i="9" s="1"/>
  <c r="B38" i="9" s="1"/>
  <c r="B40" i="9" s="1"/>
  <c r="Y24" i="7"/>
  <c r="Z13" i="7" s="1"/>
  <c r="AA13" i="7" s="1"/>
  <c r="Y25" i="11"/>
  <c r="X9" i="11" s="1"/>
  <c r="B38" i="11" s="1"/>
  <c r="B40" i="11" s="1"/>
  <c r="Z14" i="11"/>
  <c r="AA14" i="11" s="1"/>
  <c r="B38" i="13"/>
  <c r="B40" i="13" s="1"/>
  <c r="Z14" i="13"/>
  <c r="AA14" i="13" s="1"/>
  <c r="Z14" i="9"/>
  <c r="AA14" i="9" s="1"/>
  <c r="AG13" i="9"/>
  <c r="AE25" i="9"/>
  <c r="AA9" i="9" s="1"/>
  <c r="E38" i="9" s="1"/>
  <c r="E40" i="9" s="1"/>
  <c r="AD21" i="7"/>
  <c r="AE21" i="7" s="1"/>
  <c r="B8" i="2"/>
  <c r="B10" i="2" s="1"/>
  <c r="Y25" i="7" l="1"/>
  <c r="X9" i="7" s="1"/>
  <c r="B38" i="7" s="1"/>
  <c r="B40" i="7" s="1"/>
  <c r="Z15" i="11"/>
  <c r="AA15" i="11" s="1"/>
  <c r="B22" i="2"/>
  <c r="B23" i="2" s="1"/>
  <c r="B25" i="2" s="1"/>
  <c r="Z15" i="13"/>
  <c r="AA15" i="13" s="1"/>
  <c r="Z15" i="9"/>
  <c r="AA15" i="9" s="1"/>
  <c r="AF14" i="9"/>
  <c r="AG14" i="9" s="1"/>
  <c r="AD22" i="7"/>
  <c r="AE22" i="7" s="1"/>
  <c r="Z14" i="7"/>
  <c r="AA14" i="7" s="1"/>
  <c r="B6" i="3"/>
  <c r="Z16" i="11" l="1"/>
  <c r="B10" i="3"/>
  <c r="B13" i="3" s="1"/>
  <c r="Z6" i="3" s="1"/>
  <c r="Z16" i="9"/>
  <c r="AA16" i="9" s="1"/>
  <c r="AF15" i="9"/>
  <c r="AG15" i="9" s="1"/>
  <c r="Z15" i="7"/>
  <c r="AA15" i="7" s="1"/>
  <c r="AD23" i="7"/>
  <c r="AE23" i="7" s="1"/>
  <c r="AA16" i="11" l="1"/>
  <c r="Z17" i="11" s="1"/>
  <c r="Y6" i="3"/>
  <c r="C35" i="3" s="1"/>
  <c r="AA6" i="3"/>
  <c r="AA7" i="3" s="1"/>
  <c r="E36" i="3" s="1"/>
  <c r="AB6" i="3"/>
  <c r="AB7" i="3" s="1"/>
  <c r="F36" i="3" s="1"/>
  <c r="X6" i="3"/>
  <c r="Z16" i="13"/>
  <c r="AA16" i="13" s="1"/>
  <c r="Z17" i="9"/>
  <c r="AA17" i="9" s="1"/>
  <c r="AF16" i="9"/>
  <c r="AG16" i="9" s="1"/>
  <c r="AD24" i="7"/>
  <c r="AE24" i="7" s="1"/>
  <c r="Z16" i="7"/>
  <c r="AA16" i="7" s="1"/>
  <c r="Z7" i="3"/>
  <c r="D36" i="3" s="1"/>
  <c r="D35" i="3"/>
  <c r="AA17" i="11" l="1"/>
  <c r="Z18" i="11" s="1"/>
  <c r="AA18" i="11" s="1"/>
  <c r="Y7" i="3"/>
  <c r="Y8" i="3" s="1"/>
  <c r="AC6" i="3"/>
  <c r="I35" i="3" s="1"/>
  <c r="B35" i="3"/>
  <c r="D44" i="3" s="1"/>
  <c r="F35" i="3"/>
  <c r="E35" i="3"/>
  <c r="X8" i="3"/>
  <c r="X12" i="3" s="1"/>
  <c r="X13" i="3" s="1"/>
  <c r="Y13" i="3" s="1"/>
  <c r="Z17" i="13"/>
  <c r="AA17" i="13" s="1"/>
  <c r="Z18" i="9"/>
  <c r="AA18" i="9" s="1"/>
  <c r="AF17" i="9"/>
  <c r="AG17" i="9" s="1"/>
  <c r="Z17" i="7"/>
  <c r="AA17" i="7" s="1"/>
  <c r="AG13" i="7"/>
  <c r="AE25" i="7"/>
  <c r="AA9" i="7" s="1"/>
  <c r="E38" i="7" s="1"/>
  <c r="E40" i="7" s="1"/>
  <c r="AA8" i="3"/>
  <c r="E37" i="3" s="1"/>
  <c r="AB8" i="3"/>
  <c r="F37" i="3" s="1"/>
  <c r="Z8" i="3"/>
  <c r="Z19" i="11" l="1"/>
  <c r="AA19" i="11" s="1"/>
  <c r="Z20" i="11" s="1"/>
  <c r="AA20" i="11" s="1"/>
  <c r="AC7" i="3"/>
  <c r="I36" i="3" s="1"/>
  <c r="C36" i="3"/>
  <c r="F44" i="3"/>
  <c r="B37" i="3"/>
  <c r="AD12" i="3"/>
  <c r="AC8" i="3"/>
  <c r="I37" i="3" s="1"/>
  <c r="B28" i="2" s="1"/>
  <c r="Z18" i="13"/>
  <c r="AA18" i="13" s="1"/>
  <c r="Z19" i="9"/>
  <c r="AA19" i="9" s="1"/>
  <c r="AF18" i="9"/>
  <c r="AG18" i="9" s="1"/>
  <c r="AF14" i="7"/>
  <c r="AG14" i="7" s="1"/>
  <c r="Z18" i="7"/>
  <c r="AA18" i="7" s="1"/>
  <c r="C37" i="3"/>
  <c r="Z12" i="3"/>
  <c r="D37" i="3"/>
  <c r="AB12" i="3"/>
  <c r="X14" i="3"/>
  <c r="Y14" i="3" s="1"/>
  <c r="AF12" i="3"/>
  <c r="AF13" i="3" s="1"/>
  <c r="AG13" i="3" s="1"/>
  <c r="M543" i="1" l="1"/>
  <c r="I32" i="17" s="1"/>
  <c r="M54" i="1"/>
  <c r="C32" i="17" s="1"/>
  <c r="M204" i="1"/>
  <c r="E32" i="17" s="1"/>
  <c r="Z19" i="13"/>
  <c r="AA19" i="13" s="1"/>
  <c r="Z21" i="11"/>
  <c r="AA21" i="11" s="1"/>
  <c r="AF19" i="9"/>
  <c r="AG19" i="9" s="1"/>
  <c r="Z20" i="9"/>
  <c r="AA20" i="9" s="1"/>
  <c r="Z19" i="7"/>
  <c r="AA19" i="7" s="1"/>
  <c r="AF15" i="7"/>
  <c r="AG15" i="7" s="1"/>
  <c r="AD14" i="3"/>
  <c r="AE14" i="3" s="1"/>
  <c r="X15" i="3"/>
  <c r="Y15" i="3" l="1"/>
  <c r="X16" i="3" s="1"/>
  <c r="Z20" i="13"/>
  <c r="AA20" i="13" s="1"/>
  <c r="Z22" i="11"/>
  <c r="AA22" i="11" s="1"/>
  <c r="Z21" i="9"/>
  <c r="AA21" i="9" s="1"/>
  <c r="AF20" i="9"/>
  <c r="AG20" i="9" s="1"/>
  <c r="AF16" i="7"/>
  <c r="AG16" i="7" s="1"/>
  <c r="Z20" i="7"/>
  <c r="AA20" i="7" s="1"/>
  <c r="AD15" i="3"/>
  <c r="AE15" i="3" l="1"/>
  <c r="AD16" i="3" s="1"/>
  <c r="Y16" i="3"/>
  <c r="Z21" i="13"/>
  <c r="AA21" i="13" s="1"/>
  <c r="Z23" i="11"/>
  <c r="AA23" i="11" s="1"/>
  <c r="AF21" i="9"/>
  <c r="AG21" i="9" s="1"/>
  <c r="Z22" i="9"/>
  <c r="AA22" i="9" s="1"/>
  <c r="Z21" i="7"/>
  <c r="AA21" i="7" s="1"/>
  <c r="AF17" i="7"/>
  <c r="AG17" i="7" s="1"/>
  <c r="AE16" i="3" l="1"/>
  <c r="AD17" i="3" s="1"/>
  <c r="X17" i="3"/>
  <c r="Z22" i="13"/>
  <c r="AA22" i="13" s="1"/>
  <c r="Z24" i="11"/>
  <c r="Z23" i="9"/>
  <c r="AA23" i="9" s="1"/>
  <c r="AF22" i="9"/>
  <c r="AG22" i="9" s="1"/>
  <c r="AF18" i="7"/>
  <c r="AG18" i="7" s="1"/>
  <c r="Z22" i="7"/>
  <c r="AA22" i="7" s="1"/>
  <c r="AF14" i="3"/>
  <c r="AA24" i="11" l="1"/>
  <c r="AB13" i="11" s="1"/>
  <c r="AC13" i="11" s="1"/>
  <c r="AE17" i="3"/>
  <c r="AD18" i="3" s="1"/>
  <c r="AG14" i="3"/>
  <c r="AF15" i="3" s="1"/>
  <c r="Y17" i="3"/>
  <c r="Z23" i="13"/>
  <c r="AA23" i="13" s="1"/>
  <c r="AF23" i="9"/>
  <c r="AG23" i="9" s="1"/>
  <c r="Z24" i="9"/>
  <c r="Z23" i="7"/>
  <c r="AA23" i="7" s="1"/>
  <c r="AF19" i="7"/>
  <c r="AG19" i="7" s="1"/>
  <c r="AA25" i="11" l="1"/>
  <c r="Y9" i="11" s="1"/>
  <c r="C38" i="11" s="1"/>
  <c r="C40" i="11" s="1"/>
  <c r="AE18" i="3"/>
  <c r="AD19" i="3" s="1"/>
  <c r="AG15" i="3"/>
  <c r="AF16" i="3" s="1"/>
  <c r="AA24" i="9"/>
  <c r="AA25" i="9" s="1"/>
  <c r="Y9" i="9" s="1"/>
  <c r="X18" i="3"/>
  <c r="Z24" i="13"/>
  <c r="AB14" i="11"/>
  <c r="AC14" i="11" s="1"/>
  <c r="AF24" i="9"/>
  <c r="AF20" i="7"/>
  <c r="AG20" i="7" s="1"/>
  <c r="Z24" i="7"/>
  <c r="AB13" i="9" l="1"/>
  <c r="AC13" i="9" s="1"/>
  <c r="AA24" i="7"/>
  <c r="AB13" i="7"/>
  <c r="AC13" i="7" s="1"/>
  <c r="AA24" i="13"/>
  <c r="AA25" i="13" s="1"/>
  <c r="Y9" i="13" s="1"/>
  <c r="AB13" i="13"/>
  <c r="AC13" i="13" s="1"/>
  <c r="AE19" i="3"/>
  <c r="AD20" i="3" s="1"/>
  <c r="AG16" i="3"/>
  <c r="AF17" i="3" s="1"/>
  <c r="AG24" i="9"/>
  <c r="AG25" i="9" s="1"/>
  <c r="AB9" i="9" s="1"/>
  <c r="F38" i="9" s="1"/>
  <c r="F40" i="9" s="1"/>
  <c r="Y18" i="3"/>
  <c r="C38" i="9"/>
  <c r="C40" i="9" s="1"/>
  <c r="AA25" i="7"/>
  <c r="Y9" i="7" s="1"/>
  <c r="AF21" i="7"/>
  <c r="AG21" i="7" s="1"/>
  <c r="AB14" i="9" l="1"/>
  <c r="AC14" i="9" s="1"/>
  <c r="AG17" i="3"/>
  <c r="AF18" i="3" s="1"/>
  <c r="AE20" i="3"/>
  <c r="AD21" i="3" s="1"/>
  <c r="X19" i="3"/>
  <c r="C38" i="13"/>
  <c r="C40" i="13" s="1"/>
  <c r="AB14" i="13"/>
  <c r="AC14" i="13" s="1"/>
  <c r="AB15" i="11"/>
  <c r="AC15" i="11" s="1"/>
  <c r="AF22" i="7"/>
  <c r="AG22" i="7" s="1"/>
  <c r="C38" i="7"/>
  <c r="C40" i="7" s="1"/>
  <c r="AB14" i="7"/>
  <c r="AC14" i="7" s="1"/>
  <c r="AG18" i="3" l="1"/>
  <c r="AF19" i="3" s="1"/>
  <c r="AE21" i="3"/>
  <c r="AD22" i="3" s="1"/>
  <c r="Y19" i="3"/>
  <c r="X20" i="3" s="1"/>
  <c r="AB16" i="11"/>
  <c r="AC16" i="11" s="1"/>
  <c r="AB15" i="9"/>
  <c r="AC15" i="9" s="1"/>
  <c r="AB15" i="7"/>
  <c r="AC15" i="7" s="1"/>
  <c r="AF23" i="7"/>
  <c r="AG23" i="7" s="1"/>
  <c r="AE22" i="3" l="1"/>
  <c r="AD23" i="3" s="1"/>
  <c r="AG19" i="3"/>
  <c r="AF20" i="3" s="1"/>
  <c r="Y20" i="3"/>
  <c r="X21" i="3" s="1"/>
  <c r="AB15" i="13"/>
  <c r="AC15" i="13" s="1"/>
  <c r="AB17" i="11"/>
  <c r="AC17" i="11" s="1"/>
  <c r="AB16" i="9"/>
  <c r="AC16" i="9" s="1"/>
  <c r="AF24" i="7"/>
  <c r="AB16" i="7"/>
  <c r="AC16" i="7" s="1"/>
  <c r="AG20" i="3" l="1"/>
  <c r="AF21" i="3" s="1"/>
  <c r="AE23" i="3"/>
  <c r="AD24" i="3" s="1"/>
  <c r="AE24" i="3" s="1"/>
  <c r="AE25" i="3" s="1"/>
  <c r="AA9" i="3" s="1"/>
  <c r="E38" i="3" s="1"/>
  <c r="E40" i="3" s="1"/>
  <c r="AG24" i="7"/>
  <c r="AG25" i="7" s="1"/>
  <c r="AB9" i="7" s="1"/>
  <c r="F38" i="7" s="1"/>
  <c r="F40" i="7" s="1"/>
  <c r="Y21" i="3"/>
  <c r="X22" i="3" s="1"/>
  <c r="AB16" i="13"/>
  <c r="AC16" i="13" s="1"/>
  <c r="AB18" i="11"/>
  <c r="AC18" i="11" s="1"/>
  <c r="AB17" i="9"/>
  <c r="AC17" i="9" s="1"/>
  <c r="AB17" i="7"/>
  <c r="AC17" i="7" s="1"/>
  <c r="AG21" i="3" l="1"/>
  <c r="AF22" i="3" s="1"/>
  <c r="Y22" i="3"/>
  <c r="X23" i="3" s="1"/>
  <c r="AB17" i="13"/>
  <c r="AC17" i="13" s="1"/>
  <c r="AB19" i="11"/>
  <c r="AC19" i="11" s="1"/>
  <c r="AB18" i="9"/>
  <c r="AC18" i="9" s="1"/>
  <c r="AB18" i="7"/>
  <c r="AC18" i="7" s="1"/>
  <c r="AG22" i="3" l="1"/>
  <c r="AF23" i="3" s="1"/>
  <c r="Y23" i="3"/>
  <c r="X24" i="3" s="1"/>
  <c r="AB18" i="13"/>
  <c r="AC18" i="13" s="1"/>
  <c r="AB20" i="11"/>
  <c r="AC20" i="11" s="1"/>
  <c r="AB19" i="9"/>
  <c r="AC19" i="9" s="1"/>
  <c r="AB19" i="7"/>
  <c r="AC19" i="7" s="1"/>
  <c r="AG23" i="3" l="1"/>
  <c r="AF24" i="3" s="1"/>
  <c r="Y24" i="3"/>
  <c r="Y25" i="3" s="1"/>
  <c r="X9" i="3" s="1"/>
  <c r="AB19" i="13"/>
  <c r="AC19" i="13" s="1"/>
  <c r="AB21" i="11"/>
  <c r="AC21" i="11" s="1"/>
  <c r="AB20" i="9"/>
  <c r="AC20" i="9" s="1"/>
  <c r="AB20" i="7"/>
  <c r="AC20" i="7" s="1"/>
  <c r="Z13" i="3" l="1"/>
  <c r="AG24" i="3"/>
  <c r="AG25" i="3" s="1"/>
  <c r="AB9" i="3" s="1"/>
  <c r="F38" i="3" s="1"/>
  <c r="F40" i="3" s="1"/>
  <c r="F46" i="3" s="1"/>
  <c r="B38" i="3"/>
  <c r="B40" i="3" s="1"/>
  <c r="AB20" i="13"/>
  <c r="AC20" i="13" s="1"/>
  <c r="AB22" i="11"/>
  <c r="AC22" i="11" s="1"/>
  <c r="AB21" i="9"/>
  <c r="AC21" i="9" s="1"/>
  <c r="AB21" i="7"/>
  <c r="AC21" i="7" s="1"/>
  <c r="AA13" i="3" l="1"/>
  <c r="Z14" i="3" s="1"/>
  <c r="AA14" i="3" s="1"/>
  <c r="Z15" i="3" s="1"/>
  <c r="AB21" i="13"/>
  <c r="AC21" i="13" s="1"/>
  <c r="AB23" i="11"/>
  <c r="AC23" i="11" s="1"/>
  <c r="AB22" i="9"/>
  <c r="AC22" i="9" s="1"/>
  <c r="AB22" i="7"/>
  <c r="AC22" i="7" s="1"/>
  <c r="AA15" i="3" l="1"/>
  <c r="Z16" i="3" s="1"/>
  <c r="AA16" i="3" s="1"/>
  <c r="AB22" i="13"/>
  <c r="AC22" i="13" s="1"/>
  <c r="AB24" i="11"/>
  <c r="AB23" i="9"/>
  <c r="AC23" i="9" s="1"/>
  <c r="AB23" i="7"/>
  <c r="AC23" i="7" s="1"/>
  <c r="AC24" i="11" l="1"/>
  <c r="AC25" i="11" s="1"/>
  <c r="Z9" i="11" s="1"/>
  <c r="D38" i="11" s="1"/>
  <c r="D40" i="11" s="1"/>
  <c r="Z17" i="3"/>
  <c r="AB23" i="13"/>
  <c r="AC23" i="13" s="1"/>
  <c r="AB24" i="9"/>
  <c r="AB24" i="7"/>
  <c r="AD13" i="11" l="1"/>
  <c r="AE13" i="11" s="1"/>
  <c r="AC24" i="7"/>
  <c r="AC25" i="7" s="1"/>
  <c r="Z9" i="7" s="1"/>
  <c r="AC24" i="9"/>
  <c r="AC25" i="9" s="1"/>
  <c r="Z9" i="9" s="1"/>
  <c r="AA17" i="3"/>
  <c r="AB24" i="13"/>
  <c r="AD14" i="11" l="1"/>
  <c r="AE14" i="11" s="1"/>
  <c r="AD15" i="11" s="1"/>
  <c r="AE15" i="11" s="1"/>
  <c r="AC24" i="13"/>
  <c r="AC25" i="13" s="1"/>
  <c r="Z9" i="13" s="1"/>
  <c r="AD13" i="13"/>
  <c r="AE13" i="13" s="1"/>
  <c r="D38" i="7"/>
  <c r="D40" i="7" s="1"/>
  <c r="AC9" i="7"/>
  <c r="I38" i="7" s="1"/>
  <c r="AC9" i="9"/>
  <c r="I38" i="9" s="1"/>
  <c r="D38" i="9"/>
  <c r="D40" i="9" s="1"/>
  <c r="Z18" i="3"/>
  <c r="AC10" i="7" l="1"/>
  <c r="AC10" i="9"/>
  <c r="AA18" i="3"/>
  <c r="Z19" i="3" s="1"/>
  <c r="AD16" i="11"/>
  <c r="D38" i="13"/>
  <c r="D40" i="13" s="1"/>
  <c r="AD14" i="13"/>
  <c r="B30" i="8"/>
  <c r="B32" i="8" s="1"/>
  <c r="I40" i="9"/>
  <c r="B26" i="6"/>
  <c r="I40" i="7"/>
  <c r="AE16" i="11" l="1"/>
  <c r="AD17" i="11" s="1"/>
  <c r="AE14" i="13"/>
  <c r="AA19" i="3"/>
  <c r="Z20" i="3" s="1"/>
  <c r="B28" i="6"/>
  <c r="M271" i="1"/>
  <c r="F34" i="17" s="1"/>
  <c r="F35" i="17" s="1"/>
  <c r="F42" i="17" s="1"/>
  <c r="F48" i="17" s="1"/>
  <c r="M127" i="1"/>
  <c r="D34" i="17" s="1"/>
  <c r="D35" i="17" s="1"/>
  <c r="D42" i="17" s="1"/>
  <c r="D48" i="17" s="1"/>
  <c r="AE17" i="11" l="1"/>
  <c r="AD18" i="11" s="1"/>
  <c r="AD15" i="13"/>
  <c r="AA20" i="3"/>
  <c r="Z21" i="3" s="1"/>
  <c r="AE18" i="11" l="1"/>
  <c r="AD19" i="11" s="1"/>
  <c r="AE15" i="13"/>
  <c r="AA21" i="3"/>
  <c r="Z22" i="3" s="1"/>
  <c r="AE19" i="11" l="1"/>
  <c r="AD20" i="11" s="1"/>
  <c r="AD16" i="13"/>
  <c r="AA22" i="3"/>
  <c r="Z23" i="3" s="1"/>
  <c r="AE20" i="11" l="1"/>
  <c r="AD21" i="11" s="1"/>
  <c r="AE16" i="13"/>
  <c r="AA23" i="3"/>
  <c r="Z24" i="3" s="1"/>
  <c r="AE21" i="11" l="1"/>
  <c r="AD22" i="11" s="1"/>
  <c r="AD17" i="13"/>
  <c r="AA24" i="3"/>
  <c r="AA25" i="3" s="1"/>
  <c r="Y9" i="3" s="1"/>
  <c r="AB13" i="3"/>
  <c r="AC13" i="3" l="1"/>
  <c r="AB14" i="3" s="1"/>
  <c r="AC14" i="3" s="1"/>
  <c r="AB15" i="3" s="1"/>
  <c r="AE22" i="11"/>
  <c r="AD23" i="11" s="1"/>
  <c r="AE17" i="13"/>
  <c r="AD18" i="13" s="1"/>
  <c r="C38" i="3"/>
  <c r="AE18" i="13" l="1"/>
  <c r="AD19" i="13" s="1"/>
  <c r="AC15" i="3"/>
  <c r="AB16" i="3" s="1"/>
  <c r="AE23" i="11"/>
  <c r="AD24" i="11" s="1"/>
  <c r="C40" i="3"/>
  <c r="M201" i="1"/>
  <c r="E33" i="17" s="1"/>
  <c r="M539" i="1"/>
  <c r="I33" i="17" s="1"/>
  <c r="AC16" i="3" l="1"/>
  <c r="AB17" i="3" s="1"/>
  <c r="AE24" i="11"/>
  <c r="AE25" i="11" s="1"/>
  <c r="AA9" i="11" s="1"/>
  <c r="AE19" i="13"/>
  <c r="AD20" i="13" s="1"/>
  <c r="E38" i="11" l="1"/>
  <c r="E40" i="11" s="1"/>
  <c r="AC9" i="11"/>
  <c r="AE20" i="13"/>
  <c r="AD21" i="13" s="1"/>
  <c r="AC17" i="3"/>
  <c r="AB18" i="3" s="1"/>
  <c r="AE21" i="13" l="1"/>
  <c r="AD22" i="13" s="1"/>
  <c r="AC18" i="3"/>
  <c r="AB19" i="3" s="1"/>
  <c r="I38" i="11"/>
  <c r="AC10" i="11"/>
  <c r="AC19" i="3" l="1"/>
  <c r="AB20" i="3" s="1"/>
  <c r="B37" i="10"/>
  <c r="I40" i="11"/>
  <c r="AE22" i="13"/>
  <c r="AD23" i="13" s="1"/>
  <c r="AE23" i="13" l="1"/>
  <c r="AD24" i="13" s="1"/>
  <c r="AC20" i="3"/>
  <c r="AB21" i="3" s="1"/>
  <c r="B39" i="10"/>
  <c r="M391" i="1"/>
  <c r="G40" i="17" s="1"/>
  <c r="G41" i="17" s="1"/>
  <c r="G42" i="17" s="1"/>
  <c r="G48" i="17" s="1"/>
  <c r="AC21" i="3" l="1"/>
  <c r="AB22" i="3" s="1"/>
  <c r="AE24" i="13"/>
  <c r="AE25" i="13" s="1"/>
  <c r="AA9" i="13" s="1"/>
  <c r="AF13" i="13" l="1"/>
  <c r="AG13" i="13" s="1"/>
  <c r="AF14" i="13" s="1"/>
  <c r="AC22" i="3"/>
  <c r="AB23" i="3" s="1"/>
  <c r="E38" i="13"/>
  <c r="E40" i="13" s="1"/>
  <c r="AC23" i="3" l="1"/>
  <c r="AB24" i="3" s="1"/>
  <c r="AG14" i="13"/>
  <c r="AF15" i="13" s="1"/>
  <c r="AG15" i="13" l="1"/>
  <c r="AF16" i="13" s="1"/>
  <c r="AC24" i="3"/>
  <c r="AC25" i="3" s="1"/>
  <c r="Z9" i="3" s="1"/>
  <c r="D38" i="3" l="1"/>
  <c r="D40" i="3" s="1"/>
  <c r="D46" i="3" s="1"/>
  <c r="AC9" i="3"/>
  <c r="AG16" i="13"/>
  <c r="AF17" i="13" s="1"/>
  <c r="AG17" i="13" l="1"/>
  <c r="AF18" i="13" s="1"/>
  <c r="AC10" i="3"/>
  <c r="I38" i="3"/>
  <c r="I40" i="3" l="1"/>
  <c r="B29" i="2"/>
  <c r="AG18" i="13"/>
  <c r="AF19" i="13" s="1"/>
  <c r="AG19" i="13" l="1"/>
  <c r="AF20" i="13" s="1"/>
  <c r="M542" i="1"/>
  <c r="I34" i="17" s="1"/>
  <c r="I35" i="17" s="1"/>
  <c r="I42" i="17" s="1"/>
  <c r="I48" i="17" s="1"/>
  <c r="M203" i="1"/>
  <c r="E34" i="17" s="1"/>
  <c r="E35" i="17" s="1"/>
  <c r="E42" i="17" s="1"/>
  <c r="E48" i="17" s="1"/>
  <c r="M53" i="1"/>
  <c r="B31" i="2"/>
  <c r="C31" i="17" l="1"/>
  <c r="C34" i="17"/>
  <c r="AG20" i="13"/>
  <c r="AF21" i="13" s="1"/>
  <c r="C35" i="17" l="1"/>
  <c r="C42" i="17" s="1"/>
  <c r="C48" i="17" s="1"/>
  <c r="AG21" i="13"/>
  <c r="AF22" i="13" s="1"/>
  <c r="AG22" i="13" l="1"/>
  <c r="AF23" i="13" s="1"/>
  <c r="AG23" i="13" l="1"/>
  <c r="AF24" i="13" s="1"/>
  <c r="AG24" i="13" l="1"/>
  <c r="AG25" i="13" s="1"/>
  <c r="AB9" i="13" s="1"/>
  <c r="F38" i="13" l="1"/>
  <c r="F40" i="13" s="1"/>
  <c r="AC9" i="13"/>
  <c r="I38" i="13" l="1"/>
  <c r="AC10" i="13"/>
  <c r="B37" i="12" l="1"/>
  <c r="I40" i="13"/>
  <c r="M464" i="1" l="1"/>
  <c r="H40" i="17" s="1"/>
  <c r="H41" i="17" s="1"/>
  <c r="H42" i="17" s="1"/>
  <c r="H48" i="17" s="1"/>
  <c r="B39" i="12"/>
</calcChain>
</file>

<file path=xl/comments1.xml><?xml version="1.0" encoding="utf-8"?>
<comments xmlns="http://schemas.openxmlformats.org/spreadsheetml/2006/main">
  <authors>
    <author>tcoles</author>
  </authors>
  <commentList>
    <comment ref="F28" authorId="0">
      <text>
        <r>
          <rPr>
            <sz val="9"/>
            <color indexed="81"/>
            <rFont val="Tahoma"/>
            <family val="2"/>
          </rPr>
          <t>Includes Detailed design time</t>
        </r>
      </text>
    </comment>
    <comment ref="H28" authorId="0">
      <text>
        <r>
          <rPr>
            <sz val="9"/>
            <color indexed="81"/>
            <rFont val="Tahoma"/>
            <family val="2"/>
          </rPr>
          <t>Includes Detailed design time</t>
        </r>
      </text>
    </comment>
  </commentList>
</comments>
</file>

<file path=xl/comments2.xml><?xml version="1.0" encoding="utf-8"?>
<comments xmlns="http://schemas.openxmlformats.org/spreadsheetml/2006/main">
  <authors>
    <author>tcoles</author>
  </authors>
  <commentList>
    <comment ref="W6" authorId="0">
      <text>
        <r>
          <rPr>
            <sz val="9"/>
            <color indexed="81"/>
            <rFont val="Tahoma"/>
            <family val="2"/>
          </rPr>
          <t xml:space="preserve">Removed historical electrical, pluming and other major plant repairs </t>
        </r>
      </text>
    </comment>
    <comment ref="X6" authorId="0">
      <text>
        <r>
          <rPr>
            <sz val="9"/>
            <color indexed="81"/>
            <rFont val="Tahoma"/>
            <family val="2"/>
          </rPr>
          <t>Removed historical electrical, pluming and other major plant repairs. Apportioned by sqm (same)</t>
        </r>
      </text>
    </comment>
    <comment ref="Y6" authorId="0">
      <text>
        <r>
          <rPr>
            <sz val="9"/>
            <color indexed="81"/>
            <rFont val="Tahoma"/>
            <family val="2"/>
          </rPr>
          <t xml:space="preserve">Removed historical electrical, pluming and other major plant repairs </t>
        </r>
      </text>
    </comment>
    <comment ref="Z6" authorId="0">
      <text>
        <r>
          <rPr>
            <sz val="9"/>
            <color indexed="81"/>
            <rFont val="Tahoma"/>
            <family val="2"/>
          </rPr>
          <t>Removed historical electrical, pluming and other major plant repairs. Apportioned by sqm (same)</t>
        </r>
      </text>
    </comment>
    <comment ref="AB6" authorId="0">
      <text>
        <r>
          <rPr>
            <sz val="9"/>
            <color indexed="81"/>
            <rFont val="Tahoma"/>
            <family val="2"/>
          </rPr>
          <t>Maintain BAU costs</t>
        </r>
      </text>
    </comment>
    <comment ref="AC6" authorId="0">
      <text>
        <r>
          <rPr>
            <sz val="9"/>
            <color indexed="81"/>
            <rFont val="Tahoma"/>
            <family val="2"/>
          </rPr>
          <t>Removed historical larger plant repairs.</t>
        </r>
      </text>
    </comment>
    <comment ref="AD6" authorId="0">
      <text>
        <r>
          <rPr>
            <sz val="9"/>
            <color indexed="81"/>
            <rFont val="Tahoma"/>
            <family val="2"/>
          </rPr>
          <t xml:space="preserve">Removed historical electrical, pluming and other major plant repairs </t>
        </r>
      </text>
    </comment>
    <comment ref="J7" authorId="0">
      <text>
        <r>
          <rPr>
            <sz val="9"/>
            <color indexed="81"/>
            <rFont val="Tahoma"/>
            <family val="2"/>
          </rPr>
          <t>Flat-rate</t>
        </r>
      </text>
    </comment>
    <comment ref="K7" authorId="0">
      <text>
        <r>
          <rPr>
            <sz val="9"/>
            <color indexed="81"/>
            <rFont val="Tahoma"/>
            <family val="2"/>
          </rPr>
          <t>Flat-rate</t>
        </r>
      </text>
    </comment>
    <comment ref="L7" authorId="0">
      <text>
        <r>
          <rPr>
            <sz val="9"/>
            <color indexed="81"/>
            <rFont val="Tahoma"/>
            <family val="2"/>
          </rPr>
          <t>Flat-rate</t>
        </r>
      </text>
    </comment>
    <comment ref="M7" authorId="0">
      <text>
        <r>
          <rPr>
            <sz val="9"/>
            <color indexed="81"/>
            <rFont val="Tahoma"/>
            <family val="2"/>
          </rPr>
          <t>All security captured under 'Office'</t>
        </r>
      </text>
    </comment>
    <comment ref="Q7" authorId="0">
      <text>
        <r>
          <rPr>
            <sz val="9"/>
            <color indexed="81"/>
            <rFont val="Tahoma"/>
            <family val="2"/>
          </rPr>
          <t>Flat-rate</t>
        </r>
      </text>
    </comment>
    <comment ref="AA7" authorId="0">
      <text>
        <r>
          <rPr>
            <sz val="9"/>
            <color indexed="81"/>
            <rFont val="Tahoma"/>
            <family val="2"/>
          </rPr>
          <t>Reduce by half from 11/12</t>
        </r>
      </text>
    </comment>
    <comment ref="AB7" authorId="0">
      <text>
        <r>
          <rPr>
            <sz val="9"/>
            <color indexed="81"/>
            <rFont val="Tahoma"/>
            <family val="2"/>
          </rPr>
          <t>Reduce by half from 11/12</t>
        </r>
      </text>
    </comment>
    <comment ref="AC7" authorId="0">
      <text>
        <r>
          <rPr>
            <sz val="9"/>
            <color indexed="81"/>
            <rFont val="Tahoma"/>
            <family val="2"/>
          </rPr>
          <t>Reduced by 3/4</t>
        </r>
      </text>
    </comment>
    <comment ref="J8" authorId="0">
      <text>
        <r>
          <rPr>
            <sz val="9"/>
            <color indexed="81"/>
            <rFont val="Tahoma"/>
            <family val="2"/>
          </rPr>
          <t>Reflective of rates at 14 Dalrymple (ARK Homes) moving forward. Water rates based on 24 Dalrymple moving forward. Rates paid 6-monthly, water paid quarterly</t>
        </r>
      </text>
    </comment>
    <comment ref="K8" authorId="0">
      <text>
        <r>
          <rPr>
            <sz val="9"/>
            <color indexed="81"/>
            <rFont val="Tahoma"/>
            <family val="2"/>
          </rPr>
          <t>Reflective of rates at 14 Dalrymple (ARK Homes) moving forward. Water rates based on 24 Dalrymple moving forward. Rates paid 6-monthly, water paid quarterly.</t>
        </r>
      </text>
    </comment>
    <comment ref="L8" authorId="0">
      <text>
        <r>
          <rPr>
            <sz val="9"/>
            <color indexed="81"/>
            <rFont val="Tahoma"/>
            <family val="2"/>
          </rPr>
          <t>Reflective of rates at 14 Dalrymple (ARK Homes) moving forward. Water rates based on 24 Dalrymple moving forward. Rates paid 6-monthly, water paid quarterly.</t>
        </r>
      </text>
    </comment>
    <comment ref="M8" authorId="0">
      <text>
        <r>
          <rPr>
            <sz val="9"/>
            <color indexed="81"/>
            <rFont val="Tahoma"/>
            <family val="2"/>
          </rPr>
          <t>All rates captured under 'Office'</t>
        </r>
      </text>
    </comment>
    <comment ref="Q8" authorId="0">
      <text>
        <r>
          <rPr>
            <sz val="9"/>
            <color indexed="81"/>
            <rFont val="Tahoma"/>
            <family val="2"/>
          </rPr>
          <t>Reflective of rates at 14 Dalrymple (ARK Homes) moving forward. Water rates based on 24 Dalrymple moving forward. Rates paid 6-monthly, water paid quarterly</t>
        </r>
      </text>
    </comment>
    <comment ref="U8" authorId="0">
      <text>
        <r>
          <rPr>
            <sz val="9"/>
            <color indexed="81"/>
            <rFont val="Tahoma"/>
            <family val="2"/>
          </rPr>
          <t>Cyclone Yasi costs included</t>
        </r>
      </text>
    </comment>
    <comment ref="V8" authorId="0">
      <text>
        <r>
          <rPr>
            <sz val="9"/>
            <color indexed="81"/>
            <rFont val="Tahoma"/>
            <family val="2"/>
          </rPr>
          <t>Non-cyclone year</t>
        </r>
      </text>
    </comment>
    <comment ref="AB8" authorId="0">
      <text>
        <r>
          <rPr>
            <sz val="9"/>
            <color indexed="81"/>
            <rFont val="Tahoma"/>
            <family val="2"/>
          </rPr>
          <t>Maintain BAU Costs</t>
        </r>
      </text>
    </comment>
    <comment ref="J10" authorId="0">
      <text>
        <r>
          <rPr>
            <sz val="9"/>
            <color indexed="81"/>
            <rFont val="Tahoma"/>
            <family val="2"/>
          </rPr>
          <t>Reflective of land tax at 14 Dalrymple (ARK Homes) moving forward - 12/13 reflects Depot &amp; Stores together</t>
        </r>
      </text>
    </comment>
    <comment ref="K10" authorId="0">
      <text>
        <r>
          <rPr>
            <sz val="9"/>
            <color indexed="81"/>
            <rFont val="Tahoma"/>
            <family val="2"/>
          </rPr>
          <t>Reflective of land tax at 14 Dalrymple (ARK Homes) moving forward - 12/13 reflects Depot &amp; Stores together</t>
        </r>
      </text>
    </comment>
    <comment ref="L10" authorId="0">
      <text>
        <r>
          <rPr>
            <sz val="9"/>
            <color indexed="81"/>
            <rFont val="Tahoma"/>
            <family val="2"/>
          </rPr>
          <t>Reflective of land tax at 14 Dalrymple (ARK Homes) moving forward - 12/13 reflects Depot &amp; Stores together</t>
        </r>
      </text>
    </comment>
    <comment ref="M10" authorId="0">
      <text>
        <r>
          <rPr>
            <sz val="9"/>
            <color indexed="81"/>
            <rFont val="Tahoma"/>
            <family val="2"/>
          </rPr>
          <t>All land tax captured under 'Office'</t>
        </r>
      </text>
    </comment>
    <comment ref="Q10" authorId="0">
      <text>
        <r>
          <rPr>
            <sz val="9"/>
            <color indexed="81"/>
            <rFont val="Tahoma"/>
            <family val="2"/>
          </rPr>
          <t>Reflective of land tax at 14 Dalrymple (ARK Homes) moving forward - 12/13 reflects Depot &amp; Stores together</t>
        </r>
      </text>
    </comment>
    <comment ref="J12" authorId="0">
      <text>
        <r>
          <rPr>
            <sz val="9"/>
            <color indexed="81"/>
            <rFont val="Tahoma"/>
            <family val="2"/>
          </rPr>
          <t>Based on change in staff numbers</t>
        </r>
      </text>
    </comment>
    <comment ref="K12" authorId="0">
      <text>
        <r>
          <rPr>
            <sz val="9"/>
            <color indexed="81"/>
            <rFont val="Tahoma"/>
            <family val="2"/>
          </rPr>
          <t>Based on change in staff numbers</t>
        </r>
      </text>
    </comment>
    <comment ref="L12" authorId="0">
      <text>
        <r>
          <rPr>
            <sz val="9"/>
            <color indexed="81"/>
            <rFont val="Tahoma"/>
            <family val="2"/>
          </rPr>
          <t>Based on change in staff numbers</t>
        </r>
      </text>
    </comment>
    <comment ref="M12" authorId="0">
      <text>
        <r>
          <rPr>
            <sz val="9"/>
            <color indexed="81"/>
            <rFont val="Tahoma"/>
            <family val="2"/>
          </rPr>
          <t>All furniture captured under 'Office'</t>
        </r>
      </text>
    </comment>
    <comment ref="Q12" authorId="0">
      <text>
        <r>
          <rPr>
            <sz val="9"/>
            <color indexed="81"/>
            <rFont val="Tahoma"/>
            <family val="2"/>
          </rPr>
          <t>Based on change in staff numbers</t>
        </r>
      </text>
    </comment>
    <comment ref="W17" authorId="0">
      <text>
        <r>
          <rPr>
            <sz val="9"/>
            <color indexed="81"/>
            <rFont val="Tahoma"/>
            <family val="2"/>
          </rPr>
          <t>Removed historical lift, electrical, pluming and other major plant repairs. Maintained OCCN repairs in calculation.</t>
        </r>
      </text>
    </comment>
    <comment ref="X17" authorId="0">
      <text>
        <r>
          <rPr>
            <sz val="9"/>
            <color indexed="81"/>
            <rFont val="Tahoma"/>
            <family val="2"/>
          </rPr>
          <t>Removed historical lift, electrical, pluming and other major plant repairs. Maintained OCCN repairs in calculation. Apportioned by sqm</t>
        </r>
      </text>
    </comment>
    <comment ref="Y17" authorId="0">
      <text>
        <r>
          <rPr>
            <sz val="9"/>
            <color indexed="81"/>
            <rFont val="Tahoma"/>
            <family val="2"/>
          </rPr>
          <t>Removed historical lift, electrical, pluming and other major plant repairs. Maintained OCCN repairs in calculation.</t>
        </r>
      </text>
    </comment>
    <comment ref="Z17" authorId="0">
      <text>
        <r>
          <rPr>
            <sz val="9"/>
            <color indexed="81"/>
            <rFont val="Tahoma"/>
            <family val="2"/>
          </rPr>
          <t>Removed historical lift, electrical, pluming and other major plant repairs. Maintained OCCN repairs in calculation. Apportioned by sqm</t>
        </r>
      </text>
    </comment>
    <comment ref="AB17" authorId="0">
      <text>
        <r>
          <rPr>
            <sz val="9"/>
            <color indexed="81"/>
            <rFont val="Tahoma"/>
            <family val="2"/>
          </rPr>
          <t>Maintain BAU costs</t>
        </r>
      </text>
    </comment>
    <comment ref="AC17" authorId="0">
      <text>
        <r>
          <rPr>
            <sz val="9"/>
            <color indexed="81"/>
            <rFont val="Tahoma"/>
            <family val="2"/>
          </rPr>
          <t>Removed historical larger plant repairs.</t>
        </r>
      </text>
    </comment>
    <comment ref="AD17" authorId="0">
      <text>
        <r>
          <rPr>
            <sz val="9"/>
            <color indexed="81"/>
            <rFont val="Tahoma"/>
            <family val="2"/>
          </rPr>
          <t xml:space="preserve">Removed historical electrical, pluming and other major plant repairs </t>
        </r>
      </text>
    </comment>
    <comment ref="J18" authorId="0">
      <text>
        <r>
          <rPr>
            <sz val="9"/>
            <color indexed="81"/>
            <rFont val="Tahoma"/>
            <family val="2"/>
          </rPr>
          <t>Applied staff reduction and expected 20% saving based on shared services and centralised kitchen (as opposed to multiple kitchenettes).</t>
        </r>
      </text>
    </comment>
    <comment ref="K18" authorId="0">
      <text>
        <r>
          <rPr>
            <sz val="9"/>
            <color indexed="81"/>
            <rFont val="Tahoma"/>
            <family val="2"/>
          </rPr>
          <t>Applied staff reduction and expected 20% saving based on shared services and centralised kitchen (as opposed to multiple kitchenettes</t>
        </r>
      </text>
    </comment>
    <comment ref="L18" authorId="0">
      <text>
        <r>
          <rPr>
            <sz val="9"/>
            <color indexed="81"/>
            <rFont val="Tahoma"/>
            <family val="2"/>
          </rPr>
          <t>Applied staff reduction and expected 20% saving based on shared services and centralised kitchen (as opposed to multiple kitchenettes</t>
        </r>
      </text>
    </comment>
    <comment ref="M18" authorId="0">
      <text>
        <r>
          <rPr>
            <sz val="9"/>
            <color indexed="81"/>
            <rFont val="Tahoma"/>
            <family val="2"/>
          </rPr>
          <t>Consistent with Garbutt redevelopment as staff driven and consistent design drivers (no separate amenities building).</t>
        </r>
      </text>
    </comment>
    <comment ref="N18" authorId="0">
      <text>
        <r>
          <rPr>
            <sz val="9"/>
            <color indexed="81"/>
            <rFont val="Tahoma"/>
            <family val="2"/>
          </rPr>
          <t>BAU apportioned by staff changes</t>
        </r>
      </text>
    </comment>
    <comment ref="P18" authorId="0">
      <text>
        <r>
          <rPr>
            <sz val="9"/>
            <color indexed="81"/>
            <rFont val="Tahoma"/>
            <family val="2"/>
          </rPr>
          <t>Applied staff reduction and expected 20% saving based on shared services and centralised kitchen (as opposed to multiple kitchenettes).</t>
        </r>
      </text>
    </comment>
    <comment ref="Q18" authorId="0">
      <text>
        <r>
          <rPr>
            <sz val="9"/>
            <color indexed="81"/>
            <rFont val="Tahoma"/>
            <family val="2"/>
          </rPr>
          <t>Applied staff reduction and expected 20% saving based on shared services and centralised kitchen (as opposed to multiple kitchenettes</t>
        </r>
      </text>
    </comment>
    <comment ref="AA18" authorId="0">
      <text>
        <r>
          <rPr>
            <sz val="9"/>
            <color indexed="81"/>
            <rFont val="Tahoma"/>
            <family val="2"/>
          </rPr>
          <t>Average per year prior to 11/12. Planned Corrective was ceased due to pending redevelopment.</t>
        </r>
      </text>
    </comment>
    <comment ref="AB18" authorId="0">
      <text>
        <r>
          <rPr>
            <sz val="9"/>
            <color indexed="81"/>
            <rFont val="Tahoma"/>
            <family val="2"/>
          </rPr>
          <t>Maintain BAU costs</t>
        </r>
      </text>
    </comment>
    <comment ref="AC18" authorId="0">
      <text>
        <r>
          <rPr>
            <sz val="9"/>
            <color indexed="81"/>
            <rFont val="Tahoma"/>
            <family val="2"/>
          </rPr>
          <t>Reduced by 3/4</t>
        </r>
      </text>
    </comment>
    <comment ref="J19" authorId="0">
      <text>
        <r>
          <rPr>
            <sz val="9"/>
            <color indexed="81"/>
            <rFont val="Tahoma"/>
            <family val="2"/>
          </rPr>
          <t>Based on sqm remaining consistent in office, with 10% saving due to significant change in age of building post-redevelopement</t>
        </r>
      </text>
    </comment>
    <comment ref="K19" authorId="0">
      <text>
        <r>
          <rPr>
            <sz val="9"/>
            <color indexed="81"/>
            <rFont val="Tahoma"/>
            <family val="2"/>
          </rPr>
          <t>SQM of office and cleaning cost increased proportionally, with 10% saving due to significant change in age of building post-redevelopement</t>
        </r>
      </text>
    </comment>
    <comment ref="L19" authorId="0">
      <text>
        <r>
          <rPr>
            <sz val="9"/>
            <color indexed="81"/>
            <rFont val="Tahoma"/>
            <family val="2"/>
          </rPr>
          <t>Based on sqm remaining consistent in office, with 10% saving due to significant change in age of building post-redevelopement</t>
        </r>
      </text>
    </comment>
    <comment ref="M19" authorId="0">
      <text>
        <r>
          <rPr>
            <sz val="9"/>
            <color indexed="81"/>
            <rFont val="Tahoma"/>
            <family val="2"/>
          </rPr>
          <t>Based on Garbutt Redevelopment apportioned for greater SQM profile</t>
        </r>
      </text>
    </comment>
    <comment ref="P19" authorId="0">
      <text>
        <r>
          <rPr>
            <sz val="9"/>
            <color indexed="81"/>
            <rFont val="Tahoma"/>
            <family val="2"/>
          </rPr>
          <t>Based on sqm remaining consistent in office, with 10% saving due to significant change in age of building post-refurbishment</t>
        </r>
      </text>
    </comment>
    <comment ref="Q19" authorId="0">
      <text>
        <r>
          <rPr>
            <sz val="9"/>
            <color indexed="81"/>
            <rFont val="Tahoma"/>
            <family val="2"/>
          </rPr>
          <t>Based on sqm remaining consistent in office, with 10% saving due to significant change in age of building post-redevelopement</t>
        </r>
      </text>
    </comment>
    <comment ref="U19" authorId="0">
      <text>
        <r>
          <rPr>
            <sz val="9"/>
            <color indexed="81"/>
            <rFont val="Tahoma"/>
            <family val="2"/>
          </rPr>
          <t>Cyclone Yasi costs included</t>
        </r>
      </text>
    </comment>
    <comment ref="V19" authorId="0">
      <text>
        <r>
          <rPr>
            <sz val="9"/>
            <color indexed="81"/>
            <rFont val="Tahoma"/>
            <family val="2"/>
          </rPr>
          <t>Non-cyclone year</t>
        </r>
      </text>
    </comment>
    <comment ref="AA19" authorId="0">
      <text>
        <r>
          <rPr>
            <sz val="9"/>
            <color indexed="81"/>
            <rFont val="Tahoma"/>
            <family val="2"/>
          </rPr>
          <t>Average of last two years</t>
        </r>
      </text>
    </comment>
    <comment ref="AB19" authorId="0">
      <text>
        <r>
          <rPr>
            <sz val="9"/>
            <color indexed="81"/>
            <rFont val="Tahoma"/>
            <family val="2"/>
          </rPr>
          <t>Maintain BAU costs</t>
        </r>
      </text>
    </comment>
    <comment ref="J20" authorId="0">
      <text>
        <r>
          <rPr>
            <sz val="9"/>
            <color indexed="81"/>
            <rFont val="Tahoma"/>
            <family val="2"/>
          </rPr>
          <t>Flat rate</t>
        </r>
      </text>
    </comment>
    <comment ref="K20" authorId="0">
      <text>
        <r>
          <rPr>
            <sz val="9"/>
            <color indexed="81"/>
            <rFont val="Tahoma"/>
            <family val="2"/>
          </rPr>
          <t>Flat rate</t>
        </r>
      </text>
    </comment>
    <comment ref="L20" authorId="0">
      <text>
        <r>
          <rPr>
            <sz val="9"/>
            <color indexed="81"/>
            <rFont val="Tahoma"/>
            <family val="2"/>
          </rPr>
          <t>Flat rate</t>
        </r>
      </text>
    </comment>
    <comment ref="M20" authorId="0">
      <text>
        <r>
          <rPr>
            <sz val="9"/>
            <color indexed="81"/>
            <rFont val="Tahoma"/>
            <family val="2"/>
          </rPr>
          <t>Based on existing costs</t>
        </r>
      </text>
    </comment>
    <comment ref="Q20" authorId="0">
      <text>
        <r>
          <rPr>
            <sz val="9"/>
            <color indexed="81"/>
            <rFont val="Tahoma"/>
            <family val="2"/>
          </rPr>
          <t>Flat rate</t>
        </r>
      </text>
    </comment>
    <comment ref="J21" authorId="0">
      <text>
        <r>
          <rPr>
            <sz val="9"/>
            <color indexed="81"/>
            <rFont val="Tahoma"/>
            <family val="2"/>
          </rPr>
          <t>Modified in proportion with staff changes in office building with 40% saving based on centralised utility room and significant reduction in no. of document bins</t>
        </r>
      </text>
    </comment>
    <comment ref="K21" authorId="0">
      <text>
        <r>
          <rPr>
            <sz val="9"/>
            <color indexed="81"/>
            <rFont val="Tahoma"/>
            <family val="2"/>
          </rPr>
          <t>Modified in proportion with staff changes in office building with 40% saving based on centralised utility room and significant reduction in no. of document bins</t>
        </r>
      </text>
    </comment>
    <comment ref="L21" authorId="0">
      <text>
        <r>
          <rPr>
            <sz val="9"/>
            <color indexed="81"/>
            <rFont val="Tahoma"/>
            <family val="2"/>
          </rPr>
          <t>Modified in proportion with staff changes in office building with 40% saving based on centralised utility room and significant reduction in no. of document bins</t>
        </r>
      </text>
    </comment>
    <comment ref="M21" authorId="0">
      <text>
        <r>
          <rPr>
            <sz val="9"/>
            <color indexed="81"/>
            <rFont val="Tahoma"/>
            <family val="2"/>
          </rPr>
          <t>Consistent with Garbutt redevelopment as staff driven and consistent design drivers.</t>
        </r>
      </text>
    </comment>
    <comment ref="N21" authorId="0">
      <text>
        <r>
          <rPr>
            <sz val="9"/>
            <color indexed="81"/>
            <rFont val="Tahoma"/>
            <family val="2"/>
          </rPr>
          <t>BAU apportioned by staff changes</t>
        </r>
      </text>
    </comment>
    <comment ref="P21" authorId="0">
      <text>
        <r>
          <rPr>
            <sz val="9"/>
            <color indexed="81"/>
            <rFont val="Tahoma"/>
            <family val="2"/>
          </rPr>
          <t>Modified in proportion with staff changes in office building with 40% saving based on centralised utility room and significant reduction in no. of document bins.</t>
        </r>
      </text>
    </comment>
    <comment ref="Q21" authorId="0">
      <text>
        <r>
          <rPr>
            <sz val="9"/>
            <color indexed="81"/>
            <rFont val="Tahoma"/>
            <family val="2"/>
          </rPr>
          <t>Modified in proportion with staff changes in office building with 40% saving based on centralised utility room and significant reduction in no. of document bins</t>
        </r>
      </text>
    </comment>
    <comment ref="I22" authorId="0">
      <text>
        <r>
          <rPr>
            <sz val="9"/>
            <color indexed="81"/>
            <rFont val="Tahoma"/>
            <family val="2"/>
          </rPr>
          <t>This figure represents a 6-monthly payment of $25k plus a post-amalgamation 6-monthly payment of $59k for Office/Stores/ARK as one lot, plus the associated water rates quarterly.</t>
        </r>
      </text>
    </comment>
    <comment ref="J22" authorId="0">
      <text>
        <r>
          <rPr>
            <sz val="9"/>
            <color indexed="81"/>
            <rFont val="Tahoma"/>
            <family val="2"/>
          </rPr>
          <t>Represents the original pre-amalgamation rates cost ($25.6k/6monthly) plus associated water rates through year</t>
        </r>
      </text>
    </comment>
    <comment ref="K22" authorId="0">
      <text>
        <r>
          <rPr>
            <sz val="9"/>
            <color indexed="81"/>
            <rFont val="Tahoma"/>
            <family val="2"/>
          </rPr>
          <t>Represents the original pre-amalgamation rates cost ($25.6k/6monthly) plus associated water rates through year</t>
        </r>
      </text>
    </comment>
    <comment ref="L22" authorId="0">
      <text>
        <r>
          <rPr>
            <sz val="9"/>
            <color indexed="81"/>
            <rFont val="Tahoma"/>
            <family val="2"/>
          </rPr>
          <t>Represents the original pre-amalgamation rates cost ($25.6k/6monthly) plus associated water rates through year</t>
        </r>
      </text>
    </comment>
    <comment ref="M22" authorId="0">
      <text>
        <r>
          <rPr>
            <sz val="9"/>
            <color indexed="81"/>
            <rFont val="Tahoma"/>
            <family val="2"/>
          </rPr>
          <t>Based on current rates at 591A Ingham Rd with water costs for Stores, Office &amp; Depot at Garbutt.</t>
        </r>
      </text>
    </comment>
    <comment ref="N22" authorId="0">
      <text>
        <r>
          <rPr>
            <sz val="9"/>
            <color indexed="81"/>
            <rFont val="Tahoma"/>
            <family val="2"/>
          </rPr>
          <t>Represents the original pre-amalgamation rates cost ($25.6k/6monthly) plus associated water rates through year</t>
        </r>
      </text>
    </comment>
    <comment ref="Q22" authorId="0">
      <text>
        <r>
          <rPr>
            <sz val="9"/>
            <color indexed="81"/>
            <rFont val="Tahoma"/>
            <family val="2"/>
          </rPr>
          <t>Represents the original pre-amalgamation rates cost ($25.6k/6monthly) plus associated water rates through year</t>
        </r>
      </text>
    </comment>
    <comment ref="J23" authorId="0">
      <text>
        <r>
          <rPr>
            <sz val="9"/>
            <color indexed="81"/>
            <rFont val="Tahoma"/>
            <family val="2"/>
          </rPr>
          <t>Modified in proportion with staff changes in office building with 40% saving based on centralised utility room and significant reduction in no. of document bins</t>
        </r>
      </text>
    </comment>
    <comment ref="K23" authorId="0">
      <text>
        <r>
          <rPr>
            <sz val="9"/>
            <color indexed="81"/>
            <rFont val="Tahoma"/>
            <family val="2"/>
          </rPr>
          <t>Modified in proportion with staff changes in office building with 40% saving based on centralised utility room and significant reduction in no. of document bins</t>
        </r>
      </text>
    </comment>
    <comment ref="L23" authorId="0">
      <text>
        <r>
          <rPr>
            <sz val="9"/>
            <color indexed="81"/>
            <rFont val="Tahoma"/>
            <family val="2"/>
          </rPr>
          <t>Modified in proportion with staff changes in office building with 40% saving based on centralised utility room and significant reduction in no. of document bins</t>
        </r>
      </text>
    </comment>
    <comment ref="M23" authorId="0">
      <text>
        <r>
          <rPr>
            <sz val="9"/>
            <color indexed="81"/>
            <rFont val="Tahoma"/>
            <family val="2"/>
          </rPr>
          <t>Consistent with Garbutt redevelopment due to staff driven and similar design drivers</t>
        </r>
      </text>
    </comment>
    <comment ref="N23" authorId="0">
      <text>
        <r>
          <rPr>
            <sz val="9"/>
            <color indexed="81"/>
            <rFont val="Tahoma"/>
            <family val="2"/>
          </rPr>
          <t>BAU apportioned by staff changes</t>
        </r>
      </text>
    </comment>
    <comment ref="P23" authorId="0">
      <text>
        <r>
          <rPr>
            <sz val="9"/>
            <color indexed="81"/>
            <rFont val="Tahoma"/>
            <family val="2"/>
          </rPr>
          <t>Modified in proportion with staff changes in office building with 40% saving based on centralised utility room and significant reduction in no. of document bins.</t>
        </r>
      </text>
    </comment>
    <comment ref="Q23" authorId="0">
      <text>
        <r>
          <rPr>
            <sz val="9"/>
            <color indexed="81"/>
            <rFont val="Tahoma"/>
            <family val="2"/>
          </rPr>
          <t>Modified in proportion with staff changes in office building with 40% saving based on centralised utility room and significant reduction in no. of document bins</t>
        </r>
      </text>
    </comment>
    <comment ref="J24" authorId="0">
      <text>
        <r>
          <rPr>
            <sz val="9"/>
            <color indexed="81"/>
            <rFont val="Tahoma"/>
            <family val="2"/>
          </rPr>
          <t>Super donga: 12 * $3900/month</t>
        </r>
      </text>
    </comment>
    <comment ref="K24" authorId="0">
      <text>
        <r>
          <rPr>
            <sz val="9"/>
            <color indexed="81"/>
            <rFont val="Tahoma"/>
            <family val="2"/>
          </rPr>
          <t>Super donga: 12 * $3900/month</t>
        </r>
      </text>
    </comment>
    <comment ref="L24" authorId="0">
      <text>
        <r>
          <rPr>
            <sz val="9"/>
            <color indexed="81"/>
            <rFont val="Tahoma"/>
            <family val="2"/>
          </rPr>
          <t>Super donga: 12 * $3900/month</t>
        </r>
      </text>
    </comment>
    <comment ref="N24" authorId="0">
      <text>
        <r>
          <rPr>
            <sz val="9"/>
            <color indexed="81"/>
            <rFont val="Tahoma"/>
            <family val="2"/>
          </rPr>
          <t>Super donga: 12 * $3900/month</t>
        </r>
      </text>
    </comment>
    <comment ref="Q24" authorId="0">
      <text>
        <r>
          <rPr>
            <sz val="9"/>
            <color indexed="81"/>
            <rFont val="Tahoma"/>
            <family val="2"/>
          </rPr>
          <t>Super donga: 12 * $3900/month</t>
        </r>
      </text>
    </comment>
    <comment ref="I25" authorId="0">
      <text>
        <r>
          <rPr>
            <sz val="9"/>
            <color indexed="81"/>
            <rFont val="Tahoma"/>
            <family val="2"/>
          </rPr>
          <t>Cost representative of two years worth</t>
        </r>
      </text>
    </comment>
    <comment ref="J25" authorId="0">
      <text>
        <r>
          <rPr>
            <sz val="9"/>
            <color indexed="81"/>
            <rFont val="Tahoma"/>
            <family val="2"/>
          </rPr>
          <t>12/13 actuals reflects two years worth, baseline should be an annual cost</t>
        </r>
      </text>
    </comment>
    <comment ref="K25" authorId="0">
      <text>
        <r>
          <rPr>
            <sz val="9"/>
            <color indexed="81"/>
            <rFont val="Tahoma"/>
            <family val="2"/>
          </rPr>
          <t>12/13 actuals reflects two years worth, baseline should be an annual cost</t>
        </r>
      </text>
    </comment>
    <comment ref="L25" authorId="0">
      <text>
        <r>
          <rPr>
            <sz val="9"/>
            <color indexed="81"/>
            <rFont val="Tahoma"/>
            <family val="2"/>
          </rPr>
          <t>12/13 actuals reflects two years worth, baseline should be an annual cost</t>
        </r>
      </text>
    </comment>
    <comment ref="M25" authorId="0">
      <text>
        <r>
          <rPr>
            <sz val="9"/>
            <color indexed="81"/>
            <rFont val="Tahoma"/>
            <family val="2"/>
          </rPr>
          <t>Based on current land tax at 591A Ingham Rd, Mount St John</t>
        </r>
      </text>
    </comment>
    <comment ref="Q25" authorId="0">
      <text>
        <r>
          <rPr>
            <sz val="9"/>
            <color indexed="81"/>
            <rFont val="Tahoma"/>
            <family val="2"/>
          </rPr>
          <t>12/13 actuals reflects two years worth, baseline should be an annual cost</t>
        </r>
      </text>
    </comment>
    <comment ref="K26" authorId="0">
      <text>
        <r>
          <rPr>
            <sz val="9"/>
            <color indexed="81"/>
            <rFont val="Tahoma"/>
            <family val="2"/>
          </rPr>
          <t>Ecolink minimal cost to maintain as per Mackay ecolink (artificial vegetation)</t>
        </r>
      </text>
    </comment>
    <comment ref="M26" authorId="0">
      <text>
        <r>
          <rPr>
            <sz val="9"/>
            <color indexed="81"/>
            <rFont val="Tahoma"/>
            <family val="2"/>
          </rPr>
          <t>Ecolink minimal cost to maintain as per Mackay ecolink (artificial vegetation)</t>
        </r>
      </text>
    </comment>
    <comment ref="M27" authorId="0">
      <text>
        <r>
          <rPr>
            <sz val="9"/>
            <color indexed="81"/>
            <rFont val="Tahoma"/>
            <family val="2"/>
          </rPr>
          <t>Based on existing costs</t>
        </r>
      </text>
    </comment>
    <comment ref="I28" authorId="0">
      <text>
        <r>
          <rPr>
            <sz val="9"/>
            <color indexed="81"/>
            <rFont val="Tahoma"/>
            <family val="2"/>
          </rPr>
          <t>Includes Office, OCCN, S.Donga &amp; Stores (BG3), BG13 &amp; BG14</t>
        </r>
      </text>
    </comment>
    <comment ref="J28" authorId="0">
      <text>
        <r>
          <rPr>
            <sz val="9"/>
            <color indexed="81"/>
            <rFont val="Tahoma"/>
            <family val="2"/>
          </rPr>
          <t>Based on sqm difference with the removal of buildings 13, 14, and S.Donga. Includes additional 40% reduction due to energy saving devices, reduced comms requirements and time sensitive usage in retained buildings. Although new Stores (ARK) utilises larger under roof profile, staff usage reduced by 91% provides considerable saving in electricity aginst existing stores.</t>
        </r>
      </text>
    </comment>
    <comment ref="K28" authorId="0">
      <text>
        <r>
          <rPr>
            <sz val="9"/>
            <color indexed="81"/>
            <rFont val="Tahoma"/>
            <family val="2"/>
          </rPr>
          <t>Based on sqm difference with the removal of buildings 13, 14, and S.Donga. Includes larger office sqm profile, and 40% reduction due to energy saving devices, reduced comms requirements and time sensitive usage in retained buildings. Although new Stores (ARK) utilises larger under roof profile, staff usage reduced by 91% provides considerable saving in electricity aginst existing stores.</t>
        </r>
      </text>
    </comment>
    <comment ref="L28" authorId="0">
      <text>
        <r>
          <rPr>
            <sz val="9"/>
            <color indexed="81"/>
            <rFont val="Tahoma"/>
            <family val="2"/>
          </rPr>
          <t>Based on sqm difference with the removal of buildings 13, 14, and S.Donga. Includes additional 40% reduction due to energy saving devices, reduced comms requirements and time sensitive usage in retained buildings. Although new Stores (ARK) utilises larger under roof profile, staff usage reduced by 91% provides considerable saving in electricity aginst existing stores.</t>
        </r>
      </text>
    </comment>
    <comment ref="M28" authorId="0">
      <text>
        <r>
          <rPr>
            <sz val="9"/>
            <color indexed="81"/>
            <rFont val="Tahoma"/>
            <family val="2"/>
          </rPr>
          <t>Based on Garbutt Redevelopment apportioned for greater SQM profile</t>
        </r>
      </text>
    </comment>
    <comment ref="O28" authorId="0">
      <text>
        <r>
          <rPr>
            <sz val="9"/>
            <color indexed="81"/>
            <rFont val="Tahoma"/>
            <family val="2"/>
          </rPr>
          <t>Minor 10% saving in electricity due to A/C plant replacements</t>
        </r>
      </text>
    </comment>
    <comment ref="P28" authorId="0">
      <text>
        <r>
          <rPr>
            <sz val="9"/>
            <color indexed="81"/>
            <rFont val="Tahoma"/>
            <family val="2"/>
          </rPr>
          <t>Based on consistent site sqm. Includes 20% reduction due to energy saving devices, reduced comms requirements and time sensitive usage in retained buildings.</t>
        </r>
      </text>
    </comment>
    <comment ref="Q28" authorId="0">
      <text>
        <r>
          <rPr>
            <sz val="9"/>
            <color indexed="81"/>
            <rFont val="Tahoma"/>
            <family val="2"/>
          </rPr>
          <t>Based on sqm difference with the removal of buildings 13, 14, and S.Donga. Includes additional 40% reduction due to energy saving devices, reduced comms requirements and time sensitive usage in retained buildings. Although new Stores (ARK) utilises larger under roof profile, staff usage reduced by 91% provides considerable saving in electricity aginst existing stores.</t>
        </r>
      </text>
    </comment>
    <comment ref="J30" authorId="0">
      <text>
        <r>
          <rPr>
            <sz val="9"/>
            <color indexed="81"/>
            <rFont val="Tahoma"/>
            <family val="2"/>
          </rPr>
          <t>Modified in proportion with staff changes in office building</t>
        </r>
      </text>
    </comment>
    <comment ref="K30" authorId="0">
      <text>
        <r>
          <rPr>
            <sz val="9"/>
            <color indexed="81"/>
            <rFont val="Tahoma"/>
            <family val="2"/>
          </rPr>
          <t>Modified in proportion with staff changes in office building</t>
        </r>
      </text>
    </comment>
    <comment ref="L30" authorId="0">
      <text>
        <r>
          <rPr>
            <sz val="9"/>
            <color indexed="81"/>
            <rFont val="Tahoma"/>
            <family val="2"/>
          </rPr>
          <t>Modified in proportion with staff changes in office building</t>
        </r>
      </text>
    </comment>
    <comment ref="M30" authorId="0">
      <text>
        <r>
          <rPr>
            <sz val="9"/>
            <color indexed="81"/>
            <rFont val="Tahoma"/>
            <family val="2"/>
          </rPr>
          <t>Consistent with Garbutt Redevelopment as staff driven</t>
        </r>
      </text>
    </comment>
    <comment ref="N30" authorId="0">
      <text>
        <r>
          <rPr>
            <sz val="9"/>
            <color indexed="81"/>
            <rFont val="Tahoma"/>
            <family val="2"/>
          </rPr>
          <t>BAU apportioned by staff changes</t>
        </r>
      </text>
    </comment>
    <comment ref="Q30" authorId="0">
      <text>
        <r>
          <rPr>
            <sz val="9"/>
            <color indexed="81"/>
            <rFont val="Tahoma"/>
            <family val="2"/>
          </rPr>
          <t>Modified in proportion with staff changes in office building</t>
        </r>
      </text>
    </comment>
    <comment ref="J35" authorId="0">
      <text>
        <r>
          <rPr>
            <sz val="9"/>
            <color indexed="81"/>
            <rFont val="Tahoma"/>
            <family val="2"/>
          </rPr>
          <t>Flat-rate</t>
        </r>
      </text>
    </comment>
    <comment ref="K35" authorId="0">
      <text>
        <r>
          <rPr>
            <sz val="9"/>
            <color indexed="81"/>
            <rFont val="Tahoma"/>
            <family val="2"/>
          </rPr>
          <t>Flat-rate</t>
        </r>
      </text>
    </comment>
    <comment ref="L35" authorId="0">
      <text>
        <r>
          <rPr>
            <sz val="9"/>
            <color indexed="81"/>
            <rFont val="Tahoma"/>
            <family val="2"/>
          </rPr>
          <t>Flat-rate</t>
        </r>
      </text>
    </comment>
    <comment ref="Q35" authorId="0">
      <text>
        <r>
          <rPr>
            <sz val="9"/>
            <color indexed="81"/>
            <rFont val="Tahoma"/>
            <family val="2"/>
          </rPr>
          <t>Flat-rate</t>
        </r>
      </text>
    </comment>
    <comment ref="W35" authorId="0">
      <text>
        <r>
          <rPr>
            <sz val="9"/>
            <color indexed="81"/>
            <rFont val="Tahoma"/>
            <family val="2"/>
          </rPr>
          <t>Removed historical crane, electrical, pluming and other major plant repairs. Maintained general running costs.</t>
        </r>
      </text>
    </comment>
    <comment ref="Y35" authorId="0">
      <text>
        <r>
          <rPr>
            <sz val="9"/>
            <color indexed="81"/>
            <rFont val="Tahoma"/>
            <family val="2"/>
          </rPr>
          <t>Removed historical crane, electrical, pluming and other major plant repairs. Maintained general running costs.</t>
        </r>
      </text>
    </comment>
    <comment ref="AB35" authorId="0">
      <text>
        <r>
          <rPr>
            <sz val="9"/>
            <color indexed="81"/>
            <rFont val="Tahoma"/>
            <family val="2"/>
          </rPr>
          <t>Maintain BAU costs</t>
        </r>
      </text>
    </comment>
    <comment ref="AC35" authorId="0">
      <text>
        <r>
          <rPr>
            <sz val="9"/>
            <color indexed="81"/>
            <rFont val="Tahoma"/>
            <family val="2"/>
          </rPr>
          <t>Removed historical larger plant repairs.</t>
        </r>
      </text>
    </comment>
    <comment ref="AD35" authorId="0">
      <text>
        <r>
          <rPr>
            <sz val="9"/>
            <color indexed="81"/>
            <rFont val="Tahoma"/>
            <family val="2"/>
          </rPr>
          <t>Removed historical crane, electrical, pluming and other major plant repairs. Maintained general running costs.</t>
        </r>
      </text>
    </comment>
    <comment ref="I36" authorId="0">
      <text>
        <r>
          <rPr>
            <sz val="9"/>
            <color indexed="81"/>
            <rFont val="Tahoma"/>
            <family val="2"/>
          </rPr>
          <t>Includes BG3, BG4-15  and costs to staff the amenities building</t>
        </r>
      </text>
    </comment>
    <comment ref="J36" authorId="0">
      <text>
        <r>
          <rPr>
            <sz val="9"/>
            <color indexed="81"/>
            <rFont val="Tahoma"/>
            <family val="2"/>
          </rPr>
          <t>Reduction inline staffing accommodation changes. Includes 80% saving due to relinquish of staffed amenities building (inc labour costs) and significant reductions in the number of depot buildings from 11 to 1. Future Stores (ARK) only maintains 4 office staff. Field staff apportioned at 30% cost of Office staff</t>
        </r>
      </text>
    </comment>
    <comment ref="K36" authorId="0">
      <text>
        <r>
          <rPr>
            <sz val="9"/>
            <color indexed="81"/>
            <rFont val="Tahoma"/>
            <family val="2"/>
          </rPr>
          <t>Reduction inline staffing accommodation changes. Includes 80% saving due to relinquish of staffed amenities building (inc labour costs) and significant reductions in the number of depot buildings from 11 to 1. Future Stores (ARK) only maintains 4 office staff. Field staff apportioned at 30% cost of Office staff</t>
        </r>
      </text>
    </comment>
    <comment ref="L36" authorId="0">
      <text>
        <r>
          <rPr>
            <sz val="9"/>
            <color indexed="81"/>
            <rFont val="Tahoma"/>
            <family val="2"/>
          </rPr>
          <t>Reduction inline staffing accommodation changes. Includes 80% saving due to relinquish of staffed amenities building (inc labour costs) and significant reductions in the number of depot buildings from 11 to 1. Future Stores (ARK) only maintains 4 office staff. Field staff apportioned at 30% cost of Office staff</t>
        </r>
      </text>
    </comment>
    <comment ref="N36" authorId="0">
      <text>
        <r>
          <rPr>
            <sz val="9"/>
            <color indexed="81"/>
            <rFont val="Tahoma"/>
            <family val="2"/>
          </rPr>
          <t>BAU apportioned by staff changes. Most savings not realised due to continuation of Amenities building. Field staff apportioned at 30% cost of Office staff.</t>
        </r>
      </text>
    </comment>
    <comment ref="O36" authorId="0">
      <text>
        <r>
          <rPr>
            <sz val="9"/>
            <color indexed="81"/>
            <rFont val="Tahoma"/>
            <family val="2"/>
          </rPr>
          <t>BAU apportioned by staff changes. Most savings not realised due to continuation of Amenities building. Field staff apportioned at 30% cost of Office staff.</t>
        </r>
      </text>
    </comment>
    <comment ref="P36" authorId="0">
      <text>
        <r>
          <rPr>
            <sz val="9"/>
            <color indexed="81"/>
            <rFont val="Tahoma"/>
            <family val="2"/>
          </rPr>
          <t>BAU apportioned by staff changes. Most savings not realised due to continuation of Amenities building. Field staff apportioned at 30% cost of Office staff.</t>
        </r>
      </text>
    </comment>
    <comment ref="Q36" authorId="0">
      <text>
        <r>
          <rPr>
            <sz val="9"/>
            <color indexed="81"/>
            <rFont val="Tahoma"/>
            <family val="2"/>
          </rPr>
          <t>Reduction inline staffing accommodation changes. Includes 80% saving due to relinquish of staffed amenities building (inc labour costs) and significant reductions in the number of depot buildings from 11 to 1. Future Stores (ARK) only maintains 4 office staff.</t>
        </r>
      </text>
    </comment>
    <comment ref="AB36" authorId="0">
      <text>
        <r>
          <rPr>
            <sz val="9"/>
            <color indexed="81"/>
            <rFont val="Tahoma"/>
            <family val="2"/>
          </rPr>
          <t>Maintain BAU costs</t>
        </r>
      </text>
    </comment>
    <comment ref="AC36" authorId="0">
      <text>
        <r>
          <rPr>
            <sz val="9"/>
            <color indexed="81"/>
            <rFont val="Tahoma"/>
            <family val="2"/>
          </rPr>
          <t>Reduced by 3/4</t>
        </r>
      </text>
    </comment>
    <comment ref="I37" authorId="0">
      <text>
        <r>
          <rPr>
            <sz val="9"/>
            <color indexed="81"/>
            <rFont val="Tahoma"/>
            <family val="2"/>
          </rPr>
          <t>Includes BG3, BG4-15</t>
        </r>
      </text>
    </comment>
    <comment ref="J37" authorId="0">
      <text>
        <r>
          <rPr>
            <sz val="9"/>
            <color indexed="81"/>
            <rFont val="Tahoma"/>
            <family val="2"/>
          </rPr>
          <t>Reduced proportionally by SQM with 40% saving due to significant reductions in the number of buildings (accounting for majority of the current costs) in addition to improvements in age of BG3 post-redevelopement. Minimal ARK cleaning due to v.small office area</t>
        </r>
      </text>
    </comment>
    <comment ref="K37" authorId="0">
      <text>
        <r>
          <rPr>
            <sz val="9"/>
            <color indexed="81"/>
            <rFont val="Tahoma"/>
            <family val="2"/>
          </rPr>
          <t>Reduced proportionally by SQM with 40% saving due to significant reductions in the number of buildings (accounting for majority of the current costs) in addition to improvements in age of BG3 post-redevelopement. Minimal ARK cleaning due to v.small office area</t>
        </r>
      </text>
    </comment>
    <comment ref="L37" authorId="0">
      <text>
        <r>
          <rPr>
            <sz val="9"/>
            <color indexed="81"/>
            <rFont val="Tahoma"/>
            <family val="2"/>
          </rPr>
          <t>Reduced proportionally by SQM with 40% saving due to significant reductions in the number of buildings (accounting for majority of the current costs) in addition to improvements in age of BG3 post-redevelopement. Minimal ARK cleaning due to v.small office area</t>
        </r>
      </text>
    </comment>
    <comment ref="P37" authorId="0">
      <text>
        <r>
          <rPr>
            <sz val="9"/>
            <color indexed="81"/>
            <rFont val="Tahoma"/>
            <family val="2"/>
          </rPr>
          <t>20% saving realised on cleaning costs due to improved age of buildings and centralised amenity areas. Number of buildings on site remain.</t>
        </r>
      </text>
    </comment>
    <comment ref="Q37" authorId="0">
      <text>
        <r>
          <rPr>
            <sz val="9"/>
            <color indexed="81"/>
            <rFont val="Tahoma"/>
            <family val="2"/>
          </rPr>
          <t>Reduced proportionally by SQM with 40% saving due to significant reductions in the number of buildings (accounting for majority of the current costs) in addition to improvements in age of BG3 post-redevelopement. Minimal ARK cleaning due to v.small office area</t>
        </r>
      </text>
    </comment>
    <comment ref="U37" authorId="0">
      <text>
        <r>
          <rPr>
            <sz val="9"/>
            <color indexed="81"/>
            <rFont val="Tahoma"/>
            <family val="2"/>
          </rPr>
          <t>Cyclone Yasi costs included</t>
        </r>
      </text>
    </comment>
    <comment ref="V37" authorId="0">
      <text>
        <r>
          <rPr>
            <sz val="9"/>
            <color indexed="81"/>
            <rFont val="Tahoma"/>
            <family val="2"/>
          </rPr>
          <t>Non-cylcone year</t>
        </r>
      </text>
    </comment>
    <comment ref="AA37" authorId="0">
      <text>
        <r>
          <rPr>
            <sz val="9"/>
            <color indexed="81"/>
            <rFont val="Tahoma"/>
            <family val="2"/>
          </rPr>
          <t>Average of last two years</t>
        </r>
      </text>
    </comment>
    <comment ref="AB37" authorId="0">
      <text>
        <r>
          <rPr>
            <sz val="9"/>
            <color indexed="81"/>
            <rFont val="Tahoma"/>
            <family val="2"/>
          </rPr>
          <t>Maintain BAU costs</t>
        </r>
      </text>
    </comment>
    <comment ref="J38" authorId="0">
      <text>
        <r>
          <rPr>
            <sz val="9"/>
            <color indexed="81"/>
            <rFont val="Tahoma"/>
            <family val="2"/>
          </rPr>
          <t>Flat-rate</t>
        </r>
      </text>
    </comment>
    <comment ref="K38" authorId="0">
      <text>
        <r>
          <rPr>
            <sz val="9"/>
            <color indexed="81"/>
            <rFont val="Tahoma"/>
            <family val="2"/>
          </rPr>
          <t>Flat-rate</t>
        </r>
      </text>
    </comment>
    <comment ref="L38" authorId="0">
      <text>
        <r>
          <rPr>
            <sz val="9"/>
            <color indexed="81"/>
            <rFont val="Tahoma"/>
            <family val="2"/>
          </rPr>
          <t>Flat-rate</t>
        </r>
      </text>
    </comment>
    <comment ref="Q38" authorId="0">
      <text>
        <r>
          <rPr>
            <sz val="9"/>
            <color indexed="81"/>
            <rFont val="Tahoma"/>
            <family val="2"/>
          </rPr>
          <t>Flat-rate</t>
        </r>
      </text>
    </comment>
    <comment ref="J40" authorId="0">
      <text>
        <r>
          <rPr>
            <sz val="9"/>
            <color indexed="81"/>
            <rFont val="Tahoma"/>
            <family val="2"/>
          </rPr>
          <t>Reflective of rates at 24 Dalrymple (Stores) moving forward</t>
        </r>
      </text>
    </comment>
    <comment ref="K40" authorId="0">
      <text>
        <r>
          <rPr>
            <sz val="9"/>
            <color indexed="81"/>
            <rFont val="Tahoma"/>
            <family val="2"/>
          </rPr>
          <t>Reflective of rates at 24 Dalrymple (Stores) moving forward</t>
        </r>
      </text>
    </comment>
    <comment ref="L40" authorId="0">
      <text>
        <r>
          <rPr>
            <sz val="9"/>
            <color indexed="81"/>
            <rFont val="Tahoma"/>
            <family val="2"/>
          </rPr>
          <t>Reflective of rates at 24 Dalrymple (Stores) moving forward</t>
        </r>
      </text>
    </comment>
    <comment ref="Q40" authorId="0">
      <text>
        <r>
          <rPr>
            <sz val="9"/>
            <color indexed="81"/>
            <rFont val="Tahoma"/>
            <family val="2"/>
          </rPr>
          <t>Reflective of rates at 24 Dalrymple (Stores) moving forward</t>
        </r>
      </text>
    </comment>
    <comment ref="J41" authorId="0">
      <text>
        <r>
          <rPr>
            <sz val="9"/>
            <color indexed="81"/>
            <rFont val="Tahoma"/>
            <family val="2"/>
          </rPr>
          <t>Donga &amp; Temp accommodation now removed</t>
        </r>
      </text>
    </comment>
    <comment ref="K41" authorId="0">
      <text>
        <r>
          <rPr>
            <sz val="9"/>
            <color indexed="81"/>
            <rFont val="Tahoma"/>
            <family val="2"/>
          </rPr>
          <t>Donga &amp; Temp accommodation now removed</t>
        </r>
      </text>
    </comment>
    <comment ref="L41" authorId="0">
      <text>
        <r>
          <rPr>
            <sz val="9"/>
            <color indexed="81"/>
            <rFont val="Tahoma"/>
            <family val="2"/>
          </rPr>
          <t>Donga &amp; Temp accommodation now removed</t>
        </r>
      </text>
    </comment>
    <comment ref="N41" authorId="0">
      <text>
        <r>
          <rPr>
            <sz val="9"/>
            <color indexed="81"/>
            <rFont val="Tahoma"/>
            <family val="2"/>
          </rPr>
          <t>Donga &amp; Temp accommodation now removed</t>
        </r>
      </text>
    </comment>
    <comment ref="Q41" authorId="0">
      <text>
        <r>
          <rPr>
            <sz val="9"/>
            <color indexed="81"/>
            <rFont val="Tahoma"/>
            <family val="2"/>
          </rPr>
          <t>Donga &amp; Temp accommodation now removed</t>
        </r>
      </text>
    </comment>
    <comment ref="J42" authorId="0">
      <text>
        <r>
          <rPr>
            <sz val="9"/>
            <color indexed="81"/>
            <rFont val="Tahoma"/>
            <family val="2"/>
          </rPr>
          <t>Reflective of land tax at 24 Dalrymple (Stores) moving forward</t>
        </r>
      </text>
    </comment>
    <comment ref="K42" authorId="0">
      <text>
        <r>
          <rPr>
            <sz val="9"/>
            <color indexed="81"/>
            <rFont val="Tahoma"/>
            <family val="2"/>
          </rPr>
          <t>Reflective of land tax at 24 Dalrymple (Stores) moving forward</t>
        </r>
      </text>
    </comment>
    <comment ref="N42" authorId="0">
      <text>
        <r>
          <rPr>
            <sz val="9"/>
            <color indexed="81"/>
            <rFont val="Tahoma"/>
            <family val="2"/>
          </rPr>
          <t>Configuration of Landtax paid as per BAU</t>
        </r>
      </text>
    </comment>
    <comment ref="Q42" authorId="0">
      <text>
        <r>
          <rPr>
            <sz val="9"/>
            <color indexed="81"/>
            <rFont val="Tahoma"/>
            <family val="2"/>
          </rPr>
          <t>Reflective of land tax at 24 Dalrymple (Stores) moving forward</t>
        </r>
      </text>
    </comment>
    <comment ref="J43" authorId="0">
      <text>
        <r>
          <rPr>
            <sz val="9"/>
            <color indexed="81"/>
            <rFont val="Tahoma"/>
            <family val="2"/>
          </rPr>
          <t>Reduced proportionally by SQM</t>
        </r>
      </text>
    </comment>
    <comment ref="K43" authorId="0">
      <text>
        <r>
          <rPr>
            <sz val="9"/>
            <color indexed="81"/>
            <rFont val="Tahoma"/>
            <family val="2"/>
          </rPr>
          <t>Reduced proportionally by SQM</t>
        </r>
      </text>
    </comment>
    <comment ref="L43" authorId="0">
      <text>
        <r>
          <rPr>
            <sz val="9"/>
            <color indexed="81"/>
            <rFont val="Tahoma"/>
            <family val="2"/>
          </rPr>
          <t>Reduced proportionally by SQM</t>
        </r>
      </text>
    </comment>
    <comment ref="Q43" authorId="0">
      <text>
        <r>
          <rPr>
            <sz val="9"/>
            <color indexed="81"/>
            <rFont val="Tahoma"/>
            <family val="2"/>
          </rPr>
          <t>Reduced proportionally by SQM</t>
        </r>
      </text>
    </comment>
    <comment ref="J44" authorId="0">
      <text>
        <r>
          <rPr>
            <sz val="9"/>
            <color indexed="81"/>
            <rFont val="Tahoma"/>
            <family val="2"/>
          </rPr>
          <t>Grounds maintenance will remain consistent</t>
        </r>
      </text>
    </comment>
    <comment ref="K44" authorId="0">
      <text>
        <r>
          <rPr>
            <sz val="9"/>
            <color indexed="81"/>
            <rFont val="Tahoma"/>
            <family val="2"/>
          </rPr>
          <t>Grounds maintenance will remain consistent</t>
        </r>
      </text>
    </comment>
    <comment ref="L44" authorId="0">
      <text>
        <r>
          <rPr>
            <sz val="9"/>
            <color indexed="81"/>
            <rFont val="Tahoma"/>
            <family val="2"/>
          </rPr>
          <t>Grounds maintenance will remain consistent</t>
        </r>
      </text>
    </comment>
    <comment ref="M44" authorId="0">
      <text>
        <r>
          <rPr>
            <sz val="9"/>
            <color indexed="81"/>
            <rFont val="Tahoma"/>
            <family val="2"/>
          </rPr>
          <t>Grounds maintenance apportioned by SQM. Garbutt Redevelopment includes 5,490sqm of landscaped area (as per DD costplan) while lowest Ingham Rd estimate included 11,809sqm of soft landscaping (based on concept design) and included stormwater &amp; flood mitigation detention area.</t>
        </r>
      </text>
    </comment>
    <comment ref="N44" authorId="0">
      <text>
        <r>
          <rPr>
            <sz val="9"/>
            <color indexed="81"/>
            <rFont val="Tahoma"/>
            <family val="2"/>
          </rPr>
          <t>Grounds maintenance will remain consistent</t>
        </r>
      </text>
    </comment>
    <comment ref="Q44" authorId="0">
      <text>
        <r>
          <rPr>
            <sz val="9"/>
            <color indexed="81"/>
            <rFont val="Tahoma"/>
            <family val="2"/>
          </rPr>
          <t>Grounds maintenance will continue on site. Redevelopment includes 5,490sqm of landscaped area (as per DD costplan).</t>
        </r>
      </text>
    </comment>
    <comment ref="J45" authorId="0">
      <text>
        <r>
          <rPr>
            <sz val="9"/>
            <color indexed="81"/>
            <rFont val="Tahoma"/>
            <family val="2"/>
          </rPr>
          <t>No change</t>
        </r>
      </text>
    </comment>
    <comment ref="K45" authorId="0">
      <text>
        <r>
          <rPr>
            <sz val="9"/>
            <color indexed="81"/>
            <rFont val="Tahoma"/>
            <family val="2"/>
          </rPr>
          <t>No change</t>
        </r>
      </text>
    </comment>
    <comment ref="L45" authorId="0">
      <text>
        <r>
          <rPr>
            <sz val="9"/>
            <color indexed="81"/>
            <rFont val="Tahoma"/>
            <family val="2"/>
          </rPr>
          <t>No change</t>
        </r>
      </text>
    </comment>
    <comment ref="Q45" authorId="0">
      <text>
        <r>
          <rPr>
            <sz val="9"/>
            <color indexed="81"/>
            <rFont val="Tahoma"/>
            <family val="2"/>
          </rPr>
          <t>No change</t>
        </r>
      </text>
    </comment>
    <comment ref="I46" authorId="0">
      <text>
        <r>
          <rPr>
            <sz val="9"/>
            <color indexed="81"/>
            <rFont val="Tahoma"/>
            <family val="2"/>
          </rPr>
          <t>Includes all depot buildings excluding BG13, 14, and 3 (Stores)</t>
        </r>
      </text>
    </comment>
    <comment ref="J46" authorId="0">
      <text>
        <r>
          <rPr>
            <sz val="9"/>
            <color indexed="81"/>
            <rFont val="Tahoma"/>
            <family val="2"/>
          </rPr>
          <t>Reduced proportionally by SQM with 40% saving due to energy saving devices, reduced comms requirements and time sensitive usage as well as the significant reductions in the number of buildings from 9 to 1.</t>
        </r>
      </text>
    </comment>
    <comment ref="K46" authorId="0">
      <text>
        <r>
          <rPr>
            <sz val="9"/>
            <color indexed="81"/>
            <rFont val="Tahoma"/>
            <family val="2"/>
          </rPr>
          <t>Reduced proportionally by SQM with 40% saving due to energy saving devices, reduced comms requirements and time sensitive usage as well as the significant reductions in the number of buildings from 9 to 1.</t>
        </r>
      </text>
    </comment>
    <comment ref="L46" authorId="0">
      <text>
        <r>
          <rPr>
            <sz val="9"/>
            <color indexed="81"/>
            <rFont val="Tahoma"/>
            <family val="2"/>
          </rPr>
          <t>Reduced proportionally by SQM with 40% saving due to energy saving devices, reduced comms requirements and time sensitive usage as well as the significant reductions in the number of buildings from 9 to 1.</t>
        </r>
      </text>
    </comment>
    <comment ref="O46" authorId="0">
      <text>
        <r>
          <rPr>
            <sz val="9"/>
            <color indexed="81"/>
            <rFont val="Tahoma"/>
            <family val="2"/>
          </rPr>
          <t>Minor 10% saving in electricity due to A/C plant replacements</t>
        </r>
      </text>
    </comment>
    <comment ref="P46" authorId="0">
      <text>
        <r>
          <rPr>
            <sz val="9"/>
            <color indexed="81"/>
            <rFont val="Tahoma"/>
            <family val="2"/>
          </rPr>
          <t>Based on consistent site BAU sqm. Includes 20% reduction due to energy saving devices, reduced comms requirements and time sensitive usage in retained buildings.</t>
        </r>
      </text>
    </comment>
    <comment ref="Q46" authorId="0">
      <text>
        <r>
          <rPr>
            <sz val="9"/>
            <color indexed="81"/>
            <rFont val="Tahoma"/>
            <family val="2"/>
          </rPr>
          <t>Reduced proportionally by SQM with 40% saving due to energy saving devices, reduced comms requirements and time sensitive usage as well as the significant reductions in the number of buildings from 9 to 1.</t>
        </r>
      </text>
    </comment>
    <comment ref="J47" authorId="0">
      <text>
        <r>
          <rPr>
            <sz val="9"/>
            <color indexed="81"/>
            <rFont val="Tahoma"/>
            <family val="2"/>
          </rPr>
          <t>Reduced proportionally by staff numbers</t>
        </r>
      </text>
    </comment>
    <comment ref="K47" authorId="0">
      <text>
        <r>
          <rPr>
            <sz val="9"/>
            <color indexed="81"/>
            <rFont val="Tahoma"/>
            <family val="2"/>
          </rPr>
          <t>Reduced proportionally by staff numbers</t>
        </r>
      </text>
    </comment>
    <comment ref="L47" authorId="0">
      <text>
        <r>
          <rPr>
            <sz val="9"/>
            <color indexed="81"/>
            <rFont val="Tahoma"/>
            <family val="2"/>
          </rPr>
          <t>Reduced proportionally by staff numbers</t>
        </r>
      </text>
    </comment>
    <comment ref="N47" authorId="0">
      <text>
        <r>
          <rPr>
            <sz val="9"/>
            <color indexed="81"/>
            <rFont val="Tahoma"/>
            <family val="2"/>
          </rPr>
          <t>Reduced proportionally by staff numbers</t>
        </r>
      </text>
    </comment>
    <comment ref="Q47" authorId="0">
      <text>
        <r>
          <rPr>
            <sz val="9"/>
            <color indexed="81"/>
            <rFont val="Tahoma"/>
            <family val="2"/>
          </rPr>
          <t>Reduced proportionally by staff numbers</t>
        </r>
      </text>
    </comment>
  </commentList>
</comments>
</file>

<file path=xl/comments3.xml><?xml version="1.0" encoding="utf-8"?>
<comments xmlns="http://schemas.openxmlformats.org/spreadsheetml/2006/main">
  <authors>
    <author>tcoles</author>
  </authors>
  <commentList>
    <comment ref="B5" authorId="0">
      <text>
        <r>
          <rPr>
            <sz val="9"/>
            <color indexed="81"/>
            <rFont val="Tahoma"/>
            <family val="2"/>
          </rPr>
          <t>Based on costing performed at Richo/Glenmore Rd for OCCS</t>
        </r>
      </text>
    </comment>
  </commentList>
</comments>
</file>

<file path=xl/comments4.xml><?xml version="1.0" encoding="utf-8"?>
<comments xmlns="http://schemas.openxmlformats.org/spreadsheetml/2006/main">
  <authors>
    <author>khurst</author>
    <author>kbooshand</author>
    <author>taevans</author>
  </authors>
  <commentList>
    <comment ref="D1" authorId="0">
      <text>
        <r>
          <rPr>
            <sz val="8"/>
            <color indexed="81"/>
            <rFont val="Tahoma"/>
            <family val="2"/>
          </rPr>
          <t>As per version 1 forecast.
----------------------------------------
Major Program - MP
Minor Program =&gt; $500k - MP&gt;
Minor Program = &lt;$500k - MP&lt;
Projects Outside Approved Program - OP
Capital Purchases - CP</t>
        </r>
      </text>
    </comment>
    <comment ref="E1" authorId="1">
      <text>
        <r>
          <rPr>
            <sz val="8"/>
            <color indexed="81"/>
            <rFont val="Tahoma"/>
            <family val="2"/>
          </rPr>
          <t>Program Support Analyst reference:
CP - Closure Pack
FU - Follow Up
J - Journal
V - Variations
NP - Project not Proceeding
D - Project opened for Design only</t>
        </r>
      </text>
    </comment>
    <comment ref="K1" authorId="0">
      <text>
        <r>
          <rPr>
            <sz val="8"/>
            <color indexed="81"/>
            <rFont val="Tahoma"/>
            <family val="2"/>
          </rPr>
          <t>Category allocation as per PoW
------------------------------------------------------- 
O = Operational
HS= Health &amp; Safety
C= Compliance
E= Environmental
G= Growth</t>
        </r>
      </text>
    </comment>
    <comment ref="N1" authorId="0">
      <text>
        <r>
          <rPr>
            <sz val="8"/>
            <color indexed="81"/>
            <rFont val="Tahoma"/>
            <family val="2"/>
          </rPr>
          <t>As per the 13/14 FY Property PoW Business Case submission</t>
        </r>
      </text>
    </comment>
    <comment ref="B45" authorId="2">
      <text>
        <r>
          <rPr>
            <b/>
            <sz val="8"/>
            <color indexed="81"/>
            <rFont val="Tahoma"/>
            <family val="2"/>
          </rPr>
          <t>taevans:</t>
        </r>
        <r>
          <rPr>
            <sz val="8"/>
            <color indexed="81"/>
            <rFont val="Tahoma"/>
            <family val="2"/>
          </rPr>
          <t xml:space="preserve">
Estimate is for design &amp; construction.  Forecast for construct project has now been rolled into this project</t>
        </r>
      </text>
    </comment>
  </commentList>
</comments>
</file>

<file path=xl/sharedStrings.xml><?xml version="1.0" encoding="utf-8"?>
<sst xmlns="http://schemas.openxmlformats.org/spreadsheetml/2006/main" count="2870" uniqueCount="732">
  <si>
    <t>Assumptions</t>
  </si>
  <si>
    <t>Brief Outline</t>
  </si>
  <si>
    <t>To Be Confirmed</t>
  </si>
  <si>
    <t>Operational Assumptions</t>
  </si>
  <si>
    <t>Confirmed</t>
  </si>
  <si>
    <t>Timing Assumptions</t>
  </si>
  <si>
    <t>Need More Data</t>
  </si>
  <si>
    <t>Financial Assumptions</t>
  </si>
  <si>
    <t>Capex</t>
  </si>
  <si>
    <t>Opex</t>
  </si>
  <si>
    <t>Planned Business Case Stage:</t>
  </si>
  <si>
    <t>Value Managed - Dalrymple Rd, Garbutt Redevelopment</t>
  </si>
  <si>
    <t>Gate 3</t>
  </si>
  <si>
    <t>-</t>
  </si>
  <si>
    <t>Garbutt will operate as the sole 'blue-collar' site in Townsville over the next 20 years</t>
  </si>
  <si>
    <t>420 Flinders St will continue to operate as the sole 'white-collar' site in Townsville over the next 20 years</t>
  </si>
  <si>
    <t>No other leased accommodation or storage will be required over the next 20 years except what is being phased out as a response to the Flinders St relocation</t>
  </si>
  <si>
    <t>No other BAU capex works will be undertaken in the lead-up and during the Garbutt redevelopment</t>
  </si>
  <si>
    <t>Land contamination remediation (both known and unknown) is accounted for within the scope of works for the redevelopment</t>
  </si>
  <si>
    <t>Removal of asbestos containing material is accounted for within the scope of works for the redevelopment</t>
  </si>
  <si>
    <t>Hartley St, Townsville will continue to operate as the T&amp;D Centre for Townsville in the near future.</t>
  </si>
  <si>
    <t>13/14</t>
  </si>
  <si>
    <t>14/15</t>
  </si>
  <si>
    <t>15/16</t>
  </si>
  <si>
    <t>16/17</t>
  </si>
  <si>
    <t>Garbutt Site Redevelopment</t>
  </si>
  <si>
    <t>Link to Project Delivery Schedule:</t>
  </si>
  <si>
    <t>Link to Constructed Design Estimate:</t>
  </si>
  <si>
    <t xml:space="preserve">Area Schedule
</t>
  </si>
  <si>
    <t>Schematic Design Estimate 
Jun 2013 $</t>
  </si>
  <si>
    <t>Construction</t>
  </si>
  <si>
    <t>Site Preparation</t>
  </si>
  <si>
    <t>Building 2</t>
  </si>
  <si>
    <t>Building 3</t>
  </si>
  <si>
    <t>Building 4</t>
  </si>
  <si>
    <t>Carparks &amp; Roads, External Works</t>
  </si>
  <si>
    <t>Sub-Total:</t>
  </si>
  <si>
    <t>Garbutt Design and PQS Fees</t>
  </si>
  <si>
    <t>Sparq</t>
  </si>
  <si>
    <t>Staging/Decanting</t>
  </si>
  <si>
    <t>Int, External Racking to Warehouse</t>
  </si>
  <si>
    <t>Underground tank removal</t>
  </si>
  <si>
    <t>DA Requirements (outside fence)</t>
  </si>
  <si>
    <t>Authority Fee, Op Works, DA</t>
  </si>
  <si>
    <t>Temporary Services</t>
  </si>
  <si>
    <t>Staff Relocation</t>
  </si>
  <si>
    <t>Internal Management</t>
  </si>
  <si>
    <t>EECL Sub-Total:</t>
  </si>
  <si>
    <t>Total:</t>
  </si>
  <si>
    <t>Escalations to 2012/13</t>
  </si>
  <si>
    <t>GRAND TOTAL PROJECT ESTIMATE:</t>
  </si>
  <si>
    <t xml:space="preserve">Estimating Tool - High Level Cost to the Business </t>
  </si>
  <si>
    <t>v0.3</t>
  </si>
  <si>
    <t>Workings:</t>
  </si>
  <si>
    <t>No</t>
  </si>
  <si>
    <t>Enter the known estimate costs for the following items:</t>
  </si>
  <si>
    <t>Total</t>
  </si>
  <si>
    <t>Yes</t>
  </si>
  <si>
    <t>Design Estimate</t>
  </si>
  <si>
    <t>Contruction Estimate</t>
  </si>
  <si>
    <t>As provided by formal estimate through consultancy or Rawlinsons cost guide</t>
  </si>
  <si>
    <t>Escalations</t>
  </si>
  <si>
    <t>Overheads</t>
  </si>
  <si>
    <t>Enter any other assumptions:</t>
  </si>
  <si>
    <t>Capitalised Interest</t>
  </si>
  <si>
    <t>EECL Allowances</t>
  </si>
  <si>
    <t>Sub-total</t>
  </si>
  <si>
    <t>Over how many financial years will the project run for (2-5):</t>
  </si>
  <si>
    <t>years</t>
  </si>
  <si>
    <t>Enter the expected % split of costs over the years:</t>
  </si>
  <si>
    <t>Year 1</t>
  </si>
  <si>
    <t>Year 2</t>
  </si>
  <si>
    <t>Year 3</t>
  </si>
  <si>
    <t>Year 4</t>
  </si>
  <si>
    <t>Year 5</t>
  </si>
  <si>
    <t>&lt; Needs to equal 100%</t>
  </si>
  <si>
    <t>Partial Capitalisation at year end?</t>
  </si>
  <si>
    <t>Enter the overhead rate to be used throughout the project:</t>
  </si>
  <si>
    <t>CI Calculation</t>
  </si>
  <si>
    <t>Enter an escalation rate (%):</t>
  </si>
  <si>
    <t>If not included in Construction estimate</t>
  </si>
  <si>
    <t>Cost to the Business</t>
  </si>
  <si>
    <t>Yearly Split:</t>
  </si>
  <si>
    <t>Total Project Cost:</t>
  </si>
  <si>
    <t>C. Interest</t>
  </si>
  <si>
    <t>C.Interest</t>
  </si>
  <si>
    <t>Additional Workings - Design</t>
  </si>
  <si>
    <t>Greenfield Site:</t>
  </si>
  <si>
    <t>Bulk Exc</t>
  </si>
  <si>
    <t>Found</t>
  </si>
  <si>
    <t>Slab</t>
  </si>
  <si>
    <t>Landscaping</t>
  </si>
  <si>
    <t>Surface &amp; Roads</t>
  </si>
  <si>
    <t>External Works</t>
  </si>
  <si>
    <t>10% cont</t>
  </si>
  <si>
    <t>overheads</t>
  </si>
  <si>
    <t>Total Project</t>
  </si>
  <si>
    <t>Cap interest</t>
  </si>
  <si>
    <t>TOTAL</t>
  </si>
  <si>
    <t>%</t>
  </si>
  <si>
    <t>CI</t>
  </si>
  <si>
    <t>See 'Itemised Costing' worksheet</t>
  </si>
  <si>
    <t>See 'Cash-flow' worksheet</t>
  </si>
  <si>
    <t>EECL Costs based on estimates provided by subsequent providers or where an internal cost, the historical record of similar projects</t>
  </si>
  <si>
    <t>http://esp/ess/ss/Property%20Major%20Projects%20Supporting%20Information/</t>
  </si>
  <si>
    <t>Overhead rate applied to Redevelopment</t>
  </si>
  <si>
    <t>There is no CAPEX impact of the Garbutt Redevelopment on Hartley St or Flinders St sites in Townsville</t>
  </si>
  <si>
    <t>Sale of Ingham Rd will occur in 2017/18</t>
  </si>
  <si>
    <t>Sale of Ingham Rd represents the valuation as at October 2011 with a forecast 2% p.a. indexation up until sale date</t>
  </si>
  <si>
    <t>17/18</t>
  </si>
  <si>
    <t>Maintenance Type</t>
  </si>
  <si>
    <t>12/13</t>
  </si>
  <si>
    <t>Grand Total</t>
  </si>
  <si>
    <t>Equip Ref</t>
  </si>
  <si>
    <t>TOGOPJ</t>
  </si>
  <si>
    <t>Corrective</t>
  </si>
  <si>
    <t>Forced</t>
  </si>
  <si>
    <t>Preventative</t>
  </si>
  <si>
    <t>Non-maintenance</t>
  </si>
  <si>
    <t>TOGDPJ</t>
  </si>
  <si>
    <t>TOGSPJ</t>
  </si>
  <si>
    <t>Depot</t>
  </si>
  <si>
    <t>Office</t>
  </si>
  <si>
    <t>Stores</t>
  </si>
  <si>
    <t>Maintenance</t>
  </si>
  <si>
    <t>Waste Removal</t>
  </si>
  <si>
    <t>Amenities (Tea, Coffee etc)</t>
  </si>
  <si>
    <t>Cleaning</t>
  </si>
  <si>
    <t>Security</t>
  </si>
  <si>
    <t>Secure Document Destruction</t>
  </si>
  <si>
    <t>Rates &amp; Water Rates</t>
  </si>
  <si>
    <t>Lease/Rent Costs/Agent Fees</t>
  </si>
  <si>
    <t>Indoor Plant Hire</t>
  </si>
  <si>
    <t>Grounds</t>
  </si>
  <si>
    <t>Furniture</t>
  </si>
  <si>
    <t>Electricity</t>
  </si>
  <si>
    <t>Office Accom/Churn</t>
  </si>
  <si>
    <t>Bathroom Services</t>
  </si>
  <si>
    <t>Paper Recycling/Shredding</t>
  </si>
  <si>
    <t>Land Tax</t>
  </si>
  <si>
    <t>Copier Service Agreement</t>
  </si>
  <si>
    <t>Actual 12/13</t>
  </si>
  <si>
    <t>Licenses / Permits etc</t>
  </si>
  <si>
    <t>Building Description</t>
  </si>
  <si>
    <t>Approx Staff Numbers</t>
  </si>
  <si>
    <t>Building 1 Corporate Office</t>
  </si>
  <si>
    <t>(2 storey)</t>
  </si>
  <si>
    <t>3846 m2</t>
  </si>
  <si>
    <t xml:space="preserve"> Logistics Building, and Warehouse</t>
  </si>
  <si>
    <t>Amenities Building</t>
  </si>
  <si>
    <t>various</t>
  </si>
  <si>
    <t>546 m2</t>
  </si>
  <si>
    <t>Building 5</t>
  </si>
  <si>
    <t>Ablution Block Gymnasium</t>
  </si>
  <si>
    <t>230 m2</t>
  </si>
  <si>
    <t>Building 6 Workshops (including Transformers, Communications, Test, Project, Meter Test &amp; Laboratories)</t>
  </si>
  <si>
    <t>1950 m2</t>
  </si>
  <si>
    <t>Building 7</t>
  </si>
  <si>
    <t>Transmission Line Office</t>
  </si>
  <si>
    <t>50 m2</t>
  </si>
  <si>
    <t>Building 9</t>
  </si>
  <si>
    <t>Transmission and Distribution Services Building</t>
  </si>
  <si>
    <t>624 m2</t>
  </si>
  <si>
    <t>Building 10</t>
  </si>
  <si>
    <t>Line Vehicle Storage</t>
  </si>
  <si>
    <t>Field Operations Office - 10A</t>
  </si>
  <si>
    <t>90 m2</t>
  </si>
  <si>
    <t>Building 11</t>
  </si>
  <si>
    <t>Lines – Team Leaders Office</t>
  </si>
  <si>
    <t>55 m2</t>
  </si>
  <si>
    <t>Building 13</t>
  </si>
  <si>
    <t>Shift Hut Office</t>
  </si>
  <si>
    <t xml:space="preserve"> </t>
  </si>
  <si>
    <t>95 m2</t>
  </si>
  <si>
    <t>Building 14</t>
  </si>
  <si>
    <t>Substation workshop office and meeting room</t>
  </si>
  <si>
    <t>112 m2</t>
  </si>
  <si>
    <t>560 m2</t>
  </si>
  <si>
    <r>
      <t>Garbutt Complex</t>
    </r>
    <r>
      <rPr>
        <b/>
        <sz val="12"/>
        <color rgb="FF000000"/>
        <rFont val="Arial"/>
        <family val="2"/>
      </rPr>
      <t xml:space="preserve"> Dalrymple Rd</t>
    </r>
  </si>
  <si>
    <r>
      <t>Approx Office Floor Area m</t>
    </r>
    <r>
      <rPr>
        <b/>
        <vertAlign val="superscript"/>
        <sz val="10"/>
        <color theme="1"/>
        <rFont val="Arial"/>
        <family val="2"/>
      </rPr>
      <t>2</t>
    </r>
  </si>
  <si>
    <t>Building 18 ARK Homes (unused, future Stores/Logisitics building)</t>
  </si>
  <si>
    <t>sqm</t>
  </si>
  <si>
    <t>See 'Opex Baseline' worksheet</t>
  </si>
  <si>
    <t>This is the preferred option and is based on the strategic development of Dalrymple Rd, Garbutt utilising a value-managed methodology. It represents a full site development, including a refurbished main office building, adaptation of ARK Homes as the Logistics Warehouse, and the conversion of the existing warehouse to accommodate workshop activities and support staff.</t>
  </si>
  <si>
    <t>TOGOPJ - Office</t>
  </si>
  <si>
    <t>TOGSPJ - Stores</t>
  </si>
  <si>
    <t>TOGDPJ - Depot</t>
  </si>
  <si>
    <t>Baseline OPEX Costs for all options</t>
  </si>
  <si>
    <t>Historical costs by Functional building/site</t>
  </si>
  <si>
    <t>staff</t>
  </si>
  <si>
    <t>Future - Option 2:</t>
  </si>
  <si>
    <t>Gnd Flr: 4366</t>
  </si>
  <si>
    <t>Mid Mezz: 1436</t>
  </si>
  <si>
    <t>Top Mezz: 751</t>
  </si>
  <si>
    <t>Unused</t>
  </si>
  <si>
    <t>Offices: 612 m2</t>
  </si>
  <si>
    <t>Total: 2505 m2</t>
  </si>
  <si>
    <t>Office - BG2</t>
  </si>
  <si>
    <t>Stores - BG3</t>
  </si>
  <si>
    <t>Depot - BG3</t>
  </si>
  <si>
    <t>Stores - BG4</t>
  </si>
  <si>
    <t>Basis</t>
  </si>
  <si>
    <t>flat</t>
  </si>
  <si>
    <t>Extrapolated 12/13 post-execution baseline costs for each option for each functional building/site</t>
  </si>
  <si>
    <t>No impact on the OCCN (Control Centre) portion of the office will be experienced</t>
  </si>
  <si>
    <t>Due to no impact (financial or otherwise) on Hartley St during the Garbutt redevelopment, it will be excluded from the NPV for this option</t>
  </si>
  <si>
    <t>Due to no impact (financial or otherwise) on the OCCN during the Garbutt redevelopment, it will be excluded from the NPV for this option</t>
  </si>
  <si>
    <t>Due to the limited (if any) impact (financial or otherwise) on 420 Flinders St during the Garbutt redevelopment, it will be excluded from the NPV for this option</t>
  </si>
  <si>
    <t>Current state staff represents pre-Flinders St move to ensure consistency with historical costing</t>
  </si>
  <si>
    <t>Field staff apportioned at 30% cost of Office based staff in relation to amenities and other staff driven expenditure</t>
  </si>
  <si>
    <t>Field</t>
  </si>
  <si>
    <t>Staff #</t>
  </si>
  <si>
    <t>F/Cast Staff #</t>
  </si>
  <si>
    <t>Office subset</t>
  </si>
  <si>
    <t>EE Contingency included in project</t>
  </si>
  <si>
    <t>Shareholding approval will be received by end of April 2014</t>
  </si>
  <si>
    <t>Construction of stage 1 Garbutt Redevelopment (ARK Homes &amp; Office) will begin 4th Qtr 13/14 (May 2014)</t>
  </si>
  <si>
    <t>Construction of stage 1 Garbutt Redevelopment (ARK Homes &amp; Office) will conclude 4th Qtr 14/15 (June 15)</t>
  </si>
  <si>
    <t>Tender of stage 2 Garbutt Redevelopment (Building 3, external works &amp; demolition) will begin 1st Qtr 15/16</t>
  </si>
  <si>
    <t>Expenditure to date plus forecast up to construct</t>
  </si>
  <si>
    <t>Construction of stage 2 Garbutt Redevelopment (Building 3, external works &amp; demolition) will begin 3rd Qtr 15/16 (Jan 2016)</t>
  </si>
  <si>
    <t>Construction of stage 2 Garbutt Redevelopment (Building 3, external works &amp; demolition) will conclude 3rd Qtr 16/17 (Jan 2017)</t>
  </si>
  <si>
    <t>Relocation of staff and operations to the new Logistics building (ARK) will occur 4th Qtr 14/15 (June 2015)</t>
  </si>
  <si>
    <t>Relocation of staff and operations to the Office building will occur 4th Qtr 14/15 (June 2015)</t>
  </si>
  <si>
    <t>Relocation of staff and operations to the new Workshop building will occur 2nd Qtr 16/17 (Oct 2016)</t>
  </si>
  <si>
    <t>Final handover and practical completion will occur 3rd Qtr 16/17 (Jan 2017)</t>
  </si>
  <si>
    <t>Maintenance and Non-maintenance costs on the Garbutt Stores will transition between current and new on beginning of 1st Qtr 15/16</t>
  </si>
  <si>
    <t>Maintenance and Non-maintenance costs on the Garbutt Office will transition between current and new on beginning of 1st Qtr 15/16</t>
  </si>
  <si>
    <t>Maintenance and Non-maintenance costs on the Garbutt Depot will transition between current and new on beginning of 3rd Qtr 16/17 (6 months each way)</t>
  </si>
  <si>
    <t>Off-site Inventory Storage no longer required on completion of ARK Homes site as Logistics facility - 4th Qtr 14/15 (June 2015)</t>
  </si>
  <si>
    <t>Already incurred Project (design) costs as at 30 Nov 2013 with forecast costs up to beginning of construction</t>
  </si>
  <si>
    <t>Overheads applied to project</t>
  </si>
  <si>
    <t>Office excludes OCCN sqm &amp; staff</t>
  </si>
  <si>
    <t>Qualifications:</t>
  </si>
  <si>
    <t>Office subset represents the office accommodation areas, a subset of the total figure (excludes workshop, inventory and specialist areas)</t>
  </si>
  <si>
    <t>Depot - BG4-15</t>
  </si>
  <si>
    <t>Building 16 OCCN Control centre manned - Unchanged</t>
  </si>
  <si>
    <t>Opex escalations applied at consistent rate of 3% p.a. pre and post redevelopment</t>
  </si>
  <si>
    <t>The current 'Stores' building (BG3) aka Logistics, will be transitioned to BG18 (ARK) during the Redevelopment and BG3 will become a shared Workshop and office accommodation catering for what is currently known as the 'Depot', inclusive of buildings 4 to 15</t>
  </si>
  <si>
    <t>Staff locations have yet to be finalised, but it is expected staff currently in BGs4-15 will be relocated into the refurbished BG3 building, with some moving to the Office. Forecast staff numbers within the 'Garbutt Site Details' worksheet</t>
  </si>
  <si>
    <t>See 'Garbutt Site Details' worksheet</t>
  </si>
  <si>
    <t>No other CAPEX requirements prior to construction, during the project or within 15 years after completion</t>
  </si>
  <si>
    <t>Business Overheads:</t>
  </si>
  <si>
    <t>Regulated Capex Overhead Rate as per FSS History</t>
  </si>
  <si>
    <t>Average Rate 0910</t>
  </si>
  <si>
    <t>Average Rate 1011</t>
  </si>
  <si>
    <t>Average Rate 1112</t>
  </si>
  <si>
    <t>Average Rate 1213</t>
  </si>
  <si>
    <t>Budgeted Rate 1314</t>
  </si>
  <si>
    <t>Adopted Rate during project</t>
  </si>
  <si>
    <t>N.B. Electricity costed within Office
Amenities &amp; cleaning costing within Depot</t>
  </si>
  <si>
    <t>UCA Rates</t>
  </si>
  <si>
    <t>Options:</t>
  </si>
  <si>
    <t>Contingency</t>
  </si>
  <si>
    <t>Average Rate</t>
  </si>
  <si>
    <t>Tesla House - 15 Dalrymple Road will be relinquished 4th Qtr 14/15 (June 2015)</t>
  </si>
  <si>
    <t>Baseline Tesla House maintenance and non-maintenance 12/13 with one year escalation at 4% p.a.</t>
  </si>
  <si>
    <t>Future - Option 4:</t>
  </si>
  <si>
    <t>Future - Option 1,3,5,6,7,8:</t>
  </si>
  <si>
    <t>Total Construction Costs</t>
  </si>
  <si>
    <t>Done</t>
  </si>
  <si>
    <t>Current State / BAU:</t>
  </si>
  <si>
    <t>Future State - Options 1,3,5,6,7,8:</t>
  </si>
  <si>
    <t>Option 4 - Ingham Rd Concept:</t>
  </si>
  <si>
    <t>Recompletion of Detailed Design</t>
  </si>
  <si>
    <t>Corrective - Unplanned</t>
  </si>
  <si>
    <t>Corrective - Planned</t>
  </si>
  <si>
    <t>Actual 11/12</t>
  </si>
  <si>
    <t>trend</t>
  </si>
  <si>
    <t>trend &amp; sqm</t>
  </si>
  <si>
    <t>Note: The cessation of non-priority corrective maintenance commenced from 11/12  &amp; 12/13 due to pending Garbutt Redevelopment</t>
  </si>
  <si>
    <t>Original Scope – Dalrymple Rd, Garbutt Redevelopment</t>
  </si>
  <si>
    <t>AER 2010-15 Master Plan Scope - Ingham Rd Redevelopment</t>
  </si>
  <si>
    <t>Do Nothing / BAU</t>
  </si>
  <si>
    <t>This is the original scope based on the strategic development of Dalrymple Rd, Garbutt utilising the previous methodology, prior to the 420 Flinders Street direction. It represents a full site development, including a refurbished main office building including extension and eco-link, adaptation of ARK Homes as the Logistics Warehouse, and the conversion of the existing warehouse to accommodate workshop activities and support staff.</t>
  </si>
  <si>
    <t xml:space="preserve">The existing leased accommodation at Tesla House (15 Dalrymple Rd) will be maintained for decanting purposes until the end of stage 1 </t>
  </si>
  <si>
    <t>Only 15 Dalrymple Rd will be utilised during the stage 1 Garbutt redevelopment for decanting purposes</t>
  </si>
  <si>
    <r>
      <t xml:space="preserve">Continue to </t>
    </r>
    <r>
      <rPr>
        <sz val="10"/>
        <rFont val="Arial"/>
        <family val="2"/>
      </rPr>
      <t>maintain unaffected portions of the Garbutt site during the redevelopment</t>
    </r>
  </si>
  <si>
    <t>Construction of stage 1 Garbutt Redevelopment (ARK Homes &amp; Office) will begin 1st Qtr 14/15</t>
  </si>
  <si>
    <t>Construction of stage 1 Garbutt Redevelopment (ARK Homes &amp; Office) will conclude 3rd Qtr 15/16</t>
  </si>
  <si>
    <t>Construction of stage 2 Garbutt Redevelopment (Building 3, external works &amp; demolition) will begin 4th Qtr 15/16</t>
  </si>
  <si>
    <t>Construction of stage 2 Garbutt Redevelopment (Building 3, external works &amp; demolition) will conclude 4th Qtr 16/17</t>
  </si>
  <si>
    <t>Relocation of staff and operations to the Office building will occur 3rd Qtr 15/16</t>
  </si>
  <si>
    <t>Relocation of staff and operations to the new Workshop building will occur 3rd Qtr 16/17</t>
  </si>
  <si>
    <t>Final handover and practical completion will occur 4th Qtr 16/17</t>
  </si>
  <si>
    <t>Maintenance and Non-maintenance costs on the Garbutt Office will transition between current and new on beginning of 1st Qtr 16/17</t>
  </si>
  <si>
    <t>Maintenance and Non-maintenance costs on the Garbutt Depot will transition between current and new on beginning of 4th Qtr 16/17</t>
  </si>
  <si>
    <t>Based on Lend Lease Constructed Design estimate. Additional costs include EE related expenses as detailed (attached)</t>
  </si>
  <si>
    <t>Off-site Inventory Storage - Based on current cost for Fleet, Procurement &amp; Logistics to annually lease temporary storage to relieve pressures of inventory at the Garbutt site. In the last twelve months, portions of the ARK Homes site have been utilised on a temporary basis to relieve some of these costs, which will continue in the short-term until the completion of the ARK Homes portion of the redevelopment, where it will be removed</t>
  </si>
  <si>
    <t>Based on Davis Landgon Contract Documentation Cost Plan. Additional costs include EE related expenses as detailed (attached)</t>
  </si>
  <si>
    <t>Pre-execution baseline Tesla House maintenance and non-maintenance 12/13 with one year escalation at 4% p.a.</t>
  </si>
  <si>
    <r>
      <t>Post-execution baseline s</t>
    </r>
    <r>
      <rPr>
        <b/>
        <sz val="10"/>
        <rFont val="Arial"/>
        <family val="2"/>
      </rPr>
      <t>tores</t>
    </r>
    <r>
      <rPr>
        <sz val="10"/>
        <rFont val="Arial"/>
        <family val="2"/>
      </rPr>
      <t xml:space="preserve"> non-maintenance reflective of changes in land tax and increase in rates due to move to ARK building, all other costs remain consistent</t>
    </r>
  </si>
  <si>
    <r>
      <t>Post-execution baseline d</t>
    </r>
    <r>
      <rPr>
        <b/>
        <sz val="10"/>
        <rFont val="Arial"/>
        <family val="2"/>
      </rPr>
      <t xml:space="preserve">epot </t>
    </r>
    <r>
      <rPr>
        <sz val="10"/>
        <rFont val="Arial"/>
        <family val="2"/>
      </rPr>
      <t>non-maintenance considerable savings quantified through the reduction from 11 buildings to 1 and the centralisation of many staff services and recurring costs. Amenities reduced against staff numbers with a 80% saving (aligned to costs recorded in BG1-Office), cleaning by cost/sqm with a similar saving of 70%, rates &amp; land tax now reflective of 24 Dalrymple Rd (currently BG3), electricity reduced by cost/sqm and a 60% saving (smaller saving due to continuation of workshop tools and devices).</t>
    </r>
  </si>
  <si>
    <t>HV Transformer &amp; Electrical Works</t>
  </si>
  <si>
    <t>Civil and Technical Allowances</t>
  </si>
  <si>
    <t>Constructed Design Cost Plan
Nov 2013 $</t>
  </si>
  <si>
    <t>Escalations to Delivery date</t>
  </si>
  <si>
    <t>Non-Maintenance</t>
  </si>
  <si>
    <t>See 'Project Cost' worksheet</t>
  </si>
  <si>
    <t>18/19</t>
  </si>
  <si>
    <t>Maintenance and Non-maintenance costs on the Garbutt Depot will transition between current and new on beginning of 3rd Qtr 17/18 (6 months each way)</t>
  </si>
  <si>
    <t>Tender of stage 2 Garbutt Redevelopment (Building 3, external works &amp; demolition) will begin 1st Qtr 16/17</t>
  </si>
  <si>
    <t>Maintenance and Non-maintenance costs on the Garbutt Stores will transition between current and new on beginning of 1st Qtr 16/17</t>
  </si>
  <si>
    <t>Construction of stage 1 Garbutt Redevelopment (ARK Homes &amp; Office) will begin 4th Qtr 14/15</t>
  </si>
  <si>
    <t>Construction of stage 1 Garbutt Redevelopment (ARK Homes &amp; Office) will conclude 4th Qtr 15/16</t>
  </si>
  <si>
    <t>Construction of stage 2 Garbutt Redevelopment (Building 3, external works &amp; demolition) will begin 3rd Qtr 16/17</t>
  </si>
  <si>
    <t>Construction of stage 2 Garbutt Redevelopment (Building 3, external works &amp; demolition) will conclude 3rd Qtr 17/18</t>
  </si>
  <si>
    <t>Relocation of staff and operations to the new Logistics building (ARK) will occur 4th Qtr 15/16</t>
  </si>
  <si>
    <t>Relocation of staff and operations to the Office building will occur 4th Qtr 15/16</t>
  </si>
  <si>
    <t>Relocation of staff and operations to the new Workshop building will occur 2nd Qtr 17/18</t>
  </si>
  <si>
    <t>Final handover and practical completion will occur 3rd Qtr 17/18</t>
  </si>
  <si>
    <t>Off-site Inventory Storage no longer required on completion of ARK Homes site as Logistics facility - 4th Qtr 15/16</t>
  </si>
  <si>
    <t>The existing leased accommodation at Tesla House (15 Dalrymple Rd) will be relinquished</t>
  </si>
  <si>
    <t>All temporary staff accommodation at Garbutt will be removed/returned (dongas etc.)</t>
  </si>
  <si>
    <t xml:space="preserve">BAU Capex Works will continue to be undertaken to maintain existing asset base as best as possible </t>
  </si>
  <si>
    <r>
      <t xml:space="preserve">Continue to </t>
    </r>
    <r>
      <rPr>
        <sz val="10"/>
        <rFont val="Arial"/>
        <family val="2"/>
      </rPr>
      <t>maintain all of the Garbutt site over the next twenty years</t>
    </r>
  </si>
  <si>
    <t>Land contamination remediation (both known and unknown) will not be addressed</t>
  </si>
  <si>
    <t>All buildings on site will continue to operate as they have been (albeit with lower staff numbers)</t>
  </si>
  <si>
    <t>Capex and Opex work will continue to be executed in a timely fashion as per historical trend</t>
  </si>
  <si>
    <t>Current levels of Off-site Inventory Storage will continue indefinitely</t>
  </si>
  <si>
    <t>Already incurred Project (design) costs as at 30 Nov 2013 with be expensed to OPEX</t>
  </si>
  <si>
    <t>To be Confirmed</t>
  </si>
  <si>
    <t>Pre-execution baseline uses stores maintenance BAU Option with one year escalation</t>
  </si>
  <si>
    <t>Pre-execution baseline uses stores non-maintenance BAU Option with one year escalation</t>
  </si>
  <si>
    <t>Pre-execution baseline uses office maintenance BAU Option with one year escalation</t>
  </si>
  <si>
    <t>Pre-execution baseline uses office non-maintenance BAU Option with one year escalation</t>
  </si>
  <si>
    <t>Pre-execution baseline uses depot maintenance BAU Option with one year escalation</t>
  </si>
  <si>
    <t>Pre-execution baseline uses depot non-maintenance BAU Option with one year escalation</t>
  </si>
  <si>
    <t>Baseline uses stores maintenance BAU Option with one year escalation</t>
  </si>
  <si>
    <t>Baseline uses stores non-maintenance BAU Option with one year escalation</t>
  </si>
  <si>
    <t>Baseline uses office maintenance BAU Option with one year escalation</t>
  </si>
  <si>
    <t>Baseline uses office non-maintenance BAU Option with one year escalation</t>
  </si>
  <si>
    <t>Baseline uses depot maintenance BAU Option with one year escalation</t>
  </si>
  <si>
    <t>Baseline uses depot non-maintenance BAU Option with one year escalation</t>
  </si>
  <si>
    <t>No forecast increase in maintenance escalation due to executed BAU capex</t>
  </si>
  <si>
    <t>Asbestos containing material will not be addressed</t>
  </si>
  <si>
    <t>Tesla House - 15 Dalrymple Road will be relinquished 4th Qtr 14/15 (June 2015) - Current lease term</t>
  </si>
  <si>
    <t>Off-site Inventory Storage - Based on current cost for Fleet, Procurement &amp; Logistics to annually lease temporary storage to relieve pressures of inventory at the Garbutt site.</t>
  </si>
  <si>
    <t>BAU Minor Capex will be executed each year to maintain and replace aging assets</t>
  </si>
  <si>
    <t>BAU Major Capex will be executed each year to maintain and replace major plant items where required</t>
  </si>
  <si>
    <t>BAU Minor Capex will be executed each year indefinitely</t>
  </si>
  <si>
    <t>BAU Major Capex will be executed each year indefinitely</t>
  </si>
  <si>
    <t>See 'OP5-Garbutt Projects'</t>
  </si>
  <si>
    <t xml:space="preserve">BAU Minor Capex mitigation based on historical trend from 08/09 to 11/12 escalated 6% p.a. </t>
  </si>
  <si>
    <t>Work Request Number</t>
  </si>
  <si>
    <t>Project Number</t>
  </si>
  <si>
    <t>Project Opened</t>
  </si>
  <si>
    <t>Program Category - Version 1 Forecast</t>
  </si>
  <si>
    <t>Project Code</t>
  </si>
  <si>
    <t>Financial Year Project Opened</t>
  </si>
  <si>
    <t>Project Location</t>
  </si>
  <si>
    <r>
      <t xml:space="preserve">Project Description
</t>
    </r>
    <r>
      <rPr>
        <b/>
        <sz val="8"/>
        <color indexed="9"/>
        <rFont val="Arial"/>
        <family val="2"/>
      </rPr>
      <t>(Data from Ellipse)</t>
    </r>
  </si>
  <si>
    <t>Comments</t>
  </si>
  <si>
    <t>Region</t>
  </si>
  <si>
    <t>Work Category</t>
  </si>
  <si>
    <t>Residential</t>
  </si>
  <si>
    <t>Project Supervisor</t>
  </si>
  <si>
    <t>Project Type</t>
  </si>
  <si>
    <t>Project Planned Start Date</t>
  </si>
  <si>
    <t>Project Planned Finish Date</t>
  </si>
  <si>
    <t>Project Status</t>
  </si>
  <si>
    <t>Pratical Completion / Closed Date</t>
  </si>
  <si>
    <r>
      <t xml:space="preserve">Initial Project Estimate
</t>
    </r>
    <r>
      <rPr>
        <b/>
        <i/>
        <sz val="10"/>
        <color indexed="9"/>
        <rFont val="Arial"/>
        <family val="2"/>
      </rPr>
      <t>Excl OH's</t>
    </r>
  </si>
  <si>
    <r>
      <t xml:space="preserve">Initial Project Estimate
</t>
    </r>
    <r>
      <rPr>
        <b/>
        <i/>
        <sz val="10"/>
        <color indexed="9"/>
        <rFont val="Arial"/>
        <family val="2"/>
      </rPr>
      <t>Incl OH's*</t>
    </r>
  </si>
  <si>
    <t xml:space="preserve">Budget
(Excl O/H's)   </t>
  </si>
  <si>
    <t>Budget
(Incl O/H's @ 41.95 / 45.73%)*</t>
  </si>
  <si>
    <t>Forecast V1 (Excl O/H's)</t>
  </si>
  <si>
    <t>Forecast V1 (Incl O/H's @ 48.6%)</t>
  </si>
  <si>
    <t>AP Estimate Excl OH's</t>
  </si>
  <si>
    <t>AP Estimate</t>
  </si>
  <si>
    <t>LTD Spend</t>
  </si>
  <si>
    <t>MP</t>
  </si>
  <si>
    <t>07/08</t>
  </si>
  <si>
    <t>Garbutt</t>
  </si>
  <si>
    <t>PJTOGD Mster Site Planning Garbutt</t>
  </si>
  <si>
    <t xml:space="preserve">N </t>
  </si>
  <si>
    <t>L. Olsen</t>
  </si>
  <si>
    <t>Carry Over</t>
  </si>
  <si>
    <t>Closed</t>
  </si>
  <si>
    <t>MP&lt;</t>
  </si>
  <si>
    <t>08/09</t>
  </si>
  <si>
    <t>Garbutt Depot- Heavy duty racking for storage shed</t>
  </si>
  <si>
    <t>N</t>
  </si>
  <si>
    <t>D. Dixon</t>
  </si>
  <si>
    <t>Garbutt, Pandora Rm Video Conferencing Upg</t>
  </si>
  <si>
    <t>R. Rhead</t>
  </si>
  <si>
    <t>Garbutt install Dexion heavy duty shelving required for Carpenters shed</t>
  </si>
  <si>
    <t>Garbutt, Upgrade of Switchboard</t>
  </si>
  <si>
    <t>Active</t>
  </si>
  <si>
    <t>Garbutt, Control Room Accommodation Upgrade</t>
  </si>
  <si>
    <t>31/2/08</t>
  </si>
  <si>
    <t>Garbutt - Airconditioner in Comms Room, Old Control Room</t>
  </si>
  <si>
    <t>Relocation Control Computer 1st Garbutt</t>
  </si>
  <si>
    <t>Garbutt Muster Room fit out &amp; adjoining Office Area for training</t>
  </si>
  <si>
    <t>Garbutt - Replace Roof above old control room</t>
  </si>
  <si>
    <t>Garbutt - HR Management Area Electronic Access</t>
  </si>
  <si>
    <t>Garbutt - Pedestrian access to the OCCN Secure Parking Area</t>
  </si>
  <si>
    <t xml:space="preserve">Garbutt - Additional Shelving Line Services </t>
  </si>
  <si>
    <t>Additional Shelving Logistics Ext Store</t>
  </si>
  <si>
    <t>09/10</t>
  </si>
  <si>
    <t>Roof Upgrade Bldg 6 Workshops Garbutt</t>
  </si>
  <si>
    <t>New Project</t>
  </si>
  <si>
    <t>Repair Garbutt Admin Control Rm Ceiling</t>
  </si>
  <si>
    <t>Workstns Additions &amp; upgrd Garbutt Bld14</t>
  </si>
  <si>
    <t>5/7 - Completed CP sent to Damian Dixon for approval</t>
  </si>
  <si>
    <t>Practical Completion</t>
  </si>
  <si>
    <t>Pallet Racking Replacement Program 2010</t>
  </si>
  <si>
    <t>Board Room Kitchenette Annex Upgrade</t>
  </si>
  <si>
    <t>21/6 - CP sent to Rowan Rhead</t>
  </si>
  <si>
    <t>Generator Upgrade Garbutt Admin</t>
  </si>
  <si>
    <t>Upgrade External Racking Garbutt Stores</t>
  </si>
  <si>
    <t>Add/Upgrade Workstations Bld 7 Garbutt</t>
  </si>
  <si>
    <t>Add Wrkstations Bld 6 Garbutt Depot</t>
  </si>
  <si>
    <t>Construct Roadway Heavy Vehicles Garbutt</t>
  </si>
  <si>
    <t>Storage Upgrade Fld Ops Garbutt Depot</t>
  </si>
  <si>
    <t>Upgrade Road Pavement Garbutt Stores</t>
  </si>
  <si>
    <t>Supply &amp; Install Path Superdonga Garbutt</t>
  </si>
  <si>
    <t>Ugrade CBUS Lighting Sys Garbutt Depot</t>
  </si>
  <si>
    <t>10/11</t>
  </si>
  <si>
    <t>Townsville, Garbutt</t>
  </si>
  <si>
    <t>TSV Garbutt-TAPS Soil Test Lab</t>
  </si>
  <si>
    <t>Dixon, D</t>
  </si>
  <si>
    <t>TSV Garbutt-Mezzaine Flr &amp; Racking Upgr</t>
  </si>
  <si>
    <t>FU</t>
  </si>
  <si>
    <t>Rhead, R</t>
  </si>
  <si>
    <t>TSV Garbutt Depot-Storage Demountable</t>
  </si>
  <si>
    <t>TSV Garbutt-Install Additional Workstati</t>
  </si>
  <si>
    <t>TSV Garbutt-Install Workstn Trans Test</t>
  </si>
  <si>
    <t>TOGDPJ-Line Services Roller Shutter Upg</t>
  </si>
  <si>
    <t>TSV Garbutt-Hdrive Recorder &amp; Sec Cam</t>
  </si>
  <si>
    <t>FS</t>
  </si>
  <si>
    <t>Garbutt Depot-Install OCCN Street Light</t>
  </si>
  <si>
    <t>Webley, A</t>
  </si>
  <si>
    <t>Outside Program</t>
  </si>
  <si>
    <t>TSV Garbutt OCCN-Sounding Ugrad</t>
  </si>
  <si>
    <t>C</t>
  </si>
  <si>
    <t>11/12</t>
  </si>
  <si>
    <t>TSV Garbutt Bld 3-Add Workstations</t>
  </si>
  <si>
    <t>TSV Garbutt Dot - Designated Smoking Areas</t>
  </si>
  <si>
    <t>TSV Garbutt - Careers workstation upgrade</t>
  </si>
  <si>
    <t>TSV Garbutt-OCCN Generator Roof</t>
  </si>
  <si>
    <t>TSV-Generation W/shop &amp; Office Accom</t>
  </si>
  <si>
    <t>Garbutt-Admin Building Fire Panel Upgrad</t>
  </si>
  <si>
    <t>Sum of AP Estimate</t>
  </si>
  <si>
    <t>Column Labels</t>
  </si>
  <si>
    <t>Row Labels</t>
  </si>
  <si>
    <t>Average:</t>
  </si>
  <si>
    <t>BAU Capex escalations applied at consistent rate of 6% p.a. due to escalating age of assets, requirement to replace major plant and cost to mitigate existing risks considerable</t>
  </si>
  <si>
    <t>BAU Major Capex mitigation based on historical trend escalated 6% p.a. Excludes capex 10/11 onwards from calculation as once 10-15 AER program approved, majority of major work ceased</t>
  </si>
  <si>
    <t>Do Nothing / BAU with resolution of BCA Compliance issues and Refurbishment to Accommodation Standard</t>
  </si>
  <si>
    <t>Value Managed - Dalrymple Rd, Garbutt Redevelopment with 12 month approval delay</t>
  </si>
  <si>
    <t>This is as per Option 1, preferred scope of works, but applies a 12 month postponement due to potential approval delays as realised in the Glenmore Rd submission. This is not a valid option for selection, but highlights to costs and risks to the business as a result of a delay in progressing the project</t>
  </si>
  <si>
    <t>Value Managed -  Dalrymple Rd, Garbutt Redevelopment with full deferral to 2015-20</t>
  </si>
  <si>
    <t>Minor BAU Capex works will be undertaken in the lead-up and during the Garbutt redevelopment</t>
  </si>
  <si>
    <t>Sale of Ingham Rd will occur in 2020/21</t>
  </si>
  <si>
    <t>20/21</t>
  </si>
  <si>
    <t>Construction of stage 2 Garbutt Redevelopment (Building 3, external works &amp; demolition) will conclude 3rd Qtr 19/20</t>
  </si>
  <si>
    <t>19/20</t>
  </si>
  <si>
    <t>Relocation of staff and operations to the new Workshop building will occur 2nd Qtr 19/20</t>
  </si>
  <si>
    <t>Final handover and practical completion will occur 3rd Qtr 19/20</t>
  </si>
  <si>
    <t>Maintenance and Non-maintenance costs on the Garbutt Depot will transition between current and new on beginning of 3rd Qtr 19/20 (6 months each way)</t>
  </si>
  <si>
    <t>Tender of stage 2 Garbutt Redevelopment (Building 3, external works &amp; demolition) will begin 1st Qtr 18/19</t>
  </si>
  <si>
    <t>Construction of stage 2 Garbutt Redevelopment (Building 3, external works &amp; demolition) will begin 3rd Qtr 18/19</t>
  </si>
  <si>
    <t>Maintenance and Non-maintenance costs on the Garbutt Stores will transition between current and new on beginning of 1st Qtr 18/19</t>
  </si>
  <si>
    <t>Maintenance and Non-maintenance costs on the Garbutt Office will transition between current and new on beginning of 1st Qtr 18/19</t>
  </si>
  <si>
    <t>Construction of stage 1 Garbutt Redevelopment (ARK Homes &amp; Office) will conclude 4th Qtr 17/18</t>
  </si>
  <si>
    <t>Relocation of staff and operations to the new Logistics building (ARK) will occur 4th Qtr 17/18</t>
  </si>
  <si>
    <t>Relocation of staff and operations to the Office building will occur 4th Qtr 17/18</t>
  </si>
  <si>
    <t>Off-site Inventory Storage no longer required on completion of ARK Homes site as Logistics facility - 4th Qtr 17/18</t>
  </si>
  <si>
    <t>Construction of stage 1 Garbutt Redevelopment (ARK Homes &amp; Office) will begin 4th Qtr 16/17</t>
  </si>
  <si>
    <t>Shareholding approval will be received by end of April 2016</t>
  </si>
  <si>
    <t>Shareholding approval will be received by end of April 2015</t>
  </si>
  <si>
    <t>Tesla House - 15 Dalrymple Road will be relinquished 4th Qtr 17/18 resulting in a single extension of the lease</t>
  </si>
  <si>
    <t>No CAPEX requirements during the project or within 15 years after completion</t>
  </si>
  <si>
    <t>Capitalised Interest applied at 7.11% p.a. based on supplied monthly cash-flow by S.Hardy</t>
  </si>
  <si>
    <t>Capex to resolve outstanding BCA Compliance issues in existing buildings</t>
  </si>
  <si>
    <t>Asbestos containing material will be addressed as part of the refurbishments</t>
  </si>
  <si>
    <t xml:space="preserve">Off-site Inventory Storage - Based on current cost for Fleet, Procurement &amp; Logistics to annually lease temporary storage to relieve pressures of inventory at the Garbutt site. </t>
  </si>
  <si>
    <t>This option details the 'Business As Usual' / 'Do Nothing' scenario, with the addition of the resolution of the BCA compliance issues and the upgrade of existing structures at Garbutt. While no site configuration changes are realised, the buildings will be brought up to standard and a portion of the outstanding risk will be addressed.</t>
  </si>
  <si>
    <t xml:space="preserve">BAU Capex Works will continue to be undertaken before and after (in a deferred fashion) to maintain existing asset base as best as possible </t>
  </si>
  <si>
    <t>Detailed Design and tender decision for Original Scope will be completed by 4th Qtr 13/14 (June 2014)</t>
  </si>
  <si>
    <t>Tesla House - 15 Dalrymple Road will be relinquished 4th Qtr 15/16, requiring a one year extension of lease</t>
  </si>
  <si>
    <t>Off-site Inventory Storage no longer required on completion of ARK Homes site as Logistics facility - 1st Qtr 15/16</t>
  </si>
  <si>
    <t>Costs associated with a twelve month delay, including tender extension fee, internal labour costs and capitalised Interest</t>
  </si>
  <si>
    <t xml:space="preserve">Garbutt Redevelopment Construction costs escalated by one year based on escalations documented in Cost Plan </t>
  </si>
  <si>
    <t>Already incurred Project (design) costs as at 30 Nov 2013 with forecast costs up to beginning of construction, including the additional cost of a renewed detailed design and associated consultants</t>
  </si>
  <si>
    <t>This is as per Option 1, preferred scope of works, but applies a 36 month postponement to execute the project entirely in the next regulatory period.</t>
  </si>
  <si>
    <t>Minor BAU Capex costs based on Option 5 - BAU for two years of the deferral period</t>
  </si>
  <si>
    <t>Costs associated with a 36 month delay, including tender extension fee, DA resubmission, internal labour costs and capitalised Interest</t>
  </si>
  <si>
    <t>This option details the 'Business As Usual' / 'Do Nothing' scenario. It assumes the status quo with the continuation of maintenance and capital expenditure to maintain the aging asset base at Garbutt</t>
  </si>
  <si>
    <t>This option details the 'Business As Usual' / 'Do Nothing' scenario, with the addition of the resolution of the BCA compliance issues. It assumes the status quo with the continuation of maintenance and capital expenditure to maintain the aging asset base at Garbutt, with the addition of a single point of resolution for BCA compliance issues.</t>
  </si>
  <si>
    <t>BAU Capex escalations applied at consistent rate of 6% p.a. based on historical trend due to escalating age of assets, requirement to replace major plant and cost to mitigate existing risks considerable</t>
  </si>
  <si>
    <t>Already incurred Project (design) costs as at 31 January 2014 with be expensed to OPEX</t>
  </si>
  <si>
    <t>The existing leased accommodation at Tesla House (15 Dalrymple Rd) will be maintained for decanting purposes until the end of BCA compliance work</t>
  </si>
  <si>
    <t>The existing leased accommodation at Tesla House (15 Dalrymple Rd) will be maintained for decanting purposes until the end of BCA &amp; refurb work</t>
  </si>
  <si>
    <t>Post-execution baseline in Stores maintenance inline with pre-execution as removal on non-compliance not expected to influence ongoing costs</t>
  </si>
  <si>
    <t>Post-execution baseline stores non-maintenance inline with pre-execution as removal on non-compliance not expected to influence ongoing costs</t>
  </si>
  <si>
    <t>Post-execution baseline in Office maintenance inline with pre-execution as removal on non-compliance not expected to influence ongoing costs</t>
  </si>
  <si>
    <t>Post-execution baseline in Office non-maintenance inline with pre-execution as removal on non-compliance not expected to influence ongoing costs</t>
  </si>
  <si>
    <t>Post-execution baseline in Depot maintenance inline with pre-execution as removal on non-compliance not expected to influence ongoing costs</t>
  </si>
  <si>
    <t>Post-execution baseline depot non-maintenance inline with pre-execution as removal on non-compliance not expected to influence ongoing costs</t>
  </si>
  <si>
    <t>To be confirmed</t>
  </si>
  <si>
    <t>Post-execution baseline stores non-maintenance consistent with BAU</t>
  </si>
  <si>
    <t>Post-execution baseline depot non-maintenance reflective of staff changes, but costs which are building/sqm driven will remain as BAU. Amenities costs reduced by staffing proportions, cleaning costs reflect 20% saving due to improved building conditions from refurb, electricity usage reduced through usage of efficiency devices, time sensitive, segmented lights &amp; air-con usage (electricity saving of 20% - scope of work not as extensive as Option 1, some plant remaining).</t>
  </si>
  <si>
    <t>This option represents the original AER 2010-15 Master plan strategy to move blue collar workers to a newly developed Ingham Rd site. Due to the purchase of ARK Homes and the move of white-collar staff to Flinders St, this is no longer a valid choice for the business. This option has been provided as a reference.</t>
  </si>
  <si>
    <t>Ingham Rd will operate as the sole 'blue-collar' site in Townsville over the next 20 years</t>
  </si>
  <si>
    <t>The Garbutt site (exluding Substation/Powerstation) will be sold off</t>
  </si>
  <si>
    <t>The OCCN (Control Centre) portion of the office will be moved to Ingham Rd</t>
  </si>
  <si>
    <t>Minor BAU Capex works will be undertaken in the lead-up to the Ingham Rd move</t>
  </si>
  <si>
    <t>Due to the limited (if any) impact (financial or otherwise) on 420 Flinders St, it will be excluded from the NPV for this option</t>
  </si>
  <si>
    <t>Due to no impact (financial or otherwise) on Hartley St, it will be excluded from the NPV for this option</t>
  </si>
  <si>
    <t>Maintenance and non-maintenance costs for OCCN are assumed to retain between sites</t>
  </si>
  <si>
    <r>
      <t xml:space="preserve">Continue to </t>
    </r>
    <r>
      <rPr>
        <sz val="10"/>
        <rFont val="Arial"/>
        <family val="2"/>
      </rPr>
      <t>maintain Garbutt during the development of Ingham Rd</t>
    </r>
  </si>
  <si>
    <t>All Garbutt buildings will continue to operate as they have been (albeit with lower staff numbers) while Ingham Rd is developed</t>
  </si>
  <si>
    <t>BAU Minor Capex will be executed each year to maintain and replace aging assets at Garbutt up to the point of relocation</t>
  </si>
  <si>
    <t>Shareholding approval will be received by end of 2014</t>
  </si>
  <si>
    <t>Construction of Ingham Rd Development will begin 3rd Qtr 14/15 (Jan 2015)</t>
  </si>
  <si>
    <t>No other CAPEX requirements at Garbutt or post-development at Ingham Rd within the 15 year period</t>
  </si>
  <si>
    <t>Ingham Rd Development</t>
  </si>
  <si>
    <t>OCCN Build &amp; Comms relocation</t>
  </si>
  <si>
    <t>Design &amp; Contruction Estimate</t>
  </si>
  <si>
    <t>Construction of Ingham Rd Development will conclude 2nd Qtr 16/17 (Jan 17)</t>
  </si>
  <si>
    <t>Relocation of staff and operations to Ingham Rd will occur 2nd Qtr 16/17 (Jan 17)</t>
  </si>
  <si>
    <t>Capitalised Interest applied at 7.11% p.a. based on calculated yearly costs</t>
  </si>
  <si>
    <t>Based on Bovis Lend Lease Concept Design Cost Plan. Additional costs include EE related expenses as detailed and OCCN Communications CAPEX costs based on Richardson/Glenmore Rd estimate for OCCS</t>
  </si>
  <si>
    <t>Off-site Inventory Storage no longer required on completion of Ingham Rd 2nd Qtr 16/17 (Jan 17)</t>
  </si>
  <si>
    <t>Escalations not in-built to project costing, estimated at 2.5% p.a.</t>
  </si>
  <si>
    <t>Pre-execution baseline uses Garbutt stores maintenance BAU Option with one year escalation</t>
  </si>
  <si>
    <t>Pre-execution baseline uses Garbutt stores non-maintenance BAU Option with one year escalation</t>
  </si>
  <si>
    <t>Pre-execution baseline uses Garbutt office maintenance BAU Option with one year escalation</t>
  </si>
  <si>
    <t>Pre-execution baseline uses Garbutt office non-maintenance BAU Option with one year escalation</t>
  </si>
  <si>
    <t>Pre-execution baseline uses Garbutt depot maintenance BAU Option with one year escalation</t>
  </si>
  <si>
    <t>Pre-execution baseline uses Garbutt depot non-maintenance BAU Option with one year escalation</t>
  </si>
  <si>
    <t>See 'OP4-Project Cost'</t>
  </si>
  <si>
    <t>Sale of Garbutt represents the valuations taken 2009-2011 with a forecast 2% p.a. indexation up until sale date</t>
  </si>
  <si>
    <t>There is no CAPEX impact of the Ingham Rd development on Hartley St or Flinders St sites in Townsville</t>
  </si>
  <si>
    <t>0.5% - 4%</t>
  </si>
  <si>
    <t>Forecast escalation for all building maintenance costs from 2017/18 at 0.5% p.a. until additional 4% due to increasing age of asset base reaching critical point in lifecycle</t>
  </si>
  <si>
    <t>Detailed Design for Ingham Rd, Mt St John</t>
  </si>
  <si>
    <t>Already incurred Project (design) costs as at 30 Nov 2013 with forecast costs up to beginning of new detailed design</t>
  </si>
  <si>
    <t>Post-execution Ingham Rd Stores maintenance uses Option 1 savings (removal of major plant corrective items) and apportions it against the building sqm</t>
  </si>
  <si>
    <t>Post-execution Ingham Rd Stores non-maintenance consolidated under the Ingham Rd 'Office'</t>
  </si>
  <si>
    <t>Post-execution Ingham Rd Office maintenance uses Option 1 savings (removal of major plant corrective items) and apportions it against the building sqm</t>
  </si>
  <si>
    <t>Post-execution Ingham Rd baseline in Office non-maintenance uses and consolidates the costs at Garbutt's three sites calculated in Option 1 as a baseline and applies modifiers based on staff and building sqm. Rates align to the actual rates costs at Ingham Rd with the additional water costs at Garbutt and land tax reflects actual costs at Ingham Rd. Savings forecast within Option 1 reflect consistent design principles if the Ingham Rd development went ahead.</t>
  </si>
  <si>
    <t>Post-execution Ingham Rd Depot maintenance uses Option 1 savings (removal of major plant corrective items) and apportions it against the building sqm</t>
  </si>
  <si>
    <t>Post-execution Ingham Rd Depot non-maintenance consolidated under the Ingham Rd 'Office', except Grounds Maintenance which is apportioned by sqm of the site</t>
  </si>
  <si>
    <t>Maintenance and Non-maintenance costs at Ingham Rd will commence 3rd Qtr 16/17 as per baseline</t>
  </si>
  <si>
    <t>Maintenance and Non-maintenance costs at Garbutt will continue as per normal in 16/17, reduce in 17/18 prior to sale in 18/19</t>
  </si>
  <si>
    <t>Pre-sale Garbutt maintenance and non-maintenance in 17/18 will only retain land tax, grounds &amp; rates costs as per BAU. All other costs will be removed as site not in use</t>
  </si>
  <si>
    <t>Execution of BCA Compliance resolution capex will result in no BAU Capex being undertaken during refurbishment years</t>
  </si>
  <si>
    <t>BAU Major Capex will not be required for 10 years after refurbishment</t>
  </si>
  <si>
    <t>BAU Minor Capex will be executed each year indefinitely but at a reduced rate</t>
  </si>
  <si>
    <t xml:space="preserve">BAU Minor Capex mitigation based on historical trend from 08/09 to 11/12 escalated 3% p.a. </t>
  </si>
  <si>
    <t>BAU Major Capex mitigation based on historical trend escalated at a lower rate of 3% p.a. Applies first year expenditure, no expenditure during refurbishment and for 10 years post-refurbishment. Returns at BAU values, but lower escalation rate</t>
  </si>
  <si>
    <t>Maintenance and Non-maintenance costs on the Garbutt Depot will transition between current and new on beginning of 1st Qtr 16/17</t>
  </si>
  <si>
    <t>Minor BAU Capex costs based on Option 5 - BAU for one year of the deferral period (split 6 months each FY)</t>
  </si>
  <si>
    <t>Redevelopment costs flowed based on straight 75% of Option 1 costs pushed out into following year for each yearly cash-flow</t>
  </si>
  <si>
    <t>Consultant/QS costs associated with twelth month delay, based on Glenmore Rd where multiple reviews, reconfirmation of costs and rework was performed to satisfy the Board and Shareholding Minister requirements. Split over two FY's</t>
  </si>
  <si>
    <t>06/07</t>
  </si>
  <si>
    <t>06/07 Minor Projects</t>
  </si>
  <si>
    <t>06/07 Major Projects</t>
  </si>
  <si>
    <t>05/06</t>
  </si>
  <si>
    <t>05/06 Minor Projects</t>
  </si>
  <si>
    <t>05/06 Major Projects</t>
  </si>
  <si>
    <t>Maintenance &amp; most non-maintenance costs reduced during redevelopment of the relevant stage. All building maintenance ceases, and all non land related non-maintenance is removed</t>
  </si>
  <si>
    <t>WACC:</t>
  </si>
  <si>
    <t>Based on Davis Landgon Contract Documentation Cost Plan.</t>
  </si>
  <si>
    <r>
      <t xml:space="preserve">Post-execution baseline in </t>
    </r>
    <r>
      <rPr>
        <b/>
        <sz val="10"/>
        <rFont val="Arial"/>
        <family val="2"/>
      </rPr>
      <t>Stores</t>
    </r>
    <r>
      <rPr>
        <sz val="10"/>
        <rFont val="Arial"/>
        <family val="2"/>
      </rPr>
      <t xml:space="preserve"> maintenance quantified by removal of planned corrective, forced and major plant unplanned corrective costs. Preventative servicing increased and apportioned to building sqm</t>
    </r>
  </si>
  <si>
    <r>
      <t xml:space="preserve">Post-execution baseline in </t>
    </r>
    <r>
      <rPr>
        <b/>
        <sz val="10"/>
        <rFont val="Arial"/>
        <family val="2"/>
      </rPr>
      <t>Office</t>
    </r>
    <r>
      <rPr>
        <sz val="10"/>
        <rFont val="Arial"/>
        <family val="2"/>
      </rPr>
      <t xml:space="preserve"> maintenance quantified by removal of planned corrective, forced and major plant unplanned corrective costs. Preventative servicing increased and apportioned to building sqm. Correctived costs related to OCCN remain in total</t>
    </r>
  </si>
  <si>
    <r>
      <t xml:space="preserve">Post-execution baseline in </t>
    </r>
    <r>
      <rPr>
        <b/>
        <sz val="10"/>
        <rFont val="Arial"/>
        <family val="2"/>
      </rPr>
      <t>Depot</t>
    </r>
    <r>
      <rPr>
        <sz val="10"/>
        <rFont val="Arial"/>
        <family val="2"/>
      </rPr>
      <t xml:space="preserve"> maintenance quantified by removal of planned corrective, forced and major plant unplanned corrective costs. Preventative servicing increased and apportioned to building sqm. Grounds maintenance remains.</t>
    </r>
  </si>
  <si>
    <t>Post-execution baseline in Stores maintenance quantified by removal of planned corrective, forced and major plant unplanned corrective costs. Preventative servicing increased and apportioned to building sqm</t>
  </si>
  <si>
    <t>Post-execution baseline stores non-maintenance reflective of changes in land tax and increase in rates due to move to ARK building, all other costs remain consistent</t>
  </si>
  <si>
    <t>Post-execution baseline in Office maintenance quantified by removal of planned corrective, forced and major plant unplanned corrective costs. Preventative servicing increased and apportioned to building sqm. Correctived costs related to OCCN remain in total</t>
  </si>
  <si>
    <t>Post-execution baseline in Office non-maintenance related to the move to a consolidated open and shared service office efficient floor plan. Four kitchenettes reduced to one kitchen (20% saving in amenities), document destruction bins reduced by half (40% saving in recycling/shredding), electricity usage reduced through usage of efficiency devices, time sensitive, segmented lights &amp; air-con usage (electricity saving of 40%), lease of donga no longer required (100% saving).</t>
  </si>
  <si>
    <t>Post-execution baseline in Depot maintenance quantified by removal of planned corrective, forced and major plant unplanned corrective costs. Preventative servicing increased and apportioned to building sqm. Grounds maintenance remains.</t>
  </si>
  <si>
    <t>Post-execution baseline depot non-maintenance considerable savings quantified through the reduction from 11 buildings to 1 and the centralisation of many staff services and recurring costs. Amenities reduced against staff numbers with a 80% saving (aligned to costs recorded in BG1-Office), cleaning by cost/sqm with a similar saving of 70%, rates &amp; land tax now reflective of 24 Dalrymple Rd (currently BG3), electricity reduced by cost/sqm and a 60% saving (smaller saving due to continuation of workshop tools and devices).</t>
  </si>
  <si>
    <t>'Post-execution baseline in Stores non-maintenance reflective of changes in land tax and increase in rates due to move to ARK building, all other costs remain consistent</t>
  </si>
  <si>
    <t>Post-execution baseline in Office non-maintenance related to the move to a consolidated open and shared service office efficient floor plan. Four kitchenettes reduced to two kitchens (10% saving in amenities), document destruction bins reduced by half (40% Post-execution baseline saving in recycling/shredding), electricity usage reduced through removal of buildings and efficiency devices, time sensitive, segmented lights &amp; air-con usage (electricity saving of 20%), lease of donga no longer required (100% saving).</t>
  </si>
  <si>
    <t>'Post-execution baseline in Depot non-maintenance considerable savings quantified through the reduction from 11 buildings to 1 and the centralisation of many staff services and recurring costs. Amenities reduced against staff numbers with a 80% saving (aligned to costs recorded in BG1-Office), cleaning by cost/sqm with a similar saving of 70%, rates &amp; land tax now reflective of 24 Dalrymple Rd (currently BG3), electricity reduced by cost/sqm and a 60% saving (smaller saving due to continuation of workshop tools and devices).</t>
  </si>
  <si>
    <r>
      <t xml:space="preserve">Post-execution baseline in </t>
    </r>
    <r>
      <rPr>
        <b/>
        <sz val="10"/>
        <rFont val="Arial"/>
        <family val="2"/>
      </rPr>
      <t xml:space="preserve">Office </t>
    </r>
    <r>
      <rPr>
        <sz val="10"/>
        <rFont val="Arial"/>
        <family val="2"/>
      </rPr>
      <t>non-maintenance related to the move to a consolidated open and shared service office efficient floor plan. Four kitchenettes reduced to one kitchen (20% saving in amenities), document destruction bins reduced by half (40% saving in recycling/shredding), electricity usage reduced through removal of buildings and efficiency devices, time sensitive, segmented lights &amp; air-con usage (electricity saving of 50%), lease of donga no longer required (100% saving).</t>
    </r>
  </si>
  <si>
    <t>Post-execution baseline in Depot maintenance quantified by removal of forced costs, planned corrective reduced by 75% and major plant unplanned corrective costs. Preventative servicing consistent with BAU. Grounds maintenance remains.</t>
  </si>
  <si>
    <t>Post-execution baseline in Stores maintenance quantified by removal of forced costs, planned corrective reduced by 75% and major plant unplanned corrective costs. Preventative servicing consistent with BAU</t>
  </si>
  <si>
    <t>Post-execution baseline in Office maintenance quantified by removal of forced costs, planned corrective reduced by 75% and major plant unplanned corrective costs. Preventative servicing consistent with BAU. Correctived costs related to OCCN remain in total</t>
  </si>
  <si>
    <t>Post-execution baseline in Office non-maintenance related to the move to a consolidated open and shared service office efficient floor plan. Four kitchenettes reduced to one kitchen (20% saving in amenities), document destruction bins reduced by half (40% saving in recycling/shredding), electricity usage reduced through usage of efficiency devices, time sensitive, segmented lights &amp; air-con usage (electricity saving of 20% - scope of work not as extensive as Option 1, some plant remaining), lease of donga no longer required (100% saving).</t>
  </si>
  <si>
    <t>Option A</t>
  </si>
  <si>
    <t>Lifecycle</t>
  </si>
  <si>
    <t>Implementation</t>
  </si>
  <si>
    <t>Benefits</t>
  </si>
  <si>
    <t>Net Benefit</t>
  </si>
  <si>
    <t>Discount Factor</t>
  </si>
  <si>
    <t>Year</t>
  </si>
  <si>
    <t>D/Cashflow</t>
  </si>
  <si>
    <t>Cumulative Net Benefit</t>
  </si>
  <si>
    <t>Cumulative D/Cashflow</t>
  </si>
  <si>
    <t>Risk Score:</t>
  </si>
  <si>
    <t>Cumulative Implementation</t>
  </si>
  <si>
    <t>Cumulative Lifecycle</t>
  </si>
  <si>
    <t>Cumulative Benefits</t>
  </si>
  <si>
    <t>Option B</t>
  </si>
  <si>
    <t>Option C</t>
  </si>
  <si>
    <t>Option D</t>
  </si>
  <si>
    <t>Option F</t>
  </si>
  <si>
    <t>Option G</t>
  </si>
  <si>
    <t>Option H</t>
  </si>
  <si>
    <t>Cumulative Cashflow</t>
  </si>
  <si>
    <t>21/22</t>
  </si>
  <si>
    <t>22/23</t>
  </si>
  <si>
    <t>23/24</t>
  </si>
  <si>
    <t>24/25</t>
  </si>
  <si>
    <t>25/26</t>
  </si>
  <si>
    <t>26/27</t>
  </si>
  <si>
    <t>27/28</t>
  </si>
  <si>
    <t>28/29</t>
  </si>
  <si>
    <t>29/30</t>
  </si>
  <si>
    <t>30/31</t>
  </si>
  <si>
    <t>31/32</t>
  </si>
  <si>
    <t>32/33</t>
  </si>
  <si>
    <t>Business As Usual</t>
  </si>
  <si>
    <t>EECL Associated and Other Costs</t>
  </si>
  <si>
    <t>Building 1</t>
  </si>
  <si>
    <t>Building 6</t>
  </si>
  <si>
    <t>Building 15</t>
  </si>
  <si>
    <t>Building 17</t>
  </si>
  <si>
    <t>Building 18</t>
  </si>
  <si>
    <t>Building 19</t>
  </si>
  <si>
    <t>Site Works</t>
  </si>
  <si>
    <t>excluded</t>
  </si>
  <si>
    <t>Building 10 &amp; 11</t>
  </si>
  <si>
    <t>Preliminary Cost Plan Dec 2013 $</t>
  </si>
  <si>
    <t>Compliance</t>
  </si>
  <si>
    <t>Refurbishment</t>
  </si>
  <si>
    <t>Execution of BCA Compliance resolution capex will result in no BAU Capex being spent those years</t>
  </si>
  <si>
    <t>BAU Minor Capex will be executed each year indefinitely outside of Compliance work</t>
  </si>
  <si>
    <t>BAU Major Capex will be executed each year indefinitely outside of Compliance work</t>
  </si>
  <si>
    <t>Design, documentation and tender will commence February 2014</t>
  </si>
  <si>
    <t>Design, documentation and tender will conclude December 2014</t>
  </si>
  <si>
    <t>Implementation and Construction will commence January 2015</t>
  </si>
  <si>
    <t>Implementation and Construction will conclude June 2016</t>
  </si>
  <si>
    <t>Design, documentation and tender will conclude June 2015</t>
  </si>
  <si>
    <t>Implementation and Construction will commence July 2016</t>
  </si>
  <si>
    <t>Implementation and Construction will conclude December 2018</t>
  </si>
  <si>
    <t>See 'OP6-Item Costs'</t>
  </si>
  <si>
    <t>See 'OP7-Item Costs'</t>
  </si>
  <si>
    <t>Garbutt Site Compliance and Refurb</t>
  </si>
  <si>
    <t>Based on Davis Landgon Preliminary Cost Plan. Additional costs include EE related expenses as detailed (attached)</t>
  </si>
  <si>
    <t>Already incurred Project (design) costs as at 30 Nov 2013</t>
  </si>
  <si>
    <t>Present Value of Benefits</t>
  </si>
  <si>
    <t>NPV (9.72% WACC)</t>
  </si>
  <si>
    <t>Option Rankings</t>
  </si>
  <si>
    <t>Risk Score</t>
  </si>
  <si>
    <t>Summary of Key Financial Assumptions</t>
  </si>
  <si>
    <t>Build Start</t>
  </si>
  <si>
    <t>N/A</t>
  </si>
  <si>
    <t>Build Finish</t>
  </si>
  <si>
    <t>Time Frame</t>
  </si>
  <si>
    <t>Construction $</t>
  </si>
  <si>
    <t>Overheads $</t>
  </si>
  <si>
    <t>Price Escalations $</t>
  </si>
  <si>
    <t>C. Interest $</t>
  </si>
  <si>
    <t>Total Redevelopment $</t>
  </si>
  <si>
    <t>Total Compliance Works $</t>
  </si>
  <si>
    <t>Avg $ / Year</t>
  </si>
  <si>
    <t>The following 8 options have been evaluated in this model. A number of assumptions have been made throughout the analysis and have been detailed and listed on the following worksheets.</t>
  </si>
  <si>
    <t>Redevelopment Dalrymple Rd, Garbutt - Value Managed Scope</t>
  </si>
  <si>
    <t>Redevelopment Dalrymple Rd, Garbutt - Original Scope pre 420 Flinders St</t>
  </si>
  <si>
    <t>Redevelopment Dalrymple Rd, Garbutt - Value Managed Scope with 12 month delay</t>
  </si>
  <si>
    <t>Redevelopment Ingham Rd, Mt St John - AER 2010-15 Strategy &amp; Submission</t>
  </si>
  <si>
    <t>Business As Usual - Do Nothing. Historical maintenance and capex work continues</t>
  </si>
  <si>
    <t>Business As Usual with BCA Compliance addressed in all buildings</t>
  </si>
  <si>
    <t>Business As Usual with BCA Compliance and Refurbishment to current standard addressed in all buildings</t>
  </si>
  <si>
    <t>Redevelopment Dalrymple Rd, Garbutt - Value Managed Scope with 36 month delay. Fully delivered AER 2015-20</t>
  </si>
  <si>
    <t>Garbutt Compliance Works</t>
  </si>
  <si>
    <t>Present Cost of Lifecycle</t>
  </si>
  <si>
    <t>Present value of Implementation</t>
  </si>
  <si>
    <t>Present value of Benefits</t>
  </si>
  <si>
    <t>Present value of Lifecycle</t>
  </si>
  <si>
    <t>Residual Value</t>
  </si>
  <si>
    <t>Option E / 
Do Nothing</t>
  </si>
  <si>
    <t>Cost per risk point relieved</t>
  </si>
  <si>
    <t xml:space="preserve">Garbutt Redevelopment Construction costs escalated by two years based on yearly escalation documented in Cost Plan </t>
  </si>
  <si>
    <t>Consultant/QS costs associated with thirty-sex month delay, based on Glenmore Rd where multiple reviews, reconfirmation of costs and rework was performed to satisfy the Board and Shareholding Minister requirements. Adds in the half the cost of Detailed design for Garbutt as will need to be revisited and potentially rewritten</t>
  </si>
  <si>
    <t>Baseline Risk:</t>
  </si>
  <si>
    <t>3 years</t>
  </si>
  <si>
    <t>Escalations/Delays $</t>
  </si>
  <si>
    <t>Ingham Rd Sale</t>
  </si>
  <si>
    <t>Garbutt Site Sale</t>
  </si>
  <si>
    <t>2 years</t>
  </si>
  <si>
    <t>Detailed Design to commence 3rd Qtr 13/14</t>
  </si>
  <si>
    <t>5 years</t>
  </si>
  <si>
    <t xml:space="preserve">BAU with resolution of BCA Compliance issues </t>
  </si>
  <si>
    <t>Garbutt Site Compliance</t>
  </si>
  <si>
    <t>Garbutt Compliance &amp; Refurb Works</t>
  </si>
  <si>
    <t>Total Implementation Cost $</t>
  </si>
  <si>
    <t>Sale of Garbutt will occur in 2021/22</t>
  </si>
  <si>
    <t>Lifecycle Costs $ 
(20y Opex &amp; Capex)</t>
  </si>
  <si>
    <r>
      <t xml:space="preserve">Commercial Outcomes - </t>
    </r>
    <r>
      <rPr>
        <b/>
        <sz val="8"/>
        <color rgb="FFFF0000"/>
        <rFont val="Arial"/>
        <family val="2"/>
      </rPr>
      <t>Without Ergon Overheads</t>
    </r>
    <r>
      <rPr>
        <b/>
        <sz val="10"/>
        <rFont val="Arial"/>
        <family val="2"/>
      </rPr>
      <t xml:space="preserve">     ($ M)</t>
    </r>
  </si>
  <si>
    <t>Garbutt Site Compliance and Refurb costs escalated each year</t>
  </si>
  <si>
    <t>Option Descriptions</t>
  </si>
  <si>
    <t>Option E / Do Nothing</t>
  </si>
  <si>
    <t>Present Cost of Implementation</t>
  </si>
  <si>
    <t>This option delivers a redeveloped main office building including site amenities solution, ecolink and an office extension.  It includes a redeveloped Stores building (bg 3) as the workshop and support offices, and the adaptation of ARK Homes as the new Logistics warehouse. Delivery over three years into next regulatory period, with execution of both stages partially overlapping each other. Removes all significant risk and is the 4th cost effective resolution, but provides greater capacity for changing staff requirements</t>
  </si>
  <si>
    <t>This option represents the previous strategic direction for Townsville as presented in the AER 2010-15 Regulatory Submission. It involves the development of a greenfield site at Ingham Rd, Mt St John previously purchased by Ergon in 2007. The scope includes the full planning, design, construction and relocation of 'blue collar' services to the new site and selling the parts of Garbutt which are owned by the business. It is the least cost effective option, and strategically implausible now due to the executed CBD strategy.</t>
  </si>
  <si>
    <t>This option represents Business As Usual / Doing Nothing. It continues to map the trending maintenance and capital costs on the Garbutt site over the 20 year period without any significant capital investment or Planned Corrective to meet the aging asset base.</t>
  </si>
  <si>
    <t>This option delivers a more efficient redeveloped main office building including site amenities solution, a redeveloped Stores building (bg 3) into the workshop and support offices, and the adaptation of ARK Homes as the new Logistics warehouse. Delivery over three years into next regulatory period. Removes all significant risk and is the most cost effective resolution.</t>
  </si>
  <si>
    <t>This option is consistent with Option A, but with a 12 month deferral period applied to the timeframes in anticipation of delays in gaining approval. This option maps the cost of internal labour, extensions to the tender, additional interest and design review costs. In terms of the Present Cost of Capex it represents a $176,000 increase over the 20 year period, although in real terms it will cost the business $1.3 million in capex plus the increased maintenance cost for one year. It also holds a greater risk of non-approval through the AER 2015-20 regulatory submission as the majority to pushed into that period.</t>
  </si>
  <si>
    <t>This option represents Business As Usual as above, but with resolution of the current and outstanding areas of non-compliance across all buildings on the Garbutt site. It continues to map the trending maintenance and BAU capital costs over the 20 year period, with only minor reductions where the BCA compliance work improves asset efficiency on the site. Mitigates building related risk, but site risks remain. Can be delivered over two years.</t>
  </si>
  <si>
    <t>This option is consistent with Option A, but with full deferral into the 2015-20 regulatory period (36 months delay). This option maps the cost of internal labour, tender extensions, DA extensions, additional interest and design reassessment costs during the deferral period. In terms of the Present Cost of Capex it represents a $100,000 increase over the 20 year period, although in real terms it will cost the business $4.6 million in capex plus the increased maintenance cost for those years.</t>
  </si>
  <si>
    <t xml:space="preserve">This option represents Business As Usual as above, but with resolution of non-compliance and the refurbishment up to current standard for all buildings on the Garbutt site. The site layout will remain as it is currently and the majority of the 23 buildings will be refurbished, relieving the buildings risks but only minor site related risks. Will require a period of five years for delivery due to the extensiveness of the scope and staging requirements around the site. </t>
  </si>
  <si>
    <t>Option E</t>
  </si>
  <si>
    <t>Option D - Ingham Rd</t>
  </si>
  <si>
    <t>Option E - BAU</t>
  </si>
  <si>
    <t>A) VM Scope – Garbutt Redevelopment</t>
  </si>
  <si>
    <t>B) Original Scope – Garbutt Redevelopment</t>
  </si>
  <si>
    <t>C) VM Scope – 12 months approval delay</t>
  </si>
  <si>
    <t>E) Do Nothing / BAU</t>
  </si>
  <si>
    <t>F) BAU with BCA resolution</t>
  </si>
  <si>
    <t>G) BAU with BCA resolution &amp; refurbishment</t>
  </si>
  <si>
    <t>H) VM Scope - Full Deferral to 2015-20</t>
  </si>
  <si>
    <t>D) Scope – Ingham Rd Redevelopment</t>
  </si>
  <si>
    <r>
      <t>Total Option Cost</t>
    </r>
    <r>
      <rPr>
        <sz val="10"/>
        <rFont val="Arial"/>
        <family val="2"/>
      </rPr>
      <t xml:space="preserve"> 
(20y Opex &amp; Capex)</t>
    </r>
    <r>
      <rPr>
        <b/>
        <sz val="10"/>
        <rFont val="Arial"/>
        <family val="2"/>
      </rPr>
      <t xml:space="preserve"> $</t>
    </r>
  </si>
  <si>
    <t>33/34</t>
  </si>
  <si>
    <t>34/35</t>
  </si>
  <si>
    <t>35/36</t>
  </si>
  <si>
    <t>36/37</t>
  </si>
  <si>
    <t>37/38</t>
  </si>
  <si>
    <t>38/39</t>
  </si>
  <si>
    <t>39/40</t>
  </si>
  <si>
    <t>40/41</t>
  </si>
  <si>
    <t>41/42</t>
  </si>
  <si>
    <t>42/43</t>
  </si>
  <si>
    <t>Hard-coded based on consistent escalation rates</t>
  </si>
  <si>
    <t>30 Year NPV Analysis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</si>
</sst>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0.0%"/>
    <numFmt numFmtId="165" formatCode="_-\$* #,##0.00_-;&quot;-$&quot;* #,##0.00_-;_-\$* \-??_-;_-@_-"/>
    <numFmt numFmtId="166" formatCode="_(&quot;$&quot;* #,##0.00_);_(&quot;$&quot;* \(#,##0.00\);_(&quot;$&quot;* &quot;-&quot;??_);_(@_)"/>
    <numFmt numFmtId="167" formatCode="_(* #,##0.00_);_(* \(#,##0.00\);_(* &quot;-&quot;??_);_(@_)"/>
    <numFmt numFmtId="168" formatCode="&quot;$&quot;#,##0"/>
    <numFmt numFmtId="169" formatCode="&quot;$&quot;#,##0.00"/>
    <numFmt numFmtId="170" formatCode="_-* #,##0_-;\-* #,##0_-;_-* &quot;-&quot;??_-;_-@_-"/>
    <numFmt numFmtId="171" formatCode="_-&quot;$&quot;* #,##0_-;\-&quot;$&quot;* #,##0_-;_-&quot;$&quot;* &quot;-&quot;??_-;_-@_-"/>
    <numFmt numFmtId="172" formatCode="#,##0_ ;\-#,##0\ "/>
    <numFmt numFmtId="173" formatCode="_-* #,##0_-;\-* #,##0_-;_-* &quot;-&quot;????_-;_-@_-"/>
    <numFmt numFmtId="174" formatCode="_(* #,##0_);_(* \(#,##0\);_(* &quot;-&quot;??_);_(@_)"/>
    <numFmt numFmtId="175" formatCode="0.000%"/>
    <numFmt numFmtId="176" formatCode="0.000"/>
    <numFmt numFmtId="177" formatCode="0_ ;[Red]\-0\ "/>
    <numFmt numFmtId="178" formatCode="d/mm/yyyy;@"/>
    <numFmt numFmtId="179" formatCode="#,##0_ ;[Red]\-#,##0\ "/>
    <numFmt numFmtId="180" formatCode="#,##0.000_ ;\-#,##0.000\ "/>
  </numFmts>
  <fonts count="10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name val="Arial"/>
      <family val="2"/>
    </font>
    <font>
      <sz val="10"/>
      <name val="Arial"/>
      <family val="2"/>
    </font>
    <font>
      <b/>
      <u/>
      <sz val="12"/>
      <name val="Arial"/>
      <family val="2"/>
    </font>
    <font>
      <b/>
      <sz val="12"/>
      <name val="Arial"/>
      <family val="2"/>
    </font>
    <font>
      <b/>
      <sz val="10"/>
      <name val="Arial"/>
      <family val="2"/>
    </font>
    <font>
      <sz val="10"/>
      <color rgb="FFFF0000"/>
      <name val="Arial"/>
      <family val="2"/>
    </font>
    <font>
      <sz val="11"/>
      <color theme="1"/>
      <name val="Arial"/>
      <family val="2"/>
    </font>
    <font>
      <sz val="10"/>
      <color theme="1"/>
      <name val="Arial"/>
      <family val="2"/>
    </font>
    <font>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indexed="8"/>
      <name val="Calibri"/>
      <family val="2"/>
    </font>
    <font>
      <u/>
      <sz val="12"/>
      <color theme="10"/>
      <name val="Calibri"/>
      <family val="2"/>
    </font>
    <font>
      <u/>
      <sz val="11"/>
      <color theme="10"/>
      <name val="Calibri"/>
      <family val="2"/>
      <scheme val="minor"/>
    </font>
    <font>
      <u/>
      <sz val="10"/>
      <color theme="10"/>
      <name val="Arial"/>
      <family val="2"/>
    </font>
    <font>
      <sz val="10"/>
      <name val="Arial"/>
      <family val="2"/>
    </font>
    <font>
      <b/>
      <sz val="10"/>
      <color theme="1"/>
      <name val="Arial"/>
      <family val="2"/>
    </font>
    <font>
      <b/>
      <i/>
      <sz val="11"/>
      <color theme="1"/>
      <name val="Calibri"/>
      <family val="2"/>
      <scheme val="minor"/>
    </font>
    <font>
      <i/>
      <sz val="11"/>
      <color theme="1"/>
      <name val="Calibri"/>
      <family val="2"/>
      <scheme val="minor"/>
    </font>
    <font>
      <b/>
      <sz val="12"/>
      <name val="Calibri"/>
      <family val="2"/>
      <scheme val="minor"/>
    </font>
    <font>
      <b/>
      <sz val="14"/>
      <color indexed="9"/>
      <name val="Arial"/>
      <family val="2"/>
    </font>
    <font>
      <sz val="6"/>
      <name val="Arial"/>
      <family val="2"/>
    </font>
    <font>
      <b/>
      <i/>
      <sz val="9"/>
      <name val="Arial"/>
      <family val="2"/>
    </font>
    <font>
      <b/>
      <sz val="9"/>
      <color indexed="9"/>
      <name val="Arial"/>
      <family val="2"/>
    </font>
    <font>
      <sz val="8"/>
      <name val="Arial"/>
      <family val="2"/>
    </font>
    <font>
      <b/>
      <sz val="8"/>
      <name val="Arial"/>
      <family val="2"/>
    </font>
    <font>
      <i/>
      <sz val="10"/>
      <name val="Arial"/>
      <family val="2"/>
    </font>
    <font>
      <i/>
      <sz val="8"/>
      <name val="Arial"/>
      <family val="2"/>
    </font>
    <font>
      <i/>
      <sz val="9"/>
      <name val="Arial"/>
      <family val="2"/>
    </font>
    <font>
      <b/>
      <sz val="12"/>
      <color indexed="9"/>
      <name val="Arial"/>
      <family val="2"/>
    </font>
    <font>
      <b/>
      <sz val="11"/>
      <name val="Arial"/>
      <family val="2"/>
    </font>
    <font>
      <u/>
      <sz val="9"/>
      <name val="Arial"/>
      <family val="2"/>
    </font>
    <font>
      <b/>
      <sz val="9"/>
      <name val="Arial"/>
      <family val="2"/>
    </font>
    <font>
      <b/>
      <u/>
      <sz val="10"/>
      <name val="Arial"/>
      <family val="2"/>
    </font>
    <font>
      <b/>
      <i/>
      <sz val="10"/>
      <name val="Arial"/>
      <family val="2"/>
    </font>
    <font>
      <b/>
      <sz val="9"/>
      <color theme="1"/>
      <name val="Calibri"/>
      <family val="2"/>
      <scheme val="minor"/>
    </font>
    <font>
      <b/>
      <sz val="11"/>
      <color theme="1"/>
      <name val="Arial"/>
      <family val="2"/>
    </font>
    <font>
      <b/>
      <sz val="12"/>
      <color theme="1"/>
      <name val="Arial"/>
      <family val="2"/>
    </font>
    <font>
      <b/>
      <sz val="12"/>
      <color rgb="FF000000"/>
      <name val="Arial"/>
      <family val="2"/>
    </font>
    <font>
      <b/>
      <vertAlign val="superscript"/>
      <sz val="10"/>
      <color theme="1"/>
      <name val="Arial"/>
      <family val="2"/>
    </font>
    <font>
      <sz val="9"/>
      <color indexed="81"/>
      <name val="Tahoma"/>
      <family val="2"/>
    </font>
    <font>
      <b/>
      <sz val="10"/>
      <color theme="1"/>
      <name val="Calibri"/>
      <family val="2"/>
      <scheme val="minor"/>
    </font>
    <font>
      <b/>
      <sz val="18"/>
      <color theme="1"/>
      <name val="Calibri"/>
      <family val="2"/>
      <scheme val="minor"/>
    </font>
    <font>
      <i/>
      <sz val="10"/>
      <color theme="1"/>
      <name val="Calibri"/>
      <family val="2"/>
      <scheme val="minor"/>
    </font>
    <font>
      <sz val="8"/>
      <color theme="1"/>
      <name val="Calibri"/>
      <family val="2"/>
      <scheme val="minor"/>
    </font>
    <font>
      <b/>
      <sz val="12"/>
      <color theme="1"/>
      <name val="Calibri"/>
      <family val="2"/>
      <scheme val="minor"/>
    </font>
    <font>
      <b/>
      <i/>
      <sz val="10"/>
      <color theme="1"/>
      <name val="Calibri"/>
      <family val="2"/>
      <scheme val="minor"/>
    </font>
    <font>
      <u/>
      <sz val="9"/>
      <color theme="10"/>
      <name val="Arial"/>
      <family val="2"/>
    </font>
    <font>
      <sz val="11"/>
      <name val="Calibri"/>
      <family val="2"/>
      <scheme val="minor"/>
    </font>
    <font>
      <b/>
      <sz val="11"/>
      <name val="Calibri"/>
      <family val="2"/>
      <scheme val="minor"/>
    </font>
    <font>
      <b/>
      <sz val="13"/>
      <color theme="1"/>
      <name val="Calibri"/>
      <family val="2"/>
      <scheme val="minor"/>
    </font>
    <font>
      <b/>
      <u/>
      <sz val="10"/>
      <color theme="1"/>
      <name val="Arial"/>
      <family val="2"/>
    </font>
    <font>
      <b/>
      <sz val="10"/>
      <color indexed="9"/>
      <name val="Arial"/>
      <family val="2"/>
    </font>
    <font>
      <b/>
      <sz val="8"/>
      <color indexed="9"/>
      <name val="Arial"/>
      <family val="2"/>
    </font>
    <font>
      <b/>
      <i/>
      <sz val="10"/>
      <color indexed="9"/>
      <name val="Arial"/>
      <family val="2"/>
    </font>
    <font>
      <sz val="10"/>
      <color indexed="10"/>
      <name val="Arial"/>
      <family val="2"/>
    </font>
    <font>
      <sz val="10"/>
      <name val="Tahoma"/>
      <family val="2"/>
    </font>
    <font>
      <sz val="8"/>
      <color indexed="81"/>
      <name val="Tahoma"/>
      <family val="2"/>
    </font>
    <font>
      <b/>
      <sz val="8"/>
      <color indexed="81"/>
      <name val="Tahoma"/>
      <family val="2"/>
    </font>
    <font>
      <u/>
      <sz val="11"/>
      <color theme="1"/>
      <name val="Calibri"/>
      <family val="2"/>
      <scheme val="minor"/>
    </font>
    <font>
      <sz val="10"/>
      <name val="Arial"/>
      <family val="2"/>
    </font>
    <font>
      <u/>
      <sz val="10"/>
      <color indexed="12"/>
      <name val="Arial"/>
      <family val="2"/>
    </font>
    <font>
      <b/>
      <sz val="14"/>
      <name val="Arial"/>
      <family val="2"/>
    </font>
    <font>
      <b/>
      <sz val="8"/>
      <color rgb="FFFF0000"/>
      <name val="Arial"/>
      <family val="2"/>
    </font>
    <font>
      <sz val="11"/>
      <name val="Arial"/>
      <family val="2"/>
    </font>
    <font>
      <b/>
      <sz val="13"/>
      <name val="Arial"/>
      <family val="2"/>
    </font>
    <font>
      <b/>
      <sz val="18"/>
      <color theme="1"/>
      <name val="Arial"/>
      <family val="2"/>
    </font>
  </fonts>
  <fills count="8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bgColor indexed="64"/>
      </patternFill>
    </fill>
    <fill>
      <patternFill patternType="solid">
        <fgColor indexed="24"/>
        <bgColor indexed="64"/>
      </patternFill>
    </fill>
    <fill>
      <patternFill patternType="solid">
        <fgColor indexed="63"/>
        <bgColor indexed="64"/>
      </patternFill>
    </fill>
    <fill>
      <patternFill patternType="solid">
        <fgColor indexed="29"/>
        <bgColor indexed="64"/>
      </patternFill>
    </fill>
    <fill>
      <patternFill patternType="solid">
        <fgColor indexed="13"/>
        <bgColor indexed="64"/>
      </patternFill>
    </fill>
    <fill>
      <patternFill patternType="solid">
        <fgColor indexed="22"/>
        <bgColor indexed="64"/>
      </patternFill>
    </fill>
    <fill>
      <patternFill patternType="solid">
        <fgColor indexed="34"/>
        <bgColor indexed="64"/>
      </patternFill>
    </fill>
    <fill>
      <patternFill patternType="solid">
        <fgColor indexed="26"/>
        <bgColor indexed="64"/>
      </patternFill>
    </fill>
    <fill>
      <patternFill patternType="lightGray">
        <bgColor indexed="42"/>
      </patternFill>
    </fill>
    <fill>
      <patternFill patternType="lightGray"/>
    </fill>
    <fill>
      <patternFill patternType="solid">
        <fgColor rgb="FFCCFFCC"/>
        <bgColor indexed="64"/>
      </patternFill>
    </fill>
    <fill>
      <patternFill patternType="solid">
        <fgColor rgb="FFFFFFCC"/>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FFFFE6"/>
        <bgColor indexed="64"/>
      </patternFill>
    </fill>
    <fill>
      <patternFill patternType="solid">
        <fgColor rgb="FFFFC000"/>
        <bgColor indexed="64"/>
      </patternFill>
    </fill>
    <fill>
      <patternFill patternType="solid">
        <fgColor indexed="25"/>
        <bgColor indexed="64"/>
      </patternFill>
    </fill>
    <fill>
      <patternFill patternType="solid">
        <fgColor indexed="44"/>
        <bgColor indexed="64"/>
      </patternFill>
    </fill>
    <fill>
      <patternFill patternType="solid">
        <fgColor indexed="55"/>
        <bgColor indexed="64"/>
      </patternFill>
    </fill>
    <fill>
      <patternFill patternType="solid">
        <fgColor indexed="65"/>
        <bgColor indexed="64"/>
      </patternFill>
    </fill>
    <fill>
      <patternFill patternType="solid">
        <fgColor indexed="9"/>
        <bgColor indexed="64"/>
      </patternFill>
    </fill>
    <fill>
      <patternFill patternType="solid">
        <fgColor theme="3" tint="0.59999389629810485"/>
        <bgColor indexed="64"/>
      </patternFill>
    </fill>
    <fill>
      <patternFill patternType="solid">
        <fgColor indexed="21"/>
        <bgColor indexed="64"/>
      </patternFill>
    </fill>
    <fill>
      <patternFill patternType="solid">
        <fgColor rgb="FF92D050"/>
        <bgColor indexed="64"/>
      </patternFill>
    </fill>
    <fill>
      <patternFill patternType="solid">
        <fgColor theme="0" tint="-4.9989318521683403E-2"/>
        <bgColor indexed="64"/>
      </patternFill>
    </fill>
  </fills>
  <borders count="1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top style="thin">
        <color indexed="23"/>
      </top>
      <bottom/>
      <diagonal/>
    </border>
    <border>
      <left/>
      <right/>
      <top style="thin">
        <color indexed="23"/>
      </top>
      <bottom style="medium">
        <color indexed="23"/>
      </bottom>
      <diagonal/>
    </border>
    <border>
      <left/>
      <right style="thin">
        <color indexed="64"/>
      </right>
      <top style="thin">
        <color indexed="23"/>
      </top>
      <bottom/>
      <diagonal/>
    </border>
    <border>
      <left/>
      <right style="thin">
        <color indexed="64"/>
      </right>
      <top style="thin">
        <color indexed="23"/>
      </top>
      <bottom style="medium">
        <color indexed="23"/>
      </bottom>
      <diagonal/>
    </border>
    <border>
      <left/>
      <right style="thin">
        <color indexed="64"/>
      </right>
      <top style="medium">
        <color indexed="23"/>
      </top>
      <bottom style="thin">
        <color indexed="64"/>
      </bottom>
      <diagonal/>
    </border>
    <border>
      <left/>
      <right/>
      <top/>
      <bottom style="thin">
        <color indexed="23"/>
      </bottom>
      <diagonal/>
    </border>
    <border>
      <left/>
      <right/>
      <top style="medium">
        <color indexed="23"/>
      </top>
      <bottom/>
      <diagonal/>
    </border>
    <border>
      <left style="thin">
        <color indexed="64"/>
      </left>
      <right/>
      <top style="thin">
        <color indexed="23"/>
      </top>
      <bottom/>
      <diagonal/>
    </border>
    <border>
      <left style="thin">
        <color indexed="64"/>
      </left>
      <right/>
      <top style="thin">
        <color indexed="23"/>
      </top>
      <bottom style="thin">
        <color indexed="64"/>
      </bottom>
      <diagonal/>
    </border>
    <border>
      <left/>
      <right/>
      <top style="thin">
        <color indexed="23"/>
      </top>
      <bottom style="thin">
        <color indexed="64"/>
      </bottom>
      <diagonal/>
    </border>
    <border>
      <left/>
      <right style="thin">
        <color theme="0"/>
      </right>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style="thin">
        <color indexed="23"/>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top style="thin">
        <color indexed="22"/>
      </top>
      <bottom/>
      <diagonal/>
    </border>
    <border>
      <left/>
      <right/>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right style="thin">
        <color indexed="64"/>
      </right>
      <top style="thin">
        <color indexed="22"/>
      </top>
      <bottom/>
      <diagonal/>
    </border>
    <border>
      <left style="thin">
        <color indexed="64"/>
      </left>
      <right/>
      <top style="thin">
        <color indexed="22"/>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bottom style="thin">
        <color indexed="22"/>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64"/>
      </left>
      <right style="medium">
        <color indexed="64"/>
      </right>
      <top/>
      <bottom style="thin">
        <color indexed="22"/>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rgb="FF0000FF"/>
      </top>
      <bottom style="thin">
        <color rgb="FF0000FF"/>
      </bottom>
      <diagonal/>
    </border>
    <border>
      <left style="medium">
        <color indexed="64"/>
      </left>
      <right style="thin">
        <color indexed="64"/>
      </right>
      <top style="thin">
        <color rgb="FF0000FF"/>
      </top>
      <bottom style="thin">
        <color rgb="FF0000FF"/>
      </bottom>
      <diagonal/>
    </border>
    <border>
      <left style="thin">
        <color indexed="64"/>
      </left>
      <right style="thin">
        <color indexed="64"/>
      </right>
      <top style="thin">
        <color rgb="FF0000FF"/>
      </top>
      <bottom style="thin">
        <color rgb="FF0000FF"/>
      </bottom>
      <diagonal/>
    </border>
    <border>
      <left style="thin">
        <color indexed="64"/>
      </left>
      <right style="medium">
        <color indexed="64"/>
      </right>
      <top style="thin">
        <color rgb="FF0000FF"/>
      </top>
      <bottom style="thin">
        <color rgb="FF0000FF"/>
      </bottom>
      <diagonal/>
    </border>
    <border>
      <left style="thin">
        <color indexed="64"/>
      </left>
      <right/>
      <top style="medium">
        <color indexed="64"/>
      </top>
      <bottom style="thin">
        <color indexed="64"/>
      </bottom>
      <diagonal/>
    </border>
    <border>
      <left style="thin">
        <color indexed="64"/>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style="thin">
        <color rgb="FF0000FF"/>
      </top>
      <bottom style="thin">
        <color indexed="64"/>
      </bottom>
      <diagonal/>
    </border>
    <border>
      <left style="thin">
        <color indexed="64"/>
      </left>
      <right style="medium">
        <color indexed="64"/>
      </right>
      <top/>
      <bottom/>
      <diagonal/>
    </border>
    <border>
      <left style="medium">
        <color indexed="64"/>
      </left>
      <right style="thin">
        <color indexed="64"/>
      </right>
      <top style="thin">
        <color rgb="FF0000FF"/>
      </top>
      <bottom style="thin">
        <color indexed="64"/>
      </bottom>
      <diagonal/>
    </border>
    <border>
      <left style="thin">
        <color indexed="64"/>
      </left>
      <right style="thin">
        <color indexed="64"/>
      </right>
      <top style="thin">
        <color rgb="FF0000FF"/>
      </top>
      <bottom style="thin">
        <color indexed="64"/>
      </bottom>
      <diagonal/>
    </border>
    <border>
      <left style="thin">
        <color indexed="64"/>
      </left>
      <right style="medium">
        <color indexed="64"/>
      </right>
      <top style="thin">
        <color rgb="FF0000FF"/>
      </top>
      <bottom style="thin">
        <color indexed="64"/>
      </bottom>
      <diagonal/>
    </border>
    <border>
      <left/>
      <right/>
      <top style="medium">
        <color indexed="64"/>
      </top>
      <bottom/>
      <diagonal/>
    </border>
  </borders>
  <cellStyleXfs count="19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8" fillId="44"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6" fillId="0" borderId="0" applyNumberFormat="0" applyFill="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51" borderId="0" applyNumberFormat="0" applyBorder="0" applyAlignment="0" applyProtection="0"/>
    <xf numFmtId="0" fontId="29" fillId="35" borderId="0" applyNumberFormat="0" applyBorder="0" applyAlignment="0" applyProtection="0"/>
    <xf numFmtId="0" fontId="30" fillId="52" borderId="17" applyNumberFormat="0" applyAlignment="0" applyProtection="0"/>
    <xf numFmtId="0" fontId="31" fillId="53" borderId="18"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32" fillId="0" borderId="0" applyNumberFormat="0" applyFill="0" applyBorder="0" applyAlignment="0" applyProtection="0"/>
    <xf numFmtId="0" fontId="33" fillId="36" borderId="0" applyNumberFormat="0" applyBorder="0" applyAlignment="0" applyProtection="0"/>
    <xf numFmtId="0" fontId="34" fillId="0" borderId="19" applyNumberFormat="0" applyFill="0" applyAlignment="0" applyProtection="0"/>
    <xf numFmtId="0" fontId="35" fillId="0" borderId="20" applyNumberFormat="0" applyFill="0" applyAlignment="0" applyProtection="0"/>
    <xf numFmtId="0" fontId="36" fillId="0" borderId="21" applyNumberFormat="0" applyFill="0" applyAlignment="0" applyProtection="0"/>
    <xf numFmtId="0" fontId="36" fillId="0" borderId="0" applyNumberFormat="0" applyFill="0" applyBorder="0" applyAlignment="0" applyProtection="0"/>
    <xf numFmtId="0" fontId="37" fillId="39" borderId="17" applyNumberFormat="0" applyAlignment="0" applyProtection="0"/>
    <xf numFmtId="0" fontId="38" fillId="0" borderId="22" applyNumberFormat="0" applyFill="0" applyAlignment="0" applyProtection="0"/>
    <xf numFmtId="0" fontId="39" fillId="54" borderId="0" applyNumberFormat="0" applyBorder="0" applyAlignment="0" applyProtection="0"/>
    <xf numFmtId="0" fontId="19" fillId="0" borderId="0" applyNumberFormat="0" applyFill="0" applyBorder="0" applyAlignment="0" applyProtection="0"/>
    <xf numFmtId="0" fontId="26" fillId="55" borderId="23" applyNumberFormat="0" applyFont="0" applyAlignment="0" applyProtection="0"/>
    <xf numFmtId="0" fontId="40" fillId="52" borderId="2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1" fillId="0" borderId="0" applyNumberFormat="0" applyFill="0" applyBorder="0" applyAlignment="0" applyProtection="0"/>
    <xf numFmtId="0" fontId="42" fillId="0" borderId="25" applyNumberFormat="0" applyFill="0" applyAlignment="0" applyProtection="0"/>
    <xf numFmtId="0" fontId="4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4" fontId="1" fillId="0" borderId="0" applyFont="0" applyFill="0" applyBorder="0" applyAlignment="0" applyProtection="0"/>
    <xf numFmtId="9" fontId="1" fillId="0" borderId="0" applyFont="0" applyFill="0" applyBorder="0" applyAlignment="0" applyProtection="0"/>
    <xf numFmtId="0" fontId="19"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44" fillId="0" borderId="0"/>
    <xf numFmtId="165" fontId="44" fillId="0" borderId="0" applyFill="0" applyBorder="0" applyAlignment="0" applyProtection="0"/>
    <xf numFmtId="0" fontId="45" fillId="0" borderId="0" applyNumberFormat="0" applyFill="0" applyBorder="0" applyAlignment="0" applyProtection="0"/>
    <xf numFmtId="9" fontId="44" fillId="0" borderId="0" applyFill="0" applyBorder="0" applyAlignment="0" applyProtection="0"/>
    <xf numFmtId="0" fontId="1" fillId="0" borderId="0"/>
    <xf numFmtId="44"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7" fontId="19" fillId="0" borderId="0" applyFont="0" applyFill="0" applyBorder="0" applyAlignment="0" applyProtection="0"/>
    <xf numFmtId="167" fontId="27" fillId="0" borderId="0" applyFont="0" applyFill="0" applyBorder="0" applyAlignment="0" applyProtection="0"/>
    <xf numFmtId="166" fontId="19" fillId="0" borderId="0" applyFont="0" applyFill="0" applyBorder="0" applyAlignment="0" applyProtection="0"/>
    <xf numFmtId="166" fontId="27" fillId="0" borderId="0" applyFont="0" applyFill="0" applyBorder="0" applyAlignment="0" applyProtection="0"/>
    <xf numFmtId="0" fontId="19" fillId="0" borderId="0"/>
    <xf numFmtId="0" fontId="1" fillId="0" borderId="0"/>
    <xf numFmtId="9" fontId="27"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0" fontId="19" fillId="55" borderId="23" applyNumberFormat="0" applyFont="0" applyAlignment="0" applyProtection="0"/>
    <xf numFmtId="0" fontId="19" fillId="0" borderId="0"/>
    <xf numFmtId="0" fontId="1" fillId="0" borderId="0"/>
    <xf numFmtId="0" fontId="46" fillId="0" borderId="0" applyNumberFormat="0" applyFill="0" applyBorder="0" applyAlignment="0" applyProtection="0"/>
    <xf numFmtId="0" fontId="1" fillId="8" borderId="8" applyNumberFormat="0" applyFont="0" applyAlignment="0" applyProtection="0"/>
    <xf numFmtId="0" fontId="47" fillId="0" borderId="0" applyNumberFormat="0" applyFill="0" applyBorder="0" applyAlignment="0" applyProtection="0"/>
    <xf numFmtId="44" fontId="1" fillId="0" borderId="0" applyFont="0" applyFill="0" applyBorder="0" applyAlignment="0" applyProtection="0"/>
    <xf numFmtId="43" fontId="19" fillId="0" borderId="0" applyFont="0" applyFill="0" applyBorder="0" applyAlignment="0" applyProtection="0"/>
    <xf numFmtId="0" fontId="1" fillId="0" borderId="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43"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0" fontId="46" fillId="0" borderId="0" applyNumberFormat="0" applyFill="0" applyBorder="0" applyAlignment="0" applyProtection="0"/>
    <xf numFmtId="0" fontId="1" fillId="8" borderId="8" applyNumberFormat="0" applyFont="0" applyAlignment="0" applyProtection="0"/>
    <xf numFmtId="0" fontId="48" fillId="0" borderId="0" applyNumberFormat="0" applyFill="0" applyBorder="0" applyAlignment="0" applyProtection="0"/>
    <xf numFmtId="0" fontId="46" fillId="0" borderId="0" applyNumberFormat="0" applyFill="0" applyBorder="0" applyAlignment="0" applyProtection="0"/>
    <xf numFmtId="43" fontId="1" fillId="0" borderId="0" applyFont="0" applyFill="0" applyBorder="0" applyAlignment="0" applyProtection="0"/>
    <xf numFmtId="167" fontId="67" fillId="0" borderId="0" applyFont="0" applyFill="0" applyBorder="0" applyAlignment="0" applyProtection="0"/>
    <xf numFmtId="9" fontId="67" fillId="0" borderId="0" applyFont="0" applyFill="0" applyBorder="0" applyAlignment="0" applyProtection="0"/>
    <xf numFmtId="0" fontId="1" fillId="8" borderId="8" applyNumberFormat="0" applyFont="0" applyAlignment="0" applyProtection="0"/>
    <xf numFmtId="0" fontId="30" fillId="52" borderId="81" applyNumberFormat="0" applyAlignment="0" applyProtection="0"/>
    <xf numFmtId="0" fontId="37" fillId="39" borderId="81" applyNumberFormat="0" applyAlignment="0" applyProtection="0"/>
    <xf numFmtId="0" fontId="19" fillId="55" borderId="82" applyNumberFormat="0" applyFont="0" applyAlignment="0" applyProtection="0"/>
    <xf numFmtId="0" fontId="40" fillId="52" borderId="83" applyNumberFormat="0" applyAlignment="0" applyProtection="0"/>
    <xf numFmtId="0" fontId="42" fillId="0" borderId="84" applyNumberFormat="0" applyFill="0" applyAlignment="0" applyProtection="0"/>
    <xf numFmtId="0" fontId="93" fillId="0" borderId="0" applyNumberFormat="0" applyFill="0" applyBorder="0" applyAlignment="0" applyProtection="0"/>
    <xf numFmtId="0" fontId="30" fillId="52" borderId="90" applyNumberFormat="0" applyAlignment="0" applyProtection="0"/>
    <xf numFmtId="0" fontId="94" fillId="0" borderId="0" applyNumberFormat="0" applyFill="0" applyBorder="0" applyAlignment="0" applyProtection="0">
      <alignment vertical="top"/>
      <protection locked="0"/>
    </xf>
    <xf numFmtId="0" fontId="37" fillId="39" borderId="90" applyNumberFormat="0" applyAlignment="0" applyProtection="0"/>
    <xf numFmtId="0" fontId="26" fillId="55" borderId="91" applyNumberFormat="0" applyFont="0" applyAlignment="0" applyProtection="0"/>
    <xf numFmtId="0" fontId="40" fillId="52" borderId="92" applyNumberFormat="0" applyAlignment="0" applyProtection="0"/>
    <xf numFmtId="0" fontId="42" fillId="0" borderId="93" applyNumberFormat="0" applyFill="0" applyAlignment="0" applyProtection="0"/>
  </cellStyleXfs>
  <cellXfs count="696">
    <xf numFmtId="0" fontId="0" fillId="0" borderId="0" xfId="0"/>
    <xf numFmtId="0" fontId="18" fillId="33" borderId="0" xfId="0" applyFont="1" applyFill="1"/>
    <xf numFmtId="0" fontId="20" fillId="33" borderId="0" xfId="0" applyFont="1" applyFill="1"/>
    <xf numFmtId="0" fontId="21" fillId="33" borderId="0" xfId="0" applyFont="1" applyFill="1"/>
    <xf numFmtId="0" fontId="24" fillId="33" borderId="0" xfId="0" applyFont="1" applyFill="1"/>
    <xf numFmtId="9" fontId="24" fillId="33" borderId="0" xfId="2" applyFont="1" applyFill="1"/>
    <xf numFmtId="0" fontId="19" fillId="33" borderId="0" xfId="43" applyFill="1"/>
    <xf numFmtId="0" fontId="21" fillId="33" borderId="0" xfId="0" applyFont="1" applyFill="1" applyAlignment="1">
      <alignment horizontal="center"/>
    </xf>
    <xf numFmtId="0" fontId="21" fillId="33" borderId="0" xfId="0" applyFont="1" applyFill="1" applyAlignment="1">
      <alignment horizontal="center" vertical="center"/>
    </xf>
    <xf numFmtId="0" fontId="25" fillId="33" borderId="0" xfId="0" applyFont="1" applyFill="1" applyBorder="1" applyAlignment="1">
      <alignment horizontal="right"/>
    </xf>
    <xf numFmtId="0" fontId="21" fillId="33" borderId="0" xfId="0" applyFont="1" applyFill="1" applyAlignment="1">
      <alignment horizontal="center" vertical="top"/>
    </xf>
    <xf numFmtId="0" fontId="25" fillId="33" borderId="0" xfId="0" applyFont="1" applyFill="1" applyAlignment="1">
      <alignment horizontal="left" vertical="top" wrapText="1"/>
    </xf>
    <xf numFmtId="0" fontId="25" fillId="33" borderId="0" xfId="0" applyFont="1" applyFill="1"/>
    <xf numFmtId="0" fontId="22" fillId="56" borderId="10" xfId="0" quotePrefix="1" applyFont="1" applyFill="1" applyBorder="1" applyAlignment="1">
      <alignment horizontal="center"/>
    </xf>
    <xf numFmtId="0" fontId="49" fillId="56" borderId="10" xfId="0" applyFont="1" applyFill="1" applyBorder="1" applyAlignment="1">
      <alignment horizontal="center" vertical="center"/>
    </xf>
    <xf numFmtId="0" fontId="19" fillId="57" borderId="10" xfId="0" applyFont="1" applyFill="1" applyBorder="1" applyAlignment="1">
      <alignment horizontal="center" vertical="center"/>
    </xf>
    <xf numFmtId="0" fontId="25" fillId="33" borderId="10" xfId="0" applyFont="1" applyFill="1" applyBorder="1"/>
    <xf numFmtId="9" fontId="22" fillId="56" borderId="10" xfId="2" applyFont="1" applyFill="1" applyBorder="1" applyAlignment="1">
      <alignment horizontal="center"/>
    </xf>
    <xf numFmtId="0" fontId="16" fillId="58" borderId="10" xfId="0" applyFont="1" applyFill="1" applyBorder="1" applyAlignment="1">
      <alignment wrapText="1"/>
    </xf>
    <xf numFmtId="0" fontId="16" fillId="58" borderId="10" xfId="0" applyFont="1" applyFill="1" applyBorder="1" applyAlignment="1">
      <alignment horizontal="center" wrapText="1"/>
    </xf>
    <xf numFmtId="0" fontId="50" fillId="0" borderId="10" xfId="0" applyFont="1" applyBorder="1"/>
    <xf numFmtId="0" fontId="0" fillId="0" borderId="10" xfId="0" applyBorder="1"/>
    <xf numFmtId="168" fontId="0" fillId="0" borderId="10" xfId="0" applyNumberFormat="1" applyBorder="1" applyAlignment="1">
      <alignment horizontal="right"/>
    </xf>
    <xf numFmtId="0" fontId="16" fillId="0" borderId="26" xfId="0" applyFont="1" applyBorder="1"/>
    <xf numFmtId="168" fontId="16" fillId="0" borderId="27" xfId="0" applyNumberFormat="1" applyFont="1" applyBorder="1" applyAlignment="1">
      <alignment horizontal="right"/>
    </xf>
    <xf numFmtId="169" fontId="0" fillId="0" borderId="10" xfId="0" applyNumberFormat="1" applyBorder="1" applyAlignment="1">
      <alignment horizontal="right"/>
    </xf>
    <xf numFmtId="0" fontId="16" fillId="0" borderId="30" xfId="0" applyFont="1" applyBorder="1"/>
    <xf numFmtId="168" fontId="16" fillId="57" borderId="31" xfId="0" applyNumberFormat="1" applyFont="1" applyFill="1" applyBorder="1" applyAlignment="1">
      <alignment horizontal="right"/>
    </xf>
    <xf numFmtId="0" fontId="16" fillId="0" borderId="32" xfId="0" applyFont="1" applyBorder="1"/>
    <xf numFmtId="168" fontId="16" fillId="0" borderId="33" xfId="0" applyNumberFormat="1" applyFont="1" applyFill="1" applyBorder="1" applyAlignment="1">
      <alignment horizontal="right"/>
    </xf>
    <xf numFmtId="168" fontId="0" fillId="0" borderId="10" xfId="0" applyNumberFormat="1" applyBorder="1"/>
    <xf numFmtId="168" fontId="16" fillId="57" borderId="31" xfId="0" applyNumberFormat="1" applyFont="1" applyFill="1" applyBorder="1"/>
    <xf numFmtId="0" fontId="0" fillId="0" borderId="34" xfId="0" applyBorder="1" applyAlignment="1">
      <alignment wrapText="1"/>
    </xf>
    <xf numFmtId="168" fontId="0" fillId="0" borderId="34" xfId="0" applyNumberFormat="1" applyBorder="1" applyAlignment="1">
      <alignment horizontal="right"/>
    </xf>
    <xf numFmtId="0" fontId="16" fillId="57" borderId="26" xfId="0" applyFont="1" applyFill="1" applyBorder="1"/>
    <xf numFmtId="168" fontId="16" fillId="57" borderId="26" xfId="0" applyNumberFormat="1" applyFont="1" applyFill="1" applyBorder="1"/>
    <xf numFmtId="0" fontId="51" fillId="0" borderId="0" xfId="0" applyFont="1"/>
    <xf numFmtId="0" fontId="0" fillId="59" borderId="35" xfId="0" applyFill="1" applyBorder="1"/>
    <xf numFmtId="168" fontId="0" fillId="59" borderId="36" xfId="0" applyNumberFormat="1" applyFill="1" applyBorder="1"/>
    <xf numFmtId="0" fontId="0" fillId="59" borderId="37" xfId="0" applyFill="1" applyBorder="1"/>
    <xf numFmtId="168" fontId="0" fillId="59" borderId="28" xfId="0" applyNumberFormat="1" applyFill="1" applyBorder="1"/>
    <xf numFmtId="0" fontId="0" fillId="59" borderId="38" xfId="0" applyFill="1" applyBorder="1"/>
    <xf numFmtId="168" fontId="0" fillId="59" borderId="10" xfId="0" applyNumberFormat="1" applyFill="1" applyBorder="1"/>
    <xf numFmtId="0" fontId="0" fillId="0" borderId="0" xfId="0" quotePrefix="1" applyAlignment="1">
      <alignment horizontal="right"/>
    </xf>
    <xf numFmtId="0" fontId="52" fillId="61" borderId="38" xfId="0" applyFont="1" applyFill="1" applyBorder="1"/>
    <xf numFmtId="0" fontId="52" fillId="61" borderId="10" xfId="0" applyFont="1" applyFill="1" applyBorder="1"/>
    <xf numFmtId="0" fontId="0" fillId="0" borderId="0" xfId="0" quotePrefix="1"/>
    <xf numFmtId="0" fontId="0" fillId="59" borderId="44" xfId="0" applyFill="1" applyBorder="1"/>
    <xf numFmtId="168" fontId="0" fillId="59" borderId="26" xfId="0" applyNumberFormat="1" applyFill="1" applyBorder="1"/>
    <xf numFmtId="0" fontId="0" fillId="0" borderId="45" xfId="0" applyBorder="1"/>
    <xf numFmtId="0" fontId="0" fillId="0" borderId="33" xfId="0" applyBorder="1"/>
    <xf numFmtId="0" fontId="13" fillId="62" borderId="44" xfId="0" applyFont="1" applyFill="1" applyBorder="1"/>
    <xf numFmtId="168" fontId="13" fillId="62" borderId="46" xfId="0" applyNumberFormat="1" applyFont="1" applyFill="1" applyBorder="1"/>
    <xf numFmtId="9" fontId="0" fillId="0" borderId="0" xfId="2" applyFont="1"/>
    <xf numFmtId="168" fontId="0" fillId="0" borderId="0" xfId="0" applyNumberFormat="1"/>
    <xf numFmtId="171" fontId="22" fillId="56" borderId="10" xfId="1" applyNumberFormat="1" applyFont="1" applyFill="1" applyBorder="1" applyAlignment="1">
      <alignment horizontal="center"/>
    </xf>
    <xf numFmtId="0" fontId="19" fillId="0" borderId="0" xfId="132" applyBorder="1"/>
    <xf numFmtId="0" fontId="19" fillId="0" borderId="0" xfId="132" applyBorder="1" applyAlignment="1">
      <alignment horizontal="center"/>
    </xf>
    <xf numFmtId="0" fontId="19" fillId="0" borderId="0" xfId="132"/>
    <xf numFmtId="0" fontId="54" fillId="0" borderId="0" xfId="132" applyFont="1"/>
    <xf numFmtId="0" fontId="55" fillId="0" borderId="0" xfId="132" applyFont="1" applyBorder="1" applyAlignment="1">
      <alignment horizontal="right"/>
    </xf>
    <xf numFmtId="0" fontId="55" fillId="0" borderId="0" xfId="132" applyFont="1" applyBorder="1" applyAlignment="1"/>
    <xf numFmtId="0" fontId="22" fillId="0" borderId="0" xfId="132" applyFont="1"/>
    <xf numFmtId="0" fontId="19" fillId="0" borderId="0" xfId="132" applyAlignment="1">
      <alignment horizontal="center"/>
    </xf>
    <xf numFmtId="0" fontId="56" fillId="64" borderId="10" xfId="132" applyFont="1" applyFill="1" applyBorder="1" applyAlignment="1">
      <alignment horizontal="center"/>
    </xf>
    <xf numFmtId="0" fontId="26" fillId="65" borderId="48" xfId="132" applyFont="1" applyFill="1" applyBorder="1"/>
    <xf numFmtId="0" fontId="26" fillId="65" borderId="48" xfId="132" applyFont="1" applyFill="1" applyBorder="1" applyAlignment="1">
      <alignment horizontal="center"/>
    </xf>
    <xf numFmtId="0" fontId="19" fillId="65" borderId="48" xfId="132" applyFill="1" applyBorder="1"/>
    <xf numFmtId="0" fontId="57" fillId="65" borderId="49" xfId="132" applyFont="1" applyFill="1" applyBorder="1" applyAlignment="1">
      <alignment horizontal="center"/>
    </xf>
    <xf numFmtId="0" fontId="58" fillId="65" borderId="33" xfId="132" applyFont="1" applyFill="1" applyBorder="1" applyAlignment="1">
      <alignment horizontal="center"/>
    </xf>
    <xf numFmtId="0" fontId="58" fillId="65" borderId="0" xfId="132" applyFont="1" applyFill="1" applyBorder="1" applyAlignment="1">
      <alignment horizontal="center"/>
    </xf>
    <xf numFmtId="0" fontId="57" fillId="65" borderId="0" xfId="132" applyFont="1" applyFill="1" applyBorder="1"/>
    <xf numFmtId="0" fontId="57" fillId="65" borderId="0" xfId="132" applyFont="1" applyFill="1" applyBorder="1" applyAlignment="1">
      <alignment horizontal="center"/>
    </xf>
    <xf numFmtId="0" fontId="57" fillId="65" borderId="32" xfId="132" applyFont="1" applyFill="1" applyBorder="1" applyAlignment="1">
      <alignment horizontal="center"/>
    </xf>
    <xf numFmtId="168" fontId="19" fillId="66" borderId="13" xfId="132" applyNumberFormat="1" applyFill="1" applyBorder="1" applyProtection="1">
      <protection locked="0"/>
    </xf>
    <xf numFmtId="0" fontId="59" fillId="0" borderId="0" xfId="132" applyFont="1"/>
    <xf numFmtId="0" fontId="59" fillId="0" borderId="0" xfId="132" applyFont="1" applyAlignment="1">
      <alignment horizontal="left"/>
    </xf>
    <xf numFmtId="168" fontId="57" fillId="65" borderId="33" xfId="132" applyNumberFormat="1" applyFont="1" applyFill="1" applyBorder="1"/>
    <xf numFmtId="168" fontId="57" fillId="65" borderId="0" xfId="132" applyNumberFormat="1" applyFont="1" applyFill="1" applyBorder="1"/>
    <xf numFmtId="168" fontId="58" fillId="65" borderId="29" xfId="132" applyNumberFormat="1" applyFont="1" applyFill="1" applyBorder="1"/>
    <xf numFmtId="0" fontId="60" fillId="0" borderId="0" xfId="132" applyFont="1"/>
    <xf numFmtId="170" fontId="57" fillId="65" borderId="33" xfId="76" applyNumberFormat="1" applyFont="1" applyFill="1" applyBorder="1"/>
    <xf numFmtId="170" fontId="57" fillId="65" borderId="0" xfId="76" applyNumberFormat="1" applyFont="1" applyFill="1" applyBorder="1"/>
    <xf numFmtId="168" fontId="58" fillId="65" borderId="34" xfId="132" applyNumberFormat="1" applyFont="1" applyFill="1" applyBorder="1"/>
    <xf numFmtId="0" fontId="58" fillId="65" borderId="0" xfId="132" applyFont="1" applyFill="1" applyBorder="1"/>
    <xf numFmtId="0" fontId="57" fillId="65" borderId="32" xfId="132" applyFont="1" applyFill="1" applyBorder="1"/>
    <xf numFmtId="170" fontId="0" fillId="0" borderId="0" xfId="76" applyNumberFormat="1" applyFont="1" applyFill="1" applyBorder="1"/>
    <xf numFmtId="0" fontId="19" fillId="0" borderId="0" xfId="132" applyFill="1" applyBorder="1"/>
    <xf numFmtId="0" fontId="22" fillId="0" borderId="0" xfId="132" applyFont="1" applyAlignment="1">
      <alignment horizontal="left"/>
    </xf>
    <xf numFmtId="170" fontId="57" fillId="65" borderId="33" xfId="132" applyNumberFormat="1" applyFont="1" applyFill="1" applyBorder="1"/>
    <xf numFmtId="170" fontId="57" fillId="65" borderId="0" xfId="132" applyNumberFormat="1" applyFont="1" applyFill="1" applyBorder="1"/>
    <xf numFmtId="0" fontId="22" fillId="65" borderId="10" xfId="132" applyFont="1" applyFill="1" applyBorder="1" applyAlignment="1">
      <alignment horizontal="center"/>
    </xf>
    <xf numFmtId="168" fontId="19" fillId="66" borderId="10" xfId="132" applyNumberFormat="1" applyFill="1" applyBorder="1" applyProtection="1">
      <protection locked="0"/>
    </xf>
    <xf numFmtId="0" fontId="57" fillId="65" borderId="33" xfId="132" applyFont="1" applyFill="1" applyBorder="1"/>
    <xf numFmtId="168" fontId="58" fillId="65" borderId="10" xfId="132" applyNumberFormat="1" applyFont="1" applyFill="1" applyBorder="1"/>
    <xf numFmtId="0" fontId="57" fillId="65" borderId="10" xfId="132" applyFont="1" applyFill="1" applyBorder="1" applyAlignment="1" applyProtection="1">
      <alignment horizontal="center"/>
      <protection locked="0"/>
    </xf>
    <xf numFmtId="0" fontId="57" fillId="65" borderId="10" xfId="132" applyFont="1" applyFill="1" applyBorder="1" applyProtection="1">
      <protection locked="0"/>
    </xf>
    <xf numFmtId="170" fontId="22" fillId="0" borderId="0" xfId="76" applyNumberFormat="1" applyFont="1" applyFill="1" applyBorder="1"/>
    <xf numFmtId="0" fontId="22" fillId="0" borderId="0" xfId="132" applyFont="1" applyFill="1" applyBorder="1"/>
    <xf numFmtId="3" fontId="58" fillId="65" borderId="11" xfId="132" applyNumberFormat="1" applyFont="1" applyFill="1" applyBorder="1"/>
    <xf numFmtId="3" fontId="58" fillId="65" borderId="12" xfId="132" applyNumberFormat="1" applyFont="1" applyFill="1" applyBorder="1"/>
    <xf numFmtId="170" fontId="58" fillId="65" borderId="12" xfId="76" applyNumberFormat="1" applyFont="1" applyFill="1" applyBorder="1"/>
    <xf numFmtId="170" fontId="57" fillId="65" borderId="32" xfId="132" applyNumberFormat="1" applyFont="1" applyFill="1" applyBorder="1"/>
    <xf numFmtId="168" fontId="22" fillId="65" borderId="10" xfId="132" applyNumberFormat="1" applyFont="1" applyFill="1" applyBorder="1"/>
    <xf numFmtId="0" fontId="22" fillId="0" borderId="0" xfId="132" applyFont="1" applyFill="1" applyBorder="1" applyAlignment="1">
      <alignment horizontal="left"/>
    </xf>
    <xf numFmtId="170" fontId="57" fillId="67" borderId="33" xfId="76" applyNumberFormat="1" applyFont="1" applyFill="1" applyBorder="1"/>
    <xf numFmtId="170" fontId="57" fillId="67" borderId="50" xfId="76" applyNumberFormat="1" applyFont="1" applyFill="1" applyBorder="1"/>
    <xf numFmtId="0" fontId="19" fillId="66" borderId="10" xfId="132" applyFill="1" applyBorder="1" applyAlignment="1" applyProtection="1">
      <alignment horizontal="center"/>
      <protection locked="0"/>
    </xf>
    <xf numFmtId="0" fontId="60" fillId="0" borderId="0" xfId="132" applyFont="1" applyAlignment="1">
      <alignment vertical="center" wrapText="1"/>
    </xf>
    <xf numFmtId="0" fontId="22" fillId="65" borderId="10" xfId="132" applyFont="1" applyFill="1" applyBorder="1" applyAlignment="1">
      <alignment horizontal="center" vertical="center" wrapText="1"/>
    </xf>
    <xf numFmtId="172" fontId="22" fillId="65" borderId="10" xfId="76" applyNumberFormat="1" applyFont="1" applyFill="1" applyBorder="1" applyAlignment="1">
      <alignment horizontal="center"/>
    </xf>
    <xf numFmtId="0" fontId="60" fillId="0" borderId="15" xfId="132" applyFont="1" applyBorder="1" applyAlignment="1">
      <alignment vertical="center" wrapText="1"/>
    </xf>
    <xf numFmtId="164" fontId="0" fillId="66" borderId="10" xfId="92" applyNumberFormat="1" applyFont="1" applyFill="1" applyBorder="1" applyAlignment="1" applyProtection="1">
      <alignment horizontal="center"/>
      <protection locked="0"/>
    </xf>
    <xf numFmtId="164" fontId="0" fillId="66" borderId="10" xfId="92" applyNumberFormat="1" applyFont="1" applyFill="1" applyBorder="1" applyAlignment="1" applyProtection="1">
      <alignment horizontal="center"/>
    </xf>
    <xf numFmtId="164" fontId="22" fillId="65" borderId="10" xfId="92" applyNumberFormat="1" applyFont="1" applyFill="1" applyBorder="1"/>
    <xf numFmtId="0" fontId="61" fillId="0" borderId="0" xfId="132" applyFont="1" applyAlignment="1">
      <alignment horizontal="right"/>
    </xf>
    <xf numFmtId="0" fontId="22" fillId="65" borderId="10" xfId="132" applyFont="1" applyFill="1" applyBorder="1" applyAlignment="1">
      <alignment horizontal="center" vertical="center"/>
    </xf>
    <xf numFmtId="0" fontId="57" fillId="0" borderId="0" xfId="132" applyFont="1" applyFill="1" applyBorder="1" applyAlignment="1" applyProtection="1">
      <alignment horizontal="center" vertical="center"/>
      <protection locked="0"/>
    </xf>
    <xf numFmtId="0" fontId="22" fillId="0" borderId="32" xfId="132" applyFont="1" applyFill="1" applyBorder="1"/>
    <xf numFmtId="164" fontId="19" fillId="66" borderId="10" xfId="132" applyNumberFormat="1" applyFill="1" applyBorder="1" applyProtection="1">
      <protection locked="0"/>
    </xf>
    <xf numFmtId="0" fontId="58" fillId="65" borderId="11" xfId="132" applyFont="1" applyFill="1" applyBorder="1" applyAlignment="1">
      <alignment horizontal="left"/>
    </xf>
    <xf numFmtId="170" fontId="58" fillId="65" borderId="12" xfId="132" applyNumberFormat="1" applyFont="1" applyFill="1" applyBorder="1"/>
    <xf numFmtId="0" fontId="57" fillId="65" borderId="12" xfId="132" applyFont="1" applyFill="1" applyBorder="1"/>
    <xf numFmtId="170" fontId="58" fillId="65" borderId="13" xfId="132" applyNumberFormat="1" applyFont="1" applyFill="1" applyBorder="1"/>
    <xf numFmtId="0" fontId="19" fillId="0" borderId="0" xfId="132" applyFill="1"/>
    <xf numFmtId="0" fontId="19" fillId="68" borderId="0" xfId="132" applyFill="1" applyBorder="1"/>
    <xf numFmtId="0" fontId="19" fillId="68" borderId="40" xfId="132" applyFill="1" applyBorder="1"/>
    <xf numFmtId="0" fontId="64" fillId="68" borderId="39" xfId="132" applyFont="1" applyFill="1" applyBorder="1" applyAlignment="1">
      <alignment horizontal="center"/>
    </xf>
    <xf numFmtId="0" fontId="64" fillId="68" borderId="0" xfId="132" applyFont="1" applyFill="1" applyBorder="1" applyAlignment="1">
      <alignment horizontal="center"/>
    </xf>
    <xf numFmtId="168" fontId="26" fillId="68" borderId="39" xfId="132" applyNumberFormat="1" applyFont="1" applyFill="1" applyBorder="1"/>
    <xf numFmtId="168" fontId="26" fillId="68" borderId="0" xfId="132" applyNumberFormat="1" applyFont="1" applyFill="1" applyBorder="1"/>
    <xf numFmtId="168" fontId="22" fillId="68" borderId="0" xfId="132" applyNumberFormat="1" applyFont="1" applyFill="1" applyBorder="1"/>
    <xf numFmtId="43" fontId="0" fillId="0" borderId="0" xfId="76" applyFont="1"/>
    <xf numFmtId="0" fontId="22" fillId="0" borderId="0" xfId="132" applyFont="1" applyFill="1" applyBorder="1" applyAlignment="1">
      <alignment horizontal="center"/>
    </xf>
    <xf numFmtId="3" fontId="19" fillId="0" borderId="0" xfId="132" applyNumberFormat="1" applyFill="1" applyBorder="1"/>
    <xf numFmtId="3" fontId="22" fillId="0" borderId="0" xfId="132" applyNumberFormat="1" applyFont="1" applyFill="1" applyBorder="1"/>
    <xf numFmtId="0" fontId="19" fillId="0" borderId="0" xfId="132" applyFill="1" applyBorder="1" applyAlignment="1">
      <alignment horizontal="center"/>
    </xf>
    <xf numFmtId="0" fontId="19" fillId="68" borderId="39" xfId="132" applyFill="1" applyBorder="1"/>
    <xf numFmtId="168" fontId="65" fillId="68" borderId="54" xfId="132" applyNumberFormat="1" applyFont="1" applyFill="1" applyBorder="1" applyAlignment="1">
      <alignment vertical="center"/>
    </xf>
    <xf numFmtId="168" fontId="65" fillId="68" borderId="55" xfId="132" applyNumberFormat="1" applyFont="1" applyFill="1" applyBorder="1" applyAlignment="1">
      <alignment vertical="center"/>
    </xf>
    <xf numFmtId="168" fontId="63" fillId="69" borderId="55" xfId="132" applyNumberFormat="1" applyFont="1" applyFill="1" applyBorder="1"/>
    <xf numFmtId="0" fontId="19" fillId="68" borderId="41" xfId="132" applyFill="1" applyBorder="1"/>
    <xf numFmtId="0" fontId="19" fillId="68" borderId="42" xfId="132" applyFill="1" applyBorder="1"/>
    <xf numFmtId="0" fontId="19" fillId="68" borderId="43" xfId="132" applyFill="1" applyBorder="1"/>
    <xf numFmtId="172" fontId="0" fillId="0" borderId="0" xfId="76" applyNumberFormat="1" applyFont="1" applyFill="1" applyBorder="1"/>
    <xf numFmtId="172" fontId="22" fillId="0" borderId="0" xfId="132" applyNumberFormat="1" applyFont="1" applyFill="1" applyBorder="1"/>
    <xf numFmtId="0" fontId="19" fillId="71" borderId="48" xfId="132" applyFill="1" applyBorder="1"/>
    <xf numFmtId="0" fontId="19" fillId="71" borderId="49" xfId="132" applyFill="1" applyBorder="1"/>
    <xf numFmtId="0" fontId="19" fillId="71" borderId="33" xfId="132" applyFill="1" applyBorder="1"/>
    <xf numFmtId="0" fontId="19" fillId="71" borderId="0" xfId="132" applyFill="1" applyBorder="1"/>
    <xf numFmtId="164" fontId="59" fillId="71" borderId="0" xfId="92" applyNumberFormat="1" applyFont="1" applyFill="1" applyBorder="1"/>
    <xf numFmtId="0" fontId="19" fillId="71" borderId="32" xfId="132" applyFill="1" applyBorder="1"/>
    <xf numFmtId="0" fontId="22" fillId="71" borderId="33" xfId="132" applyFont="1" applyFill="1" applyBorder="1" applyAlignment="1">
      <alignment horizontal="center"/>
    </xf>
    <xf numFmtId="0" fontId="22" fillId="71" borderId="0" xfId="132" applyFont="1" applyFill="1" applyBorder="1" applyAlignment="1">
      <alignment horizontal="center"/>
    </xf>
    <xf numFmtId="3" fontId="19" fillId="71" borderId="33" xfId="132" applyNumberFormat="1" applyFill="1" applyBorder="1"/>
    <xf numFmtId="170" fontId="0" fillId="71" borderId="0" xfId="76" applyNumberFormat="1" applyFont="1" applyFill="1" applyBorder="1"/>
    <xf numFmtId="170" fontId="22" fillId="71" borderId="0" xfId="76" applyNumberFormat="1" applyFont="1" applyFill="1" applyBorder="1"/>
    <xf numFmtId="3" fontId="59" fillId="71" borderId="0" xfId="132" applyNumberFormat="1" applyFont="1" applyFill="1" applyBorder="1"/>
    <xf numFmtId="0" fontId="22" fillId="71" borderId="0" xfId="132" applyFont="1" applyFill="1" applyBorder="1"/>
    <xf numFmtId="9" fontId="19" fillId="71" borderId="0" xfId="132" applyNumberFormat="1" applyFill="1" applyBorder="1"/>
    <xf numFmtId="170" fontId="19" fillId="71" borderId="0" xfId="132" applyNumberFormat="1" applyFill="1" applyBorder="1"/>
    <xf numFmtId="170" fontId="22" fillId="71" borderId="0" xfId="132" applyNumberFormat="1" applyFont="1" applyFill="1" applyBorder="1"/>
    <xf numFmtId="170" fontId="59" fillId="71" borderId="32" xfId="76" applyNumberFormat="1" applyFont="1" applyFill="1" applyBorder="1"/>
    <xf numFmtId="9" fontId="19" fillId="71" borderId="32" xfId="132" applyNumberFormat="1" applyFill="1" applyBorder="1"/>
    <xf numFmtId="173" fontId="19" fillId="71" borderId="0" xfId="132" applyNumberFormat="1" applyFill="1" applyBorder="1"/>
    <xf numFmtId="173" fontId="22" fillId="71" borderId="0" xfId="132" applyNumberFormat="1" applyFont="1" applyFill="1" applyBorder="1"/>
    <xf numFmtId="3" fontId="22" fillId="71" borderId="33" xfId="132" applyNumberFormat="1" applyFont="1" applyFill="1" applyBorder="1"/>
    <xf numFmtId="0" fontId="59" fillId="71" borderId="0" xfId="132" applyFont="1" applyFill="1" applyBorder="1"/>
    <xf numFmtId="173" fontId="59" fillId="71" borderId="0" xfId="132" applyNumberFormat="1" applyFont="1" applyFill="1" applyBorder="1"/>
    <xf numFmtId="3" fontId="19" fillId="71" borderId="0" xfId="132" applyNumberFormat="1" applyFill="1" applyBorder="1"/>
    <xf numFmtId="43" fontId="0" fillId="71" borderId="0" xfId="76" applyFont="1" applyFill="1" applyBorder="1"/>
    <xf numFmtId="1" fontId="19" fillId="71" borderId="0" xfId="132" applyNumberFormat="1" applyFill="1" applyBorder="1"/>
    <xf numFmtId="43" fontId="0" fillId="71" borderId="32" xfId="76" applyFont="1" applyFill="1" applyBorder="1"/>
    <xf numFmtId="0" fontId="19" fillId="71" borderId="14" xfId="132" applyFill="1" applyBorder="1"/>
    <xf numFmtId="9" fontId="22" fillId="71" borderId="15" xfId="92" applyNumberFormat="1" applyFont="1" applyFill="1" applyBorder="1"/>
    <xf numFmtId="0" fontId="19" fillId="71" borderId="16" xfId="132" applyFill="1" applyBorder="1"/>
    <xf numFmtId="0" fontId="19" fillId="71" borderId="15" xfId="132" applyFill="1" applyBorder="1"/>
    <xf numFmtId="174" fontId="0" fillId="0" borderId="0" xfId="0" applyNumberFormat="1"/>
    <xf numFmtId="0" fontId="0" fillId="0" borderId="0" xfId="0" pivotButton="1"/>
    <xf numFmtId="0" fontId="16" fillId="0" borderId="0" xfId="0" applyFont="1"/>
    <xf numFmtId="0" fontId="16" fillId="0" borderId="12" xfId="0" applyFont="1" applyBorder="1"/>
    <xf numFmtId="174" fontId="16" fillId="60" borderId="12" xfId="0" applyNumberFormat="1" applyFont="1" applyFill="1" applyBorder="1"/>
    <xf numFmtId="0" fontId="0" fillId="0" borderId="15" xfId="0" pivotButton="1" applyBorder="1"/>
    <xf numFmtId="0" fontId="0" fillId="0" borderId="15" xfId="0" applyBorder="1"/>
    <xf numFmtId="174" fontId="0" fillId="0" borderId="48" xfId="0" applyNumberFormat="1" applyBorder="1"/>
    <xf numFmtId="174" fontId="0" fillId="0" borderId="0" xfId="0" applyNumberFormat="1" applyBorder="1"/>
    <xf numFmtId="174" fontId="0" fillId="0" borderId="15" xfId="0" applyNumberFormat="1" applyBorder="1"/>
    <xf numFmtId="174" fontId="16" fillId="0" borderId="0" xfId="0" applyNumberFormat="1" applyFont="1"/>
    <xf numFmtId="0" fontId="16" fillId="0" borderId="0" xfId="0" applyFont="1" applyBorder="1"/>
    <xf numFmtId="174" fontId="16" fillId="0" borderId="0" xfId="0" applyNumberFormat="1" applyFont="1" applyFill="1" applyBorder="1"/>
    <xf numFmtId="0" fontId="25" fillId="0" borderId="29"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34" xfId="0" applyFont="1" applyBorder="1" applyAlignment="1">
      <alignment horizontal="center" vertical="center" wrapText="1"/>
    </xf>
    <xf numFmtId="0" fontId="19" fillId="0" borderId="56" xfId="132" applyFill="1" applyBorder="1" applyAlignment="1"/>
    <xf numFmtId="0" fontId="19" fillId="0" borderId="57" xfId="132" applyFill="1" applyBorder="1" applyAlignment="1"/>
    <xf numFmtId="174" fontId="19" fillId="0" borderId="56" xfId="179" applyNumberFormat="1" applyFont="1" applyFill="1" applyBorder="1" applyAlignment="1"/>
    <xf numFmtId="0" fontId="16" fillId="57" borderId="0" xfId="0" applyFont="1" applyFill="1"/>
    <xf numFmtId="174" fontId="19" fillId="0" borderId="58" xfId="179" applyNumberFormat="1" applyFont="1" applyFill="1" applyBorder="1" applyAlignment="1"/>
    <xf numFmtId="174" fontId="19" fillId="0" borderId="59" xfId="179" applyNumberFormat="1" applyFont="1" applyFill="1" applyBorder="1" applyAlignment="1"/>
    <xf numFmtId="0" fontId="74" fillId="0" borderId="32" xfId="0" applyFont="1" applyBorder="1" applyAlignment="1">
      <alignment horizontal="center"/>
    </xf>
    <xf numFmtId="0" fontId="75" fillId="0" borderId="0" xfId="0" applyFont="1"/>
    <xf numFmtId="0" fontId="0" fillId="0" borderId="0" xfId="0" applyAlignment="1">
      <alignment horizontal="center"/>
    </xf>
    <xf numFmtId="0" fontId="16" fillId="73" borderId="11" xfId="0" applyFont="1" applyFill="1" applyBorder="1" applyAlignment="1">
      <alignment horizontal="center"/>
    </xf>
    <xf numFmtId="0" fontId="16" fillId="73" borderId="12" xfId="0" applyFont="1" applyFill="1" applyBorder="1" applyAlignment="1">
      <alignment horizontal="center"/>
    </xf>
    <xf numFmtId="0" fontId="25" fillId="74" borderId="50" xfId="0" applyFont="1" applyFill="1" applyBorder="1" applyAlignment="1">
      <alignment vertical="center" wrapText="1"/>
    </xf>
    <xf numFmtId="0" fontId="25" fillId="74" borderId="49" xfId="0" applyFont="1" applyFill="1" applyBorder="1"/>
    <xf numFmtId="0" fontId="25" fillId="74" borderId="33" xfId="0" applyFont="1" applyFill="1" applyBorder="1" applyAlignment="1">
      <alignment vertical="center" wrapText="1"/>
    </xf>
    <xf numFmtId="0" fontId="25" fillId="74" borderId="32" xfId="0" applyFont="1" applyFill="1" applyBorder="1"/>
    <xf numFmtId="0" fontId="25" fillId="74" borderId="14" xfId="0" applyFont="1" applyFill="1" applyBorder="1" applyAlignment="1">
      <alignment vertical="center" wrapText="1"/>
    </xf>
    <xf numFmtId="0" fontId="25" fillId="74" borderId="16" xfId="0" applyFont="1" applyFill="1" applyBorder="1"/>
    <xf numFmtId="0" fontId="25" fillId="56" borderId="50" xfId="0" applyFont="1" applyFill="1" applyBorder="1" applyAlignment="1">
      <alignment vertical="center" wrapText="1"/>
    </xf>
    <xf numFmtId="0" fontId="25" fillId="56" borderId="49" xfId="0" applyFont="1" applyFill="1" applyBorder="1"/>
    <xf numFmtId="0" fontId="25" fillId="56" borderId="33" xfId="0" applyFont="1" applyFill="1" applyBorder="1" applyAlignment="1">
      <alignment vertical="center" wrapText="1"/>
    </xf>
    <xf numFmtId="0" fontId="25" fillId="56" borderId="32" xfId="0" applyFont="1" applyFill="1" applyBorder="1"/>
    <xf numFmtId="0" fontId="25" fillId="56" borderId="14" xfId="0" applyFont="1" applyFill="1" applyBorder="1" applyAlignment="1">
      <alignment vertical="center" wrapText="1"/>
    </xf>
    <xf numFmtId="0" fontId="25" fillId="56" borderId="16" xfId="0" applyFont="1" applyFill="1" applyBorder="1"/>
    <xf numFmtId="0" fontId="49" fillId="56" borderId="48" xfId="0" applyFont="1" applyFill="1" applyBorder="1" applyAlignment="1">
      <alignment horizontal="center"/>
    </xf>
    <xf numFmtId="0" fontId="49" fillId="56" borderId="0" xfId="0" applyFont="1" applyFill="1" applyBorder="1" applyAlignment="1">
      <alignment horizontal="center"/>
    </xf>
    <xf numFmtId="0" fontId="49" fillId="56" borderId="15" xfId="0" applyFont="1" applyFill="1" applyBorder="1" applyAlignment="1">
      <alignment horizontal="center"/>
    </xf>
    <xf numFmtId="0" fontId="49" fillId="74" borderId="48" xfId="0" applyFont="1" applyFill="1" applyBorder="1" applyAlignment="1">
      <alignment horizontal="center"/>
    </xf>
    <xf numFmtId="0" fontId="49" fillId="74" borderId="0" xfId="0" applyFont="1" applyFill="1" applyBorder="1" applyAlignment="1">
      <alignment horizontal="center"/>
    </xf>
    <xf numFmtId="0" fontId="0" fillId="0" borderId="0" xfId="0" applyBorder="1"/>
    <xf numFmtId="170" fontId="19" fillId="0" borderId="56" xfId="179" applyNumberFormat="1" applyFont="1" applyFill="1" applyBorder="1" applyAlignment="1"/>
    <xf numFmtId="170" fontId="19" fillId="73" borderId="56" xfId="179" applyNumberFormat="1" applyFont="1" applyFill="1" applyBorder="1" applyAlignment="1"/>
    <xf numFmtId="170" fontId="16" fillId="57" borderId="60" xfId="0" applyNumberFormat="1" applyFont="1" applyFill="1" applyBorder="1"/>
    <xf numFmtId="0" fontId="74" fillId="0" borderId="61" xfId="0" applyFont="1" applyBorder="1" applyAlignment="1">
      <alignment horizontal="center"/>
    </xf>
    <xf numFmtId="0" fontId="57" fillId="0" borderId="56" xfId="132" applyFont="1" applyFill="1" applyBorder="1" applyAlignment="1">
      <alignment horizontal="center"/>
    </xf>
    <xf numFmtId="0" fontId="57" fillId="0" borderId="57" xfId="132" applyFont="1" applyFill="1" applyBorder="1" applyAlignment="1">
      <alignment horizontal="center"/>
    </xf>
    <xf numFmtId="0" fontId="77" fillId="0" borderId="0" xfId="0" applyFont="1" applyAlignment="1">
      <alignment horizontal="center"/>
    </xf>
    <xf numFmtId="9" fontId="25" fillId="0" borderId="0" xfId="2" applyFont="1"/>
    <xf numFmtId="0" fontId="0" fillId="0" borderId="0" xfId="0" applyAlignment="1"/>
    <xf numFmtId="0" fontId="49" fillId="74" borderId="15" xfId="0" applyFont="1" applyFill="1" applyBorder="1" applyAlignment="1">
      <alignment horizontal="center"/>
    </xf>
    <xf numFmtId="0" fontId="69" fillId="0" borderId="0" xfId="0" applyFont="1" applyBorder="1" applyAlignment="1">
      <alignment horizontal="center" vertical="center" wrapText="1"/>
    </xf>
    <xf numFmtId="0" fontId="76" fillId="0" borderId="0" xfId="0" applyFont="1" applyAlignment="1">
      <alignment horizontal="left"/>
    </xf>
    <xf numFmtId="0" fontId="16" fillId="73" borderId="13" xfId="0" applyFont="1" applyFill="1" applyBorder="1" applyAlignment="1"/>
    <xf numFmtId="0" fontId="16" fillId="73" borderId="12" xfId="0" applyFont="1" applyFill="1" applyBorder="1" applyAlignment="1">
      <alignment horizontal="left"/>
    </xf>
    <xf numFmtId="0" fontId="22" fillId="0" borderId="0" xfId="132" quotePrefix="1" applyFont="1" applyAlignment="1">
      <alignment horizontal="center"/>
    </xf>
    <xf numFmtId="170" fontId="19" fillId="57" borderId="10" xfId="178" applyNumberFormat="1" applyFont="1" applyFill="1" applyBorder="1" applyAlignment="1">
      <alignment horizontal="center"/>
    </xf>
    <xf numFmtId="175" fontId="19" fillId="0" borderId="0" xfId="132" applyNumberFormat="1"/>
    <xf numFmtId="168" fontId="22" fillId="0" borderId="32" xfId="132" applyNumberFormat="1" applyFont="1" applyBorder="1"/>
    <xf numFmtId="0" fontId="76" fillId="0" borderId="0" xfId="0" applyFont="1" applyAlignment="1">
      <alignment vertical="top" wrapText="1"/>
    </xf>
    <xf numFmtId="0" fontId="76" fillId="0" borderId="0" xfId="0" applyFont="1" applyAlignment="1">
      <alignment vertical="top"/>
    </xf>
    <xf numFmtId="0" fontId="70" fillId="0" borderId="0" xfId="0" applyFont="1" applyFill="1" applyBorder="1" applyAlignment="1">
      <alignment vertical="center"/>
    </xf>
    <xf numFmtId="0" fontId="80" fillId="33" borderId="10" xfId="177" applyFont="1" applyFill="1" applyBorder="1" applyAlignment="1">
      <alignment horizontal="left" vertical="top" wrapText="1"/>
    </xf>
    <xf numFmtId="0" fontId="25" fillId="33" borderId="10" xfId="0" applyFont="1" applyFill="1" applyBorder="1" applyAlignment="1">
      <alignment vertical="top"/>
    </xf>
    <xf numFmtId="176" fontId="82" fillId="0" borderId="48" xfId="92" applyNumberFormat="1" applyFont="1" applyFill="1" applyBorder="1" applyAlignment="1">
      <alignment horizontal="center"/>
    </xf>
    <xf numFmtId="0" fontId="0" fillId="0" borderId="0" xfId="0"/>
    <xf numFmtId="0" fontId="51" fillId="0" borderId="0" xfId="0" applyFont="1"/>
    <xf numFmtId="0" fontId="83" fillId="0" borderId="0" xfId="0" applyFont="1"/>
    <xf numFmtId="176" fontId="81" fillId="0" borderId="0" xfId="92" applyNumberFormat="1" applyFont="1" applyFill="1" applyBorder="1" applyAlignment="1">
      <alignment horizontal="center"/>
    </xf>
    <xf numFmtId="0" fontId="81" fillId="0" borderId="0" xfId="132" applyFont="1" applyFill="1" applyBorder="1"/>
    <xf numFmtId="0" fontId="82" fillId="0" borderId="0" xfId="132" applyFont="1" applyFill="1" applyBorder="1"/>
    <xf numFmtId="0" fontId="22" fillId="65" borderId="10" xfId="132" applyFont="1" applyFill="1" applyBorder="1" applyAlignment="1">
      <alignment horizontal="center" vertical="center"/>
    </xf>
    <xf numFmtId="0" fontId="24" fillId="0" borderId="0" xfId="0" applyFont="1"/>
    <xf numFmtId="176" fontId="81" fillId="0" borderId="12" xfId="92" applyNumberFormat="1" applyFont="1" applyFill="1" applyBorder="1" applyAlignment="1">
      <alignment horizontal="center"/>
    </xf>
    <xf numFmtId="0" fontId="25" fillId="0" borderId="0" xfId="0" applyFont="1" applyBorder="1" applyAlignment="1">
      <alignment horizontal="center" vertical="center" wrapText="1"/>
    </xf>
    <xf numFmtId="0" fontId="25" fillId="0" borderId="0" xfId="0" applyFont="1" applyBorder="1" applyAlignment="1">
      <alignment vertical="center" wrapText="1"/>
    </xf>
    <xf numFmtId="0" fontId="25" fillId="0" borderId="29" xfId="0" applyFont="1" applyBorder="1" applyAlignment="1">
      <alignment horizontal="center" vertical="center" wrapText="1"/>
    </xf>
    <xf numFmtId="0" fontId="25" fillId="0" borderId="28" xfId="0" applyFont="1" applyBorder="1" applyAlignment="1">
      <alignment horizontal="center" vertical="center" wrapText="1"/>
    </xf>
    <xf numFmtId="0" fontId="68" fillId="59" borderId="15" xfId="0" applyFont="1" applyFill="1" applyBorder="1" applyAlignment="1">
      <alignment horizontal="center"/>
    </xf>
    <xf numFmtId="0" fontId="68" fillId="74" borderId="15" xfId="0" applyFont="1" applyFill="1" applyBorder="1" applyAlignment="1">
      <alignment horizontal="center"/>
    </xf>
    <xf numFmtId="0" fontId="68" fillId="76" borderId="15" xfId="0" applyFont="1" applyFill="1" applyBorder="1" applyAlignment="1">
      <alignment horizontal="center" wrapText="1"/>
    </xf>
    <xf numFmtId="0" fontId="68" fillId="77" borderId="15" xfId="0" applyFont="1" applyFill="1" applyBorder="1" applyAlignment="1">
      <alignment horizontal="center"/>
    </xf>
    <xf numFmtId="0" fontId="22" fillId="65" borderId="10" xfId="132" applyFont="1" applyFill="1" applyBorder="1" applyAlignment="1">
      <alignment horizontal="center" vertical="center"/>
    </xf>
    <xf numFmtId="0" fontId="49" fillId="78" borderId="0" xfId="0" applyFont="1" applyFill="1" applyBorder="1" applyAlignment="1">
      <alignment horizontal="center"/>
    </xf>
    <xf numFmtId="0" fontId="49" fillId="0" borderId="0" xfId="0" applyFont="1" applyBorder="1" applyAlignment="1">
      <alignment vertical="center" wrapText="1"/>
    </xf>
    <xf numFmtId="0" fontId="49" fillId="0" borderId="48" xfId="0" applyFont="1" applyBorder="1" applyAlignment="1">
      <alignment vertical="center" wrapText="1"/>
    </xf>
    <xf numFmtId="0" fontId="49" fillId="0" borderId="15" xfId="0" applyFont="1" applyBorder="1" applyAlignment="1">
      <alignment vertical="center" wrapText="1"/>
    </xf>
    <xf numFmtId="0" fontId="25" fillId="33" borderId="29" xfId="0" applyFont="1" applyFill="1" applyBorder="1" applyAlignment="1">
      <alignment horizontal="center" vertical="center" wrapText="1"/>
    </xf>
    <xf numFmtId="0" fontId="25" fillId="33" borderId="34" xfId="0" applyFont="1" applyFill="1" applyBorder="1" applyAlignment="1">
      <alignment horizontal="center" vertical="center" wrapText="1"/>
    </xf>
    <xf numFmtId="0" fontId="0" fillId="0" borderId="34" xfId="0" applyBorder="1" applyAlignment="1">
      <alignment horizontal="center"/>
    </xf>
    <xf numFmtId="170" fontId="16" fillId="60" borderId="15" xfId="0" applyNumberFormat="1" applyFont="1" applyFill="1" applyBorder="1"/>
    <xf numFmtId="174" fontId="0" fillId="0" borderId="50" xfId="0" applyNumberFormat="1" applyBorder="1"/>
    <xf numFmtId="170" fontId="19" fillId="0" borderId="48" xfId="179" applyNumberFormat="1" applyFont="1" applyFill="1" applyBorder="1" applyAlignment="1"/>
    <xf numFmtId="170" fontId="19" fillId="0" borderId="63" xfId="179" applyNumberFormat="1" applyFont="1" applyFill="1" applyBorder="1" applyAlignment="1"/>
    <xf numFmtId="174" fontId="19" fillId="0" borderId="63" xfId="179" applyNumberFormat="1" applyFont="1" applyFill="1" applyBorder="1" applyAlignment="1"/>
    <xf numFmtId="174" fontId="19" fillId="0" borderId="64" xfId="179" applyNumberFormat="1" applyFont="1" applyFill="1" applyBorder="1" applyAlignment="1"/>
    <xf numFmtId="174" fontId="19" fillId="0" borderId="65" xfId="179" applyNumberFormat="1" applyFont="1" applyFill="1" applyBorder="1" applyAlignment="1"/>
    <xf numFmtId="170" fontId="19" fillId="0" borderId="65" xfId="179" applyNumberFormat="1" applyFont="1" applyFill="1" applyBorder="1" applyAlignment="1"/>
    <xf numFmtId="170" fontId="19" fillId="0" borderId="50" xfId="179" applyNumberFormat="1" applyFont="1" applyFill="1" applyBorder="1" applyAlignment="1"/>
    <xf numFmtId="174" fontId="19" fillId="0" borderId="48" xfId="179" applyNumberFormat="1" applyFont="1" applyFill="1" applyBorder="1" applyAlignment="1"/>
    <xf numFmtId="170" fontId="16" fillId="60" borderId="15" xfId="178" applyNumberFormat="1" applyFont="1" applyFill="1" applyBorder="1"/>
    <xf numFmtId="174" fontId="19" fillId="0" borderId="50" xfId="179" applyNumberFormat="1" applyFont="1" applyFill="1" applyBorder="1" applyAlignment="1"/>
    <xf numFmtId="170" fontId="13" fillId="62" borderId="0" xfId="0" applyNumberFormat="1" applyFont="1" applyFill="1"/>
    <xf numFmtId="170" fontId="13" fillId="62" borderId="66" xfId="0" applyNumberFormat="1" applyFont="1" applyFill="1" applyBorder="1"/>
    <xf numFmtId="0" fontId="25" fillId="0" borderId="50" xfId="0" applyFont="1" applyBorder="1" applyAlignment="1">
      <alignment horizontal="center" vertical="center" wrapText="1"/>
    </xf>
    <xf numFmtId="0" fontId="25" fillId="0" borderId="33" xfId="0" applyFont="1" applyBorder="1" applyAlignment="1">
      <alignment horizontal="center" vertical="center" wrapText="1"/>
    </xf>
    <xf numFmtId="0" fontId="25" fillId="0" borderId="14" xfId="0" applyFont="1" applyBorder="1" applyAlignment="1">
      <alignment horizontal="center" vertical="center" wrapText="1"/>
    </xf>
    <xf numFmtId="0" fontId="25" fillId="59" borderId="0" xfId="0" applyFont="1" applyFill="1" applyAlignment="1">
      <alignment horizontal="left" vertical="center"/>
    </xf>
    <xf numFmtId="0" fontId="0" fillId="59" borderId="0" xfId="0" applyFill="1"/>
    <xf numFmtId="0" fontId="25" fillId="76" borderId="0" xfId="0" applyFont="1" applyFill="1" applyAlignment="1">
      <alignment horizontal="left" vertical="center"/>
    </xf>
    <xf numFmtId="0" fontId="0" fillId="76" borderId="0" xfId="0" applyFill="1"/>
    <xf numFmtId="0" fontId="25" fillId="74" borderId="0" xfId="0" applyFont="1" applyFill="1" applyAlignment="1">
      <alignment horizontal="left" vertical="center"/>
    </xf>
    <xf numFmtId="0" fontId="0" fillId="74" borderId="0" xfId="0" applyFill="1"/>
    <xf numFmtId="0" fontId="25" fillId="77" borderId="0" xfId="0" applyFont="1" applyFill="1" applyAlignment="1">
      <alignment horizontal="left" vertical="center"/>
    </xf>
    <xf numFmtId="0" fontId="0" fillId="77" borderId="0" xfId="0" applyFill="1"/>
    <xf numFmtId="0" fontId="84" fillId="0" borderId="0" xfId="0" applyFont="1" applyAlignment="1">
      <alignment vertical="center"/>
    </xf>
    <xf numFmtId="0" fontId="0" fillId="0" borderId="15" xfId="0" applyFill="1" applyBorder="1" applyAlignment="1">
      <alignment horizontal="center"/>
    </xf>
    <xf numFmtId="174" fontId="19" fillId="73" borderId="56" xfId="179" applyNumberFormat="1" applyFont="1" applyFill="1" applyBorder="1" applyAlignment="1"/>
    <xf numFmtId="0" fontId="19" fillId="0" borderId="56" xfId="132" applyFill="1" applyBorder="1" applyAlignment="1"/>
    <xf numFmtId="174" fontId="19" fillId="0" borderId="56" xfId="179" applyNumberFormat="1" applyFont="1" applyFill="1" applyBorder="1" applyAlignment="1"/>
    <xf numFmtId="0" fontId="19" fillId="0" borderId="65" xfId="132" applyFill="1" applyBorder="1" applyAlignment="1"/>
    <xf numFmtId="0" fontId="57" fillId="0" borderId="65" xfId="132" applyFont="1" applyFill="1" applyBorder="1" applyAlignment="1">
      <alignment horizontal="center"/>
    </xf>
    <xf numFmtId="170" fontId="16" fillId="57" borderId="67" xfId="0" applyNumberFormat="1" applyFont="1" applyFill="1" applyBorder="1"/>
    <xf numFmtId="170" fontId="16" fillId="57" borderId="68" xfId="0" applyNumberFormat="1" applyFont="1" applyFill="1" applyBorder="1"/>
    <xf numFmtId="170" fontId="13" fillId="62" borderId="0" xfId="0" applyNumberFormat="1" applyFont="1" applyFill="1" applyBorder="1"/>
    <xf numFmtId="170" fontId="19" fillId="0" borderId="64" xfId="179" applyNumberFormat="1" applyFont="1" applyFill="1" applyBorder="1" applyAlignment="1"/>
    <xf numFmtId="174" fontId="19" fillId="0" borderId="56" xfId="179" applyNumberFormat="1" applyFont="1" applyFill="1" applyBorder="1" applyAlignment="1"/>
    <xf numFmtId="174" fontId="19" fillId="0" borderId="56" xfId="179" applyNumberFormat="1" applyFont="1" applyFill="1" applyBorder="1" applyAlignment="1"/>
    <xf numFmtId="174" fontId="19" fillId="0" borderId="56" xfId="179" applyNumberFormat="1" applyFont="1" applyFill="1" applyBorder="1" applyAlignment="1"/>
    <xf numFmtId="0" fontId="76" fillId="0" borderId="0" xfId="0" applyFont="1"/>
    <xf numFmtId="174" fontId="19" fillId="0" borderId="69" xfId="179" applyNumberFormat="1" applyFont="1" applyFill="1" applyBorder="1" applyAlignment="1"/>
    <xf numFmtId="170" fontId="19" fillId="0" borderId="69" xfId="179" applyNumberFormat="1" applyFont="1" applyFill="1" applyBorder="1" applyAlignment="1"/>
    <xf numFmtId="0" fontId="25" fillId="33" borderId="0" xfId="0" applyFont="1" applyFill="1" applyAlignment="1">
      <alignment horizontal="left" wrapText="1"/>
    </xf>
    <xf numFmtId="0" fontId="24" fillId="33" borderId="0" xfId="0" applyFont="1" applyFill="1" applyAlignment="1">
      <alignment horizontal="left" wrapText="1"/>
    </xf>
    <xf numFmtId="0" fontId="22" fillId="56" borderId="11" xfId="0" quotePrefix="1" applyFont="1" applyFill="1" applyBorder="1" applyAlignment="1">
      <alignment horizontal="center"/>
    </xf>
    <xf numFmtId="0" fontId="80" fillId="33" borderId="0" xfId="177" applyFont="1" applyFill="1" applyBorder="1" applyAlignment="1">
      <alignment horizontal="left" vertical="top" wrapText="1"/>
    </xf>
    <xf numFmtId="0" fontId="25" fillId="33" borderId="0" xfId="0" applyFont="1" applyFill="1" applyBorder="1"/>
    <xf numFmtId="0" fontId="25" fillId="33" borderId="68" xfId="0" applyFont="1" applyFill="1" applyBorder="1"/>
    <xf numFmtId="177" fontId="85" fillId="79" borderId="70" xfId="0" applyNumberFormat="1" applyFont="1" applyFill="1" applyBorder="1" applyAlignment="1" applyProtection="1">
      <alignment horizontal="center" vertical="center" wrapText="1"/>
      <protection locked="0"/>
    </xf>
    <xf numFmtId="177" fontId="85" fillId="79" borderId="70" xfId="0" applyNumberFormat="1" applyFont="1" applyFill="1" applyBorder="1" applyAlignment="1" applyProtection="1">
      <alignment horizontal="center" vertical="center" textRotation="90" wrapText="1"/>
      <protection locked="0"/>
    </xf>
    <xf numFmtId="44" fontId="85" fillId="79" borderId="70" xfId="1" applyFont="1" applyFill="1" applyBorder="1" applyAlignment="1" applyProtection="1">
      <alignment horizontal="center" vertical="center" textRotation="90" wrapText="1"/>
      <protection locked="0"/>
    </xf>
    <xf numFmtId="49" fontId="85" fillId="79" borderId="70" xfId="0" applyNumberFormat="1" applyFont="1" applyFill="1" applyBorder="1" applyAlignment="1" applyProtection="1">
      <alignment horizontal="center" vertical="center" textRotation="90" wrapText="1"/>
      <protection locked="0"/>
    </xf>
    <xf numFmtId="0" fontId="85" fillId="79" borderId="70" xfId="0" applyFont="1" applyFill="1" applyBorder="1" applyAlignment="1" applyProtection="1">
      <alignment horizontal="center" vertical="center" wrapText="1"/>
      <protection locked="0"/>
    </xf>
    <xf numFmtId="49" fontId="85" fillId="79" borderId="70" xfId="0" applyNumberFormat="1" applyFont="1" applyFill="1" applyBorder="1" applyAlignment="1" applyProtection="1">
      <alignment horizontal="center" vertical="center" wrapText="1"/>
      <protection locked="0"/>
    </xf>
    <xf numFmtId="49" fontId="85" fillId="63" borderId="70" xfId="0" applyNumberFormat="1" applyFont="1" applyFill="1" applyBorder="1" applyAlignment="1" applyProtection="1">
      <alignment horizontal="center" vertical="center" wrapText="1"/>
      <protection locked="0"/>
    </xf>
    <xf numFmtId="0" fontId="85" fillId="79" borderId="70" xfId="0" applyNumberFormat="1" applyFont="1" applyFill="1" applyBorder="1" applyAlignment="1" applyProtection="1">
      <alignment horizontal="center" vertical="center" textRotation="90" wrapText="1"/>
      <protection locked="0"/>
    </xf>
    <xf numFmtId="177" fontId="85" fillId="63" borderId="70" xfId="0" applyNumberFormat="1" applyFont="1" applyFill="1" applyBorder="1" applyAlignment="1" applyProtection="1">
      <alignment horizontal="center" vertical="center" textRotation="90" wrapText="1"/>
      <protection locked="0"/>
    </xf>
    <xf numFmtId="44" fontId="85" fillId="63" borderId="70" xfId="1" applyFont="1" applyFill="1" applyBorder="1" applyAlignment="1" applyProtection="1">
      <alignment horizontal="center" vertical="center" textRotation="90" wrapText="1"/>
      <protection locked="0"/>
    </xf>
    <xf numFmtId="44" fontId="85" fillId="79" borderId="70" xfId="1" applyFont="1" applyFill="1" applyBorder="1" applyAlignment="1">
      <alignment horizontal="center" vertical="center" wrapText="1"/>
    </xf>
    <xf numFmtId="44" fontId="85" fillId="79" borderId="70" xfId="1" applyFont="1" applyFill="1" applyBorder="1" applyAlignment="1" applyProtection="1">
      <alignment horizontal="center" vertical="center" wrapText="1"/>
      <protection locked="0"/>
    </xf>
    <xf numFmtId="178" fontId="85" fillId="79" borderId="70" xfId="0" applyNumberFormat="1" applyFont="1" applyFill="1" applyBorder="1" applyAlignment="1">
      <alignment horizontal="center" vertical="center" wrapText="1"/>
    </xf>
    <xf numFmtId="14" fontId="85" fillId="79" borderId="70" xfId="0" applyNumberFormat="1" applyFont="1" applyFill="1" applyBorder="1" applyAlignment="1" applyProtection="1">
      <alignment horizontal="center" vertical="center" wrapText="1"/>
      <protection locked="0"/>
    </xf>
    <xf numFmtId="38" fontId="85" fillId="79" borderId="70" xfId="178" applyNumberFormat="1" applyFont="1" applyFill="1" applyBorder="1" applyAlignment="1">
      <alignment horizontal="center" vertical="center" wrapText="1"/>
    </xf>
    <xf numFmtId="179" fontId="85" fillId="79" borderId="70" xfId="178" applyNumberFormat="1" applyFont="1" applyFill="1" applyBorder="1" applyAlignment="1">
      <alignment horizontal="center" vertical="center" wrapText="1"/>
    </xf>
    <xf numFmtId="179" fontId="85" fillId="63" borderId="70" xfId="178" applyNumberFormat="1" applyFont="1" applyFill="1" applyBorder="1" applyAlignment="1">
      <alignment horizontal="center" vertical="center" wrapText="1"/>
    </xf>
    <xf numFmtId="179" fontId="85" fillId="63" borderId="71" xfId="178" applyNumberFormat="1" applyFont="1" applyFill="1" applyBorder="1" applyAlignment="1">
      <alignment horizontal="center" vertical="center" wrapText="1"/>
    </xf>
    <xf numFmtId="179" fontId="85" fillId="67" borderId="71" xfId="178" applyNumberFormat="1" applyFont="1" applyFill="1" applyBorder="1" applyAlignment="1">
      <alignment horizontal="center" vertical="center" wrapText="1"/>
    </xf>
    <xf numFmtId="179" fontId="85" fillId="80" borderId="71" xfId="178" applyNumberFormat="1" applyFont="1" applyFill="1" applyBorder="1" applyAlignment="1">
      <alignment horizontal="center" vertical="center" wrapText="1"/>
    </xf>
    <xf numFmtId="171" fontId="85" fillId="79" borderId="71" xfId="1" applyNumberFormat="1" applyFont="1" applyFill="1" applyBorder="1" applyAlignment="1">
      <alignment horizontal="center" vertical="center" wrapText="1"/>
    </xf>
    <xf numFmtId="177" fontId="85" fillId="81" borderId="70" xfId="0" applyNumberFormat="1" applyFont="1" applyFill="1" applyBorder="1" applyAlignment="1" applyProtection="1">
      <alignment horizontal="center" vertical="center"/>
      <protection locked="0"/>
    </xf>
    <xf numFmtId="1" fontId="0" fillId="0" borderId="72" xfId="0" applyNumberFormat="1" applyFill="1" applyBorder="1"/>
    <xf numFmtId="1" fontId="0" fillId="0" borderId="73" xfId="0" applyNumberFormat="1" applyFill="1" applyBorder="1"/>
    <xf numFmtId="0" fontId="0" fillId="0" borderId="72" xfId="0" applyFill="1" applyBorder="1" applyAlignment="1">
      <alignment horizontal="center"/>
    </xf>
    <xf numFmtId="0" fontId="0" fillId="0" borderId="72" xfId="0" applyBorder="1"/>
    <xf numFmtId="49" fontId="0" fillId="0" borderId="73" xfId="0" applyNumberFormat="1" applyFill="1" applyBorder="1" applyAlignment="1">
      <alignment horizontal="center"/>
    </xf>
    <xf numFmtId="0" fontId="0" fillId="0" borderId="74" xfId="0" applyBorder="1"/>
    <xf numFmtId="0" fontId="0" fillId="0" borderId="72" xfId="0" applyFill="1" applyBorder="1"/>
    <xf numFmtId="0" fontId="0" fillId="0" borderId="72" xfId="0" applyBorder="1" applyAlignment="1">
      <alignment horizontal="center"/>
    </xf>
    <xf numFmtId="0" fontId="0" fillId="0" borderId="72" xfId="0" applyBorder="1" applyAlignment="1">
      <alignment horizontal="left"/>
    </xf>
    <xf numFmtId="178" fontId="0" fillId="0" borderId="72" xfId="0" applyNumberFormat="1" applyBorder="1" applyAlignment="1">
      <alignment horizontal="center"/>
    </xf>
    <xf numFmtId="14" fontId="0" fillId="0" borderId="72" xfId="0" applyNumberFormat="1" applyFill="1" applyBorder="1"/>
    <xf numFmtId="0" fontId="0" fillId="0" borderId="75" xfId="0" applyBorder="1"/>
    <xf numFmtId="0" fontId="0" fillId="0" borderId="76" xfId="0" applyBorder="1"/>
    <xf numFmtId="0" fontId="0" fillId="0" borderId="77" xfId="0" applyBorder="1"/>
    <xf numFmtId="38" fontId="0" fillId="0" borderId="72" xfId="0" applyNumberFormat="1" applyFill="1" applyBorder="1"/>
    <xf numFmtId="38" fontId="0" fillId="0" borderId="77" xfId="0" applyNumberFormat="1" applyBorder="1"/>
    <xf numFmtId="38" fontId="0" fillId="82" borderId="72" xfId="0" applyNumberFormat="1" applyFill="1" applyBorder="1"/>
    <xf numFmtId="38" fontId="0" fillId="0" borderId="76" xfId="0" applyNumberFormat="1" applyFill="1" applyBorder="1"/>
    <xf numFmtId="1" fontId="0" fillId="0" borderId="76" xfId="0" applyNumberFormat="1" applyFill="1" applyBorder="1"/>
    <xf numFmtId="14" fontId="0" fillId="0" borderId="72" xfId="0" applyNumberFormat="1" applyBorder="1" applyAlignment="1">
      <alignment horizontal="center"/>
    </xf>
    <xf numFmtId="49" fontId="19" fillId="0" borderId="73" xfId="0" applyNumberFormat="1" applyFont="1" applyBorder="1" applyAlignment="1">
      <alignment horizontal="center"/>
    </xf>
    <xf numFmtId="16" fontId="0" fillId="0" borderId="72" xfId="0" applyNumberFormat="1" applyFill="1" applyBorder="1"/>
    <xf numFmtId="0" fontId="0" fillId="0" borderId="72" xfId="0" applyFill="1" applyBorder="1" applyAlignment="1">
      <alignment horizontal="left"/>
    </xf>
    <xf numFmtId="14" fontId="0" fillId="0" borderId="72" xfId="0" applyNumberFormat="1" applyBorder="1"/>
    <xf numFmtId="38" fontId="0" fillId="0" borderId="72" xfId="0" applyNumberFormat="1" applyBorder="1"/>
    <xf numFmtId="0" fontId="0" fillId="0" borderId="73" xfId="0" applyFill="1" applyBorder="1"/>
    <xf numFmtId="14" fontId="19" fillId="0" borderId="72" xfId="0" applyNumberFormat="1" applyFont="1" applyBorder="1" applyAlignment="1">
      <alignment horizontal="center"/>
    </xf>
    <xf numFmtId="1" fontId="0" fillId="0" borderId="77" xfId="0" applyNumberFormat="1" applyFill="1" applyBorder="1"/>
    <xf numFmtId="1" fontId="0" fillId="0" borderId="78" xfId="0" applyNumberFormat="1" applyFill="1" applyBorder="1"/>
    <xf numFmtId="14" fontId="19" fillId="0" borderId="74" xfId="0" applyNumberFormat="1" applyFont="1" applyFill="1" applyBorder="1" applyAlignment="1">
      <alignment horizontal="center"/>
    </xf>
    <xf numFmtId="0" fontId="0" fillId="0" borderId="74" xfId="0" applyFill="1" applyBorder="1" applyAlignment="1">
      <alignment horizontal="center"/>
    </xf>
    <xf numFmtId="49" fontId="19" fillId="0" borderId="78" xfId="0" applyNumberFormat="1" applyFont="1" applyBorder="1" applyAlignment="1">
      <alignment horizontal="center"/>
    </xf>
    <xf numFmtId="38" fontId="0" fillId="0" borderId="74" xfId="0" applyNumberFormat="1" applyFill="1" applyBorder="1"/>
    <xf numFmtId="0" fontId="0" fillId="0" borderId="76" xfId="0" applyFill="1" applyBorder="1"/>
    <xf numFmtId="1" fontId="19" fillId="0" borderId="78" xfId="0" applyNumberFormat="1" applyFont="1" applyFill="1" applyBorder="1"/>
    <xf numFmtId="14" fontId="19" fillId="0" borderId="74" xfId="0" applyNumberFormat="1" applyFont="1" applyBorder="1" applyAlignment="1">
      <alignment horizontal="center"/>
    </xf>
    <xf numFmtId="0" fontId="0" fillId="0" borderId="79" xfId="0" applyBorder="1"/>
    <xf numFmtId="0" fontId="0" fillId="0" borderId="80" xfId="0" applyFill="1" applyBorder="1"/>
    <xf numFmtId="16" fontId="0" fillId="0" borderId="74" xfId="0" applyNumberFormat="1" applyFill="1" applyBorder="1"/>
    <xf numFmtId="0" fontId="0" fillId="0" borderId="74" xfId="0" applyBorder="1" applyAlignment="1">
      <alignment horizontal="center"/>
    </xf>
    <xf numFmtId="178" fontId="0" fillId="0" borderId="74" xfId="0" applyNumberFormat="1" applyBorder="1" applyAlignment="1">
      <alignment horizontal="center"/>
    </xf>
    <xf numFmtId="14" fontId="0" fillId="0" borderId="74" xfId="0" applyNumberFormat="1" applyBorder="1"/>
    <xf numFmtId="1" fontId="19" fillId="0" borderId="76" xfId="0" applyNumberFormat="1" applyFont="1" applyFill="1" applyBorder="1"/>
    <xf numFmtId="1" fontId="19" fillId="0" borderId="73" xfId="0" applyNumberFormat="1" applyFont="1" applyFill="1" applyBorder="1"/>
    <xf numFmtId="1" fontId="19" fillId="0" borderId="72" xfId="0" applyNumberFormat="1" applyFont="1" applyFill="1" applyBorder="1"/>
    <xf numFmtId="14" fontId="19" fillId="0" borderId="72" xfId="0" applyNumberFormat="1" applyFont="1" applyFill="1" applyBorder="1" applyAlignment="1">
      <alignment horizontal="center"/>
    </xf>
    <xf numFmtId="49" fontId="19" fillId="0" borderId="73" xfId="0" applyNumberFormat="1" applyFont="1" applyFill="1" applyBorder="1" applyAlignment="1">
      <alignment horizontal="center"/>
    </xf>
    <xf numFmtId="178" fontId="0" fillId="0" borderId="72" xfId="0" applyNumberFormat="1" applyFill="1" applyBorder="1" applyAlignment="1">
      <alignment horizontal="center"/>
    </xf>
    <xf numFmtId="38" fontId="0" fillId="0" borderId="75" xfId="0" applyNumberFormat="1" applyFill="1" applyBorder="1"/>
    <xf numFmtId="0" fontId="19" fillId="0" borderId="72" xfId="0" applyFont="1" applyFill="1" applyBorder="1"/>
    <xf numFmtId="0" fontId="19" fillId="0" borderId="72" xfId="0" applyFont="1" applyFill="1" applyBorder="1" applyAlignment="1">
      <alignment horizontal="center"/>
    </xf>
    <xf numFmtId="0" fontId="19" fillId="0" borderId="72" xfId="0" applyFont="1" applyFill="1" applyBorder="1" applyAlignment="1">
      <alignment horizontal="left"/>
    </xf>
    <xf numFmtId="178" fontId="19" fillId="0" borderId="72" xfId="0" applyNumberFormat="1" applyFont="1" applyFill="1" applyBorder="1" applyAlignment="1">
      <alignment horizontal="center"/>
    </xf>
    <xf numFmtId="38" fontId="19" fillId="0" borderId="72" xfId="0" applyNumberFormat="1" applyFont="1" applyFill="1" applyBorder="1"/>
    <xf numFmtId="38" fontId="19" fillId="0" borderId="75" xfId="0" applyNumberFormat="1" applyFont="1" applyFill="1" applyBorder="1"/>
    <xf numFmtId="0" fontId="19" fillId="0" borderId="0" xfId="0" applyFont="1" applyFill="1" applyBorder="1" applyAlignment="1">
      <alignment horizontal="center"/>
    </xf>
    <xf numFmtId="0" fontId="0" fillId="0" borderId="0" xfId="0" applyFill="1" applyBorder="1" applyAlignment="1">
      <alignment horizontal="center"/>
    </xf>
    <xf numFmtId="38" fontId="0" fillId="0" borderId="0" xfId="0" applyNumberFormat="1" applyFill="1" applyBorder="1"/>
    <xf numFmtId="0" fontId="88" fillId="0" borderId="72" xfId="0" applyFont="1" applyFill="1" applyBorder="1"/>
    <xf numFmtId="0" fontId="89" fillId="0" borderId="76" xfId="0" applyFont="1" applyFill="1" applyBorder="1"/>
    <xf numFmtId="1" fontId="19" fillId="0" borderId="73" xfId="0" applyNumberFormat="1" applyFont="1" applyFill="1" applyBorder="1" applyAlignment="1">
      <alignment wrapText="1"/>
    </xf>
    <xf numFmtId="1" fontId="89" fillId="57" borderId="76" xfId="0" applyNumberFormat="1" applyFont="1" applyFill="1" applyBorder="1"/>
    <xf numFmtId="1" fontId="19" fillId="57" borderId="73" xfId="0" applyNumberFormat="1" applyFont="1" applyFill="1" applyBorder="1"/>
    <xf numFmtId="14" fontId="19" fillId="57" borderId="72" xfId="0" applyNumberFormat="1" applyFont="1" applyFill="1" applyBorder="1" applyAlignment="1">
      <alignment horizontal="center"/>
    </xf>
    <xf numFmtId="0" fontId="0" fillId="57" borderId="72" xfId="0" applyFill="1" applyBorder="1" applyAlignment="1">
      <alignment horizontal="center"/>
    </xf>
    <xf numFmtId="0" fontId="19" fillId="57" borderId="0" xfId="0" applyFont="1" applyFill="1" applyBorder="1" applyAlignment="1">
      <alignment horizontal="center"/>
    </xf>
    <xf numFmtId="49" fontId="0" fillId="57" borderId="73" xfId="0" applyNumberFormat="1" applyFont="1" applyFill="1" applyBorder="1" applyAlignment="1">
      <alignment horizontal="center"/>
    </xf>
    <xf numFmtId="0" fontId="0" fillId="57" borderId="72" xfId="0" applyFill="1" applyBorder="1"/>
    <xf numFmtId="0" fontId="89" fillId="57" borderId="72" xfId="0" applyFont="1" applyFill="1" applyBorder="1"/>
    <xf numFmtId="0" fontId="0" fillId="57" borderId="72" xfId="0" applyFont="1" applyFill="1" applyBorder="1"/>
    <xf numFmtId="0" fontId="0" fillId="57" borderId="0" xfId="0" applyFill="1" applyBorder="1" applyAlignment="1">
      <alignment horizontal="center"/>
    </xf>
    <xf numFmtId="0" fontId="19" fillId="57" borderId="72" xfId="0" applyFont="1" applyFill="1" applyBorder="1" applyAlignment="1">
      <alignment horizontal="left"/>
    </xf>
    <xf numFmtId="178" fontId="0" fillId="57" borderId="72" xfId="0" applyNumberFormat="1" applyFill="1" applyBorder="1" applyAlignment="1">
      <alignment horizontal="center"/>
    </xf>
    <xf numFmtId="178" fontId="19" fillId="57" borderId="72" xfId="0" applyNumberFormat="1" applyFont="1" applyFill="1" applyBorder="1" applyAlignment="1">
      <alignment horizontal="center"/>
    </xf>
    <xf numFmtId="0" fontId="19" fillId="57" borderId="72" xfId="0" applyFont="1" applyFill="1" applyBorder="1" applyAlignment="1">
      <alignment horizontal="center"/>
    </xf>
    <xf numFmtId="14" fontId="0" fillId="57" borderId="72" xfId="0" applyNumberFormat="1" applyFill="1" applyBorder="1"/>
    <xf numFmtId="38" fontId="0" fillId="57" borderId="0" xfId="0" applyNumberFormat="1" applyFill="1" applyBorder="1"/>
    <xf numFmtId="38" fontId="0" fillId="57" borderId="72" xfId="0" applyNumberFormat="1" applyFill="1" applyBorder="1"/>
    <xf numFmtId="38" fontId="0" fillId="57" borderId="75" xfId="0" applyNumberFormat="1" applyFill="1" applyBorder="1"/>
    <xf numFmtId="0" fontId="89" fillId="83" borderId="76" xfId="0" applyFont="1" applyFill="1" applyBorder="1"/>
    <xf numFmtId="1" fontId="19" fillId="83" borderId="73" xfId="0" applyNumberFormat="1" applyFont="1" applyFill="1" applyBorder="1"/>
    <xf numFmtId="14" fontId="19" fillId="83" borderId="72" xfId="0" applyNumberFormat="1" applyFont="1" applyFill="1" applyBorder="1" applyAlignment="1">
      <alignment horizontal="center"/>
    </xf>
    <xf numFmtId="0" fontId="0" fillId="83" borderId="72" xfId="0" applyFill="1" applyBorder="1" applyAlignment="1">
      <alignment horizontal="center"/>
    </xf>
    <xf numFmtId="0" fontId="19" fillId="83" borderId="0" xfId="0" applyFont="1" applyFill="1" applyBorder="1" applyAlignment="1">
      <alignment horizontal="center"/>
    </xf>
    <xf numFmtId="49" fontId="19" fillId="83" borderId="73" xfId="0" applyNumberFormat="1" applyFont="1" applyFill="1" applyBorder="1" applyAlignment="1">
      <alignment horizontal="center"/>
    </xf>
    <xf numFmtId="0" fontId="0" fillId="83" borderId="72" xfId="0" applyFill="1" applyBorder="1"/>
    <xf numFmtId="0" fontId="0" fillId="83" borderId="0" xfId="0" applyFill="1" applyBorder="1" applyAlignment="1">
      <alignment horizontal="center"/>
    </xf>
    <xf numFmtId="178" fontId="0" fillId="83" borderId="72" xfId="0" applyNumberFormat="1" applyFill="1" applyBorder="1" applyAlignment="1">
      <alignment horizontal="center"/>
    </xf>
    <xf numFmtId="14" fontId="0" fillId="83" borderId="72" xfId="0" applyNumberFormat="1" applyFill="1" applyBorder="1"/>
    <xf numFmtId="38" fontId="0" fillId="83" borderId="0" xfId="0" applyNumberFormat="1" applyFill="1" applyBorder="1"/>
    <xf numFmtId="38" fontId="0" fillId="83" borderId="72" xfId="0" applyNumberFormat="1" applyFill="1" applyBorder="1"/>
    <xf numFmtId="0" fontId="89" fillId="0" borderId="72" xfId="0" applyFont="1" applyFill="1" applyBorder="1"/>
    <xf numFmtId="0" fontId="0" fillId="0" borderId="0" xfId="0" applyAlignment="1">
      <alignment horizontal="left"/>
    </xf>
    <xf numFmtId="170" fontId="0" fillId="0" borderId="0" xfId="0" applyNumberFormat="1"/>
    <xf numFmtId="0" fontId="16" fillId="0" borderId="0" xfId="0" applyFont="1" applyAlignment="1">
      <alignment horizontal="right"/>
    </xf>
    <xf numFmtId="170" fontId="16" fillId="0" borderId="0" xfId="0" applyNumberFormat="1" applyFont="1"/>
    <xf numFmtId="0" fontId="24" fillId="33" borderId="0" xfId="0" applyFont="1" applyFill="1" applyBorder="1"/>
    <xf numFmtId="0" fontId="25" fillId="33" borderId="0" xfId="0" applyFont="1" applyFill="1" applyBorder="1" applyAlignment="1">
      <alignment vertical="top"/>
    </xf>
    <xf numFmtId="0" fontId="0" fillId="0" borderId="10" xfId="0" applyFill="1" applyBorder="1" applyAlignment="1">
      <alignment horizontal="center" vertical="center"/>
    </xf>
    <xf numFmtId="0" fontId="0" fillId="0" borderId="0" xfId="0" applyFill="1"/>
    <xf numFmtId="164" fontId="22" fillId="56" borderId="10" xfId="2" applyNumberFormat="1" applyFont="1" applyFill="1" applyBorder="1" applyAlignment="1">
      <alignment horizontal="center"/>
    </xf>
    <xf numFmtId="174" fontId="19" fillId="33" borderId="56" xfId="179" applyNumberFormat="1" applyFont="1" applyFill="1" applyBorder="1" applyAlignment="1"/>
    <xf numFmtId="170" fontId="19" fillId="33" borderId="56" xfId="179" applyNumberFormat="1" applyFont="1" applyFill="1" applyBorder="1" applyAlignment="1"/>
    <xf numFmtId="0" fontId="0" fillId="0" borderId="32" xfId="0" applyBorder="1"/>
    <xf numFmtId="168" fontId="0" fillId="0" borderId="29" xfId="0" applyNumberFormat="1" applyBorder="1" applyAlignment="1">
      <alignment horizontal="right"/>
    </xf>
    <xf numFmtId="17" fontId="64" fillId="68" borderId="39" xfId="132" quotePrefix="1" applyNumberFormat="1" applyFont="1" applyFill="1" applyBorder="1" applyAlignment="1">
      <alignment horizontal="center"/>
    </xf>
    <xf numFmtId="171" fontId="22" fillId="56" borderId="10" xfId="1" quotePrefix="1" applyNumberFormat="1" applyFont="1" applyFill="1" applyBorder="1" applyAlignment="1">
      <alignment horizontal="center"/>
    </xf>
    <xf numFmtId="49" fontId="0" fillId="0" borderId="73" xfId="0" quotePrefix="1" applyNumberFormat="1" applyFill="1" applyBorder="1" applyAlignment="1">
      <alignment horizontal="center"/>
    </xf>
    <xf numFmtId="0" fontId="0" fillId="0" borderId="0" xfId="0" applyNumberFormat="1"/>
    <xf numFmtId="0" fontId="25" fillId="33" borderId="0" xfId="0" applyFont="1" applyFill="1" applyAlignment="1">
      <alignment horizontal="right"/>
    </xf>
    <xf numFmtId="10" fontId="49" fillId="56" borderId="10" xfId="0" applyNumberFormat="1" applyFont="1" applyFill="1" applyBorder="1" applyAlignment="1">
      <alignment horizontal="center" vertical="center"/>
    </xf>
    <xf numFmtId="0" fontId="25" fillId="33" borderId="89" xfId="0" applyFont="1" applyFill="1" applyBorder="1"/>
    <xf numFmtId="0" fontId="16" fillId="0" borderId="10" xfId="0" applyFont="1" applyBorder="1" applyAlignment="1">
      <alignment horizontal="center"/>
    </xf>
    <xf numFmtId="168" fontId="16" fillId="0" borderId="0" xfId="0" applyNumberFormat="1" applyFont="1" applyFill="1" applyBorder="1" applyAlignment="1">
      <alignment horizontal="right"/>
    </xf>
    <xf numFmtId="168" fontId="0" fillId="0" borderId="0" xfId="0" applyNumberFormat="1" applyFill="1" applyBorder="1" applyAlignment="1">
      <alignment horizontal="right"/>
    </xf>
    <xf numFmtId="168" fontId="16" fillId="57" borderId="88" xfId="0" applyNumberFormat="1" applyFont="1" applyFill="1" applyBorder="1" applyAlignment="1">
      <alignment horizontal="right"/>
    </xf>
    <xf numFmtId="168" fontId="0" fillId="0" borderId="11" xfId="0" applyNumberFormat="1" applyBorder="1" applyAlignment="1">
      <alignment horizontal="right"/>
    </xf>
    <xf numFmtId="168" fontId="51" fillId="0" borderId="10" xfId="0" applyNumberFormat="1" applyFont="1" applyBorder="1" applyAlignment="1">
      <alignment horizontal="right"/>
    </xf>
    <xf numFmtId="168" fontId="0" fillId="0" borderId="87" xfId="0" applyNumberFormat="1" applyBorder="1" applyAlignment="1">
      <alignment horizontal="right"/>
    </xf>
    <xf numFmtId="0" fontId="0" fillId="0" borderId="86" xfId="0" applyBorder="1"/>
    <xf numFmtId="168" fontId="19" fillId="0" borderId="0" xfId="132" applyNumberFormat="1"/>
    <xf numFmtId="168" fontId="16" fillId="0" borderId="36" xfId="0" applyNumberFormat="1" applyFont="1" applyFill="1" applyBorder="1" applyAlignment="1">
      <alignment horizontal="right"/>
    </xf>
    <xf numFmtId="0" fontId="42" fillId="0" borderId="85" xfId="114" applyFont="1" applyFill="1" applyBorder="1" applyAlignment="1">
      <alignment horizontal="center"/>
    </xf>
    <xf numFmtId="0" fontId="0" fillId="0" borderId="85" xfId="0" applyBorder="1"/>
    <xf numFmtId="0" fontId="16" fillId="84" borderId="85" xfId="0" applyFont="1" applyFill="1" applyBorder="1"/>
    <xf numFmtId="176" fontId="0" fillId="73" borderId="16" xfId="0" applyNumberFormat="1" applyFill="1" applyBorder="1"/>
    <xf numFmtId="176" fontId="0" fillId="73" borderId="32" xfId="0" applyNumberFormat="1" applyFill="1" applyBorder="1"/>
    <xf numFmtId="176" fontId="0" fillId="73" borderId="15" xfId="0" applyNumberFormat="1" applyFill="1" applyBorder="1"/>
    <xf numFmtId="0" fontId="0" fillId="73" borderId="15" xfId="0" applyFill="1" applyBorder="1"/>
    <xf numFmtId="0" fontId="0" fillId="73" borderId="0" xfId="0" applyFill="1" applyBorder="1"/>
    <xf numFmtId="176" fontId="0" fillId="73" borderId="0" xfId="0" applyNumberFormat="1" applyFill="1" applyBorder="1"/>
    <xf numFmtId="0" fontId="92" fillId="60" borderId="0" xfId="0" applyFont="1" applyFill="1"/>
    <xf numFmtId="0" fontId="16" fillId="60" borderId="0" xfId="0" applyFont="1" applyFill="1" applyAlignment="1">
      <alignment horizontal="center"/>
    </xf>
    <xf numFmtId="0" fontId="42" fillId="0" borderId="15" xfId="114" applyFont="1" applyFill="1" applyBorder="1" applyAlignment="1">
      <alignment horizontal="center"/>
    </xf>
    <xf numFmtId="2" fontId="0" fillId="0" borderId="0" xfId="0" applyNumberFormat="1" applyBorder="1" applyAlignment="1">
      <alignment horizontal="center"/>
    </xf>
    <xf numFmtId="0" fontId="0" fillId="0" borderId="0" xfId="0" applyBorder="1" applyAlignment="1">
      <alignment horizontal="center"/>
    </xf>
    <xf numFmtId="0" fontId="16" fillId="0" borderId="0" xfId="0" applyFont="1" applyBorder="1" applyAlignment="1">
      <alignment horizontal="right"/>
    </xf>
    <xf numFmtId="176" fontId="50" fillId="0" borderId="0" xfId="0" applyNumberFormat="1" applyFont="1"/>
    <xf numFmtId="176" fontId="16" fillId="0" borderId="0" xfId="0" applyNumberFormat="1" applyFont="1"/>
    <xf numFmtId="176" fontId="0" fillId="0" borderId="0" xfId="0" applyNumberFormat="1"/>
    <xf numFmtId="0" fontId="42" fillId="0" borderId="0" xfId="114" applyFont="1" applyFill="1" applyBorder="1" applyAlignment="1">
      <alignment horizontal="center"/>
    </xf>
    <xf numFmtId="168" fontId="0" fillId="0" borderId="10" xfId="0" applyNumberFormat="1" applyFont="1" applyBorder="1" applyAlignment="1">
      <alignment horizontal="right"/>
    </xf>
    <xf numFmtId="0" fontId="24" fillId="0" borderId="0" xfId="0" applyFont="1" applyAlignment="1">
      <alignment vertical="center"/>
    </xf>
    <xf numFmtId="0" fontId="19" fillId="0" borderId="38" xfId="187" applyFont="1" applyBorder="1" applyAlignment="1">
      <alignment horizontal="left" vertical="center" wrapText="1"/>
    </xf>
    <xf numFmtId="0" fontId="19" fillId="0" borderId="38" xfId="187" applyFont="1" applyBorder="1" applyAlignment="1">
      <alignment horizontal="left" vertical="center"/>
    </xf>
    <xf numFmtId="0" fontId="22" fillId="0" borderId="37" xfId="187" applyFont="1" applyBorder="1" applyAlignment="1">
      <alignment horizontal="left" vertical="center" wrapText="1"/>
    </xf>
    <xf numFmtId="0" fontId="22" fillId="0" borderId="30" xfId="187" applyFont="1" applyBorder="1" applyAlignment="1">
      <alignment horizontal="left" vertical="center" wrapText="1"/>
    </xf>
    <xf numFmtId="0" fontId="22" fillId="0" borderId="30" xfId="187" applyFont="1" applyFill="1" applyBorder="1" applyAlignment="1">
      <alignment horizontal="left" vertical="center" wrapText="1"/>
    </xf>
    <xf numFmtId="0" fontId="19" fillId="0" borderId="38" xfId="187" applyFont="1" applyFill="1" applyBorder="1" applyAlignment="1">
      <alignment horizontal="left" vertical="center" wrapText="1"/>
    </xf>
    <xf numFmtId="0" fontId="19" fillId="0" borderId="35" xfId="187" applyFont="1" applyBorder="1" applyAlignment="1">
      <alignment horizontal="left" vertical="center"/>
    </xf>
    <xf numFmtId="0" fontId="22" fillId="33" borderId="11" xfId="187" applyFont="1" applyFill="1" applyBorder="1" applyAlignment="1">
      <alignment horizontal="center" vertical="center"/>
    </xf>
    <xf numFmtId="0" fontId="19" fillId="0" borderId="37" xfId="187" applyFont="1" applyFill="1" applyBorder="1" applyAlignment="1">
      <alignment horizontal="left" vertical="center" wrapText="1"/>
    </xf>
    <xf numFmtId="0" fontId="19" fillId="0" borderId="104" xfId="187" applyFont="1" applyBorder="1" applyAlignment="1">
      <alignment horizontal="left" vertical="center"/>
    </xf>
    <xf numFmtId="0" fontId="59" fillId="0" borderId="36" xfId="187" applyFont="1" applyBorder="1" applyAlignment="1">
      <alignment horizontal="center" vertical="center"/>
    </xf>
    <xf numFmtId="0" fontId="19" fillId="0" borderId="36" xfId="187" applyFont="1" applyBorder="1" applyAlignment="1">
      <alignment horizontal="center" vertical="center"/>
    </xf>
    <xf numFmtId="0" fontId="59" fillId="0" borderId="10" xfId="187" applyFont="1" applyBorder="1" applyAlignment="1">
      <alignment horizontal="center" vertical="center"/>
    </xf>
    <xf numFmtId="0" fontId="19" fillId="0" borderId="10" xfId="187" applyFont="1" applyBorder="1" applyAlignment="1">
      <alignment horizontal="center" vertical="center"/>
    </xf>
    <xf numFmtId="171" fontId="19" fillId="0" borderId="28" xfId="149" applyNumberFormat="1" applyFont="1" applyBorder="1" applyAlignment="1">
      <alignment vertical="center"/>
    </xf>
    <xf numFmtId="171" fontId="19" fillId="0" borderId="10" xfId="149" applyNumberFormat="1" applyFont="1" applyBorder="1" applyAlignment="1">
      <alignment vertical="center"/>
    </xf>
    <xf numFmtId="171" fontId="22" fillId="0" borderId="103" xfId="187" applyNumberFormat="1" applyFont="1" applyBorder="1" applyAlignment="1">
      <alignment vertical="center"/>
    </xf>
    <xf numFmtId="0" fontId="22" fillId="0" borderId="70" xfId="62" applyFont="1" applyBorder="1" applyAlignment="1">
      <alignment wrapText="1"/>
    </xf>
    <xf numFmtId="0" fontId="85" fillId="85" borderId="30" xfId="62" applyFont="1" applyFill="1" applyBorder="1" applyAlignment="1">
      <alignment horizontal="center" vertical="center" wrapText="1"/>
    </xf>
    <xf numFmtId="0" fontId="85" fillId="85" borderId="47" xfId="62" applyFont="1" applyFill="1" applyBorder="1" applyAlignment="1">
      <alignment horizontal="center" vertical="center" wrapText="1"/>
    </xf>
    <xf numFmtId="0" fontId="85" fillId="85" borderId="31" xfId="62" applyFont="1" applyFill="1" applyBorder="1" applyAlignment="1">
      <alignment horizontal="center" vertical="center" wrapText="1"/>
    </xf>
    <xf numFmtId="44" fontId="19" fillId="0" borderId="105" xfId="62" applyNumberFormat="1" applyFont="1" applyBorder="1" applyAlignment="1">
      <alignment horizontal="center" vertical="center"/>
    </xf>
    <xf numFmtId="44" fontId="19" fillId="0" borderId="106" xfId="62" applyNumberFormat="1" applyFont="1" applyBorder="1" applyAlignment="1">
      <alignment horizontal="center" vertical="center"/>
    </xf>
    <xf numFmtId="44" fontId="19" fillId="0" borderId="107" xfId="62" applyNumberFormat="1" applyFont="1" applyBorder="1" applyAlignment="1">
      <alignment horizontal="center" vertical="center"/>
    </xf>
    <xf numFmtId="44" fontId="22" fillId="0" borderId="111" xfId="62" applyNumberFormat="1" applyFont="1" applyBorder="1" applyAlignment="1">
      <alignment horizontal="center" vertical="center"/>
    </xf>
    <xf numFmtId="0" fontId="0" fillId="0" borderId="15" xfId="0" applyBorder="1" applyAlignment="1">
      <alignment horizontal="center"/>
    </xf>
    <xf numFmtId="0" fontId="0" fillId="73" borderId="0" xfId="0" applyFill="1" applyBorder="1" applyAlignment="1">
      <alignment horizontal="center"/>
    </xf>
    <xf numFmtId="0" fontId="0" fillId="73" borderId="15" xfId="0" applyFill="1" applyBorder="1" applyAlignment="1">
      <alignment horizontal="center"/>
    </xf>
    <xf numFmtId="0" fontId="0" fillId="0" borderId="85" xfId="0" applyBorder="1" applyAlignment="1">
      <alignment horizontal="center"/>
    </xf>
    <xf numFmtId="0" fontId="16" fillId="0" borderId="0" xfId="0" applyFont="1" applyBorder="1" applyAlignment="1">
      <alignment horizontal="center"/>
    </xf>
    <xf numFmtId="0" fontId="85" fillId="86" borderId="70" xfId="62" applyFont="1" applyFill="1" applyBorder="1" applyAlignment="1">
      <alignment horizontal="center" vertical="center" wrapText="1"/>
    </xf>
    <xf numFmtId="44" fontId="19" fillId="0" borderId="97" xfId="62" applyNumberFormat="1" applyFont="1" applyBorder="1" applyAlignment="1">
      <alignment horizontal="center" vertical="center"/>
    </xf>
    <xf numFmtId="44" fontId="22" fillId="0" borderId="109" xfId="62" applyNumberFormat="1" applyFont="1" applyBorder="1" applyAlignment="1">
      <alignment horizontal="center" vertical="center"/>
    </xf>
    <xf numFmtId="0" fontId="19" fillId="0" borderId="113" xfId="187" applyFont="1" applyBorder="1" applyAlignment="1">
      <alignment horizontal="center" vertical="center"/>
    </xf>
    <xf numFmtId="0" fontId="19" fillId="0" borderId="11" xfId="187" applyFont="1" applyBorder="1" applyAlignment="1">
      <alignment horizontal="center" vertical="center"/>
    </xf>
    <xf numFmtId="171" fontId="19" fillId="0" borderId="14" xfId="149" applyNumberFormat="1" applyFont="1" applyBorder="1" applyAlignment="1">
      <alignment vertical="center"/>
    </xf>
    <xf numFmtId="171" fontId="19" fillId="0" borderId="11" xfId="149" applyNumberFormat="1" applyFont="1" applyBorder="1" applyAlignment="1">
      <alignment vertical="center"/>
    </xf>
    <xf numFmtId="0" fontId="59" fillId="0" borderId="115" xfId="187" applyFont="1" applyBorder="1" applyAlignment="1">
      <alignment horizontal="center" vertical="center"/>
    </xf>
    <xf numFmtId="0" fontId="59" fillId="0" borderId="116" xfId="187" applyFont="1" applyBorder="1" applyAlignment="1">
      <alignment horizontal="center" vertical="center"/>
    </xf>
    <xf numFmtId="171" fontId="19" fillId="0" borderId="117" xfId="149" applyNumberFormat="1" applyFont="1" applyBorder="1" applyAlignment="1">
      <alignment vertical="center"/>
    </xf>
    <xf numFmtId="171" fontId="19" fillId="0" borderId="116" xfId="149" applyNumberFormat="1" applyFont="1" applyBorder="1" applyAlignment="1">
      <alignment vertical="center"/>
    </xf>
    <xf numFmtId="0" fontId="63" fillId="0" borderId="109" xfId="62" applyFont="1" applyBorder="1" applyAlignment="1">
      <alignment horizontal="left" vertical="center"/>
    </xf>
    <xf numFmtId="0" fontId="22" fillId="0" borderId="97" xfId="62" applyFont="1" applyBorder="1" applyAlignment="1">
      <alignment horizontal="left" vertical="center"/>
    </xf>
    <xf numFmtId="0" fontId="22" fillId="0" borderId="95" xfId="62" applyFont="1" applyBorder="1" applyAlignment="1">
      <alignment horizontal="left" vertical="center"/>
    </xf>
    <xf numFmtId="0" fontId="22" fillId="0" borderId="96" xfId="62" applyFont="1" applyBorder="1" applyAlignment="1">
      <alignment horizontal="left" vertical="center"/>
    </xf>
    <xf numFmtId="0" fontId="22" fillId="0" borderId="94" xfId="62" applyFont="1" applyBorder="1" applyAlignment="1">
      <alignment horizontal="left" vertical="center"/>
    </xf>
    <xf numFmtId="0" fontId="22" fillId="0" borderId="108" xfId="62" applyFont="1" applyBorder="1" applyAlignment="1">
      <alignment horizontal="left" vertical="center"/>
    </xf>
    <xf numFmtId="44" fontId="19" fillId="0" borderId="45" xfId="62" applyNumberFormat="1" applyFont="1" applyBorder="1" applyAlignment="1">
      <alignment horizontal="center" vertical="center"/>
    </xf>
    <xf numFmtId="44" fontId="19" fillId="0" borderId="34" xfId="62" applyNumberFormat="1" applyFont="1" applyBorder="1" applyAlignment="1">
      <alignment horizontal="center" vertical="center"/>
    </xf>
    <xf numFmtId="44" fontId="19" fillId="0" borderId="121" xfId="62" applyNumberFormat="1" applyFont="1" applyBorder="1" applyAlignment="1">
      <alignment horizontal="center" vertical="center"/>
    </xf>
    <xf numFmtId="44" fontId="19" fillId="0" borderId="94" xfId="62" applyNumberFormat="1" applyFont="1" applyBorder="1" applyAlignment="1">
      <alignment horizontal="center" vertical="center"/>
    </xf>
    <xf numFmtId="0" fontId="22" fillId="0" borderId="120" xfId="62" applyFont="1" applyBorder="1" applyAlignment="1">
      <alignment horizontal="left" vertical="center"/>
    </xf>
    <xf numFmtId="1" fontId="63" fillId="0" borderId="122" xfId="62" applyNumberFormat="1" applyFont="1" applyBorder="1" applyAlignment="1">
      <alignment horizontal="center" vertical="center"/>
    </xf>
    <xf numFmtId="1" fontId="63" fillId="0" borderId="123" xfId="62" applyNumberFormat="1" applyFont="1" applyBorder="1" applyAlignment="1">
      <alignment horizontal="center" vertical="center"/>
    </xf>
    <xf numFmtId="1" fontId="63" fillId="0" borderId="124" xfId="62" applyNumberFormat="1" applyFont="1" applyBorder="1" applyAlignment="1">
      <alignment horizontal="center" vertical="center"/>
    </xf>
    <xf numFmtId="1" fontId="19" fillId="0" borderId="120" xfId="62" applyNumberFormat="1" applyFont="1" applyBorder="1" applyAlignment="1">
      <alignment horizontal="center" vertical="center"/>
    </xf>
    <xf numFmtId="0" fontId="22" fillId="0" borderId="118" xfId="62" applyFont="1" applyBorder="1" applyAlignment="1">
      <alignment horizontal="left" vertical="center"/>
    </xf>
    <xf numFmtId="172" fontId="63" fillId="83" borderId="104" xfId="149" applyNumberFormat="1" applyFont="1" applyFill="1" applyBorder="1" applyAlignment="1">
      <alignment horizontal="center" vertical="center"/>
    </xf>
    <xf numFmtId="172" fontId="63" fillId="83" borderId="86" xfId="149" applyNumberFormat="1" applyFont="1" applyFill="1" applyBorder="1" applyAlignment="1">
      <alignment horizontal="center" vertical="center"/>
    </xf>
    <xf numFmtId="172" fontId="63" fillId="83" borderId="101" xfId="149" applyNumberFormat="1" applyFont="1" applyFill="1" applyBorder="1" applyAlignment="1">
      <alignment horizontal="center" vertical="center"/>
    </xf>
    <xf numFmtId="172" fontId="63" fillId="83" borderId="118" xfId="149" applyNumberFormat="1" applyFont="1" applyFill="1" applyBorder="1" applyAlignment="1">
      <alignment horizontal="center" vertical="center"/>
    </xf>
    <xf numFmtId="44" fontId="97" fillId="83" borderId="44" xfId="1" applyFont="1" applyFill="1" applyBorder="1" applyAlignment="1">
      <alignment horizontal="center" vertical="center"/>
    </xf>
    <xf numFmtId="44" fontId="97" fillId="83" borderId="26" xfId="1" applyFont="1" applyFill="1" applyBorder="1" applyAlignment="1">
      <alignment horizontal="center" vertical="center"/>
    </xf>
    <xf numFmtId="44" fontId="97" fillId="83" borderId="98" xfId="1" applyFont="1" applyFill="1" applyBorder="1" applyAlignment="1">
      <alignment horizontal="center" vertical="center"/>
    </xf>
    <xf numFmtId="176" fontId="16" fillId="0" borderId="10" xfId="0" applyNumberFormat="1" applyFont="1" applyBorder="1"/>
    <xf numFmtId="180" fontId="63" fillId="83" borderId="108" xfId="149" applyNumberFormat="1" applyFont="1" applyFill="1" applyBorder="1" applyAlignment="1">
      <alignment horizontal="center" vertical="center"/>
    </xf>
    <xf numFmtId="0" fontId="16" fillId="0" borderId="0" xfId="0" applyFont="1" applyAlignment="1">
      <alignment horizontal="center"/>
    </xf>
    <xf numFmtId="1" fontId="59" fillId="0" borderId="10" xfId="187" applyNumberFormat="1" applyFont="1" applyBorder="1" applyAlignment="1">
      <alignment horizontal="center" vertical="center"/>
    </xf>
    <xf numFmtId="171" fontId="59" fillId="0" borderId="10" xfId="1" applyNumberFormat="1" applyFont="1" applyBorder="1" applyAlignment="1">
      <alignment horizontal="center" vertical="center"/>
    </xf>
    <xf numFmtId="171" fontId="19" fillId="0" borderId="47" xfId="187" applyNumberFormat="1" applyFont="1" applyBorder="1" applyAlignment="1">
      <alignment vertical="center"/>
    </xf>
    <xf numFmtId="171" fontId="19" fillId="0" borderId="10" xfId="1" applyNumberFormat="1" applyFont="1" applyBorder="1" applyAlignment="1">
      <alignment vertical="center"/>
    </xf>
    <xf numFmtId="171" fontId="59" fillId="0" borderId="11" xfId="1" applyNumberFormat="1" applyFont="1" applyBorder="1" applyAlignment="1">
      <alignment horizontal="center" vertical="center"/>
    </xf>
    <xf numFmtId="171" fontId="19" fillId="0" borderId="88" xfId="187" applyNumberFormat="1" applyFont="1" applyBorder="1" applyAlignment="1">
      <alignment vertical="center"/>
    </xf>
    <xf numFmtId="171" fontId="22" fillId="0" borderId="114" xfId="187" applyNumberFormat="1" applyFont="1" applyBorder="1" applyAlignment="1">
      <alignment vertical="center"/>
    </xf>
    <xf numFmtId="171" fontId="19" fillId="0" borderId="11" xfId="1" applyNumberFormat="1" applyFont="1" applyBorder="1" applyAlignment="1">
      <alignment vertical="center"/>
    </xf>
    <xf numFmtId="171" fontId="19" fillId="0" borderId="70" xfId="187" applyNumberFormat="1" applyFont="1" applyBorder="1" applyAlignment="1">
      <alignment vertical="center"/>
    </xf>
    <xf numFmtId="171" fontId="22" fillId="0" borderId="119" xfId="187" applyNumberFormat="1" applyFont="1" applyBorder="1" applyAlignment="1">
      <alignment vertical="center"/>
    </xf>
    <xf numFmtId="171" fontId="19" fillId="0" borderId="116" xfId="1" applyNumberFormat="1" applyFont="1" applyBorder="1" applyAlignment="1">
      <alignment vertical="center"/>
    </xf>
    <xf numFmtId="0" fontId="59" fillId="0" borderId="38" xfId="187" applyFont="1" applyFill="1" applyBorder="1" applyAlignment="1">
      <alignment horizontal="left" vertical="center" wrapText="1"/>
    </xf>
    <xf numFmtId="171" fontId="59" fillId="0" borderId="10" xfId="149" applyNumberFormat="1" applyFont="1" applyBorder="1" applyAlignment="1">
      <alignment vertical="center"/>
    </xf>
    <xf numFmtId="171" fontId="59" fillId="0" borderId="11" xfId="149" applyNumberFormat="1" applyFont="1" applyBorder="1" applyAlignment="1">
      <alignment vertical="center"/>
    </xf>
    <xf numFmtId="171" fontId="59" fillId="0" borderId="116" xfId="149" applyNumberFormat="1" applyFont="1" applyBorder="1" applyAlignment="1">
      <alignment vertical="center"/>
    </xf>
    <xf numFmtId="0" fontId="22" fillId="0" borderId="44" xfId="187" applyFont="1" applyFill="1" applyBorder="1" applyAlignment="1">
      <alignment horizontal="left" vertical="center" wrapText="1"/>
    </xf>
    <xf numFmtId="171" fontId="22" fillId="0" borderId="26" xfId="149" applyNumberFormat="1" applyFont="1" applyBorder="1" applyAlignment="1">
      <alignment vertical="center"/>
    </xf>
    <xf numFmtId="171" fontId="22" fillId="0" borderId="108" xfId="149" applyNumberFormat="1" applyFont="1" applyBorder="1" applyAlignment="1">
      <alignment vertical="center"/>
    </xf>
    <xf numFmtId="0" fontId="95" fillId="33" borderId="0" xfId="187" applyFont="1" applyFill="1"/>
    <xf numFmtId="0" fontId="24" fillId="33" borderId="0" xfId="0" applyFont="1" applyFill="1" applyAlignment="1">
      <alignment vertical="center"/>
    </xf>
    <xf numFmtId="0" fontId="22" fillId="33" borderId="10" xfId="187" applyFont="1" applyFill="1" applyBorder="1" applyAlignment="1">
      <alignment horizontal="right" vertical="top"/>
    </xf>
    <xf numFmtId="44" fontId="22" fillId="0" borderId="110" xfId="62" applyNumberFormat="1" applyFont="1" applyBorder="1" applyAlignment="1">
      <alignment horizontal="center" vertical="center"/>
    </xf>
    <xf numFmtId="44" fontId="22" fillId="0" borderId="112" xfId="62" applyNumberFormat="1" applyFont="1" applyBorder="1" applyAlignment="1">
      <alignment horizontal="center" vertical="center"/>
    </xf>
    <xf numFmtId="0" fontId="24" fillId="33" borderId="125" xfId="0" applyFont="1" applyFill="1" applyBorder="1" applyAlignment="1">
      <alignment horizontal="center"/>
    </xf>
    <xf numFmtId="0" fontId="98" fillId="33" borderId="0" xfId="187" applyFont="1" applyFill="1" applyAlignment="1">
      <alignment horizontal="left"/>
    </xf>
    <xf numFmtId="0" fontId="22" fillId="0" borderId="102" xfId="187" applyFont="1" applyBorder="1" applyAlignment="1">
      <alignment horizontal="center" vertical="center" wrapText="1"/>
    </xf>
    <xf numFmtId="0" fontId="22" fillId="0" borderId="100" xfId="187" applyFont="1" applyBorder="1" applyAlignment="1">
      <alignment horizontal="center" vertical="center" wrapText="1"/>
    </xf>
    <xf numFmtId="0" fontId="22" fillId="0" borderId="99" xfId="187" applyFont="1" applyBorder="1" applyAlignment="1">
      <alignment horizontal="center" vertical="center" wrapText="1"/>
    </xf>
    <xf numFmtId="0" fontId="22" fillId="0" borderId="33" xfId="187" applyFont="1" applyBorder="1" applyAlignment="1">
      <alignment horizontal="center" vertical="center" wrapText="1"/>
    </xf>
    <xf numFmtId="0" fontId="22" fillId="0" borderId="0" xfId="187" applyFont="1" applyBorder="1" applyAlignment="1">
      <alignment horizontal="center" vertical="center" wrapText="1"/>
    </xf>
    <xf numFmtId="0" fontId="22" fillId="0" borderId="32" xfId="187" applyFont="1" applyBorder="1" applyAlignment="1">
      <alignment horizontal="center" vertical="center" wrapText="1"/>
    </xf>
    <xf numFmtId="0" fontId="22" fillId="0" borderId="14" xfId="187" applyFont="1" applyBorder="1" applyAlignment="1">
      <alignment horizontal="center" vertical="center" wrapText="1"/>
    </xf>
    <xf numFmtId="0" fontId="22" fillId="0" borderId="15" xfId="187" applyFont="1" applyBorder="1" applyAlignment="1">
      <alignment horizontal="center" vertical="center" wrapText="1"/>
    </xf>
    <xf numFmtId="0" fontId="22" fillId="0" borderId="16" xfId="187" applyFont="1" applyBorder="1" applyAlignment="1">
      <alignment horizontal="center" vertical="center" wrapText="1"/>
    </xf>
    <xf numFmtId="0" fontId="19" fillId="0" borderId="11" xfId="187" applyFont="1" applyBorder="1" applyAlignment="1">
      <alignment horizontal="left" vertical="center" wrapText="1"/>
    </xf>
    <xf numFmtId="0" fontId="19" fillId="0" borderId="12" xfId="187" applyFont="1" applyBorder="1" applyAlignment="1">
      <alignment horizontal="left" vertical="center" wrapText="1"/>
    </xf>
    <xf numFmtId="0" fontId="19" fillId="0" borderId="13" xfId="187" applyFont="1" applyBorder="1" applyAlignment="1">
      <alignment horizontal="left" vertical="center" wrapText="1"/>
    </xf>
    <xf numFmtId="0" fontId="24" fillId="33" borderId="12" xfId="0" applyFont="1" applyFill="1" applyBorder="1" applyAlignment="1">
      <alignment horizontal="center"/>
    </xf>
    <xf numFmtId="0" fontId="19" fillId="0" borderId="11" xfId="187" applyFont="1" applyBorder="1" applyAlignment="1">
      <alignment horizontal="left" vertical="top" wrapText="1"/>
    </xf>
    <xf numFmtId="0" fontId="19" fillId="0" borderId="12" xfId="187" applyFont="1" applyBorder="1" applyAlignment="1">
      <alignment horizontal="left" vertical="top" wrapText="1"/>
    </xf>
    <xf numFmtId="0" fontId="19" fillId="0" borderId="13" xfId="187" applyFont="1" applyBorder="1" applyAlignment="1">
      <alignment horizontal="left" vertical="top" wrapText="1"/>
    </xf>
    <xf numFmtId="0" fontId="25" fillId="0" borderId="11" xfId="0" applyFont="1" applyBorder="1" applyAlignment="1">
      <alignment horizontal="left" vertical="top" wrapText="1"/>
    </xf>
    <xf numFmtId="0" fontId="25" fillId="0" borderId="12" xfId="0" applyFont="1" applyBorder="1" applyAlignment="1">
      <alignment horizontal="left" vertical="top" wrapText="1"/>
    </xf>
    <xf numFmtId="0" fontId="25" fillId="0" borderId="13" xfId="0" applyFont="1" applyBorder="1" applyAlignment="1">
      <alignment horizontal="left" vertical="top" wrapText="1"/>
    </xf>
    <xf numFmtId="0" fontId="25" fillId="33" borderId="11" xfId="0" applyFont="1" applyFill="1" applyBorder="1" applyAlignment="1">
      <alignment horizontal="left" vertical="top" wrapText="1"/>
    </xf>
    <xf numFmtId="0" fontId="25" fillId="33" borderId="12" xfId="0" applyFont="1" applyFill="1" applyBorder="1" applyAlignment="1">
      <alignment horizontal="left" vertical="top" wrapText="1"/>
    </xf>
    <xf numFmtId="0" fontId="25" fillId="33" borderId="13" xfId="0" applyFont="1" applyFill="1" applyBorder="1" applyAlignment="1">
      <alignment horizontal="left" vertical="top" wrapText="1"/>
    </xf>
    <xf numFmtId="0" fontId="19" fillId="33" borderId="13" xfId="176" quotePrefix="1" applyFont="1" applyFill="1" applyBorder="1" applyAlignment="1">
      <alignment horizontal="left" vertical="top" wrapText="1"/>
    </xf>
    <xf numFmtId="0" fontId="19" fillId="33" borderId="10" xfId="176" applyFont="1" applyFill="1" applyBorder="1" applyAlignment="1">
      <alignment horizontal="left" vertical="top" wrapText="1"/>
    </xf>
    <xf numFmtId="0" fontId="25" fillId="33" borderId="10" xfId="0" applyFont="1" applyFill="1" applyBorder="1" applyAlignment="1">
      <alignment horizontal="left" vertical="top" wrapText="1"/>
    </xf>
    <xf numFmtId="0" fontId="19" fillId="33" borderId="11" xfId="176" applyFont="1" applyFill="1" applyBorder="1" applyAlignment="1">
      <alignment horizontal="left" vertical="top" wrapText="1"/>
    </xf>
    <xf numFmtId="0" fontId="19" fillId="33" borderId="12" xfId="176" applyFont="1" applyFill="1" applyBorder="1" applyAlignment="1">
      <alignment horizontal="left" vertical="top" wrapText="1"/>
    </xf>
    <xf numFmtId="0" fontId="19" fillId="33" borderId="13" xfId="176" applyFont="1" applyFill="1" applyBorder="1" applyAlignment="1">
      <alignment horizontal="left" vertical="top" wrapText="1"/>
    </xf>
    <xf numFmtId="0" fontId="25" fillId="33" borderId="67" xfId="0" applyFont="1" applyFill="1" applyBorder="1" applyAlignment="1">
      <alignment horizontal="left" vertical="top" wrapText="1"/>
    </xf>
    <xf numFmtId="0" fontId="25" fillId="33" borderId="68" xfId="0" applyFont="1" applyFill="1" applyBorder="1" applyAlignment="1">
      <alignment horizontal="left" vertical="top" wrapText="1"/>
    </xf>
    <xf numFmtId="0" fontId="19" fillId="33" borderId="12" xfId="0" applyFont="1" applyFill="1" applyBorder="1" applyAlignment="1">
      <alignment horizontal="left" vertical="top" wrapText="1"/>
    </xf>
    <xf numFmtId="0" fontId="19" fillId="33" borderId="11" xfId="0" applyFont="1" applyFill="1" applyBorder="1" applyAlignment="1">
      <alignment horizontal="left" vertical="top" wrapText="1"/>
    </xf>
    <xf numFmtId="0" fontId="25" fillId="33" borderId="12" xfId="0" applyFont="1" applyFill="1" applyBorder="1" applyAlignment="1">
      <alignment horizontal="left" vertical="center" wrapText="1"/>
    </xf>
    <xf numFmtId="0" fontId="25" fillId="33" borderId="13" xfId="0" applyFont="1" applyFill="1" applyBorder="1" applyAlignment="1">
      <alignment horizontal="left" vertical="center" wrapText="1"/>
    </xf>
    <xf numFmtId="0" fontId="19" fillId="33" borderId="14" xfId="0" applyFont="1" applyFill="1" applyBorder="1" applyAlignment="1">
      <alignment horizontal="left" vertical="top" wrapText="1"/>
    </xf>
    <xf numFmtId="0" fontId="19" fillId="33" borderId="15" xfId="0" applyFont="1" applyFill="1" applyBorder="1" applyAlignment="1">
      <alignment horizontal="left" vertical="top" wrapText="1"/>
    </xf>
    <xf numFmtId="0" fontId="19" fillId="33" borderId="16" xfId="0" applyFont="1" applyFill="1" applyBorder="1" applyAlignment="1">
      <alignment horizontal="left" vertical="top" wrapText="1"/>
    </xf>
    <xf numFmtId="0" fontId="49" fillId="56" borderId="10" xfId="0" applyFont="1" applyFill="1" applyBorder="1" applyAlignment="1">
      <alignment horizontal="left" vertical="center" wrapText="1"/>
    </xf>
    <xf numFmtId="0" fontId="48" fillId="33" borderId="13" xfId="176" applyFill="1" applyBorder="1" applyAlignment="1">
      <alignment horizontal="left" vertical="top" wrapText="1"/>
    </xf>
    <xf numFmtId="0" fontId="48" fillId="33" borderId="10" xfId="176" applyFill="1" applyBorder="1" applyAlignment="1">
      <alignment horizontal="left" vertical="top" wrapText="1"/>
    </xf>
    <xf numFmtId="0" fontId="22" fillId="33" borderId="14" xfId="0" applyFont="1" applyFill="1" applyBorder="1" applyAlignment="1">
      <alignment horizontal="left" vertical="top" wrapText="1"/>
    </xf>
    <xf numFmtId="0" fontId="22" fillId="33" borderId="15" xfId="0" applyFont="1" applyFill="1" applyBorder="1" applyAlignment="1">
      <alignment horizontal="left" vertical="top" wrapText="1"/>
    </xf>
    <xf numFmtId="0" fontId="22" fillId="33" borderId="16" xfId="0" applyFont="1" applyFill="1" applyBorder="1" applyAlignment="1">
      <alignment horizontal="left" vertical="top" wrapText="1"/>
    </xf>
    <xf numFmtId="0" fontId="22" fillId="33" borderId="10" xfId="0" applyFont="1" applyFill="1" applyBorder="1" applyAlignment="1">
      <alignment horizontal="left" vertical="top" wrapText="1"/>
    </xf>
    <xf numFmtId="0" fontId="23" fillId="33" borderId="13" xfId="176" applyFont="1" applyFill="1" applyBorder="1" applyAlignment="1">
      <alignment horizontal="left" vertical="top" wrapText="1"/>
    </xf>
    <xf numFmtId="0" fontId="23" fillId="33" borderId="10" xfId="176" applyFont="1" applyFill="1" applyBorder="1" applyAlignment="1">
      <alignment horizontal="left" vertical="top" wrapText="1"/>
    </xf>
    <xf numFmtId="0" fontId="49" fillId="56" borderId="11" xfId="0" applyFont="1" applyFill="1" applyBorder="1" applyAlignment="1">
      <alignment horizontal="left" vertical="center" wrapText="1"/>
    </xf>
    <xf numFmtId="0" fontId="49" fillId="56" borderId="67" xfId="0" applyFont="1" applyFill="1" applyBorder="1" applyAlignment="1">
      <alignment horizontal="left" vertical="center" wrapText="1"/>
    </xf>
    <xf numFmtId="0" fontId="49" fillId="56" borderId="68" xfId="0" applyFont="1" applyFill="1" applyBorder="1" applyAlignment="1">
      <alignment horizontal="left" vertical="center" wrapText="1"/>
    </xf>
    <xf numFmtId="0" fontId="19" fillId="33" borderId="11" xfId="176" quotePrefix="1" applyFont="1" applyFill="1" applyBorder="1" applyAlignment="1">
      <alignment horizontal="left" vertical="top" wrapText="1"/>
    </xf>
    <xf numFmtId="0" fontId="19" fillId="33" borderId="67" xfId="176" quotePrefix="1" applyFont="1" applyFill="1" applyBorder="1" applyAlignment="1">
      <alignment horizontal="left" vertical="top" wrapText="1"/>
    </xf>
    <xf numFmtId="0" fontId="19" fillId="33" borderId="68" xfId="176" quotePrefix="1" applyFont="1" applyFill="1" applyBorder="1" applyAlignment="1">
      <alignment horizontal="left" vertical="top" wrapText="1"/>
    </xf>
    <xf numFmtId="0" fontId="78" fillId="73" borderId="11" xfId="0" applyFont="1" applyFill="1" applyBorder="1" applyAlignment="1">
      <alignment horizontal="center"/>
    </xf>
    <xf numFmtId="0" fontId="78" fillId="73" borderId="12" xfId="0" applyFont="1" applyFill="1" applyBorder="1" applyAlignment="1">
      <alignment horizontal="center"/>
    </xf>
    <xf numFmtId="0" fontId="78" fillId="73" borderId="13" xfId="0" applyFont="1" applyFill="1" applyBorder="1" applyAlignment="1">
      <alignment horizontal="center"/>
    </xf>
    <xf numFmtId="0" fontId="60" fillId="0" borderId="62" xfId="132" applyFont="1" applyFill="1" applyBorder="1" applyAlignment="1">
      <alignment horizontal="left" vertical="top" wrapText="1"/>
    </xf>
    <xf numFmtId="0" fontId="60" fillId="0" borderId="0" xfId="132" applyFont="1" applyFill="1" applyBorder="1" applyAlignment="1">
      <alignment horizontal="left" vertical="top" wrapText="1"/>
    </xf>
    <xf numFmtId="0" fontId="78" fillId="0" borderId="0" xfId="0" applyFont="1" applyFill="1" applyBorder="1" applyAlignment="1">
      <alignment horizontal="center"/>
    </xf>
    <xf numFmtId="0" fontId="52" fillId="57" borderId="11" xfId="0" applyFont="1" applyFill="1" applyBorder="1" applyAlignment="1">
      <alignment horizontal="center"/>
    </xf>
    <xf numFmtId="0" fontId="52" fillId="57" borderId="67" xfId="0" applyFont="1" applyFill="1" applyBorder="1" applyAlignment="1">
      <alignment horizontal="center"/>
    </xf>
    <xf numFmtId="0" fontId="52" fillId="57" borderId="68" xfId="0" applyFont="1" applyFill="1" applyBorder="1" applyAlignment="1">
      <alignment horizontal="center"/>
    </xf>
    <xf numFmtId="0" fontId="52" fillId="57" borderId="10" xfId="0" applyFont="1" applyFill="1" applyBorder="1" applyAlignment="1">
      <alignment horizontal="center"/>
    </xf>
    <xf numFmtId="0" fontId="25" fillId="0" borderId="48"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50" xfId="0" applyFont="1" applyBorder="1" applyAlignment="1">
      <alignment horizontal="center" vertical="center" wrapText="1"/>
    </xf>
    <xf numFmtId="0" fontId="25" fillId="0" borderId="33" xfId="0" applyFont="1" applyBorder="1" applyAlignment="1">
      <alignment horizontal="center" vertical="center" wrapText="1"/>
    </xf>
    <xf numFmtId="0" fontId="25" fillId="0" borderId="14" xfId="0" applyFont="1" applyBorder="1" applyAlignment="1">
      <alignment horizontal="center" vertical="center" wrapText="1"/>
    </xf>
    <xf numFmtId="0" fontId="49" fillId="0" borderId="48" xfId="0" applyFont="1" applyBorder="1" applyAlignment="1">
      <alignment horizontal="left" vertical="center"/>
    </xf>
    <xf numFmtId="0" fontId="49" fillId="0" borderId="0" xfId="0" applyFont="1" applyBorder="1" applyAlignment="1">
      <alignment horizontal="left" vertical="center"/>
    </xf>
    <xf numFmtId="0" fontId="49" fillId="0" borderId="15" xfId="0" applyFont="1" applyBorder="1" applyAlignment="1">
      <alignment horizontal="left" vertical="center"/>
    </xf>
    <xf numFmtId="0" fontId="49" fillId="72" borderId="10" xfId="0" applyFont="1" applyFill="1" applyBorder="1" applyAlignment="1">
      <alignment horizontal="center" vertical="center" wrapText="1"/>
    </xf>
    <xf numFmtId="0" fontId="25" fillId="0" borderId="0" xfId="0" applyFont="1" applyBorder="1" applyAlignment="1">
      <alignment vertical="center" wrapText="1"/>
    </xf>
    <xf numFmtId="0" fontId="78" fillId="75" borderId="11" xfId="0" applyFont="1" applyFill="1" applyBorder="1" applyAlignment="1">
      <alignment horizontal="center"/>
    </xf>
    <xf numFmtId="0" fontId="78" fillId="75" borderId="12" xfId="0" applyFont="1" applyFill="1" applyBorder="1" applyAlignment="1">
      <alignment horizontal="center"/>
    </xf>
    <xf numFmtId="0" fontId="78" fillId="75" borderId="13" xfId="0" applyFont="1" applyFill="1" applyBorder="1" applyAlignment="1">
      <alignment horizontal="center"/>
    </xf>
    <xf numFmtId="0" fontId="79" fillId="0" borderId="48" xfId="0" applyFont="1" applyBorder="1" applyAlignment="1">
      <alignment horizontal="center" vertical="center" wrapText="1"/>
    </xf>
    <xf numFmtId="0" fontId="79" fillId="0" borderId="15" xfId="0" applyFont="1" applyBorder="1" applyAlignment="1">
      <alignment horizontal="center" vertical="center" wrapText="1"/>
    </xf>
    <xf numFmtId="0" fontId="79" fillId="0" borderId="0" xfId="0" applyFont="1" applyBorder="1" applyAlignment="1">
      <alignment horizontal="center" vertical="center" wrapText="1"/>
    </xf>
    <xf numFmtId="0" fontId="70" fillId="72" borderId="11" xfId="0" applyFont="1" applyFill="1" applyBorder="1" applyAlignment="1">
      <alignment horizontal="center" vertical="center" wrapText="1"/>
    </xf>
    <xf numFmtId="0" fontId="70" fillId="72" borderId="12" xfId="0" applyFont="1" applyFill="1" applyBorder="1" applyAlignment="1">
      <alignment horizontal="center" vertical="center" wrapText="1"/>
    </xf>
    <xf numFmtId="0" fontId="70" fillId="72" borderId="13" xfId="0" applyFont="1" applyFill="1" applyBorder="1" applyAlignment="1">
      <alignment horizontal="center" vertical="center" wrapText="1"/>
    </xf>
    <xf numFmtId="0" fontId="25" fillId="0" borderId="49"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4" xfId="0" applyFont="1" applyBorder="1" applyAlignment="1">
      <alignment horizontal="center" vertical="center" wrapText="1"/>
    </xf>
    <xf numFmtId="0" fontId="25" fillId="0" borderId="28" xfId="0" applyFont="1" applyBorder="1" applyAlignment="1">
      <alignment horizontal="center" vertical="center" wrapText="1"/>
    </xf>
    <xf numFmtId="0" fontId="22" fillId="71" borderId="50" xfId="132" applyFont="1" applyFill="1" applyBorder="1" applyAlignment="1">
      <alignment horizontal="center"/>
    </xf>
    <xf numFmtId="0" fontId="22" fillId="71" borderId="48" xfId="132" applyFont="1" applyFill="1" applyBorder="1" applyAlignment="1">
      <alignment horizontal="center"/>
    </xf>
    <xf numFmtId="0" fontId="22" fillId="68" borderId="0" xfId="132" applyFont="1" applyFill="1" applyBorder="1" applyAlignment="1">
      <alignment horizontal="center"/>
    </xf>
    <xf numFmtId="0" fontId="63" fillId="68" borderId="0" xfId="132" applyFont="1" applyFill="1" applyBorder="1" applyAlignment="1">
      <alignment horizontal="center"/>
    </xf>
    <xf numFmtId="0" fontId="66" fillId="70" borderId="50" xfId="132" applyFont="1" applyFill="1" applyBorder="1" applyAlignment="1">
      <alignment horizontal="center"/>
    </xf>
    <xf numFmtId="0" fontId="66" fillId="70" borderId="48" xfId="132" applyFont="1" applyFill="1" applyBorder="1" applyAlignment="1">
      <alignment horizontal="center"/>
    </xf>
    <xf numFmtId="0" fontId="53" fillId="63" borderId="30" xfId="132" applyFont="1" applyFill="1" applyBorder="1" applyAlignment="1">
      <alignment horizontal="center" vertical="center"/>
    </xf>
    <xf numFmtId="0" fontId="53" fillId="63" borderId="47" xfId="132" applyFont="1" applyFill="1" applyBorder="1" applyAlignment="1">
      <alignment horizontal="center" vertical="center"/>
    </xf>
    <xf numFmtId="0" fontId="53" fillId="63" borderId="31" xfId="132" applyFont="1" applyFill="1" applyBorder="1" applyAlignment="1">
      <alignment horizontal="center" vertical="center"/>
    </xf>
    <xf numFmtId="0" fontId="22" fillId="65" borderId="29" xfId="132" applyFont="1" applyFill="1" applyBorder="1" applyAlignment="1">
      <alignment horizontal="center" vertical="center"/>
    </xf>
    <xf numFmtId="0" fontId="22" fillId="65" borderId="28" xfId="132" applyFont="1" applyFill="1" applyBorder="1" applyAlignment="1">
      <alignment horizontal="center" vertical="center"/>
    </xf>
    <xf numFmtId="0" fontId="22" fillId="65" borderId="10" xfId="132" applyFont="1" applyFill="1" applyBorder="1" applyAlignment="1">
      <alignment horizontal="center" vertical="center"/>
    </xf>
    <xf numFmtId="0" fontId="62" fillId="63" borderId="51" xfId="132" applyFont="1" applyFill="1" applyBorder="1" applyAlignment="1">
      <alignment horizontal="center"/>
    </xf>
    <xf numFmtId="0" fontId="62" fillId="63" borderId="52" xfId="132" applyFont="1" applyFill="1" applyBorder="1" applyAlignment="1">
      <alignment horizontal="center"/>
    </xf>
    <xf numFmtId="0" fontId="62" fillId="63" borderId="53" xfId="132" applyFont="1" applyFill="1" applyBorder="1" applyAlignment="1">
      <alignment horizontal="center"/>
    </xf>
    <xf numFmtId="0" fontId="22" fillId="68" borderId="39" xfId="132" applyFont="1" applyFill="1" applyBorder="1" applyAlignment="1">
      <alignment horizontal="center"/>
    </xf>
    <xf numFmtId="176" fontId="0" fillId="74" borderId="0" xfId="0" applyNumberFormat="1" applyFill="1" applyBorder="1"/>
    <xf numFmtId="0" fontId="0" fillId="74" borderId="0" xfId="0" applyFill="1" applyBorder="1" applyAlignment="1">
      <alignment horizontal="center"/>
    </xf>
    <xf numFmtId="2" fontId="0" fillId="74" borderId="0" xfId="0" applyNumberFormat="1" applyFill="1" applyBorder="1" applyAlignment="1">
      <alignment horizontal="center"/>
    </xf>
    <xf numFmtId="0" fontId="42" fillId="74" borderId="0" xfId="114" applyFont="1" applyFill="1" applyBorder="1" applyAlignment="1">
      <alignment horizontal="center"/>
    </xf>
    <xf numFmtId="176" fontId="0" fillId="74" borderId="33" xfId="0" applyNumberFormat="1" applyFill="1" applyBorder="1"/>
    <xf numFmtId="176" fontId="0" fillId="74" borderId="32" xfId="0" applyNumberFormat="1" applyFill="1" applyBorder="1"/>
    <xf numFmtId="176" fontId="0" fillId="74" borderId="14" xfId="0" applyNumberFormat="1" applyFill="1" applyBorder="1"/>
    <xf numFmtId="176" fontId="0" fillId="74" borderId="15" xfId="0" applyNumberFormat="1" applyFill="1" applyBorder="1"/>
    <xf numFmtId="176" fontId="0" fillId="74" borderId="16" xfId="0" applyNumberFormat="1" applyFill="1" applyBorder="1"/>
    <xf numFmtId="0" fontId="42" fillId="87" borderId="11" xfId="114" applyFont="1" applyFill="1" applyBorder="1" applyAlignment="1">
      <alignment horizontal="center"/>
    </xf>
    <xf numFmtId="0" fontId="42" fillId="87" borderId="12" xfId="114" applyFont="1" applyFill="1" applyBorder="1" applyAlignment="1">
      <alignment horizontal="center"/>
    </xf>
    <xf numFmtId="0" fontId="42" fillId="87" borderId="13" xfId="114" applyFont="1" applyFill="1" applyBorder="1" applyAlignment="1">
      <alignment horizontal="center"/>
    </xf>
    <xf numFmtId="0" fontId="99" fillId="33" borderId="11" xfId="0" applyFont="1" applyFill="1" applyBorder="1" applyAlignment="1">
      <alignment horizontal="center" vertical="center"/>
    </xf>
    <xf numFmtId="0" fontId="99" fillId="33" borderId="12" xfId="0" applyFont="1" applyFill="1" applyBorder="1" applyAlignment="1">
      <alignment horizontal="center" vertical="center"/>
    </xf>
    <xf numFmtId="0" fontId="99" fillId="33" borderId="13" xfId="0" applyFont="1" applyFill="1" applyBorder="1" applyAlignment="1">
      <alignment horizontal="center" vertical="center"/>
    </xf>
    <xf numFmtId="176" fontId="0" fillId="0" borderId="0" xfId="0" applyNumberFormat="1" applyFill="1"/>
    <xf numFmtId="176" fontId="0" fillId="59" borderId="0" xfId="0" applyNumberFormat="1" applyFill="1"/>
  </cellXfs>
  <cellStyles count="194">
    <cellStyle name="20% - Accent1" xfId="20" builtinId="30" customBuiltin="1"/>
    <cellStyle name="20% - Accent1 2" xfId="44"/>
    <cellStyle name="20% - Accent2" xfId="24" builtinId="34" customBuiltin="1"/>
    <cellStyle name="20% - Accent2 2" xfId="45"/>
    <cellStyle name="20% - Accent3" xfId="28" builtinId="38" customBuiltin="1"/>
    <cellStyle name="20% - Accent3 2" xfId="46"/>
    <cellStyle name="20% - Accent4" xfId="32" builtinId="42" customBuiltin="1"/>
    <cellStyle name="20% - Accent4 2" xfId="47"/>
    <cellStyle name="20% - Accent5" xfId="36" builtinId="46" customBuiltin="1"/>
    <cellStyle name="20% - Accent5 2" xfId="48"/>
    <cellStyle name="20% - Accent6" xfId="40" builtinId="50" customBuiltin="1"/>
    <cellStyle name="20% - Accent6 2" xfId="49"/>
    <cellStyle name="40% - Accent1" xfId="21" builtinId="31" customBuiltin="1"/>
    <cellStyle name="40% - Accent1 2" xfId="50"/>
    <cellStyle name="40% - Accent2" xfId="25" builtinId="35" customBuiltin="1"/>
    <cellStyle name="40% - Accent2 2" xfId="51"/>
    <cellStyle name="40% - Accent3" xfId="29" builtinId="39" customBuiltin="1"/>
    <cellStyle name="40% - Accent3 2" xfId="52"/>
    <cellStyle name="40% - Accent4" xfId="33" builtinId="43" customBuiltin="1"/>
    <cellStyle name="40% - Accent4 2" xfId="53"/>
    <cellStyle name="40% - Accent5" xfId="37" builtinId="47" customBuiltin="1"/>
    <cellStyle name="40% - Accent5 2" xfId="54"/>
    <cellStyle name="40% - Accent6" xfId="41" builtinId="51" customBuiltin="1"/>
    <cellStyle name="40% - Accent6 2" xfId="55"/>
    <cellStyle name="60% - Accent1" xfId="22" builtinId="32" customBuiltin="1"/>
    <cellStyle name="60% - Accent1 2" xfId="56"/>
    <cellStyle name="60% - Accent2" xfId="26" builtinId="36" customBuiltin="1"/>
    <cellStyle name="60% - Accent2 2" xfId="57"/>
    <cellStyle name="60% - Accent3" xfId="30" builtinId="40" customBuiltin="1"/>
    <cellStyle name="60% - Accent3 2" xfId="58"/>
    <cellStyle name="60% - Accent4" xfId="34" builtinId="44" customBuiltin="1"/>
    <cellStyle name="60% - Accent4 2" xfId="59"/>
    <cellStyle name="60% - Accent5" xfId="38" builtinId="48" customBuiltin="1"/>
    <cellStyle name="60% - Accent5 2" xfId="60"/>
    <cellStyle name="60% - Accent6" xfId="42" builtinId="52" customBuiltin="1"/>
    <cellStyle name="60% - Accent6 2" xfId="61"/>
    <cellStyle name="_x0002_-_x0002_Ä_x0001_‡_x0003_0_x0002_P_x0003_ _x0002_X_x0003_·_x0002_®_x0003_@_x0002_p_x0003_ª_x0002_¨_x0010_!_x0002__x0003_&quot;_x0001_ÄÇ_x0002__x000e__x0003_ _x0002_é_x0002_Ä_x0001_‡_x0003_Ë_x0002_H_x0003_ _x0002_X" xfId="62"/>
    <cellStyle name="_x0002_-_x0002_Ä_x0001_‡_x0003_0_x0002_P_x0003_ _x0002_X_x0003_·_x0002_®_x0003_@_x0002_p_x0003_ª_x0002_¨_x0010_!_x0002__x0003_&quot;_x0001_ÄÇ_x0002__x000e__x0003_ _x0002_é_x0002_Ä_x0001_‡_x0003_Ë_x0002_H_x0003_ _x0002_X 2" xfId="63"/>
    <cellStyle name="_x0002_-_x0002_Ä_x0001_‡_x0003_0_x0002_P_x0003_ _x0002_X_x0003_·_x0002_®_x0003_@_x0002_p_x0003_ª_x0002_¨_x0010_!_x0002__x0003_&quot;_x0001_ÄÇ_x0002__x000e__x0003_ _x0002_é_x0002_Ä_x0001_‡_x0003_Ë_x0002_H_x0003_ _x0002_X 2 2" xfId="99"/>
    <cellStyle name="_x0002_-_x0002_Ä_x0001_‡_x0003_0_x0002_P_x0003_ _x0002_X_x0003_·_x0002_®_x0003_@_x0002_p_x0003_ª_x0002_¨_x0010_!_x0002__x0003_&quot;_x0001_ÄÇ_x0002__x000e__x0003_ _x0002_é_x0002_Ä_x0001_‡_x0003_Ë_x0002_H_x0003_ _x0002_X 3" xfId="64"/>
    <cellStyle name="_x0002_-_x0002_Ä_x0001_‡_x0003_0_x0002_P_x0003_ _x0002_X_x0003_·_x0002_®_x0003_@_x0002_p_x0003_ª_x0002_¨_x0010_!_x0002__x0003_&quot;_x0001_ÄÇ_x0002__x000e__x0003_ _x0002_é_x0002_Ä_x0001_‡_x0003_Ë_x0002_H_x0003_ _x0002_X 3 2" xfId="100"/>
    <cellStyle name="_x0002_-_x0002_Ä_x0001_‡_x0003_0_x0002_P_x0003_ _x0002_X_x0003_·_x0002_®_x0003_@_x0002_p_x0003_ª_x0002_¨_x0010_!_x0002__x0003_&quot;_x0001_ÄÇ_x0002__x000e__x0003_ _x0002_é_x0002_Ä_x0001_‡_x0003_Ë_x0002_H_x0003_ _x0002_X 4" xfId="98"/>
    <cellStyle name="_x0002_-_x0002_Ä_x0001_‡_x0003_0_x0002_P_x0003_ _x0002_X_x0003_·_x0002_®_x0003_@_x0002_p_x0003_ª_x0002_¨_x0010_!_x0002__x0003_&quot;_x0001_ÄÇ_x0002__x000e__x0003_ _x0002_é_x0002_Ä_x0001_‡_x0003_Ë_x0002_H_x0003_ _x0002_X_cash tool v3 4" xfId="65"/>
    <cellStyle name="Accent1" xfId="19" builtinId="29" customBuiltin="1"/>
    <cellStyle name="Accent1 2" xfId="66"/>
    <cellStyle name="Accent2" xfId="23" builtinId="33" customBuiltin="1"/>
    <cellStyle name="Accent2 2" xfId="67"/>
    <cellStyle name="Accent3" xfId="27" builtinId="37" customBuiltin="1"/>
    <cellStyle name="Accent3 2" xfId="68"/>
    <cellStyle name="Accent4" xfId="31" builtinId="41" customBuiltin="1"/>
    <cellStyle name="Accent4 2" xfId="69"/>
    <cellStyle name="Accent5" xfId="35" builtinId="45" customBuiltin="1"/>
    <cellStyle name="Accent5 2" xfId="70"/>
    <cellStyle name="Accent6" xfId="39" builtinId="49" customBuiltin="1"/>
    <cellStyle name="Accent6 2" xfId="71"/>
    <cellStyle name="Bad" xfId="9" builtinId="27" customBuiltin="1"/>
    <cellStyle name="Bad 2" xfId="72"/>
    <cellStyle name="Calculation" xfId="13" builtinId="22" customBuiltin="1"/>
    <cellStyle name="Calculation 2" xfId="73"/>
    <cellStyle name="Calculation 2 2" xfId="182"/>
    <cellStyle name="Calculation 3" xfId="188"/>
    <cellStyle name="Check Cell" xfId="15" builtinId="23" customBuiltin="1"/>
    <cellStyle name="Check Cell 2" xfId="74"/>
    <cellStyle name="Comma" xfId="178" builtinId="3"/>
    <cellStyle name="Comma 10" xfId="179"/>
    <cellStyle name="Comma 2" xfId="76"/>
    <cellStyle name="Comma 2 2" xfId="101"/>
    <cellStyle name="Comma 2 2 2" xfId="128"/>
    <cellStyle name="Comma 2 3" xfId="121"/>
    <cellStyle name="Comma 2 4" xfId="157"/>
    <cellStyle name="Comma 3" xfId="77"/>
    <cellStyle name="Comma 3 2" xfId="102"/>
    <cellStyle name="Comma 3 2 2" xfId="129"/>
    <cellStyle name="Comma 3 3" xfId="140"/>
    <cellStyle name="Comma 3 3 2" xfId="167"/>
    <cellStyle name="Comma 3 4" xfId="159"/>
    <cellStyle name="Comma 3 5" xfId="125"/>
    <cellStyle name="Comma 4" xfId="111"/>
    <cellStyle name="Comma 4 2" xfId="144"/>
    <cellStyle name="Comma 4 3" xfId="135"/>
    <cellStyle name="Comma 5" xfId="75"/>
    <cellStyle name="Comma 5 2" xfId="165"/>
    <cellStyle name="Comma 5 3" xfId="138"/>
    <cellStyle name="Comma 6" xfId="146"/>
    <cellStyle name="Comma 6 2" xfId="171"/>
    <cellStyle name="Comma 7" xfId="120"/>
    <cellStyle name="Comma 8" xfId="173"/>
    <cellStyle name="Comma 9" xfId="148"/>
    <cellStyle name="Currency" xfId="1" builtinId="4"/>
    <cellStyle name="Currency 10" xfId="115"/>
    <cellStyle name="Currency 2" xfId="107"/>
    <cellStyle name="Currency 2 2" xfId="130"/>
    <cellStyle name="Currency 2 3" xfId="149"/>
    <cellStyle name="Currency 2 4" xfId="123"/>
    <cellStyle name="Currency 3" xfId="78"/>
    <cellStyle name="Currency 3 2" xfId="131"/>
    <cellStyle name="Currency 3 3" xfId="141"/>
    <cellStyle name="Currency 3 3 2" xfId="168"/>
    <cellStyle name="Currency 3 4" xfId="160"/>
    <cellStyle name="Currency 3 5" xfId="126"/>
    <cellStyle name="Currency 4" xfId="136"/>
    <cellStyle name="Currency 4 2" xfId="145"/>
    <cellStyle name="Currency 5" xfId="137"/>
    <cellStyle name="Currency 5 2" xfId="164"/>
    <cellStyle name="Currency 6" xfId="147"/>
    <cellStyle name="Currency 6 2" xfId="172"/>
    <cellStyle name="Currency 7" xfId="122"/>
    <cellStyle name="Currency 8" xfId="156"/>
    <cellStyle name="Currency 9" xfId="119"/>
    <cellStyle name="Explanatory Text" xfId="17" builtinId="53" customBuiltin="1"/>
    <cellStyle name="Explanatory Text 2" xfId="79"/>
    <cellStyle name="Good" xfId="8" builtinId="26" customBuiltin="1"/>
    <cellStyle name="Good 2" xfId="80"/>
    <cellStyle name="Heading 1" xfId="4" builtinId="16" customBuiltin="1"/>
    <cellStyle name="Heading 1 2" xfId="81"/>
    <cellStyle name="Heading 2" xfId="5" builtinId="17" customBuiltin="1"/>
    <cellStyle name="Heading 2 2" xfId="82"/>
    <cellStyle name="Heading 3" xfId="6" builtinId="18" customBuiltin="1"/>
    <cellStyle name="Heading 3 2" xfId="83"/>
    <cellStyle name="Heading 4" xfId="7" builtinId="19" customBuiltin="1"/>
    <cellStyle name="Heading 4 2" xfId="84"/>
    <cellStyle name="Hyperlink" xfId="177" builtinId="8"/>
    <cellStyle name="Hyperlink 2" xfId="174"/>
    <cellStyle name="Hyperlink 3" xfId="155"/>
    <cellStyle name="Hyperlink 4" xfId="153"/>
    <cellStyle name="Hyperlink 5" xfId="116"/>
    <cellStyle name="Hyperlink 6" xfId="189"/>
    <cellStyle name="Input" xfId="11" builtinId="20" customBuiltin="1"/>
    <cellStyle name="Input 2" xfId="85"/>
    <cellStyle name="Input 2 2" xfId="183"/>
    <cellStyle name="Input 3" xfId="190"/>
    <cellStyle name="Linked Cell" xfId="14" builtinId="24" customBuiltin="1"/>
    <cellStyle name="Linked Cell 2" xfId="86"/>
    <cellStyle name="Neutral" xfId="10" builtinId="28" customBuiltin="1"/>
    <cellStyle name="Neutral 2" xfId="87"/>
    <cellStyle name="Normal" xfId="0" builtinId="0"/>
    <cellStyle name="Normal 10" xfId="187"/>
    <cellStyle name="Normal 2" xfId="88"/>
    <cellStyle name="Normal 2 2" xfId="103"/>
    <cellStyle name="Normal 2 2 2" xfId="132"/>
    <cellStyle name="Normal 2 3" xfId="109"/>
    <cellStyle name="Normal 3" xfId="97"/>
    <cellStyle name="Normal 3 2" xfId="133"/>
    <cellStyle name="Normal 3 2 2" xfId="143"/>
    <cellStyle name="Normal 3 2 2 2" xfId="170"/>
    <cellStyle name="Normal 3 2 3" xfId="162"/>
    <cellStyle name="Normal 3 3" xfId="139"/>
    <cellStyle name="Normal 3 3 2" xfId="166"/>
    <cellStyle name="Normal 3 4" xfId="151"/>
    <cellStyle name="Normal 3 5" xfId="158"/>
    <cellStyle name="Normal 3 6" xfId="124"/>
    <cellStyle name="Normal 4" xfId="106"/>
    <cellStyle name="Normal 4 2" xfId="152"/>
    <cellStyle name="Normal 5" xfId="110"/>
    <cellStyle name="Normal 5 2" xfId="163"/>
    <cellStyle name="Normal 6" xfId="112"/>
    <cellStyle name="Normal 7" xfId="43"/>
    <cellStyle name="Normal 7 2" xfId="118"/>
    <cellStyle name="Normal 8" xfId="114"/>
    <cellStyle name="Normal 9" xfId="176"/>
    <cellStyle name="Note" xfId="181" builtinId="10" customBuiltin="1"/>
    <cellStyle name="Note 2" xfId="89"/>
    <cellStyle name="Note 2 2" xfId="150"/>
    <cellStyle name="Note 2 3" xfId="184"/>
    <cellStyle name="Note 3" xfId="175"/>
    <cellStyle name="Note 4" xfId="154"/>
    <cellStyle name="Note 5" xfId="191"/>
    <cellStyle name="Output" xfId="12" builtinId="21" customBuiltin="1"/>
    <cellStyle name="Output 2" xfId="90"/>
    <cellStyle name="Output 2 2" xfId="185"/>
    <cellStyle name="Output 3" xfId="192"/>
    <cellStyle name="Percent" xfId="2" builtinId="5"/>
    <cellStyle name="Percent 2" xfId="92"/>
    <cellStyle name="Percent 2 2" xfId="104"/>
    <cellStyle name="Percent 3" xfId="93"/>
    <cellStyle name="Percent 3 2" xfId="105"/>
    <cellStyle name="Percent 3 2 2" xfId="134"/>
    <cellStyle name="Percent 3 3" xfId="142"/>
    <cellStyle name="Percent 3 3 2" xfId="169"/>
    <cellStyle name="Percent 3 4" xfId="161"/>
    <cellStyle name="Percent 3 5" xfId="127"/>
    <cellStyle name="Percent 4" xfId="108"/>
    <cellStyle name="Percent 5" xfId="113"/>
    <cellStyle name="Percent 6" xfId="91"/>
    <cellStyle name="Percent 7" xfId="117"/>
    <cellStyle name="Percent 8" xfId="180"/>
    <cellStyle name="Title" xfId="3" builtinId="15" customBuiltin="1"/>
    <cellStyle name="Title 2" xfId="94"/>
    <cellStyle name="Total" xfId="18" builtinId="25" customBuiltin="1"/>
    <cellStyle name="Total 2" xfId="95"/>
    <cellStyle name="Total 2 2" xfId="186"/>
    <cellStyle name="Total 3" xfId="193"/>
    <cellStyle name="Warning Text" xfId="16" builtinId="11" customBuiltin="1"/>
    <cellStyle name="Warning Text 2" xfId="96"/>
  </cellStyles>
  <dxfs count="1">
    <dxf>
      <numFmt numFmtId="170" formatCode="_-* #,##0_-;\-* #,##0_-;_-* &quot;-&quot;??_-;_-@_-"/>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B6B9D"/>
      <rgbColor rgb="006EA35A"/>
      <rgbColor rgb="00EDAF4C"/>
      <rgbColor rgb="00CA413D"/>
      <rgbColor rgb="0083518B"/>
      <rgbColor rgb="00D4D6D5"/>
      <rgbColor rgb="008CB0D4"/>
      <rgbColor rgb="00BDD5B3"/>
      <rgbColor rgb="00F4C196"/>
      <rgbColor rgb="00E6A6A4"/>
      <rgbColor rgb="00FFFFC9"/>
      <rgbColor rgb="00D9FFFF"/>
      <rgbColor rgb="00FFDDFF"/>
      <rgbColor rgb="00CDE9CE"/>
      <rgbColor rgb="00DDBA97"/>
      <rgbColor rgb="00EBF8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E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Cumulative Cashflow - Capex &amp; Opex  - 3</a:t>
            </a:r>
            <a:r>
              <a:rPr lang="en-US" sz="1800" b="1" i="0" u="none" strike="noStrike" baseline="0">
                <a:effectLst/>
              </a:rPr>
              <a:t>0 Years</a:t>
            </a:r>
            <a:r>
              <a:rPr lang="en-US" sz="1800" b="1" i="0" baseline="0">
                <a:effectLst/>
              </a:rPr>
              <a:t> </a:t>
            </a:r>
            <a:endParaRPr lang="en-AU">
              <a:effectLst/>
            </a:endParaRPr>
          </a:p>
        </c:rich>
      </c:tx>
      <c:layout/>
      <c:overlay val="0"/>
    </c:title>
    <c:autoTitleDeleted val="0"/>
    <c:plotArea>
      <c:layout>
        <c:manualLayout>
          <c:layoutTarget val="inner"/>
          <c:xMode val="edge"/>
          <c:yMode val="edge"/>
          <c:x val="3.7801147444263189E-2"/>
          <c:y val="0.13471156068883303"/>
          <c:w val="0.94532656514252378"/>
          <c:h val="0.69224174244614722"/>
        </c:manualLayout>
      </c:layout>
      <c:lineChart>
        <c:grouping val="standard"/>
        <c:varyColors val="0"/>
        <c:ser>
          <c:idx val="0"/>
          <c:order val="0"/>
          <c:tx>
            <c:strRef>
              <c:f>NPVData!$A$4</c:f>
              <c:strCache>
                <c:ptCount val="1"/>
                <c:pt idx="0">
                  <c:v>Option A</c:v>
                </c:pt>
              </c:strCache>
            </c:strRef>
          </c:tx>
          <c:spPr>
            <a:ln w="38100"/>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NPVData!$D$13:$AF$13</c:f>
              <c:numCache>
                <c:formatCode>0.000</c:formatCode>
                <c:ptCount val="29"/>
                <c:pt idx="0">
                  <c:v>5.1287830000000003</c:v>
                </c:pt>
                <c:pt idx="1">
                  <c:v>24.955877229999999</c:v>
                </c:pt>
                <c:pt idx="2">
                  <c:v>47.618765855600003</c:v>
                </c:pt>
                <c:pt idx="3">
                  <c:v>54.878454563714506</c:v>
                </c:pt>
                <c:pt idx="4">
                  <c:v>50.673743410545086</c:v>
                </c:pt>
                <c:pt idx="5">
                  <c:v>51.794643194437604</c:v>
                </c:pt>
                <c:pt idx="6">
                  <c:v>52.949169971846899</c:v>
                </c:pt>
                <c:pt idx="7">
                  <c:v>54.138332552578476</c:v>
                </c:pt>
                <c:pt idx="8">
                  <c:v>55.363170010731999</c:v>
                </c:pt>
                <c:pt idx="9">
                  <c:v>56.624752592630131</c:v>
                </c:pt>
                <c:pt idx="10">
                  <c:v>57.924182651985205</c:v>
                </c:pt>
                <c:pt idx="11">
                  <c:v>59.262595613120929</c:v>
                </c:pt>
                <c:pt idx="12">
                  <c:v>60.641160963090726</c:v>
                </c:pt>
                <c:pt idx="13">
                  <c:v>62.061083273559618</c:v>
                </c:pt>
                <c:pt idx="14">
                  <c:v>63.523603253342579</c:v>
                </c:pt>
                <c:pt idx="15">
                  <c:v>65.029998832519027</c:v>
                </c:pt>
                <c:pt idx="16">
                  <c:v>66.581586279070763</c:v>
                </c:pt>
                <c:pt idx="17">
                  <c:v>68.179721349019061</c:v>
                </c:pt>
                <c:pt idx="18">
                  <c:v>69.825800471065804</c:v>
                </c:pt>
                <c:pt idx="19">
                  <c:v>71.521261966773949</c:v>
                </c:pt>
                <c:pt idx="20">
                  <c:v>73.267587307353338</c:v>
                </c:pt>
                <c:pt idx="21">
                  <c:v>75.066302408150108</c:v>
                </c:pt>
                <c:pt idx="22">
                  <c:v>76.91897896197078</c:v>
                </c:pt>
                <c:pt idx="23">
                  <c:v>78.827235812406073</c:v>
                </c:pt>
                <c:pt idx="24">
                  <c:v>80.79274036835443</c:v>
                </c:pt>
                <c:pt idx="25">
                  <c:v>82.817210060981239</c:v>
                </c:pt>
                <c:pt idx="26">
                  <c:v>84.902413844386842</c:v>
                </c:pt>
                <c:pt idx="27">
                  <c:v>87.050173741294614</c:v>
                </c:pt>
                <c:pt idx="28">
                  <c:v>89.262366435109627</c:v>
                </c:pt>
              </c:numCache>
            </c:numRef>
          </c:val>
          <c:smooth val="0"/>
        </c:ser>
        <c:ser>
          <c:idx val="1"/>
          <c:order val="1"/>
          <c:tx>
            <c:strRef>
              <c:f>NPVData!$A$21</c:f>
              <c:strCache>
                <c:ptCount val="1"/>
                <c:pt idx="0">
                  <c:v>Option B</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NPVData!$D$30:$AF$30</c:f>
              <c:numCache>
                <c:formatCode>0.000</c:formatCode>
                <c:ptCount val="29"/>
                <c:pt idx="0">
                  <c:v>7.5445010000000003</c:v>
                </c:pt>
                <c:pt idx="1">
                  <c:v>30.502188229999998</c:v>
                </c:pt>
                <c:pt idx="2">
                  <c:v>51.006231673499997</c:v>
                </c:pt>
                <c:pt idx="3">
                  <c:v>66.292224394600495</c:v>
                </c:pt>
                <c:pt idx="4">
                  <c:v>62.515678177422465</c:v>
                </c:pt>
                <c:pt idx="5">
                  <c:v>64.07758784538612</c:v>
                </c:pt>
                <c:pt idx="6">
                  <c:v>65.686354803388681</c:v>
                </c:pt>
                <c:pt idx="7">
                  <c:v>67.343384770131323</c:v>
                </c:pt>
                <c:pt idx="8">
                  <c:v>69.050125635876242</c:v>
                </c:pt>
                <c:pt idx="9">
                  <c:v>70.808068727593508</c:v>
                </c:pt>
                <c:pt idx="10">
                  <c:v>72.618750112062287</c:v>
                </c:pt>
                <c:pt idx="11">
                  <c:v>74.48375193806514</c:v>
                </c:pt>
                <c:pt idx="12">
                  <c:v>76.404703818848077</c:v>
                </c:pt>
                <c:pt idx="13">
                  <c:v>78.383284256054495</c:v>
                </c:pt>
                <c:pt idx="14">
                  <c:v>80.421222106377115</c:v>
                </c:pt>
                <c:pt idx="15">
                  <c:v>82.520298092209401</c:v>
                </c:pt>
                <c:pt idx="16">
                  <c:v>84.682346357616666</c:v>
                </c:pt>
                <c:pt idx="17">
                  <c:v>86.909256070986146</c:v>
                </c:pt>
                <c:pt idx="18">
                  <c:v>89.202973075756717</c:v>
                </c:pt>
                <c:pt idx="19">
                  <c:v>91.565501590670394</c:v>
                </c:pt>
                <c:pt idx="20">
                  <c:v>93.998905961031483</c:v>
                </c:pt>
                <c:pt idx="21">
                  <c:v>96.505312462503412</c:v>
                </c:pt>
                <c:pt idx="22">
                  <c:v>99.086911159019493</c:v>
                </c:pt>
                <c:pt idx="23">
                  <c:v>101.74595781643106</c:v>
                </c:pt>
                <c:pt idx="24">
                  <c:v>104.48477587356497</c:v>
                </c:pt>
                <c:pt idx="25">
                  <c:v>107.3057584724129</c:v>
                </c:pt>
                <c:pt idx="26">
                  <c:v>110.21137054922627</c:v>
                </c:pt>
                <c:pt idx="27">
                  <c:v>113.20415098834404</c:v>
                </c:pt>
                <c:pt idx="28">
                  <c:v>116.28671484063534</c:v>
                </c:pt>
              </c:numCache>
            </c:numRef>
          </c:val>
          <c:smooth val="0"/>
        </c:ser>
        <c:ser>
          <c:idx val="2"/>
          <c:order val="2"/>
          <c:tx>
            <c:strRef>
              <c:f>NPVData!$A$38</c:f>
              <c:strCache>
                <c:ptCount val="1"/>
                <c:pt idx="0">
                  <c:v>Option C</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NPVData!$D$47:$AF$47</c:f>
              <c:numCache>
                <c:formatCode>0.000</c:formatCode>
                <c:ptCount val="29"/>
                <c:pt idx="0">
                  <c:v>5.7781324999999999</c:v>
                </c:pt>
                <c:pt idx="1">
                  <c:v>13.521860745000001</c:v>
                </c:pt>
                <c:pt idx="2">
                  <c:v>34.514267426900005</c:v>
                </c:pt>
                <c:pt idx="3">
                  <c:v>53.583452688033006</c:v>
                </c:pt>
                <c:pt idx="4">
                  <c:v>54.217321137363584</c:v>
                </c:pt>
                <c:pt idx="5">
                  <c:v>55.338220921256102</c:v>
                </c:pt>
                <c:pt idx="6">
                  <c:v>56.492747698665397</c:v>
                </c:pt>
                <c:pt idx="7">
                  <c:v>57.681910279396973</c:v>
                </c:pt>
                <c:pt idx="8">
                  <c:v>58.906747737550496</c:v>
                </c:pt>
                <c:pt idx="9">
                  <c:v>60.168330319448629</c:v>
                </c:pt>
                <c:pt idx="10">
                  <c:v>61.467760378803703</c:v>
                </c:pt>
                <c:pt idx="11">
                  <c:v>62.806173339939427</c:v>
                </c:pt>
                <c:pt idx="12">
                  <c:v>64.184738689909224</c:v>
                </c:pt>
                <c:pt idx="13">
                  <c:v>65.604661000378115</c:v>
                </c:pt>
                <c:pt idx="14">
                  <c:v>67.067180980161069</c:v>
                </c:pt>
                <c:pt idx="15">
                  <c:v>68.573576559337511</c:v>
                </c:pt>
                <c:pt idx="16">
                  <c:v>70.125164005889246</c:v>
                </c:pt>
                <c:pt idx="17">
                  <c:v>71.723299075837545</c:v>
                </c:pt>
                <c:pt idx="18">
                  <c:v>73.369378197884288</c:v>
                </c:pt>
                <c:pt idx="19">
                  <c:v>75.064839693592432</c:v>
                </c:pt>
                <c:pt idx="20">
                  <c:v>76.811165034171822</c:v>
                </c:pt>
                <c:pt idx="21">
                  <c:v>78.609880134968591</c:v>
                </c:pt>
                <c:pt idx="22">
                  <c:v>80.462556688789263</c:v>
                </c:pt>
                <c:pt idx="23">
                  <c:v>82.370813539224557</c:v>
                </c:pt>
                <c:pt idx="24">
                  <c:v>84.336318095172913</c:v>
                </c:pt>
                <c:pt idx="25">
                  <c:v>86.360787787799723</c:v>
                </c:pt>
                <c:pt idx="26">
                  <c:v>88.445991571205326</c:v>
                </c:pt>
                <c:pt idx="27">
                  <c:v>90.593751468113098</c:v>
                </c:pt>
                <c:pt idx="28">
                  <c:v>92.80594416192811</c:v>
                </c:pt>
              </c:numCache>
            </c:numRef>
          </c:val>
          <c:smooth val="0"/>
        </c:ser>
        <c:ser>
          <c:idx val="3"/>
          <c:order val="3"/>
          <c:tx>
            <c:strRef>
              <c:f>NPVData!$A$55</c:f>
              <c:strCache>
                <c:ptCount val="1"/>
                <c:pt idx="0">
                  <c:v>Option D</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NPVData!$D$64:$AF$64</c:f>
              <c:numCache>
                <c:formatCode>0.000</c:formatCode>
                <c:ptCount val="29"/>
                <c:pt idx="0">
                  <c:v>5.0473699999999999</c:v>
                </c:pt>
                <c:pt idx="1">
                  <c:v>10.00624951</c:v>
                </c:pt>
                <c:pt idx="2">
                  <c:v>42.239896252899996</c:v>
                </c:pt>
                <c:pt idx="3">
                  <c:v>77.774888666283488</c:v>
                </c:pt>
                <c:pt idx="4">
                  <c:v>112.89648164750386</c:v>
                </c:pt>
                <c:pt idx="5">
                  <c:v>114.11837854802347</c:v>
                </c:pt>
                <c:pt idx="6">
                  <c:v>115.37693235555867</c:v>
                </c:pt>
                <c:pt idx="7">
                  <c:v>116.67324277731993</c:v>
                </c:pt>
                <c:pt idx="8">
                  <c:v>75.443753823528994</c:v>
                </c:pt>
                <c:pt idx="9">
                  <c:v>76.819009549975505</c:v>
                </c:pt>
                <c:pt idx="10">
                  <c:v>78.235522948215419</c:v>
                </c:pt>
                <c:pt idx="11">
                  <c:v>79.694531748402525</c:v>
                </c:pt>
                <c:pt idx="12">
                  <c:v>81.197310812595248</c:v>
                </c:pt>
                <c:pt idx="13">
                  <c:v>82.745173248713755</c:v>
                </c:pt>
                <c:pt idx="14">
                  <c:v>84.339471557915815</c:v>
                </c:pt>
                <c:pt idx="15">
                  <c:v>85.981598816393941</c:v>
                </c:pt>
                <c:pt idx="16">
                  <c:v>87.672989892626404</c:v>
                </c:pt>
                <c:pt idx="17">
                  <c:v>89.415122701145847</c:v>
                </c:pt>
                <c:pt idx="18">
                  <c:v>91.209519493920865</c:v>
                </c:pt>
                <c:pt idx="19">
                  <c:v>93.057748190479145</c:v>
                </c:pt>
                <c:pt idx="20">
                  <c:v>94.961423747934163</c:v>
                </c:pt>
                <c:pt idx="21">
                  <c:v>96.922209572112834</c:v>
                </c:pt>
                <c:pt idx="22">
                  <c:v>98.941818971016872</c:v>
                </c:pt>
                <c:pt idx="23">
                  <c:v>101.02201665188802</c:v>
                </c:pt>
                <c:pt idx="24">
                  <c:v>103.16462026318531</c:v>
                </c:pt>
                <c:pt idx="25">
                  <c:v>105.37150198282151</c:v>
                </c:pt>
                <c:pt idx="26">
                  <c:v>107.64459015404681</c:v>
                </c:pt>
                <c:pt idx="27">
                  <c:v>109.98587097040887</c:v>
                </c:pt>
                <c:pt idx="28">
                  <c:v>112.39739021126178</c:v>
                </c:pt>
              </c:numCache>
            </c:numRef>
          </c:val>
          <c:smooth val="0"/>
        </c:ser>
        <c:ser>
          <c:idx val="4"/>
          <c:order val="4"/>
          <c:tx>
            <c:strRef>
              <c:f>NPVData!$A$72</c:f>
              <c:strCache>
                <c:ptCount val="1"/>
                <c:pt idx="0">
                  <c:v>Business As Usual</c:v>
                </c:pt>
              </c:strCache>
            </c:strRef>
          </c:tx>
          <c:spPr>
            <a:ln w="34925">
              <a:solidFill>
                <a:schemeClr val="tx1"/>
              </a:solidFill>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NPVData!$D$81:$AF$81</c:f>
              <c:numCache>
                <c:formatCode>0.000</c:formatCode>
                <c:ptCount val="29"/>
                <c:pt idx="0">
                  <c:v>3.7841339999999999</c:v>
                </c:pt>
                <c:pt idx="1">
                  <c:v>7.7250540699999997</c:v>
                </c:pt>
                <c:pt idx="2">
                  <c:v>11.471305426500001</c:v>
                </c:pt>
                <c:pt idx="3">
                  <c:v>15.374827402103001</c:v>
                </c:pt>
                <c:pt idx="4">
                  <c:v>19.446481238070927</c:v>
                </c:pt>
                <c:pt idx="5">
                  <c:v>23.697857101644736</c:v>
                </c:pt>
                <c:pt idx="6">
                  <c:v>28.141371891218018</c:v>
                </c:pt>
                <c:pt idx="7">
                  <c:v>32.790379362102655</c:v>
                </c:pt>
                <c:pt idx="8">
                  <c:v>37.659295183768585</c:v>
                </c:pt>
                <c:pt idx="9">
                  <c:v>42.763740029622845</c:v>
                </c:pt>
                <c:pt idx="10">
                  <c:v>48.120704411313341</c:v>
                </c:pt>
                <c:pt idx="11">
                  <c:v>53.748739729087738</c:v>
                </c:pt>
                <c:pt idx="12">
                  <c:v>59.662988083271884</c:v>
                </c:pt>
                <c:pt idx="13">
                  <c:v>65.879493613173565</c:v>
                </c:pt>
                <c:pt idx="14">
                  <c:v>72.415258327244942</c:v>
                </c:pt>
                <c:pt idx="15">
                  <c:v>79.288301467459831</c:v>
                </c:pt>
                <c:pt idx="16">
                  <c:v>86.51772263481287</c:v>
                </c:pt>
                <c:pt idx="17">
                  <c:v>94.123768917560028</c:v>
                </c:pt>
                <c:pt idx="18">
                  <c:v>102.12790627949408</c:v>
                </c:pt>
                <c:pt idx="19">
                  <c:v>110.55289548224707</c:v>
                </c:pt>
                <c:pt idx="20">
                  <c:v>119.41935411922429</c:v>
                </c:pt>
                <c:pt idx="21">
                  <c:v>128.75041518877913</c:v>
                </c:pt>
                <c:pt idx="22">
                  <c:v>138.57042385837863</c:v>
                </c:pt>
                <c:pt idx="23">
                  <c:v>148.90500098226516</c:v>
                </c:pt>
                <c:pt idx="24">
                  <c:v>159.78110994744335</c:v>
                </c:pt>
                <c:pt idx="25">
                  <c:v>171.22712702239687</c:v>
                </c:pt>
                <c:pt idx="26">
                  <c:v>183.27291539207795</c:v>
                </c:pt>
                <c:pt idx="27">
                  <c:v>195.94990307233033</c:v>
                </c:pt>
                <c:pt idx="28">
                  <c:v>209.29116490702793</c:v>
                </c:pt>
              </c:numCache>
            </c:numRef>
          </c:val>
          <c:smooth val="0"/>
        </c:ser>
        <c:ser>
          <c:idx val="5"/>
          <c:order val="5"/>
          <c:tx>
            <c:strRef>
              <c:f>NPVData!$A$89</c:f>
              <c:strCache>
                <c:ptCount val="1"/>
                <c:pt idx="0">
                  <c:v>Option F</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NPVData!$D$98:$AF$98</c:f>
              <c:numCache>
                <c:formatCode>0.000</c:formatCode>
                <c:ptCount val="29"/>
                <c:pt idx="0">
                  <c:v>6.5471339999999998</c:v>
                </c:pt>
                <c:pt idx="1">
                  <c:v>19.369456509999999</c:v>
                </c:pt>
                <c:pt idx="2">
                  <c:v>32.937711612900003</c:v>
                </c:pt>
                <c:pt idx="3">
                  <c:v>36.751467431687004</c:v>
                </c:pt>
                <c:pt idx="4">
                  <c:v>40.727969141429966</c:v>
                </c:pt>
                <c:pt idx="5">
                  <c:v>44.878483751205316</c:v>
                </c:pt>
                <c:pt idx="6">
                  <c:v>49.215085611752237</c:v>
                </c:pt>
                <c:pt idx="7">
                  <c:v>53.75076537786893</c:v>
                </c:pt>
                <c:pt idx="8">
                  <c:v>58.499553832480842</c:v>
                </c:pt>
                <c:pt idx="9">
                  <c:v>63.476663669257839</c:v>
                </c:pt>
                <c:pt idx="10">
                  <c:v>68.698652941326429</c:v>
                </c:pt>
                <c:pt idx="11">
                  <c:v>74.183614642901603</c:v>
                </c:pt>
                <c:pt idx="12">
                  <c:v>79.946204963914582</c:v>
                </c:pt>
                <c:pt idx="13">
                  <c:v>86.001952978654828</c:v>
                </c:pt>
                <c:pt idx="14">
                  <c:v>92.367314726655081</c:v>
                </c:pt>
                <c:pt idx="15">
                  <c:v>99.059730722834587</c:v>
                </c:pt>
                <c:pt idx="16">
                  <c:v>106.09768711751011</c:v>
                </c:pt>
                <c:pt idx="17">
                  <c:v>113.5007807412191</c:v>
                </c:pt>
                <c:pt idx="18">
                  <c:v>121.28978828457271</c:v>
                </c:pt>
                <c:pt idx="19">
                  <c:v>129.48673987963039</c:v>
                </c:pt>
                <c:pt idx="20">
                  <c:v>138.11321173826911</c:v>
                </c:pt>
                <c:pt idx="21">
                  <c:v>147.19171072230048</c:v>
                </c:pt>
                <c:pt idx="22">
                  <c:v>156.74592305309511</c:v>
                </c:pt>
                <c:pt idx="23">
                  <c:v>166.80077611002338</c:v>
                </c:pt>
                <c:pt idx="24">
                  <c:v>177.38250346713468</c:v>
                </c:pt>
                <c:pt idx="25">
                  <c:v>188.51871333775861</c:v>
                </c:pt>
                <c:pt idx="26">
                  <c:v>200.23846060560325</c:v>
                </c:pt>
                <c:pt idx="27">
                  <c:v>212.57232263028294</c:v>
                </c:pt>
                <c:pt idx="28">
                  <c:v>225.55247902505585</c:v>
                </c:pt>
              </c:numCache>
            </c:numRef>
          </c:val>
          <c:smooth val="0"/>
        </c:ser>
        <c:ser>
          <c:idx val="6"/>
          <c:order val="6"/>
          <c:tx>
            <c:strRef>
              <c:f>NPVData!$A$106</c:f>
              <c:strCache>
                <c:ptCount val="1"/>
                <c:pt idx="0">
                  <c:v>Option G</c:v>
                </c:pt>
              </c:strCache>
            </c:strRef>
          </c:tx>
          <c:spPr>
            <a:ln>
              <a:solidFill>
                <a:schemeClr val="accent1"/>
              </a:solidFill>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NPVData!$D$115:$AF$115</c:f>
              <c:numCache>
                <c:formatCode>0.000</c:formatCode>
                <c:ptCount val="29"/>
                <c:pt idx="0">
                  <c:v>6.5471339999999998</c:v>
                </c:pt>
                <c:pt idx="1">
                  <c:v>20.626341840000002</c:v>
                </c:pt>
                <c:pt idx="2">
                  <c:v>34.999463754200001</c:v>
                </c:pt>
                <c:pt idx="3">
                  <c:v>51.367155559657</c:v>
                </c:pt>
                <c:pt idx="4">
                  <c:v>54.046808770971872</c:v>
                </c:pt>
                <c:pt idx="5">
                  <c:v>56.806851578626187</c:v>
                </c:pt>
                <c:pt idx="6">
                  <c:v>59.649695670510134</c:v>
                </c:pt>
                <c:pt idx="7">
                  <c:v>62.5778250851506</c:v>
                </c:pt>
                <c:pt idx="8">
                  <c:v>65.593798382230275</c:v>
                </c:pt>
                <c:pt idx="9">
                  <c:v>68.700250878222349</c:v>
                </c:pt>
                <c:pt idx="10">
                  <c:v>71.899896949094185</c:v>
                </c:pt>
                <c:pt idx="11">
                  <c:v>75.195532402092169</c:v>
                </c:pt>
                <c:pt idx="12">
                  <c:v>79.909827172490054</c:v>
                </c:pt>
                <c:pt idx="13">
                  <c:v>84.765550785999878</c:v>
                </c:pt>
                <c:pt idx="14">
                  <c:v>89.766946107915004</c:v>
                </c:pt>
                <c:pt idx="15">
                  <c:v>94.918383289487579</c:v>
                </c:pt>
                <c:pt idx="16">
                  <c:v>100.22436358650734</c:v>
                </c:pt>
                <c:pt idx="17">
                  <c:v>105.68952329243768</c:v>
                </c:pt>
                <c:pt idx="18">
                  <c:v>111.31863778954595</c:v>
                </c:pt>
                <c:pt idx="19">
                  <c:v>117.11662572156746</c:v>
                </c:pt>
                <c:pt idx="20">
                  <c:v>123.08855329154962</c:v>
                </c:pt>
                <c:pt idx="21">
                  <c:v>129.23963868863123</c:v>
                </c:pt>
                <c:pt idx="22">
                  <c:v>135.57525664762531</c:v>
                </c:pt>
                <c:pt idx="23">
                  <c:v>142.10094314538921</c:v>
                </c:pt>
                <c:pt idx="24">
                  <c:v>148.822400238086</c:v>
                </c:pt>
                <c:pt idx="25">
                  <c:v>155.74550104356371</c:v>
                </c:pt>
                <c:pt idx="26">
                  <c:v>162.87629487320575</c:v>
                </c:pt>
                <c:pt idx="27">
                  <c:v>170.22101251773705</c:v>
                </c:pt>
                <c:pt idx="28">
                  <c:v>177.78607169160429</c:v>
                </c:pt>
              </c:numCache>
            </c:numRef>
          </c:val>
          <c:smooth val="0"/>
        </c:ser>
        <c:ser>
          <c:idx val="7"/>
          <c:order val="7"/>
          <c:tx>
            <c:strRef>
              <c:f>NPVData!$A$123</c:f>
              <c:strCache>
                <c:ptCount val="1"/>
                <c:pt idx="0">
                  <c:v>Option H</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NPVData!$D$132:$AF$132</c:f>
              <c:numCache>
                <c:formatCode>0.000</c:formatCode>
                <c:ptCount val="29"/>
                <c:pt idx="0">
                  <c:v>5.3448080000000004</c:v>
                </c:pt>
                <c:pt idx="1">
                  <c:v>8.5713166400000009</c:v>
                </c:pt>
                <c:pt idx="2">
                  <c:v>11.987392438673002</c:v>
                </c:pt>
                <c:pt idx="3">
                  <c:v>17.549174392469293</c:v>
                </c:pt>
                <c:pt idx="4">
                  <c:v>39.208000341193653</c:v>
                </c:pt>
                <c:pt idx="5">
                  <c:v>64.001520471689901</c:v>
                </c:pt>
                <c:pt idx="6">
                  <c:v>72.091071073834129</c:v>
                </c:pt>
                <c:pt idx="7">
                  <c:v>67.663298582040838</c:v>
                </c:pt>
                <c:pt idx="8">
                  <c:v>68.888136040194368</c:v>
                </c:pt>
                <c:pt idx="9">
                  <c:v>70.149718622092493</c:v>
                </c:pt>
                <c:pt idx="10">
                  <c:v>71.449148681447568</c:v>
                </c:pt>
                <c:pt idx="11">
                  <c:v>72.787561642583299</c:v>
                </c:pt>
                <c:pt idx="12">
                  <c:v>74.166126992553089</c:v>
                </c:pt>
                <c:pt idx="13">
                  <c:v>75.58604930302198</c:v>
                </c:pt>
                <c:pt idx="14">
                  <c:v>77.048569282804934</c:v>
                </c:pt>
                <c:pt idx="15">
                  <c:v>78.554964861981375</c:v>
                </c:pt>
                <c:pt idx="16">
                  <c:v>80.106552308533111</c:v>
                </c:pt>
                <c:pt idx="17">
                  <c:v>81.70468737848141</c:v>
                </c:pt>
                <c:pt idx="18">
                  <c:v>83.350766500528152</c:v>
                </c:pt>
                <c:pt idx="19">
                  <c:v>85.046227996236297</c:v>
                </c:pt>
                <c:pt idx="20">
                  <c:v>86.792553336815686</c:v>
                </c:pt>
                <c:pt idx="21">
                  <c:v>88.591268437612456</c:v>
                </c:pt>
                <c:pt idx="22">
                  <c:v>90.443944991433128</c:v>
                </c:pt>
                <c:pt idx="23">
                  <c:v>92.352201841868421</c:v>
                </c:pt>
                <c:pt idx="24">
                  <c:v>94.317706397816778</c:v>
                </c:pt>
                <c:pt idx="25">
                  <c:v>96.342176090443587</c:v>
                </c:pt>
                <c:pt idx="26">
                  <c:v>98.427379873849191</c:v>
                </c:pt>
                <c:pt idx="27">
                  <c:v>100.57513977075696</c:v>
                </c:pt>
                <c:pt idx="28">
                  <c:v>102.78733246457197</c:v>
                </c:pt>
              </c:numCache>
            </c:numRef>
          </c:val>
          <c:smooth val="0"/>
        </c:ser>
        <c:dLbls>
          <c:showLegendKey val="0"/>
          <c:showVal val="0"/>
          <c:showCatName val="0"/>
          <c:showSerName val="0"/>
          <c:showPercent val="0"/>
          <c:showBubbleSize val="0"/>
        </c:dLbls>
        <c:marker val="1"/>
        <c:smooth val="0"/>
        <c:axId val="47417600"/>
        <c:axId val="47419392"/>
      </c:lineChart>
      <c:catAx>
        <c:axId val="47417600"/>
        <c:scaling>
          <c:orientation val="minMax"/>
        </c:scaling>
        <c:delete val="0"/>
        <c:axPos val="b"/>
        <c:numFmt formatCode="General" sourceLinked="1"/>
        <c:majorTickMark val="out"/>
        <c:minorTickMark val="none"/>
        <c:tickLblPos val="nextTo"/>
        <c:crossAx val="47419392"/>
        <c:crosses val="autoZero"/>
        <c:auto val="1"/>
        <c:lblAlgn val="ctr"/>
        <c:lblOffset val="100"/>
        <c:noMultiLvlLbl val="0"/>
      </c:catAx>
      <c:valAx>
        <c:axId val="47419392"/>
        <c:scaling>
          <c:orientation val="minMax"/>
        </c:scaling>
        <c:delete val="0"/>
        <c:axPos val="l"/>
        <c:majorGridlines/>
        <c:numFmt formatCode="0" sourceLinked="0"/>
        <c:majorTickMark val="out"/>
        <c:minorTickMark val="none"/>
        <c:tickLblPos val="nextTo"/>
        <c:crossAx val="47417600"/>
        <c:crosses val="autoZero"/>
        <c:crossBetween val="between"/>
      </c:valAx>
    </c:plotArea>
    <c:legend>
      <c:legendPos val="r"/>
      <c:layout>
        <c:manualLayout>
          <c:xMode val="edge"/>
          <c:yMode val="edge"/>
          <c:x val="9.3716910416410601E-2"/>
          <c:y val="0.91349330987626876"/>
          <c:w val="0.81837918454725367"/>
          <c:h val="7.8959727322434253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Discounted Cashflow - 30 Years</a:t>
            </a:r>
          </a:p>
        </c:rich>
      </c:tx>
      <c:layout/>
      <c:overlay val="0"/>
    </c:title>
    <c:autoTitleDeleted val="0"/>
    <c:plotArea>
      <c:layout>
        <c:manualLayout>
          <c:layoutTarget val="inner"/>
          <c:xMode val="edge"/>
          <c:yMode val="edge"/>
          <c:x val="3.7801147444263189E-2"/>
          <c:y val="0.13471156068883303"/>
          <c:w val="0.94654651475764406"/>
          <c:h val="0.7658763820359713"/>
        </c:manualLayout>
      </c:layout>
      <c:lineChart>
        <c:grouping val="standard"/>
        <c:varyColors val="0"/>
        <c:ser>
          <c:idx val="0"/>
          <c:order val="0"/>
          <c:tx>
            <c:strRef>
              <c:f>NPVData!$A$4</c:f>
              <c:strCache>
                <c:ptCount val="1"/>
                <c:pt idx="0">
                  <c:v>Option A</c:v>
                </c:pt>
              </c:strCache>
            </c:strRef>
          </c:tx>
          <c:spPr>
            <a:ln w="38100"/>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NPVData!$D$12:$AF$12</c:f>
              <c:numCache>
                <c:formatCode>0.000</c:formatCode>
                <c:ptCount val="29"/>
                <c:pt idx="0">
                  <c:v>-5.1287830000000003</c:v>
                </c:pt>
                <c:pt idx="1">
                  <c:v>-23.19941208312067</c:v>
                </c:pt>
                <c:pt idx="2">
                  <c:v>-42.024788407756517</c:v>
                </c:pt>
                <c:pt idx="3">
                  <c:v>-47.52096403570026</c:v>
                </c:pt>
                <c:pt idx="4">
                  <c:v>-44.619661810251856</c:v>
                </c:pt>
                <c:pt idx="5">
                  <c:v>-45.324578496167177</c:v>
                </c:pt>
                <c:pt idx="6">
                  <c:v>-45.986321283710723</c:v>
                </c:pt>
                <c:pt idx="7">
                  <c:v>-46.607534436435706</c:v>
                </c:pt>
                <c:pt idx="8">
                  <c:v>-47.190700265187743</c:v>
                </c:pt>
                <c:pt idx="9">
                  <c:v>-47.73814904719157</c:v>
                </c:pt>
                <c:pt idx="10">
                  <c:v>-48.252068337625346</c:v>
                </c:pt>
                <c:pt idx="11">
                  <c:v>-48.734511710890743</c:v>
                </c:pt>
                <c:pt idx="12">
                  <c:v>-49.187406966508092</c:v>
                </c:pt>
                <c:pt idx="13">
                  <c:v>-49.61256383242668</c:v>
                </c:pt>
                <c:pt idx="14">
                  <c:v>-50.011681196531804</c:v>
                </c:pt>
                <c:pt idx="15">
                  <c:v>-50.386353895245144</c:v>
                </c:pt>
                <c:pt idx="16">
                  <c:v>-50.738079086344982</c:v>
                </c:pt>
                <c:pt idx="17">
                  <c:v>-51.068262231471515</c:v>
                </c:pt>
                <c:pt idx="18">
                  <c:v>-51.378222712222815</c:v>
                </c:pt>
                <c:pt idx="19">
                  <c:v>-51.669199102282825</c:v>
                </c:pt>
                <c:pt idx="20">
                  <c:v>-51.94235411664831</c:v>
                </c:pt>
                <c:pt idx="21">
                  <c:v>-52.198779257731474</c:v>
                </c:pt>
                <c:pt idx="22">
                  <c:v>-52.439499176903603</c:v>
                </c:pt>
                <c:pt idx="23">
                  <c:v>-52.66547576890806</c:v>
                </c:pt>
                <c:pt idx="24">
                  <c:v>-52.877612015503573</c:v>
                </c:pt>
                <c:pt idx="25">
                  <c:v>-53.076755593696589</c:v>
                </c:pt>
                <c:pt idx="26">
                  <c:v>-53.263702262980956</c:v>
                </c:pt>
                <c:pt idx="27">
                  <c:v>-53.439199045119942</c:v>
                </c:pt>
                <c:pt idx="28">
                  <c:v>-53.603947209176773</c:v>
                </c:pt>
              </c:numCache>
            </c:numRef>
          </c:val>
          <c:smooth val="0"/>
        </c:ser>
        <c:ser>
          <c:idx val="1"/>
          <c:order val="1"/>
          <c:tx>
            <c:strRef>
              <c:f>NPVData!$A$21</c:f>
              <c:strCache>
                <c:ptCount val="1"/>
                <c:pt idx="0">
                  <c:v>Option B</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NPVData!$D$29:$AF$29</c:f>
              <c:numCache>
                <c:formatCode>0.000</c:formatCode>
                <c:ptCount val="29"/>
                <c:pt idx="0">
                  <c:v>-7.5445010000000003</c:v>
                </c:pt>
                <c:pt idx="1">
                  <c:v>-28.468386554137805</c:v>
                </c:pt>
                <c:pt idx="2">
                  <c:v>-45.500475462898905</c:v>
                </c:pt>
                <c:pt idx="3">
                  <c:v>-57.07321694267214</c:v>
                </c:pt>
                <c:pt idx="4">
                  <c:v>-54.467353770323598</c:v>
                </c:pt>
                <c:pt idx="5">
                  <c:v>-55.449614809768683</c:v>
                </c:pt>
                <c:pt idx="6">
                  <c:v>-56.371715493899593</c:v>
                </c:pt>
                <c:pt idx="7">
                  <c:v>-57.237340452571523</c:v>
                </c:pt>
                <c:pt idx="8">
                  <c:v>-58.049948643814766</c:v>
                </c:pt>
                <c:pt idx="9">
                  <c:v>-58.812787175514124</c:v>
                </c:pt>
                <c:pt idx="10">
                  <c:v>-59.528904280554535</c:v>
                </c:pt>
                <c:pt idx="11">
                  <c:v>-60.20116149728041</c:v>
                </c:pt>
                <c:pt idx="12">
                  <c:v>-60.832245103940679</c:v>
                </c:pt>
                <c:pt idx="13">
                  <c:v>-61.424676852810599</c:v>
                </c:pt>
                <c:pt idx="14">
                  <c:v>-61.980824046882802</c:v>
                </c:pt>
                <c:pt idx="15">
                  <c:v>-62.502908999393163</c:v>
                </c:pt>
                <c:pt idx="16">
                  <c:v>-62.993017913980907</c:v>
                </c:pt>
                <c:pt idx="17">
                  <c:v>-63.453109220967214</c:v>
                </c:pt>
                <c:pt idx="18">
                  <c:v>-63.885021403063362</c:v>
                </c:pt>
                <c:pt idx="19">
                  <c:v>-64.290480341779215</c:v>
                </c:pt>
                <c:pt idx="20">
                  <c:v>-64.671106213887612</c:v>
                </c:pt>
                <c:pt idx="21">
                  <c:v>-65.028419965502309</c:v>
                </c:pt>
                <c:pt idx="22">
                  <c:v>-65.363849389639327</c:v>
                </c:pt>
                <c:pt idx="23">
                  <c:v>-65.678734831547033</c:v>
                </c:pt>
                <c:pt idx="24">
                  <c:v>-65.974334544602925</c:v>
                </c:pt>
                <c:pt idx="25">
                  <c:v>-66.251829718178911</c:v>
                </c:pt>
                <c:pt idx="26">
                  <c:v>-66.512329197565776</c:v>
                </c:pt>
                <c:pt idx="27">
                  <c:v>-66.75687391481739</c:v>
                </c:pt>
                <c:pt idx="28">
                  <c:v>-66.986441048219831</c:v>
                </c:pt>
              </c:numCache>
            </c:numRef>
          </c:val>
          <c:smooth val="0"/>
        </c:ser>
        <c:ser>
          <c:idx val="2"/>
          <c:order val="2"/>
          <c:tx>
            <c:strRef>
              <c:f>NPVData!$A$38</c:f>
              <c:strCache>
                <c:ptCount val="1"/>
                <c:pt idx="0">
                  <c:v>Option C</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NPVData!$D$46:$AF$46</c:f>
              <c:numCache>
                <c:formatCode>0.000</c:formatCode>
                <c:ptCount val="29"/>
                <c:pt idx="0">
                  <c:v>-5.7781324999999999</c:v>
                </c:pt>
                <c:pt idx="1">
                  <c:v>-12.835850550492163</c:v>
                </c:pt>
                <c:pt idx="2">
                  <c:v>-30.273608034776892</c:v>
                </c:pt>
                <c:pt idx="3">
                  <c:v>-44.710534394971205</c:v>
                </c:pt>
                <c:pt idx="4">
                  <c:v>-45.147911393221875</c:v>
                </c:pt>
                <c:pt idx="5">
                  <c:v>-45.852828079137197</c:v>
                </c:pt>
                <c:pt idx="6">
                  <c:v>-46.514570866680742</c:v>
                </c:pt>
                <c:pt idx="7">
                  <c:v>-47.135784019405726</c:v>
                </c:pt>
                <c:pt idx="8">
                  <c:v>-47.718949848157763</c:v>
                </c:pt>
                <c:pt idx="9">
                  <c:v>-48.266398630161589</c:v>
                </c:pt>
                <c:pt idx="10">
                  <c:v>-48.780317920595365</c:v>
                </c:pt>
                <c:pt idx="11">
                  <c:v>-49.262761293860763</c:v>
                </c:pt>
                <c:pt idx="12">
                  <c:v>-49.715656549478112</c:v>
                </c:pt>
                <c:pt idx="13">
                  <c:v>-50.1408134153967</c:v>
                </c:pt>
                <c:pt idx="14">
                  <c:v>-50.539930779501823</c:v>
                </c:pt>
                <c:pt idx="15">
                  <c:v>-50.914603478215163</c:v>
                </c:pt>
                <c:pt idx="16">
                  <c:v>-51.266328669315001</c:v>
                </c:pt>
                <c:pt idx="17">
                  <c:v>-51.596511814441534</c:v>
                </c:pt>
                <c:pt idx="18">
                  <c:v>-51.906472295192835</c:v>
                </c:pt>
                <c:pt idx="19">
                  <c:v>-52.197448685252844</c:v>
                </c:pt>
                <c:pt idx="20">
                  <c:v>-52.47060369961833</c:v>
                </c:pt>
                <c:pt idx="21">
                  <c:v>-52.727028840701493</c:v>
                </c:pt>
                <c:pt idx="22">
                  <c:v>-52.967748759873622</c:v>
                </c:pt>
                <c:pt idx="23">
                  <c:v>-53.193725351878079</c:v>
                </c:pt>
                <c:pt idx="24">
                  <c:v>-53.405861598473592</c:v>
                </c:pt>
                <c:pt idx="25">
                  <c:v>-53.605005176666609</c:v>
                </c:pt>
                <c:pt idx="26">
                  <c:v>-53.791951845950976</c:v>
                </c:pt>
                <c:pt idx="27">
                  <c:v>-53.967448628089961</c:v>
                </c:pt>
                <c:pt idx="28">
                  <c:v>-54.132196792146793</c:v>
                </c:pt>
              </c:numCache>
            </c:numRef>
          </c:val>
          <c:smooth val="0"/>
        </c:ser>
        <c:ser>
          <c:idx val="3"/>
          <c:order val="3"/>
          <c:tx>
            <c:strRef>
              <c:f>NPVData!$A$55</c:f>
              <c:strCache>
                <c:ptCount val="1"/>
                <c:pt idx="0">
                  <c:v>Option D</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NPVData!$D$63:$AF$63</c:f>
              <c:numCache>
                <c:formatCode>0.000</c:formatCode>
                <c:ptCount val="29"/>
                <c:pt idx="0">
                  <c:v>-5.0473699999999999</c:v>
                </c:pt>
                <c:pt idx="1">
                  <c:v>-9.5669466587677725</c:v>
                </c:pt>
                <c:pt idx="2">
                  <c:v>-36.342462360901692</c:v>
                </c:pt>
                <c:pt idx="3">
                  <c:v>-63.245345816951364</c:v>
                </c:pt>
                <c:pt idx="4">
                  <c:v>-87.479675397688169</c:v>
                </c:pt>
                <c:pt idx="5">
                  <c:v>-88.248107621533677</c:v>
                </c:pt>
                <c:pt idx="6">
                  <c:v>-88.969475822919819</c:v>
                </c:pt>
                <c:pt idx="7">
                  <c:v>-89.646662523090924</c:v>
                </c:pt>
                <c:pt idx="8">
                  <c:v>-70.016605543116711</c:v>
                </c:pt>
                <c:pt idx="9">
                  <c:v>-70.613381436498315</c:v>
                </c:pt>
                <c:pt idx="10">
                  <c:v>-71.173606710088421</c:v>
                </c:pt>
                <c:pt idx="11">
                  <c:v>-71.699519972755027</c:v>
                </c:pt>
                <c:pt idx="12">
                  <c:v>-72.193222725714023</c:v>
                </c:pt>
                <c:pt idx="13">
                  <c:v>-72.656687759935465</c:v>
                </c:pt>
                <c:pt idx="14">
                  <c:v>-73.091767039235577</c:v>
                </c:pt>
                <c:pt idx="15">
                  <c:v>-73.500199100554497</c:v>
                </c:pt>
                <c:pt idx="16">
                  <c:v>-73.883616000990585</c:v>
                </c:pt>
                <c:pt idx="17">
                  <c:v>-74.243549839351118</c:v>
                </c:pt>
                <c:pt idx="18">
                  <c:v>-74.581438878278703</c:v>
                </c:pt>
                <c:pt idx="19">
                  <c:v>-74.89863329141707</c:v>
                </c:pt>
                <c:pt idx="20">
                  <c:v>-75.196400558581232</c:v>
                </c:pt>
                <c:pt idx="21">
                  <c:v>-75.475930530490714</c:v>
                </c:pt>
                <c:pt idx="22">
                  <c:v>-75.738340183304032</c:v>
                </c:pt>
                <c:pt idx="23">
                  <c:v>-75.984678081953064</c:v>
                </c:pt>
                <c:pt idx="24">
                  <c:v>-76.215928570112467</c:v>
                </c:pt>
                <c:pt idx="25">
                  <c:v>-76.433015703546829</c:v>
                </c:pt>
                <c:pt idx="26">
                  <c:v>-76.636806942552838</c:v>
                </c:pt>
                <c:pt idx="27">
                  <c:v>-76.828116618251158</c:v>
                </c:pt>
                <c:pt idx="28">
                  <c:v>-77.007709186578964</c:v>
                </c:pt>
              </c:numCache>
            </c:numRef>
          </c:val>
          <c:smooth val="0"/>
        </c:ser>
        <c:ser>
          <c:idx val="4"/>
          <c:order val="4"/>
          <c:tx>
            <c:strRef>
              <c:f>NPVData!$A$72</c:f>
              <c:strCache>
                <c:ptCount val="1"/>
                <c:pt idx="0">
                  <c:v>Business As Usual</c:v>
                </c:pt>
              </c:strCache>
            </c:strRef>
          </c:tx>
          <c:spPr>
            <a:ln w="34925">
              <a:solidFill>
                <a:schemeClr val="tx1"/>
              </a:solidFill>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NPVData!$D$80:$AF$80</c:f>
              <c:numCache>
                <c:formatCode>0.000</c:formatCode>
                <c:ptCount val="29"/>
                <c:pt idx="0">
                  <c:v>-3.7841339999999999</c:v>
                </c:pt>
                <c:pt idx="1">
                  <c:v>-7.3759313660226029</c:v>
                </c:pt>
                <c:pt idx="2">
                  <c:v>-10.487829092648919</c:v>
                </c:pt>
                <c:pt idx="3">
                  <c:v>-13.443113156202687</c:v>
                </c:pt>
                <c:pt idx="4">
                  <c:v>-16.252604202132158</c:v>
                </c:pt>
                <c:pt idx="5">
                  <c:v>-18.926229291008248</c:v>
                </c:pt>
                <c:pt idx="6">
                  <c:v>-21.473128956637023</c:v>
                </c:pt>
                <c:pt idx="7">
                  <c:v>-23.901749428577485</c:v>
                </c:pt>
                <c:pt idx="8">
                  <c:v>-26.219922596261441</c:v>
                </c:pt>
                <c:pt idx="9">
                  <c:v>-28.434935829453234</c:v>
                </c:pt>
                <c:pt idx="10">
                  <c:v>-30.553593400976382</c:v>
                </c:pt>
                <c:pt idx="11">
                  <c:v>-32.582270963437999</c:v>
                </c:pt>
                <c:pt idx="12">
                  <c:v>-34.52525830184122</c:v>
                </c:pt>
                <c:pt idx="13">
                  <c:v>-36.386620707778604</c:v>
                </c:pt>
                <c:pt idx="14">
                  <c:v>-38.170211510742242</c:v>
                </c:pt>
                <c:pt idx="15">
                  <c:v>-39.87968388129007</c:v>
                </c:pt>
                <c:pt idx="16">
                  <c:v>-41.518501949378674</c:v>
                </c:pt>
                <c:pt idx="17">
                  <c:v>-43.089951278562523</c:v>
                </c:pt>
                <c:pt idx="18">
                  <c:v>-44.597148734307972</c:v>
                </c:pt>
                <c:pt idx="19">
                  <c:v>-46.043051782367286</c:v>
                </c:pt>
                <c:pt idx="20">
                  <c:v>-47.42991686419159</c:v>
                </c:pt>
                <c:pt idx="21">
                  <c:v>-48.76015457118384</c:v>
                </c:pt>
                <c:pt idx="22">
                  <c:v>-50.036077067391133</c:v>
                </c:pt>
                <c:pt idx="23">
                  <c:v>-51.259902108412419</c:v>
                </c:pt>
                <c:pt idx="24">
                  <c:v>-52.43375689620936</c:v>
                </c:pt>
                <c:pt idx="25">
                  <c:v>-53.559681776520605</c:v>
                </c:pt>
                <c:pt idx="26">
                  <c:v>-54.639633785306202</c:v>
                </c:pt>
                <c:pt idx="27">
                  <c:v>-55.675490050386372</c:v>
                </c:pt>
                <c:pt idx="28">
                  <c:v>-56.669051054187292</c:v>
                </c:pt>
              </c:numCache>
            </c:numRef>
          </c:val>
          <c:smooth val="0"/>
        </c:ser>
        <c:ser>
          <c:idx val="5"/>
          <c:order val="5"/>
          <c:tx>
            <c:strRef>
              <c:f>NPVData!$A$89</c:f>
              <c:strCache>
                <c:ptCount val="1"/>
                <c:pt idx="0">
                  <c:v>Option F</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NPVData!$D$97:$AF$97</c:f>
              <c:numCache>
                <c:formatCode>0.000</c:formatCode>
                <c:ptCount val="29"/>
                <c:pt idx="0">
                  <c:v>-6.5471339999999998</c:v>
                </c:pt>
                <c:pt idx="1">
                  <c:v>-18.233538037550126</c:v>
                </c:pt>
                <c:pt idx="2">
                  <c:v>-29.504277288866142</c:v>
                </c:pt>
                <c:pt idx="3">
                  <c:v>-32.391601060575056</c:v>
                </c:pt>
                <c:pt idx="4">
                  <c:v>-35.135435973296772</c:v>
                </c:pt>
                <c:pt idx="5">
                  <c:v>-37.745630966292239</c:v>
                </c:pt>
                <c:pt idx="6">
                  <c:v>-40.231251100720264</c:v>
                </c:pt>
                <c:pt idx="7">
                  <c:v>-42.600669692353769</c:v>
                </c:pt>
                <c:pt idx="8">
                  <c:v>-44.86164818894278</c:v>
                </c:pt>
                <c:pt idx="9">
                  <c:v>-47.021405906858739</c:v>
                </c:pt>
                <c:pt idx="10">
                  <c:v>-49.086681372847451</c:v>
                </c:pt>
                <c:pt idx="11">
                  <c:v>-51.063786722525165</c:v>
                </c:pt>
                <c:pt idx="12">
                  <c:v>-52.956950377414955</c:v>
                </c:pt>
                <c:pt idx="13">
                  <c:v>-54.770178346126457</c:v>
                </c:pt>
                <c:pt idx="14">
                  <c:v>-56.507266685127796</c:v>
                </c:pt>
                <c:pt idx="15">
                  <c:v>-58.17181323376527</c:v>
                </c:pt>
                <c:pt idx="16">
                  <c:v>-59.767228666760026</c:v>
                </c:pt>
                <c:pt idx="17">
                  <c:v>-61.296746904803264</c:v>
                </c:pt>
                <c:pt idx="18">
                  <c:v>-62.763434921422707</c:v>
                </c:pt>
                <c:pt idx="19">
                  <c:v>-64.170201981992449</c:v>
                </c:pt>
                <c:pt idx="20">
                  <c:v>-65.519529045922084</c:v>
                </c:pt>
                <c:pt idx="21">
                  <c:v>-66.813761457587731</c:v>
                </c:pt>
                <c:pt idx="22">
                  <c:v>-68.055148798124478</c:v>
                </c:pt>
                <c:pt idx="23">
                  <c:v>-69.245848795555105</c:v>
                </c:pt>
                <c:pt idx="24">
                  <c:v>-70.387931075263438</c:v>
                </c:pt>
                <c:pt idx="25">
                  <c:v>-71.483380757331474</c:v>
                </c:pt>
                <c:pt idx="26">
                  <c:v>-72.534101906992802</c:v>
                </c:pt>
                <c:pt idx="27">
                  <c:v>-73.541920844199851</c:v>
                </c:pt>
                <c:pt idx="28">
                  <c:v>-74.508589318057588</c:v>
                </c:pt>
              </c:numCache>
            </c:numRef>
          </c:val>
          <c:smooth val="0"/>
        </c:ser>
        <c:ser>
          <c:idx val="6"/>
          <c:order val="6"/>
          <c:tx>
            <c:strRef>
              <c:f>NPVData!$A$106</c:f>
              <c:strCache>
                <c:ptCount val="1"/>
                <c:pt idx="0">
                  <c:v>Option G</c:v>
                </c:pt>
              </c:strCache>
            </c:strRef>
          </c:tx>
          <c:spPr>
            <a:ln>
              <a:solidFill>
                <a:schemeClr val="accent1"/>
              </a:solidFill>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NPVData!$D$114:$AF$114</c:f>
              <c:numCache>
                <c:formatCode>0.000</c:formatCode>
                <c:ptCount val="29"/>
                <c:pt idx="0">
                  <c:v>-6.5471339999999998</c:v>
                </c:pt>
                <c:pt idx="1">
                  <c:v>-19.379076982136347</c:v>
                </c:pt>
                <c:pt idx="2">
                  <c:v>-31.318394756881034</c:v>
                </c:pt>
                <c:pt idx="3">
                  <c:v>-43.710070544066653</c:v>
                </c:pt>
                <c:pt idx="4">
                  <c:v>-45.559064099678089</c:v>
                </c:pt>
                <c:pt idx="5">
                  <c:v>-47.294812698183172</c:v>
                </c:pt>
                <c:pt idx="6">
                  <c:v>-48.924252231960274</c:v>
                </c:pt>
                <c:pt idx="7">
                  <c:v>-50.453893792104658</c:v>
                </c:pt>
                <c:pt idx="8">
                  <c:v>-51.889849686151976</c:v>
                </c:pt>
                <c:pt idx="9">
                  <c:v>-53.237857862299201</c:v>
                </c:pt>
                <c:pt idx="10">
                  <c:v>-54.503304837719945</c:v>
                </c:pt>
                <c:pt idx="11">
                  <c:v>-55.691247222593596</c:v>
                </c:pt>
                <c:pt idx="12">
                  <c:v>-57.240018004582033</c:v>
                </c:pt>
                <c:pt idx="13">
                  <c:v>-58.693931516656491</c:v>
                </c:pt>
                <c:pt idx="14">
                  <c:v>-60.058797464010382</c:v>
                </c:pt>
                <c:pt idx="15">
                  <c:v>-61.340069725926632</c:v>
                </c:pt>
                <c:pt idx="16">
                  <c:v>-62.542868148979622</c:v>
                </c:pt>
                <c:pt idx="17">
                  <c:v>-63.67199900547304</c:v>
                </c:pt>
                <c:pt idx="18">
                  <c:v>-64.731974198863682</c:v>
                </c:pt>
                <c:pt idx="19">
                  <c:v>-65.727029292914324</c:v>
                </c:pt>
                <c:pt idx="20">
                  <c:v>-66.661140436618453</c:v>
                </c:pt>
                <c:pt idx="21">
                  <c:v>-67.538040252527352</c:v>
                </c:pt>
                <c:pt idx="22">
                  <c:v>-68.361232751967904</c:v>
                </c:pt>
                <c:pt idx="23">
                  <c:v>-69.13400733675077</c:v>
                </c:pt>
                <c:pt idx="24">
                  <c:v>-69.859451943318717</c:v>
                </c:pt>
                <c:pt idx="25">
                  <c:v>-70.540465381857715</c:v>
                </c:pt>
                <c:pt idx="26">
                  <c:v>-71.17976891967686</c:v>
                </c:pt>
                <c:pt idx="27">
                  <c:v>-71.779917155143252</c:v>
                </c:pt>
                <c:pt idx="28">
                  <c:v>-72.343308225623005</c:v>
                </c:pt>
              </c:numCache>
            </c:numRef>
          </c:val>
          <c:smooth val="0"/>
        </c:ser>
        <c:ser>
          <c:idx val="7"/>
          <c:order val="7"/>
          <c:tx>
            <c:strRef>
              <c:f>NPVData!$A$123</c:f>
              <c:strCache>
                <c:ptCount val="1"/>
                <c:pt idx="0">
                  <c:v>Option H</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NPVData!$D$131:$AF$131</c:f>
              <c:numCache>
                <c:formatCode>0.000</c:formatCode>
                <c:ptCount val="29"/>
                <c:pt idx="0">
                  <c:v>-5.3448080000000004</c:v>
                </c:pt>
                <c:pt idx="1">
                  <c:v>-8.2854830273423268</c:v>
                </c:pt>
                <c:pt idx="2">
                  <c:v>-11.123113901583876</c:v>
                </c:pt>
                <c:pt idx="3">
                  <c:v>-15.333835828024689</c:v>
                </c:pt>
                <c:pt idx="4">
                  <c:v>-30.27869116684316</c:v>
                </c:pt>
                <c:pt idx="5">
                  <c:v>-45.870955786496296</c:v>
                </c:pt>
                <c:pt idx="6">
                  <c:v>-50.507662245093847</c:v>
                </c:pt>
                <c:pt idx="7">
                  <c:v>-48.194613925423631</c:v>
                </c:pt>
                <c:pt idx="8">
                  <c:v>-48.777779754175668</c:v>
                </c:pt>
                <c:pt idx="9">
                  <c:v>-49.325228536179495</c:v>
                </c:pt>
                <c:pt idx="10">
                  <c:v>-49.839147826613271</c:v>
                </c:pt>
                <c:pt idx="11">
                  <c:v>-50.321591199878668</c:v>
                </c:pt>
                <c:pt idx="12">
                  <c:v>-50.774486455496017</c:v>
                </c:pt>
                <c:pt idx="13">
                  <c:v>-51.199643321414605</c:v>
                </c:pt>
                <c:pt idx="14">
                  <c:v>-51.598760685519728</c:v>
                </c:pt>
                <c:pt idx="15">
                  <c:v>-51.973433384233068</c:v>
                </c:pt>
                <c:pt idx="16">
                  <c:v>-52.325158575332907</c:v>
                </c:pt>
                <c:pt idx="17">
                  <c:v>-52.65534172045944</c:v>
                </c:pt>
                <c:pt idx="18">
                  <c:v>-52.96530220121074</c:v>
                </c:pt>
                <c:pt idx="19">
                  <c:v>-53.25627859127075</c:v>
                </c:pt>
                <c:pt idx="20">
                  <c:v>-53.529433605636235</c:v>
                </c:pt>
                <c:pt idx="21">
                  <c:v>-53.785858746719398</c:v>
                </c:pt>
                <c:pt idx="22">
                  <c:v>-54.026578665891527</c:v>
                </c:pt>
                <c:pt idx="23">
                  <c:v>-54.252555257895985</c:v>
                </c:pt>
                <c:pt idx="24">
                  <c:v>-54.464691504491498</c:v>
                </c:pt>
                <c:pt idx="25">
                  <c:v>-54.663835082684514</c:v>
                </c:pt>
                <c:pt idx="26">
                  <c:v>-54.850781751968881</c:v>
                </c:pt>
                <c:pt idx="27">
                  <c:v>-55.026278534107867</c:v>
                </c:pt>
                <c:pt idx="28">
                  <c:v>-55.191026698164698</c:v>
                </c:pt>
              </c:numCache>
            </c:numRef>
          </c:val>
          <c:smooth val="0"/>
        </c:ser>
        <c:dLbls>
          <c:showLegendKey val="0"/>
          <c:showVal val="0"/>
          <c:showCatName val="0"/>
          <c:showSerName val="0"/>
          <c:showPercent val="0"/>
          <c:showBubbleSize val="0"/>
        </c:dLbls>
        <c:marker val="1"/>
        <c:smooth val="0"/>
        <c:axId val="47519232"/>
        <c:axId val="47520768"/>
      </c:lineChart>
      <c:catAx>
        <c:axId val="47519232"/>
        <c:scaling>
          <c:orientation val="minMax"/>
        </c:scaling>
        <c:delete val="0"/>
        <c:axPos val="b"/>
        <c:numFmt formatCode="General" sourceLinked="1"/>
        <c:majorTickMark val="out"/>
        <c:minorTickMark val="none"/>
        <c:tickLblPos val="nextTo"/>
        <c:crossAx val="47520768"/>
        <c:crosses val="autoZero"/>
        <c:auto val="1"/>
        <c:lblAlgn val="ctr"/>
        <c:lblOffset val="100"/>
        <c:noMultiLvlLbl val="0"/>
      </c:catAx>
      <c:valAx>
        <c:axId val="47520768"/>
        <c:scaling>
          <c:orientation val="minMax"/>
        </c:scaling>
        <c:delete val="0"/>
        <c:axPos val="l"/>
        <c:majorGridlines/>
        <c:numFmt formatCode="0" sourceLinked="0"/>
        <c:majorTickMark val="out"/>
        <c:minorTickMark val="none"/>
        <c:tickLblPos val="nextTo"/>
        <c:crossAx val="47519232"/>
        <c:crosses val="autoZero"/>
        <c:crossBetween val="between"/>
      </c:valAx>
    </c:plotArea>
    <c:legend>
      <c:legendPos val="r"/>
      <c:layout>
        <c:manualLayout>
          <c:xMode val="edge"/>
          <c:yMode val="edge"/>
          <c:x val="6.8165501246557972E-2"/>
          <c:y val="0.91669479538468868"/>
          <c:w val="0.88791631260911108"/>
          <c:h val="6.2952196976820335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Lifecycle (Opex &amp; BAU Capex) Cumulative Cashflow </a:t>
            </a:r>
            <a:r>
              <a:rPr lang="en-US" sz="1800" b="1" i="0" u="none" strike="noStrike" baseline="0">
                <a:effectLst/>
              </a:rPr>
              <a:t>- 30 Years</a:t>
            </a:r>
            <a:endParaRPr lang="en-AU">
              <a:effectLst/>
            </a:endParaRPr>
          </a:p>
        </c:rich>
      </c:tx>
      <c:layout/>
      <c:overlay val="0"/>
    </c:title>
    <c:autoTitleDeleted val="0"/>
    <c:plotArea>
      <c:layout>
        <c:manualLayout>
          <c:layoutTarget val="inner"/>
          <c:xMode val="edge"/>
          <c:yMode val="edge"/>
          <c:x val="3.7801147444263189E-2"/>
          <c:y val="0.13471156068883303"/>
          <c:w val="0.94654651475764406"/>
          <c:h val="0.7082604943573737"/>
        </c:manualLayout>
      </c:layout>
      <c:lineChart>
        <c:grouping val="standard"/>
        <c:varyColors val="0"/>
        <c:ser>
          <c:idx val="0"/>
          <c:order val="0"/>
          <c:tx>
            <c:strRef>
              <c:f>NPVData!$A$4</c:f>
              <c:strCache>
                <c:ptCount val="1"/>
                <c:pt idx="0">
                  <c:v>Option A</c:v>
                </c:pt>
              </c:strCache>
            </c:strRef>
          </c:tx>
          <c:spPr>
            <a:ln w="38100"/>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NPVData!$D$15:$AG$15</c:f>
              <c:numCache>
                <c:formatCode>0.000</c:formatCode>
                <c:ptCount val="30"/>
                <c:pt idx="0">
                  <c:v>2.4526080000000001</c:v>
                </c:pt>
                <c:pt idx="1">
                  <c:v>4.1240422299999997</c:v>
                </c:pt>
                <c:pt idx="2">
                  <c:v>4.9875978555999998</c:v>
                </c:pt>
                <c:pt idx="3">
                  <c:v>5.8911885637144996</c:v>
                </c:pt>
                <c:pt idx="4">
                  <c:v>6.9794407810858798</c:v>
                </c:pt>
                <c:pt idx="5">
                  <c:v>8.100340564978401</c:v>
                </c:pt>
                <c:pt idx="6">
                  <c:v>9.2548673423876977</c:v>
                </c:pt>
                <c:pt idx="7">
                  <c:v>10.444029923119274</c:v>
                </c:pt>
                <c:pt idx="8">
                  <c:v>11.668867381272797</c:v>
                </c:pt>
                <c:pt idx="9">
                  <c:v>12.930449963170926</c:v>
                </c:pt>
                <c:pt idx="10">
                  <c:v>14.229880022525998</c:v>
                </c:pt>
                <c:pt idx="11">
                  <c:v>15.568292983661724</c:v>
                </c:pt>
                <c:pt idx="12">
                  <c:v>16.946858333631521</c:v>
                </c:pt>
                <c:pt idx="13">
                  <c:v>18.366780644100412</c:v>
                </c:pt>
                <c:pt idx="14">
                  <c:v>19.82930062388337</c:v>
                </c:pt>
                <c:pt idx="15">
                  <c:v>21.335696203059818</c:v>
                </c:pt>
                <c:pt idx="16">
                  <c:v>22.887283649611557</c:v>
                </c:pt>
                <c:pt idx="17">
                  <c:v>24.485418719559849</c:v>
                </c:pt>
                <c:pt idx="18">
                  <c:v>26.131497841606588</c:v>
                </c:pt>
                <c:pt idx="19">
                  <c:v>27.826959337314733</c:v>
                </c:pt>
                <c:pt idx="20">
                  <c:v>29.573284677894122</c:v>
                </c:pt>
                <c:pt idx="21">
                  <c:v>31.371999778690892</c:v>
                </c:pt>
                <c:pt idx="22">
                  <c:v>33.224676332511564</c:v>
                </c:pt>
                <c:pt idx="23">
                  <c:v>35.132933182946857</c:v>
                </c:pt>
                <c:pt idx="24">
                  <c:v>37.098437738895207</c:v>
                </c:pt>
                <c:pt idx="25">
                  <c:v>39.122907431522009</c:v>
                </c:pt>
                <c:pt idx="26">
                  <c:v>41.208111214927612</c:v>
                </c:pt>
                <c:pt idx="27">
                  <c:v>43.355871111835384</c:v>
                </c:pt>
                <c:pt idx="28">
                  <c:v>45.568063805650389</c:v>
                </c:pt>
                <c:pt idx="29">
                  <c:v>47.846622280279846</c:v>
                </c:pt>
              </c:numCache>
            </c:numRef>
          </c:val>
          <c:smooth val="0"/>
        </c:ser>
        <c:ser>
          <c:idx val="1"/>
          <c:order val="1"/>
          <c:tx>
            <c:strRef>
              <c:f>NPVData!$A$21</c:f>
              <c:strCache>
                <c:ptCount val="1"/>
                <c:pt idx="0">
                  <c:v>Option B</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NPVData!$D$32:$AG$32</c:f>
              <c:numCache>
                <c:formatCode>0.000</c:formatCode>
                <c:ptCount val="30"/>
                <c:pt idx="0">
                  <c:v>2.4526080000000001</c:v>
                </c:pt>
                <c:pt idx="1">
                  <c:v>4.1240422299999997</c:v>
                </c:pt>
                <c:pt idx="2">
                  <c:v>5.0094186734999999</c:v>
                </c:pt>
                <c:pt idx="3">
                  <c:v>6.3563483946005004</c:v>
                </c:pt>
                <c:pt idx="4">
                  <c:v>7.8727655479632705</c:v>
                </c:pt>
                <c:pt idx="5">
                  <c:v>9.4346752159269229</c:v>
                </c:pt>
                <c:pt idx="6">
                  <c:v>11.043442173929485</c:v>
                </c:pt>
                <c:pt idx="7">
                  <c:v>12.700472140672124</c:v>
                </c:pt>
                <c:pt idx="8">
                  <c:v>14.407213006417043</c:v>
                </c:pt>
                <c:pt idx="9">
                  <c:v>16.165156098134311</c:v>
                </c:pt>
                <c:pt idx="10">
                  <c:v>17.975837482603097</c:v>
                </c:pt>
                <c:pt idx="11">
                  <c:v>19.840839308605947</c:v>
                </c:pt>
                <c:pt idx="12">
                  <c:v>21.76179118938888</c:v>
                </c:pt>
                <c:pt idx="13">
                  <c:v>23.740371626595302</c:v>
                </c:pt>
                <c:pt idx="14">
                  <c:v>25.778309476917915</c:v>
                </c:pt>
                <c:pt idx="15">
                  <c:v>27.877385462750208</c:v>
                </c:pt>
                <c:pt idx="16">
                  <c:v>30.039433728157469</c:v>
                </c:pt>
                <c:pt idx="17">
                  <c:v>32.266343441526949</c:v>
                </c:pt>
                <c:pt idx="18">
                  <c:v>34.560060446297513</c:v>
                </c:pt>
                <c:pt idx="19">
                  <c:v>36.922588961211197</c:v>
                </c:pt>
                <c:pt idx="20">
                  <c:v>39.355993331572286</c:v>
                </c:pt>
                <c:pt idx="21">
                  <c:v>41.862399833044208</c:v>
                </c:pt>
                <c:pt idx="22">
                  <c:v>44.44399852956029</c:v>
                </c:pt>
                <c:pt idx="23">
                  <c:v>47.103045186971855</c:v>
                </c:pt>
                <c:pt idx="24">
                  <c:v>49.841863244105767</c:v>
                </c:pt>
                <c:pt idx="25">
                  <c:v>52.662845842953693</c:v>
                </c:pt>
                <c:pt idx="26">
                  <c:v>55.568457919767063</c:v>
                </c:pt>
                <c:pt idx="27">
                  <c:v>58.561238358884829</c:v>
                </c:pt>
                <c:pt idx="28">
                  <c:v>61.64380221117613</c:v>
                </c:pt>
                <c:pt idx="29">
                  <c:v>64.818842979036177</c:v>
                </c:pt>
              </c:numCache>
            </c:numRef>
          </c:val>
          <c:smooth val="0"/>
        </c:ser>
        <c:ser>
          <c:idx val="2"/>
          <c:order val="2"/>
          <c:tx>
            <c:strRef>
              <c:f>NPVData!$A$38</c:f>
              <c:strCache>
                <c:ptCount val="1"/>
                <c:pt idx="0">
                  <c:v>Option C</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NPVData!$D$49:$AG$49</c:f>
              <c:numCache>
                <c:formatCode>0.000</c:formatCode>
                <c:ptCount val="30"/>
                <c:pt idx="0">
                  <c:v>2.6686330000000003</c:v>
                </c:pt>
                <c:pt idx="1">
                  <c:v>5.4271220099999997</c:v>
                </c:pt>
                <c:pt idx="2">
                  <c:v>7.1486992668999996</c:v>
                </c:pt>
                <c:pt idx="3">
                  <c:v>8.0341177817829994</c:v>
                </c:pt>
                <c:pt idx="4">
                  <c:v>9.1223699991543796</c:v>
                </c:pt>
                <c:pt idx="5">
                  <c:v>10.243269783046902</c:v>
                </c:pt>
                <c:pt idx="6">
                  <c:v>11.397796560456198</c:v>
                </c:pt>
                <c:pt idx="7">
                  <c:v>12.586959141187775</c:v>
                </c:pt>
                <c:pt idx="8">
                  <c:v>13.811796599341298</c:v>
                </c:pt>
                <c:pt idx="9">
                  <c:v>15.073379181239426</c:v>
                </c:pt>
                <c:pt idx="10">
                  <c:v>16.372809240594499</c:v>
                </c:pt>
                <c:pt idx="11">
                  <c:v>17.711222201730223</c:v>
                </c:pt>
                <c:pt idx="12">
                  <c:v>19.08978755170002</c:v>
                </c:pt>
                <c:pt idx="13">
                  <c:v>20.509709862168911</c:v>
                </c:pt>
                <c:pt idx="14">
                  <c:v>21.972229841951869</c:v>
                </c:pt>
                <c:pt idx="15">
                  <c:v>23.478625421128314</c:v>
                </c:pt>
                <c:pt idx="16">
                  <c:v>25.030212867680053</c:v>
                </c:pt>
                <c:pt idx="17">
                  <c:v>26.628347937628345</c:v>
                </c:pt>
                <c:pt idx="18">
                  <c:v>28.274427059675084</c:v>
                </c:pt>
                <c:pt idx="19">
                  <c:v>29.969888555383228</c:v>
                </c:pt>
                <c:pt idx="20">
                  <c:v>31.716213895962618</c:v>
                </c:pt>
                <c:pt idx="21">
                  <c:v>33.514928996759387</c:v>
                </c:pt>
                <c:pt idx="22">
                  <c:v>35.367605550580059</c:v>
                </c:pt>
                <c:pt idx="23">
                  <c:v>37.275862401015353</c:v>
                </c:pt>
                <c:pt idx="24">
                  <c:v>39.241366956963702</c:v>
                </c:pt>
                <c:pt idx="25">
                  <c:v>41.265836649590504</c:v>
                </c:pt>
                <c:pt idx="26">
                  <c:v>43.351040432996108</c:v>
                </c:pt>
                <c:pt idx="27">
                  <c:v>45.498800329903879</c:v>
                </c:pt>
                <c:pt idx="28">
                  <c:v>47.710993023718885</c:v>
                </c:pt>
                <c:pt idx="29">
                  <c:v>49.989551498348341</c:v>
                </c:pt>
              </c:numCache>
            </c:numRef>
          </c:val>
          <c:smooth val="0"/>
        </c:ser>
        <c:ser>
          <c:idx val="3"/>
          <c:order val="3"/>
          <c:tx>
            <c:strRef>
              <c:f>NPVData!$A$55</c:f>
              <c:strCache>
                <c:ptCount val="1"/>
                <c:pt idx="0">
                  <c:v>Option D</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NPVData!$D$66:$AG$66</c:f>
              <c:numCache>
                <c:formatCode>0.000</c:formatCode>
                <c:ptCount val="30"/>
                <c:pt idx="0">
                  <c:v>2.4526080000000001</c:v>
                </c:pt>
                <c:pt idx="1">
                  <c:v>4.98211051</c:v>
                </c:pt>
                <c:pt idx="2">
                  <c:v>7.2322592529000005</c:v>
                </c:pt>
                <c:pt idx="3">
                  <c:v>10.023368666283501</c:v>
                </c:pt>
                <c:pt idx="4">
                  <c:v>11.59885364750388</c:v>
                </c:pt>
                <c:pt idx="5">
                  <c:v>12.820750548023492</c:v>
                </c:pt>
                <c:pt idx="6">
                  <c:v>14.079304355558692</c:v>
                </c:pt>
                <c:pt idx="7">
                  <c:v>15.375614777319949</c:v>
                </c:pt>
                <c:pt idx="8">
                  <c:v>16.710814511734043</c:v>
                </c:pt>
                <c:pt idx="9">
                  <c:v>18.086070238180561</c:v>
                </c:pt>
                <c:pt idx="10">
                  <c:v>19.502583636420475</c:v>
                </c:pt>
                <c:pt idx="11">
                  <c:v>20.961592436607585</c:v>
                </c:pt>
                <c:pt idx="12">
                  <c:v>22.464371500800308</c:v>
                </c:pt>
                <c:pt idx="13">
                  <c:v>24.012233936918811</c:v>
                </c:pt>
                <c:pt idx="14">
                  <c:v>25.606532246120871</c:v>
                </c:pt>
                <c:pt idx="15">
                  <c:v>27.248659504598994</c:v>
                </c:pt>
                <c:pt idx="16">
                  <c:v>28.940050580831461</c:v>
                </c:pt>
                <c:pt idx="17">
                  <c:v>30.6821833893509</c:v>
                </c:pt>
                <c:pt idx="18">
                  <c:v>32.476580182125922</c:v>
                </c:pt>
                <c:pt idx="19">
                  <c:v>34.324808878684195</c:v>
                </c:pt>
                <c:pt idx="20">
                  <c:v>36.228484436139219</c:v>
                </c:pt>
                <c:pt idx="21">
                  <c:v>38.18927026031789</c:v>
                </c:pt>
                <c:pt idx="22">
                  <c:v>40.208879659221921</c:v>
                </c:pt>
                <c:pt idx="23">
                  <c:v>42.289077340093073</c:v>
                </c:pt>
                <c:pt idx="24">
                  <c:v>44.431680951390362</c:v>
                </c:pt>
                <c:pt idx="25">
                  <c:v>46.63856267102657</c:v>
                </c:pt>
                <c:pt idx="26">
                  <c:v>48.911650842251859</c:v>
                </c:pt>
                <c:pt idx="27">
                  <c:v>51.25293165861391</c:v>
                </c:pt>
                <c:pt idx="28">
                  <c:v>53.664450899466821</c:v>
                </c:pt>
                <c:pt idx="29">
                  <c:v>56.148315717545323</c:v>
                </c:pt>
              </c:numCache>
            </c:numRef>
          </c:val>
          <c:smooth val="0"/>
        </c:ser>
        <c:ser>
          <c:idx val="4"/>
          <c:order val="4"/>
          <c:tx>
            <c:strRef>
              <c:f>NPVData!$A$72</c:f>
              <c:strCache>
                <c:ptCount val="1"/>
                <c:pt idx="0">
                  <c:v>Business As Usual</c:v>
                </c:pt>
              </c:strCache>
            </c:strRef>
          </c:tx>
          <c:spPr>
            <a:ln w="34925">
              <a:solidFill>
                <a:schemeClr val="tx1"/>
              </a:solidFill>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NPVData!$D$83:$AG$83</c:f>
              <c:numCache>
                <c:formatCode>0.000</c:formatCode>
                <c:ptCount val="30"/>
                <c:pt idx="0">
                  <c:v>3.7841339999999999</c:v>
                </c:pt>
                <c:pt idx="1">
                  <c:v>7.7250540699999997</c:v>
                </c:pt>
                <c:pt idx="2">
                  <c:v>11.471305426500001</c:v>
                </c:pt>
                <c:pt idx="3">
                  <c:v>15.374827402103001</c:v>
                </c:pt>
                <c:pt idx="4">
                  <c:v>19.446481238070927</c:v>
                </c:pt>
                <c:pt idx="5">
                  <c:v>23.697857101644736</c:v>
                </c:pt>
                <c:pt idx="6">
                  <c:v>28.141371891218018</c:v>
                </c:pt>
                <c:pt idx="7">
                  <c:v>32.790379362102655</c:v>
                </c:pt>
                <c:pt idx="8">
                  <c:v>37.659295183768585</c:v>
                </c:pt>
                <c:pt idx="9">
                  <c:v>42.763740029622845</c:v>
                </c:pt>
                <c:pt idx="10">
                  <c:v>48.120704411313341</c:v>
                </c:pt>
                <c:pt idx="11">
                  <c:v>53.748739729087738</c:v>
                </c:pt>
                <c:pt idx="12">
                  <c:v>59.662988083271884</c:v>
                </c:pt>
                <c:pt idx="13">
                  <c:v>65.879493613173565</c:v>
                </c:pt>
                <c:pt idx="14">
                  <c:v>72.415258327244942</c:v>
                </c:pt>
                <c:pt idx="15">
                  <c:v>79.288301467459831</c:v>
                </c:pt>
                <c:pt idx="16">
                  <c:v>86.51772263481287</c:v>
                </c:pt>
                <c:pt idx="17">
                  <c:v>94.123768917560028</c:v>
                </c:pt>
                <c:pt idx="18">
                  <c:v>102.12790627949408</c:v>
                </c:pt>
                <c:pt idx="19">
                  <c:v>110.55289548224707</c:v>
                </c:pt>
                <c:pt idx="20">
                  <c:v>119.41935411922429</c:v>
                </c:pt>
                <c:pt idx="21">
                  <c:v>128.75041518877913</c:v>
                </c:pt>
                <c:pt idx="22">
                  <c:v>138.57042385837863</c:v>
                </c:pt>
                <c:pt idx="23">
                  <c:v>148.90500098226516</c:v>
                </c:pt>
                <c:pt idx="24">
                  <c:v>159.78110994744335</c:v>
                </c:pt>
                <c:pt idx="25">
                  <c:v>171.22712702239687</c:v>
                </c:pt>
                <c:pt idx="26">
                  <c:v>183.27291539207795</c:v>
                </c:pt>
                <c:pt idx="27">
                  <c:v>195.94990307233033</c:v>
                </c:pt>
                <c:pt idx="28">
                  <c:v>209.29116490702793</c:v>
                </c:pt>
                <c:pt idx="29">
                  <c:v>223.33150886186368</c:v>
                </c:pt>
              </c:numCache>
            </c:numRef>
          </c:val>
          <c:smooth val="0"/>
        </c:ser>
        <c:ser>
          <c:idx val="5"/>
          <c:order val="5"/>
          <c:tx>
            <c:strRef>
              <c:f>NPVData!$A$89</c:f>
              <c:strCache>
                <c:ptCount val="1"/>
                <c:pt idx="0">
                  <c:v>Option F</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NPVData!$D$100:$AG$100</c:f>
              <c:numCache>
                <c:formatCode>0.000</c:formatCode>
                <c:ptCount val="30"/>
                <c:pt idx="0">
                  <c:v>3.7841339999999999</c:v>
                </c:pt>
                <c:pt idx="1">
                  <c:v>6.3136365100000003</c:v>
                </c:pt>
                <c:pt idx="2">
                  <c:v>9.975202812900001</c:v>
                </c:pt>
                <c:pt idx="3">
                  <c:v>13.788958631687002</c:v>
                </c:pt>
                <c:pt idx="4">
                  <c:v>17.765460341429968</c:v>
                </c:pt>
                <c:pt idx="5">
                  <c:v>21.915974951205317</c:v>
                </c:pt>
                <c:pt idx="6">
                  <c:v>26.252576811752235</c:v>
                </c:pt>
                <c:pt idx="7">
                  <c:v>30.788256577868928</c:v>
                </c:pt>
                <c:pt idx="8">
                  <c:v>35.537045032480833</c:v>
                </c:pt>
                <c:pt idx="9">
                  <c:v>40.51415486925783</c:v>
                </c:pt>
                <c:pt idx="10">
                  <c:v>45.73614414132642</c:v>
                </c:pt>
                <c:pt idx="11">
                  <c:v>51.221105842901601</c:v>
                </c:pt>
                <c:pt idx="12">
                  <c:v>56.983696163914573</c:v>
                </c:pt>
                <c:pt idx="13">
                  <c:v>63.039444178654811</c:v>
                </c:pt>
                <c:pt idx="14">
                  <c:v>69.404805926655058</c:v>
                </c:pt>
                <c:pt idx="15">
                  <c:v>76.097221922834564</c:v>
                </c:pt>
                <c:pt idx="16">
                  <c:v>83.135178317510082</c:v>
                </c:pt>
                <c:pt idx="17">
                  <c:v>90.53827194121908</c:v>
                </c:pt>
                <c:pt idx="18">
                  <c:v>98.327279484572685</c:v>
                </c:pt>
                <c:pt idx="19">
                  <c:v>106.52423107963037</c:v>
                </c:pt>
                <c:pt idx="20">
                  <c:v>115.15070293826908</c:v>
                </c:pt>
                <c:pt idx="21">
                  <c:v>124.22920192230046</c:v>
                </c:pt>
                <c:pt idx="22">
                  <c:v>133.78341425309509</c:v>
                </c:pt>
                <c:pt idx="23">
                  <c:v>143.83826731002335</c:v>
                </c:pt>
                <c:pt idx="24">
                  <c:v>154.41999466713466</c:v>
                </c:pt>
                <c:pt idx="25">
                  <c:v>165.55620453775859</c:v>
                </c:pt>
                <c:pt idx="26">
                  <c:v>177.27595180560323</c:v>
                </c:pt>
                <c:pt idx="27">
                  <c:v>189.60981383028292</c:v>
                </c:pt>
                <c:pt idx="28">
                  <c:v>202.58997022505582</c:v>
                </c:pt>
                <c:pt idx="29">
                  <c:v>216.25028681491483</c:v>
                </c:pt>
              </c:numCache>
            </c:numRef>
          </c:val>
          <c:smooth val="0"/>
        </c:ser>
        <c:ser>
          <c:idx val="6"/>
          <c:order val="6"/>
          <c:tx>
            <c:strRef>
              <c:f>NPVData!$A$106</c:f>
              <c:strCache>
                <c:ptCount val="1"/>
                <c:pt idx="0">
                  <c:v>Option G</c:v>
                </c:pt>
              </c:strCache>
            </c:strRef>
          </c:tx>
          <c:spPr>
            <a:ln>
              <a:solidFill>
                <a:schemeClr val="accent1"/>
              </a:solidFill>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NPVData!$D$117:$AG$117</c:f>
              <c:numCache>
                <c:formatCode>0.000</c:formatCode>
                <c:ptCount val="30"/>
                <c:pt idx="0">
                  <c:v>3.7841339999999999</c:v>
                </c:pt>
                <c:pt idx="1">
                  <c:v>4.6722336599999998</c:v>
                </c:pt>
                <c:pt idx="2">
                  <c:v>5.5904252306000002</c:v>
                </c:pt>
                <c:pt idx="3">
                  <c:v>8.1920302901290007</c:v>
                </c:pt>
                <c:pt idx="4">
                  <c:v>10.87168350144387</c:v>
                </c:pt>
                <c:pt idx="5">
                  <c:v>13.631726309098187</c:v>
                </c:pt>
                <c:pt idx="6">
                  <c:v>16.474570400982135</c:v>
                </c:pt>
                <c:pt idx="7">
                  <c:v>19.402699815622597</c:v>
                </c:pt>
                <c:pt idx="8">
                  <c:v>22.418673112702276</c:v>
                </c:pt>
                <c:pt idx="9">
                  <c:v>25.525125608694346</c:v>
                </c:pt>
                <c:pt idx="10">
                  <c:v>28.724771679566174</c:v>
                </c:pt>
                <c:pt idx="11">
                  <c:v>32.020407132564159</c:v>
                </c:pt>
                <c:pt idx="12">
                  <c:v>36.734701902962051</c:v>
                </c:pt>
                <c:pt idx="13">
                  <c:v>41.590425516471882</c:v>
                </c:pt>
                <c:pt idx="14">
                  <c:v>46.591820838387008</c:v>
                </c:pt>
                <c:pt idx="15">
                  <c:v>51.743258019959583</c:v>
                </c:pt>
                <c:pt idx="16">
                  <c:v>57.049238316979341</c:v>
                </c:pt>
                <c:pt idx="17">
                  <c:v>62.514398022909688</c:v>
                </c:pt>
                <c:pt idx="18">
                  <c:v>68.14351252001795</c:v>
                </c:pt>
                <c:pt idx="19">
                  <c:v>73.941500452039463</c:v>
                </c:pt>
                <c:pt idx="20">
                  <c:v>79.91342802202162</c:v>
                </c:pt>
                <c:pt idx="21">
                  <c:v>86.064513419103235</c:v>
                </c:pt>
                <c:pt idx="22">
                  <c:v>92.400131378097299</c:v>
                </c:pt>
                <c:pt idx="23">
                  <c:v>98.925817875861185</c:v>
                </c:pt>
                <c:pt idx="24">
                  <c:v>105.64727496855799</c:v>
                </c:pt>
                <c:pt idx="25">
                  <c:v>112.5703757740357</c:v>
                </c:pt>
                <c:pt idx="26">
                  <c:v>119.70116960367774</c:v>
                </c:pt>
                <c:pt idx="27">
                  <c:v>127.04588724820904</c:v>
                </c:pt>
                <c:pt idx="28">
                  <c:v>134.61094642207627</c:v>
                </c:pt>
                <c:pt idx="29">
                  <c:v>142.40295737115952</c:v>
                </c:pt>
              </c:numCache>
            </c:numRef>
          </c:val>
          <c:smooth val="0"/>
        </c:ser>
        <c:ser>
          <c:idx val="7"/>
          <c:order val="7"/>
          <c:tx>
            <c:strRef>
              <c:f>NPVData!$A$123</c:f>
              <c:strCache>
                <c:ptCount val="1"/>
                <c:pt idx="0">
                  <c:v>Option H</c:v>
                </c:pt>
              </c:strCache>
            </c:strRef>
          </c:tx>
          <c:spPr>
            <a:ln>
              <a:prstDash val="dash"/>
            </a:ln>
          </c:spPr>
          <c:marker>
            <c:symbol val="none"/>
          </c:marker>
          <c:cat>
            <c:strRef>
              <c:f>NPVData!$D$3:$AG$3</c:f>
              <c:strCache>
                <c:ptCount val="30"/>
                <c:pt idx="0">
                  <c:v>13/14</c:v>
                </c:pt>
                <c:pt idx="1">
                  <c:v>14/15</c:v>
                </c:pt>
                <c:pt idx="2">
                  <c:v>15/16</c:v>
                </c:pt>
                <c:pt idx="3">
                  <c:v>16/17</c:v>
                </c:pt>
                <c:pt idx="4">
                  <c:v>17/18</c:v>
                </c:pt>
                <c:pt idx="5">
                  <c:v>18/19</c:v>
                </c:pt>
                <c:pt idx="6">
                  <c:v>19/20</c:v>
                </c:pt>
                <c:pt idx="7">
                  <c:v>20/21</c:v>
                </c:pt>
                <c:pt idx="8">
                  <c:v>21/22</c:v>
                </c:pt>
                <c:pt idx="9">
                  <c:v>22/23</c:v>
                </c:pt>
                <c:pt idx="10">
                  <c:v>23/24</c:v>
                </c:pt>
                <c:pt idx="11">
                  <c:v>24/25</c:v>
                </c:pt>
                <c:pt idx="12">
                  <c:v>25/26</c:v>
                </c:pt>
                <c:pt idx="13">
                  <c:v>26/27</c:v>
                </c:pt>
                <c:pt idx="14">
                  <c:v>27/28</c:v>
                </c:pt>
                <c:pt idx="15">
                  <c:v>28/29</c:v>
                </c:pt>
                <c:pt idx="16">
                  <c:v>29/30</c:v>
                </c:pt>
                <c:pt idx="17">
                  <c:v>30/31</c:v>
                </c:pt>
                <c:pt idx="18">
                  <c:v>31/32</c:v>
                </c:pt>
                <c:pt idx="19">
                  <c:v>32/33</c:v>
                </c:pt>
                <c:pt idx="20">
                  <c:v>33/34</c:v>
                </c:pt>
                <c:pt idx="21">
                  <c:v>34/35</c:v>
                </c:pt>
                <c:pt idx="22">
                  <c:v>35/36</c:v>
                </c:pt>
                <c:pt idx="23">
                  <c:v>36/37</c:v>
                </c:pt>
                <c:pt idx="24">
                  <c:v>37/38</c:v>
                </c:pt>
                <c:pt idx="25">
                  <c:v>38/39</c:v>
                </c:pt>
                <c:pt idx="26">
                  <c:v>39/40</c:v>
                </c:pt>
                <c:pt idx="27">
                  <c:v>40/41</c:v>
                </c:pt>
                <c:pt idx="28">
                  <c:v>41/42</c:v>
                </c:pt>
                <c:pt idx="29">
                  <c:v>42/43</c:v>
                </c:pt>
              </c:strCache>
            </c:strRef>
          </c:cat>
          <c:val>
            <c:numRef>
              <c:f>NPVData!$D$134:$AG$134</c:f>
              <c:numCache>
                <c:formatCode>0.000</c:formatCode>
                <c:ptCount val="30"/>
                <c:pt idx="0">
                  <c:v>2.6686330000000003</c:v>
                </c:pt>
                <c:pt idx="1">
                  <c:v>5.6561085100000001</c:v>
                </c:pt>
                <c:pt idx="2">
                  <c:v>8.7503963961000011</c:v>
                </c:pt>
                <c:pt idx="3">
                  <c:v>11.955663337815</c:v>
                </c:pt>
                <c:pt idx="4">
                  <c:v>14.347557649259356</c:v>
                </c:pt>
                <c:pt idx="5">
                  <c:v>16.007451205491609</c:v>
                </c:pt>
                <c:pt idx="6">
                  <c:v>17.351859761251838</c:v>
                </c:pt>
                <c:pt idx="7">
                  <c:v>18.541022341983414</c:v>
                </c:pt>
                <c:pt idx="8">
                  <c:v>19.765859800136937</c:v>
                </c:pt>
                <c:pt idx="9">
                  <c:v>21.027442382035066</c:v>
                </c:pt>
                <c:pt idx="10">
                  <c:v>22.326872441390137</c:v>
                </c:pt>
                <c:pt idx="11">
                  <c:v>23.665285402525861</c:v>
                </c:pt>
                <c:pt idx="12">
                  <c:v>25.043850752495658</c:v>
                </c:pt>
                <c:pt idx="13">
                  <c:v>26.463773062964549</c:v>
                </c:pt>
                <c:pt idx="14">
                  <c:v>27.926293042747506</c:v>
                </c:pt>
                <c:pt idx="15">
                  <c:v>29.432688621923951</c:v>
                </c:pt>
                <c:pt idx="16">
                  <c:v>30.98427606847569</c:v>
                </c:pt>
                <c:pt idx="17">
                  <c:v>32.582411138423986</c:v>
                </c:pt>
                <c:pt idx="18">
                  <c:v>34.228490260470728</c:v>
                </c:pt>
                <c:pt idx="19">
                  <c:v>35.923951756178873</c:v>
                </c:pt>
                <c:pt idx="20">
                  <c:v>37.670277096758262</c:v>
                </c:pt>
                <c:pt idx="21">
                  <c:v>39.468992197555032</c:v>
                </c:pt>
                <c:pt idx="22">
                  <c:v>41.321668751375704</c:v>
                </c:pt>
                <c:pt idx="23">
                  <c:v>43.229925601810997</c:v>
                </c:pt>
                <c:pt idx="24">
                  <c:v>45.195430157759347</c:v>
                </c:pt>
                <c:pt idx="25">
                  <c:v>47.219899850386149</c:v>
                </c:pt>
                <c:pt idx="26">
                  <c:v>49.305103633791752</c:v>
                </c:pt>
                <c:pt idx="27">
                  <c:v>51.452863530699524</c:v>
                </c:pt>
                <c:pt idx="28">
                  <c:v>53.66505622451453</c:v>
                </c:pt>
                <c:pt idx="29">
                  <c:v>55.943614699143986</c:v>
                </c:pt>
              </c:numCache>
            </c:numRef>
          </c:val>
          <c:smooth val="0"/>
        </c:ser>
        <c:dLbls>
          <c:showLegendKey val="0"/>
          <c:showVal val="0"/>
          <c:showCatName val="0"/>
          <c:showSerName val="0"/>
          <c:showPercent val="0"/>
          <c:showBubbleSize val="0"/>
        </c:dLbls>
        <c:marker val="1"/>
        <c:smooth val="0"/>
        <c:axId val="47551232"/>
        <c:axId val="47552768"/>
      </c:lineChart>
      <c:catAx>
        <c:axId val="47551232"/>
        <c:scaling>
          <c:orientation val="minMax"/>
        </c:scaling>
        <c:delete val="0"/>
        <c:axPos val="b"/>
        <c:numFmt formatCode="General" sourceLinked="1"/>
        <c:majorTickMark val="out"/>
        <c:minorTickMark val="none"/>
        <c:tickLblPos val="nextTo"/>
        <c:crossAx val="47552768"/>
        <c:crosses val="autoZero"/>
        <c:auto val="1"/>
        <c:lblAlgn val="ctr"/>
        <c:lblOffset val="100"/>
        <c:noMultiLvlLbl val="0"/>
      </c:catAx>
      <c:valAx>
        <c:axId val="47552768"/>
        <c:scaling>
          <c:orientation val="minMax"/>
        </c:scaling>
        <c:delete val="0"/>
        <c:axPos val="l"/>
        <c:majorGridlines/>
        <c:numFmt formatCode="0" sourceLinked="0"/>
        <c:majorTickMark val="out"/>
        <c:minorTickMark val="none"/>
        <c:tickLblPos val="nextTo"/>
        <c:crossAx val="47551232"/>
        <c:crosses val="autoZero"/>
        <c:crossBetween val="between"/>
      </c:valAx>
    </c:plotArea>
    <c:legend>
      <c:legendPos val="r"/>
      <c:layout>
        <c:manualLayout>
          <c:xMode val="edge"/>
          <c:yMode val="edge"/>
          <c:x val="6.8165501246557972E-2"/>
          <c:y val="0.91669479538468868"/>
          <c:w val="0.88791631260911108"/>
          <c:h val="6.2952196976820335E-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Options Analysis</a:t>
            </a:r>
          </a:p>
        </c:rich>
      </c:tx>
      <c:layout/>
      <c:overlay val="1"/>
    </c:title>
    <c:autoTitleDeleted val="0"/>
    <c:plotArea>
      <c:layout>
        <c:manualLayout>
          <c:layoutTarget val="inner"/>
          <c:xMode val="edge"/>
          <c:yMode val="edge"/>
          <c:x val="9.0076614363693741E-2"/>
          <c:y val="0.11672736238509185"/>
          <c:w val="0.87370509089257453"/>
          <c:h val="0.69195062600442248"/>
        </c:manualLayout>
      </c:layout>
      <c:barChart>
        <c:barDir val="col"/>
        <c:grouping val="clustered"/>
        <c:varyColors val="0"/>
        <c:ser>
          <c:idx val="0"/>
          <c:order val="0"/>
          <c:tx>
            <c:v>Implementation Costs</c:v>
          </c:tx>
          <c:spPr>
            <a:ln>
              <a:solidFill>
                <a:schemeClr val="tx1"/>
              </a:solidFill>
            </a:ln>
          </c:spPr>
          <c:invertIfNegative val="0"/>
          <c:cat>
            <c:strRef>
              <c:f>(NPVData!$A$4,NPVData!$A$21,NPVData!$A$38,NPVData!$A$55,NPVData!$A$72,NPVData!$A$89,NPVData!$A$106,NPVData!$A$123)</c:f>
              <c:strCache>
                <c:ptCount val="8"/>
                <c:pt idx="0">
                  <c:v>Option A</c:v>
                </c:pt>
                <c:pt idx="1">
                  <c:v>Option B</c:v>
                </c:pt>
                <c:pt idx="2">
                  <c:v>Option C</c:v>
                </c:pt>
                <c:pt idx="3">
                  <c:v>Option D</c:v>
                </c:pt>
                <c:pt idx="4">
                  <c:v>Business As Usual</c:v>
                </c:pt>
                <c:pt idx="5">
                  <c:v>Option F</c:v>
                </c:pt>
                <c:pt idx="6">
                  <c:v>Option G</c:v>
                </c:pt>
                <c:pt idx="7">
                  <c:v>Option H</c:v>
                </c:pt>
              </c:strCache>
            </c:strRef>
          </c:cat>
          <c:val>
            <c:numRef>
              <c:f>(NPVData!$AH$5,NPVData!$AH$22,NPVData!$AH$39,NPVData!$AH$56,NPVData!$AH$73,NPVData!$AH$90,NPVData!$AH$107,NPVData!$AH$124)</c:f>
              <c:numCache>
                <c:formatCode>0.000</c:formatCode>
                <c:ptCount val="8"/>
                <c:pt idx="0">
                  <c:v>48.987266000000005</c:v>
                </c:pt>
                <c:pt idx="1">
                  <c:v>59.935876000000007</c:v>
                </c:pt>
                <c:pt idx="2">
                  <c:v>50.387914508749994</c:v>
                </c:pt>
                <c:pt idx="3">
                  <c:v>101.297628</c:v>
                </c:pt>
                <c:pt idx="4">
                  <c:v>0</c:v>
                </c:pt>
                <c:pt idx="5">
                  <c:v>22.962508799999998</c:v>
                </c:pt>
                <c:pt idx="6">
                  <c:v>43.175125269527996</c:v>
                </c:pt>
                <c:pt idx="7">
                  <c:v>54.739211312582285</c:v>
                </c:pt>
              </c:numCache>
            </c:numRef>
          </c:val>
        </c:ser>
        <c:ser>
          <c:idx val="1"/>
          <c:order val="1"/>
          <c:tx>
            <c:v>Lifecycle Costs</c:v>
          </c:tx>
          <c:spPr>
            <a:ln>
              <a:solidFill>
                <a:schemeClr val="tx1"/>
              </a:solidFill>
            </a:ln>
          </c:spPr>
          <c:invertIfNegative val="0"/>
          <c:cat>
            <c:strRef>
              <c:f>(NPVData!$A$4,NPVData!$A$21,NPVData!$A$38,NPVData!$A$55,NPVData!$A$72,NPVData!$A$89,NPVData!$A$106,NPVData!$A$123)</c:f>
              <c:strCache>
                <c:ptCount val="8"/>
                <c:pt idx="0">
                  <c:v>Option A</c:v>
                </c:pt>
                <c:pt idx="1">
                  <c:v>Option B</c:v>
                </c:pt>
                <c:pt idx="2">
                  <c:v>Option C</c:v>
                </c:pt>
                <c:pt idx="3">
                  <c:v>Option D</c:v>
                </c:pt>
                <c:pt idx="4">
                  <c:v>Business As Usual</c:v>
                </c:pt>
                <c:pt idx="5">
                  <c:v>Option F</c:v>
                </c:pt>
                <c:pt idx="6">
                  <c:v>Option G</c:v>
                </c:pt>
                <c:pt idx="7">
                  <c:v>Option H</c:v>
                </c:pt>
              </c:strCache>
            </c:strRef>
          </c:cat>
          <c:val>
            <c:numRef>
              <c:f>(NPVData!$AH$6,NPVData!$AH$23,NPVData!$AH$40,NPVData!$AH$57,NPVData!$AH$74,NPVData!$AH$91,NPVData!$AH$108,NPVData!$AH$125)</c:f>
              <c:numCache>
                <c:formatCode>0.000</c:formatCode>
                <c:ptCount val="8"/>
                <c:pt idx="0">
                  <c:v>47.846622280279846</c:v>
                </c:pt>
                <c:pt idx="1">
                  <c:v>64.818842979036177</c:v>
                </c:pt>
                <c:pt idx="2">
                  <c:v>49.989551498348341</c:v>
                </c:pt>
                <c:pt idx="3">
                  <c:v>56.148315717545323</c:v>
                </c:pt>
                <c:pt idx="4">
                  <c:v>223.33150886186368</c:v>
                </c:pt>
                <c:pt idx="5">
                  <c:v>216.25028681491483</c:v>
                </c:pt>
                <c:pt idx="6">
                  <c:v>142.40295737115952</c:v>
                </c:pt>
                <c:pt idx="7">
                  <c:v>55.943614699143986</c:v>
                </c:pt>
              </c:numCache>
            </c:numRef>
          </c:val>
        </c:ser>
        <c:ser>
          <c:idx val="2"/>
          <c:order val="2"/>
          <c:tx>
            <c:v>Value of Benefits</c:v>
          </c:tx>
          <c:spPr>
            <a:ln>
              <a:solidFill>
                <a:schemeClr val="tx1"/>
              </a:solidFill>
            </a:ln>
          </c:spPr>
          <c:invertIfNegative val="0"/>
          <c:cat>
            <c:strRef>
              <c:f>(NPVData!$A$4,NPVData!$A$21,NPVData!$A$38,NPVData!$A$55,NPVData!$A$72,NPVData!$A$89,NPVData!$A$106,NPVData!$A$123)</c:f>
              <c:strCache>
                <c:ptCount val="8"/>
                <c:pt idx="0">
                  <c:v>Option A</c:v>
                </c:pt>
                <c:pt idx="1">
                  <c:v>Option B</c:v>
                </c:pt>
                <c:pt idx="2">
                  <c:v>Option C</c:v>
                </c:pt>
                <c:pt idx="3">
                  <c:v>Option D</c:v>
                </c:pt>
                <c:pt idx="4">
                  <c:v>Business As Usual</c:v>
                </c:pt>
                <c:pt idx="5">
                  <c:v>Option F</c:v>
                </c:pt>
                <c:pt idx="6">
                  <c:v>Option G</c:v>
                </c:pt>
                <c:pt idx="7">
                  <c:v>Option H</c:v>
                </c:pt>
              </c:strCache>
            </c:strRef>
          </c:cat>
          <c:val>
            <c:numRef>
              <c:f>(NPVData!$AH$7,NPVData!$AH$24,NPVData!$AH$41,NPVData!$AH$58,NPVData!$AH$75,NPVData!$AH$92,NPVData!$AH$109,NPVData!$AH$126)</c:f>
              <c:numCache>
                <c:formatCode>0.000</c:formatCode>
                <c:ptCount val="8"/>
                <c:pt idx="0">
                  <c:v>5.2929633705408001</c:v>
                </c:pt>
                <c:pt idx="1">
                  <c:v>5.2929633705408001</c:v>
                </c:pt>
                <c:pt idx="2">
                  <c:v>5.2929633705408001</c:v>
                </c:pt>
                <c:pt idx="3">
                  <c:v>75.259407038205012</c:v>
                </c:pt>
                <c:pt idx="4">
                  <c:v>0</c:v>
                </c:pt>
                <c:pt idx="5">
                  <c:v>0</c:v>
                </c:pt>
                <c:pt idx="6">
                  <c:v>0</c:v>
                </c:pt>
                <c:pt idx="7">
                  <c:v>5.886740754380221</c:v>
                </c:pt>
              </c:numCache>
            </c:numRef>
          </c:val>
        </c:ser>
        <c:ser>
          <c:idx val="3"/>
          <c:order val="3"/>
          <c:tx>
            <c:v>Risk Score</c:v>
          </c:tx>
          <c:spPr>
            <a:ln>
              <a:solidFill>
                <a:schemeClr val="tx1"/>
              </a:solidFill>
            </a:ln>
          </c:spPr>
          <c:invertIfNegative val="0"/>
          <c:val>
            <c:numRef>
              <c:f>(NPVData!$A$6,NPVData!$A$23,NPVData!$A$40,NPVData!$A$57,NPVData!$A$74,NPVData!$A$91,NPVData!$A$108,NPVData!$A$125)</c:f>
              <c:numCache>
                <c:formatCode>General</c:formatCode>
                <c:ptCount val="8"/>
                <c:pt idx="0">
                  <c:v>0</c:v>
                </c:pt>
                <c:pt idx="1">
                  <c:v>0</c:v>
                </c:pt>
                <c:pt idx="2">
                  <c:v>0</c:v>
                </c:pt>
                <c:pt idx="3">
                  <c:v>-9</c:v>
                </c:pt>
                <c:pt idx="4">
                  <c:v>-43</c:v>
                </c:pt>
                <c:pt idx="5">
                  <c:v>-29</c:v>
                </c:pt>
                <c:pt idx="6">
                  <c:v>-21</c:v>
                </c:pt>
                <c:pt idx="7">
                  <c:v>-4</c:v>
                </c:pt>
              </c:numCache>
            </c:numRef>
          </c:val>
        </c:ser>
        <c:dLbls>
          <c:showLegendKey val="0"/>
          <c:showVal val="0"/>
          <c:showCatName val="0"/>
          <c:showSerName val="0"/>
          <c:showPercent val="0"/>
          <c:showBubbleSize val="0"/>
        </c:dLbls>
        <c:gapWidth val="54"/>
        <c:axId val="47579904"/>
        <c:axId val="47581440"/>
      </c:barChart>
      <c:catAx>
        <c:axId val="47579904"/>
        <c:scaling>
          <c:orientation val="minMax"/>
        </c:scaling>
        <c:delete val="0"/>
        <c:axPos val="b"/>
        <c:majorTickMark val="out"/>
        <c:minorTickMark val="none"/>
        <c:tickLblPos val="low"/>
        <c:crossAx val="47581440"/>
        <c:crosses val="autoZero"/>
        <c:auto val="1"/>
        <c:lblAlgn val="ctr"/>
        <c:lblOffset val="100"/>
        <c:noMultiLvlLbl val="0"/>
      </c:catAx>
      <c:valAx>
        <c:axId val="47581440"/>
        <c:scaling>
          <c:orientation val="minMax"/>
        </c:scaling>
        <c:delete val="0"/>
        <c:axPos val="l"/>
        <c:majorGridlines/>
        <c:numFmt formatCode="0" sourceLinked="0"/>
        <c:majorTickMark val="out"/>
        <c:minorTickMark val="none"/>
        <c:tickLblPos val="nextTo"/>
        <c:crossAx val="47579904"/>
        <c:crosses val="autoZero"/>
        <c:crossBetween val="between"/>
      </c:valAx>
    </c:plotArea>
    <c:legend>
      <c:legendPos val="r"/>
      <c:layout>
        <c:manualLayout>
          <c:xMode val="edge"/>
          <c:yMode val="edge"/>
          <c:x val="0.11514740228238521"/>
          <c:y val="0.92405399794656751"/>
          <c:w val="0.78869223351513018"/>
          <c:h val="6.3472283769420684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766185476815402E-2"/>
          <c:y val="8.8437591134441523E-2"/>
          <c:w val="0.83358061518459048"/>
          <c:h val="0.7073840769903762"/>
        </c:manualLayout>
      </c:layout>
      <c:barChart>
        <c:barDir val="col"/>
        <c:grouping val="clustered"/>
        <c:varyColors val="0"/>
        <c:ser>
          <c:idx val="1"/>
          <c:order val="1"/>
          <c:tx>
            <c:v>Level of Risk</c:v>
          </c:tx>
          <c:invertIfNegative val="0"/>
          <c:val>
            <c:numRef>
              <c:f>Summary!$C$23:$J$23</c:f>
              <c:numCache>
                <c:formatCode>#,##0_ ;\-#,##0\ </c:formatCode>
                <c:ptCount val="8"/>
                <c:pt idx="0">
                  <c:v>0</c:v>
                </c:pt>
                <c:pt idx="1">
                  <c:v>0</c:v>
                </c:pt>
                <c:pt idx="2">
                  <c:v>0</c:v>
                </c:pt>
                <c:pt idx="3">
                  <c:v>-9</c:v>
                </c:pt>
                <c:pt idx="4">
                  <c:v>-29</c:v>
                </c:pt>
                <c:pt idx="5">
                  <c:v>-21</c:v>
                </c:pt>
                <c:pt idx="6">
                  <c:v>-4</c:v>
                </c:pt>
                <c:pt idx="7">
                  <c:v>-43</c:v>
                </c:pt>
              </c:numCache>
            </c:numRef>
          </c:val>
        </c:ser>
        <c:dLbls>
          <c:showLegendKey val="0"/>
          <c:showVal val="0"/>
          <c:showCatName val="0"/>
          <c:showSerName val="0"/>
          <c:showPercent val="0"/>
          <c:showBubbleSize val="0"/>
        </c:dLbls>
        <c:gapWidth val="75"/>
        <c:axId val="47619456"/>
        <c:axId val="47617920"/>
      </c:barChart>
      <c:lineChart>
        <c:grouping val="standard"/>
        <c:varyColors val="0"/>
        <c:ser>
          <c:idx val="0"/>
          <c:order val="0"/>
          <c:tx>
            <c:v>NPV</c:v>
          </c:tx>
          <c:spPr>
            <a:ln w="38100"/>
          </c:spPr>
          <c:marker>
            <c:symbol val="diamond"/>
            <c:size val="11"/>
          </c:marker>
          <c:cat>
            <c:strRef>
              <c:f>Summary!$C$16:$J$16</c:f>
              <c:strCache>
                <c:ptCount val="8"/>
                <c:pt idx="0">
                  <c:v>Option A</c:v>
                </c:pt>
                <c:pt idx="1">
                  <c:v>Option B</c:v>
                </c:pt>
                <c:pt idx="2">
                  <c:v>Option C</c:v>
                </c:pt>
                <c:pt idx="3">
                  <c:v>Option D</c:v>
                </c:pt>
                <c:pt idx="4">
                  <c:v>Option F</c:v>
                </c:pt>
                <c:pt idx="5">
                  <c:v>Option G</c:v>
                </c:pt>
                <c:pt idx="6">
                  <c:v>Option H</c:v>
                </c:pt>
                <c:pt idx="7">
                  <c:v>Option E / 
Do Nothing</c:v>
                </c:pt>
              </c:strCache>
            </c:strRef>
          </c:cat>
          <c:val>
            <c:numRef>
              <c:f>Summary!$C$20:$J$20</c:f>
              <c:numCache>
                <c:formatCode>_("$"* #,##0.00_);_("$"* \(#,##0.00\);_("$"* "-"??_);_(@_)</c:formatCode>
                <c:ptCount val="8"/>
                <c:pt idx="0">
                  <c:v>-53.288961227556086</c:v>
                </c:pt>
                <c:pt idx="1">
                  <c:v>-66.560748987932982</c:v>
                </c:pt>
                <c:pt idx="2">
                  <c:v>-53.750333494380996</c:v>
                </c:pt>
                <c:pt idx="3">
                  <c:v>-74.581983448669178</c:v>
                </c:pt>
                <c:pt idx="4">
                  <c:v>-73.81227091490949</c:v>
                </c:pt>
                <c:pt idx="5">
                  <c:v>-71.66376863613543</c:v>
                </c:pt>
                <c:pt idx="6">
                  <c:v>-54.610659945785358</c:v>
                </c:pt>
                <c:pt idx="7">
                  <c:v>-56.019204751391101</c:v>
                </c:pt>
              </c:numCache>
            </c:numRef>
          </c:val>
          <c:smooth val="0"/>
        </c:ser>
        <c:dLbls>
          <c:showLegendKey val="0"/>
          <c:showVal val="0"/>
          <c:showCatName val="0"/>
          <c:showSerName val="0"/>
          <c:showPercent val="0"/>
          <c:showBubbleSize val="0"/>
        </c:dLbls>
        <c:marker val="1"/>
        <c:smooth val="0"/>
        <c:axId val="47614208"/>
        <c:axId val="47616000"/>
      </c:lineChart>
      <c:catAx>
        <c:axId val="47614208"/>
        <c:scaling>
          <c:orientation val="minMax"/>
        </c:scaling>
        <c:delete val="0"/>
        <c:axPos val="t"/>
        <c:majorTickMark val="out"/>
        <c:minorTickMark val="none"/>
        <c:tickLblPos val="high"/>
        <c:crossAx val="47616000"/>
        <c:crosses val="autoZero"/>
        <c:auto val="1"/>
        <c:lblAlgn val="ctr"/>
        <c:lblOffset val="100"/>
        <c:noMultiLvlLbl val="0"/>
      </c:catAx>
      <c:valAx>
        <c:axId val="47616000"/>
        <c:scaling>
          <c:orientation val="maxMin"/>
        </c:scaling>
        <c:delete val="0"/>
        <c:axPos val="l"/>
        <c:majorGridlines/>
        <c:title>
          <c:tx>
            <c:rich>
              <a:bodyPr rot="0" vert="horz"/>
              <a:lstStyle/>
              <a:p>
                <a:pPr>
                  <a:defRPr/>
                </a:pPr>
                <a:r>
                  <a:rPr lang="en-AU"/>
                  <a:t>$m</a:t>
                </a:r>
              </a:p>
            </c:rich>
          </c:tx>
          <c:layout>
            <c:manualLayout>
              <c:xMode val="edge"/>
              <c:yMode val="edge"/>
              <c:x val="3.601244939867216E-2"/>
              <c:y val="0.83915455323445576"/>
            </c:manualLayout>
          </c:layout>
          <c:overlay val="0"/>
        </c:title>
        <c:numFmt formatCode="_(&quot;$&quot;* #,##0_);_(&quot;$&quot;* \(#,##0\);_(&quot;$&quot;* &quot;-&quot;_);_(@_)" sourceLinked="0"/>
        <c:majorTickMark val="out"/>
        <c:minorTickMark val="none"/>
        <c:tickLblPos val="nextTo"/>
        <c:crossAx val="47614208"/>
        <c:crosses val="autoZero"/>
        <c:crossBetween val="between"/>
      </c:valAx>
      <c:valAx>
        <c:axId val="47617920"/>
        <c:scaling>
          <c:orientation val="maxMin"/>
        </c:scaling>
        <c:delete val="0"/>
        <c:axPos val="r"/>
        <c:numFmt formatCode="General" sourceLinked="0"/>
        <c:majorTickMark val="out"/>
        <c:minorTickMark val="none"/>
        <c:tickLblPos val="high"/>
        <c:crossAx val="47619456"/>
        <c:crosses val="max"/>
        <c:crossBetween val="between"/>
      </c:valAx>
      <c:catAx>
        <c:axId val="47619456"/>
        <c:scaling>
          <c:orientation val="minMax"/>
        </c:scaling>
        <c:delete val="1"/>
        <c:axPos val="t"/>
        <c:majorTickMark val="out"/>
        <c:minorTickMark val="none"/>
        <c:tickLblPos val="nextTo"/>
        <c:crossAx val="47617920"/>
        <c:crosses val="autoZero"/>
        <c:auto val="1"/>
        <c:lblAlgn val="ctr"/>
        <c:lblOffset val="100"/>
        <c:noMultiLvlLbl val="0"/>
      </c:catAx>
    </c:plotArea>
    <c:legend>
      <c:legendPos val="r"/>
      <c:layout>
        <c:manualLayout>
          <c:xMode val="edge"/>
          <c:yMode val="edge"/>
          <c:x val="0.19329844846224836"/>
          <c:y val="0.90683143773694952"/>
          <c:w val="0.44674552709198723"/>
          <c:h val="8.9114537766112556E-2"/>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76727828990852"/>
          <c:y val="5.1400558801117602E-2"/>
          <c:w val="0.83711330788986549"/>
          <c:h val="0.57503446684549042"/>
        </c:manualLayout>
      </c:layout>
      <c:barChart>
        <c:barDir val="col"/>
        <c:grouping val="stacked"/>
        <c:varyColors val="0"/>
        <c:ser>
          <c:idx val="0"/>
          <c:order val="0"/>
          <c:tx>
            <c:v>Project Costs</c:v>
          </c:tx>
          <c:invertIfNegative val="0"/>
          <c:cat>
            <c:strRef>
              <c:f>'OP1,3,8-Project Cost'!$B$34:$F$34</c:f>
              <c:strCache>
                <c:ptCount val="5"/>
                <c:pt idx="0">
                  <c:v>12/13</c:v>
                </c:pt>
                <c:pt idx="1">
                  <c:v>13/14</c:v>
                </c:pt>
                <c:pt idx="2">
                  <c:v>14/15</c:v>
                </c:pt>
                <c:pt idx="3">
                  <c:v>15/16</c:v>
                </c:pt>
                <c:pt idx="4">
                  <c:v>16/17</c:v>
                </c:pt>
              </c:strCache>
            </c:strRef>
          </c:cat>
          <c:val>
            <c:numRef>
              <c:f>'OP1,3,8-Project Cost'!$B$35:$F$35</c:f>
              <c:numCache>
                <c:formatCode>"$"#,##0</c:formatCode>
                <c:ptCount val="5"/>
                <c:pt idx="0">
                  <c:v>1420630.6936999999</c:v>
                </c:pt>
                <c:pt idx="1">
                  <c:v>1255053.7369859999</c:v>
                </c:pt>
                <c:pt idx="2">
                  <c:v>18155660.265485998</c:v>
                </c:pt>
                <c:pt idx="3">
                  <c:v>21799333.058499999</c:v>
                </c:pt>
                <c:pt idx="4">
                  <c:v>6356587.5453279987</c:v>
                </c:pt>
              </c:numCache>
            </c:numRef>
          </c:val>
        </c:ser>
        <c:ser>
          <c:idx val="2"/>
          <c:order val="1"/>
          <c:tx>
            <c:v>Overheads</c:v>
          </c:tx>
          <c:invertIfNegative val="0"/>
          <c:cat>
            <c:strRef>
              <c:f>'OP1,3,8-Project Cost'!$B$34:$F$34</c:f>
              <c:strCache>
                <c:ptCount val="5"/>
                <c:pt idx="0">
                  <c:v>12/13</c:v>
                </c:pt>
                <c:pt idx="1">
                  <c:v>13/14</c:v>
                </c:pt>
                <c:pt idx="2">
                  <c:v>14/15</c:v>
                </c:pt>
                <c:pt idx="3">
                  <c:v>15/16</c:v>
                </c:pt>
                <c:pt idx="4">
                  <c:v>16/17</c:v>
                </c:pt>
              </c:strCache>
            </c:strRef>
          </c:cat>
          <c:val>
            <c:numRef>
              <c:f>'OP1,3,8-Project Cost'!$B$37:$F$37</c:f>
              <c:numCache>
                <c:formatCode>"$"#,##0</c:formatCode>
                <c:ptCount val="5"/>
                <c:pt idx="0">
                  <c:v>710315.34684999997</c:v>
                </c:pt>
                <c:pt idx="1">
                  <c:v>627526.86849299993</c:v>
                </c:pt>
                <c:pt idx="2">
                  <c:v>9077830.1327429991</c:v>
                </c:pt>
                <c:pt idx="3">
                  <c:v>10899666.52925</c:v>
                </c:pt>
                <c:pt idx="4">
                  <c:v>3178293.7726639993</c:v>
                </c:pt>
              </c:numCache>
            </c:numRef>
          </c:val>
        </c:ser>
        <c:ser>
          <c:idx val="3"/>
          <c:order val="2"/>
          <c:tx>
            <c:v>Capitalised Interest</c:v>
          </c:tx>
          <c:invertIfNegative val="0"/>
          <c:cat>
            <c:strRef>
              <c:f>'OP1,3,8-Project Cost'!$B$34:$F$34</c:f>
              <c:strCache>
                <c:ptCount val="5"/>
                <c:pt idx="0">
                  <c:v>12/13</c:v>
                </c:pt>
                <c:pt idx="1">
                  <c:v>13/14</c:v>
                </c:pt>
                <c:pt idx="2">
                  <c:v>14/15</c:v>
                </c:pt>
                <c:pt idx="3">
                  <c:v>15/16</c:v>
                </c:pt>
                <c:pt idx="4">
                  <c:v>16/17</c:v>
                </c:pt>
              </c:strCache>
            </c:strRef>
          </c:cat>
          <c:val>
            <c:numRef>
              <c:f>'OP1,3,8-Project Cost'!$B$38:$F$38</c:f>
              <c:numCache>
                <c:formatCode>"$"#,##0</c:formatCode>
                <c:ptCount val="5"/>
                <c:pt idx="0">
                  <c:v>83877.681503646978</c:v>
                </c:pt>
                <c:pt idx="1">
                  <c:v>236809.95740030595</c:v>
                </c:pt>
                <c:pt idx="2">
                  <c:v>1390362.6588858338</c:v>
                </c:pt>
                <c:pt idx="3">
                  <c:v>1287088.5610042382</c:v>
                </c:pt>
                <c:pt idx="4">
                  <c:v>375309.23972114583</c:v>
                </c:pt>
              </c:numCache>
            </c:numRef>
          </c:val>
        </c:ser>
        <c:dLbls>
          <c:showLegendKey val="0"/>
          <c:showVal val="0"/>
          <c:showCatName val="0"/>
          <c:showSerName val="0"/>
          <c:showPercent val="0"/>
          <c:showBubbleSize val="0"/>
        </c:dLbls>
        <c:gapWidth val="75"/>
        <c:overlap val="100"/>
        <c:axId val="95490432"/>
        <c:axId val="95491968"/>
      </c:barChart>
      <c:catAx>
        <c:axId val="95490432"/>
        <c:scaling>
          <c:orientation val="minMax"/>
        </c:scaling>
        <c:delete val="0"/>
        <c:axPos val="b"/>
        <c:majorTickMark val="out"/>
        <c:minorTickMark val="none"/>
        <c:tickLblPos val="nextTo"/>
        <c:crossAx val="95491968"/>
        <c:crosses val="autoZero"/>
        <c:auto val="1"/>
        <c:lblAlgn val="ctr"/>
        <c:lblOffset val="100"/>
        <c:noMultiLvlLbl val="0"/>
      </c:catAx>
      <c:valAx>
        <c:axId val="95491968"/>
        <c:scaling>
          <c:orientation val="minMax"/>
        </c:scaling>
        <c:delete val="0"/>
        <c:axPos val="l"/>
        <c:majorGridlines/>
        <c:numFmt formatCode="&quot;$&quot;#,,&quot;m&quot;" sourceLinked="0"/>
        <c:majorTickMark val="out"/>
        <c:minorTickMark val="none"/>
        <c:tickLblPos val="nextTo"/>
        <c:crossAx val="95490432"/>
        <c:crosses val="autoZero"/>
        <c:crossBetween val="between"/>
      </c:valAx>
      <c:dTable>
        <c:showHorzBorder val="1"/>
        <c:showVertBorder val="1"/>
        <c:showOutline val="1"/>
        <c:showKeys val="0"/>
      </c:dTable>
    </c:plotArea>
    <c:legend>
      <c:legendPos val="r"/>
      <c:layout>
        <c:manualLayout>
          <c:xMode val="edge"/>
          <c:yMode val="edge"/>
          <c:x val="0.25330237163468339"/>
          <c:y val="0.90853249113091628"/>
          <c:w val="0.54845678721297564"/>
          <c:h val="7.8845821691643378E-2"/>
        </c:manualLayout>
      </c:layout>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2.emf"/><Relationship Id="rId1" Type="http://schemas.openxmlformats.org/officeDocument/2006/relationships/image" Target="../media/image13.emf"/><Relationship Id="rId4"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7.emf"/><Relationship Id="rId1" Type="http://schemas.openxmlformats.org/officeDocument/2006/relationships/image" Target="../media/image18.emf"/><Relationship Id="rId4" Type="http://schemas.openxmlformats.org/officeDocument/2006/relationships/image" Target="../media/image1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3.emf"/><Relationship Id="rId1" Type="http://schemas.openxmlformats.org/officeDocument/2006/relationships/image" Target="../media/image24.emf"/><Relationship Id="rId4" Type="http://schemas.openxmlformats.org/officeDocument/2006/relationships/image" Target="../media/image21.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8.emf"/><Relationship Id="rId1" Type="http://schemas.openxmlformats.org/officeDocument/2006/relationships/image" Target="../media/image29.emf"/><Relationship Id="rId4"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0</xdr:col>
      <xdr:colOff>190499</xdr:colOff>
      <xdr:row>0</xdr:row>
      <xdr:rowOff>78441</xdr:rowOff>
    </xdr:from>
    <xdr:to>
      <xdr:col>20</xdr:col>
      <xdr:colOff>235323</xdr:colOff>
      <xdr:row>20</xdr:row>
      <xdr:rowOff>33618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190498</xdr:colOff>
      <xdr:row>20</xdr:row>
      <xdr:rowOff>32845</xdr:rowOff>
    </xdr:from>
    <xdr:to>
      <xdr:col>20</xdr:col>
      <xdr:colOff>235322</xdr:colOff>
      <xdr:row>41</xdr:row>
      <xdr:rowOff>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40</xdr:row>
      <xdr:rowOff>179294</xdr:rowOff>
    </xdr:from>
    <xdr:to>
      <xdr:col>20</xdr:col>
      <xdr:colOff>235322</xdr:colOff>
      <xdr:row>61</xdr:row>
      <xdr:rowOff>146450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380998</xdr:colOff>
      <xdr:row>0</xdr:row>
      <xdr:rowOff>78440</xdr:rowOff>
    </xdr:from>
    <xdr:to>
      <xdr:col>32</xdr:col>
      <xdr:colOff>358587</xdr:colOff>
      <xdr:row>21</xdr:row>
      <xdr:rowOff>33618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369795</xdr:colOff>
      <xdr:row>21</xdr:row>
      <xdr:rowOff>22411</xdr:rowOff>
    </xdr:from>
    <xdr:to>
      <xdr:col>30</xdr:col>
      <xdr:colOff>313767</xdr:colOff>
      <xdr:row>36</xdr:row>
      <xdr:rowOff>88525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21</xdr:row>
          <xdr:rowOff>19050</xdr:rowOff>
        </xdr:from>
        <xdr:to>
          <xdr:col>1</xdr:col>
          <xdr:colOff>476250</xdr:colOff>
          <xdr:row>21</xdr:row>
          <xdr:rowOff>152400</xdr:rowOff>
        </xdr:to>
        <xdr:sp macro="" textlink="">
          <xdr:nvSpPr>
            <xdr:cNvPr id="15361" name="CheckBox1" hidden="1">
              <a:extLst>
                <a:ext uri="{63B3BB69-23CF-44E3-9099-C40C66FF867C}">
                  <a14:compatExt spid="_x0000_s153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19050</xdr:rowOff>
        </xdr:from>
        <xdr:to>
          <xdr:col>2</xdr:col>
          <xdr:colOff>476250</xdr:colOff>
          <xdr:row>21</xdr:row>
          <xdr:rowOff>152400</xdr:rowOff>
        </xdr:to>
        <xdr:sp macro="" textlink="">
          <xdr:nvSpPr>
            <xdr:cNvPr id="15362" name="CheckBox2" hidden="1">
              <a:extLst>
                <a:ext uri="{63B3BB69-23CF-44E3-9099-C40C66FF867C}">
                  <a14:compatExt spid="_x0000_s153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21</xdr:row>
          <xdr:rowOff>19050</xdr:rowOff>
        </xdr:from>
        <xdr:to>
          <xdr:col>3</xdr:col>
          <xdr:colOff>476250</xdr:colOff>
          <xdr:row>21</xdr:row>
          <xdr:rowOff>152400</xdr:rowOff>
        </xdr:to>
        <xdr:sp macro="" textlink="">
          <xdr:nvSpPr>
            <xdr:cNvPr id="15363" name="CheckBox3" hidden="1">
              <a:extLst>
                <a:ext uri="{63B3BB69-23CF-44E3-9099-C40C66FF867C}">
                  <a14:compatExt spid="_x0000_s153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21</xdr:row>
          <xdr:rowOff>19050</xdr:rowOff>
        </xdr:from>
        <xdr:to>
          <xdr:col>4</xdr:col>
          <xdr:colOff>476250</xdr:colOff>
          <xdr:row>21</xdr:row>
          <xdr:rowOff>152400</xdr:rowOff>
        </xdr:to>
        <xdr:sp macro="" textlink="">
          <xdr:nvSpPr>
            <xdr:cNvPr id="15364" name="CheckBox4" hidden="1">
              <a:extLst>
                <a:ext uri="{63B3BB69-23CF-44E3-9099-C40C66FF867C}">
                  <a14:compatExt spid="_x0000_s15364"/>
                </a:ext>
              </a:extLst>
            </xdr:cNvPr>
            <xdr:cNvSpPr/>
          </xdr:nvSpPr>
          <xdr:spPr>
            <a:xfrm>
              <a:off x="0" y="0"/>
              <a:ext cx="0" cy="0"/>
            </a:xfrm>
            <a:prstGeom prst="rect">
              <a:avLst/>
            </a:prstGeom>
          </xdr:spPr>
        </xdr:sp>
        <xdr:clientData fLocksWithSheet="0"/>
      </xdr:twoCellAnchor>
    </mc:Choice>
    <mc:Fallback/>
  </mc:AlternateContent>
  <xdr:twoCellAnchor>
    <xdr:from>
      <xdr:col>2</xdr:col>
      <xdr:colOff>57150</xdr:colOff>
      <xdr:row>24</xdr:row>
      <xdr:rowOff>104775</xdr:rowOff>
    </xdr:from>
    <xdr:to>
      <xdr:col>10</xdr:col>
      <xdr:colOff>619125</xdr:colOff>
      <xdr:row>24</xdr:row>
      <xdr:rowOff>104775</xdr:rowOff>
    </xdr:to>
    <xdr:cxnSp macro="">
      <xdr:nvCxnSpPr>
        <xdr:cNvPr id="6" name="Straight Arrow Connector 5"/>
        <xdr:cNvCxnSpPr/>
      </xdr:nvCxnSpPr>
      <xdr:spPr>
        <a:xfrm>
          <a:off x="1162050" y="4095750"/>
          <a:ext cx="6124575" cy="0"/>
        </a:xfrm>
        <a:prstGeom prst="straightConnector1">
          <a:avLst/>
        </a:prstGeom>
        <a:ln w="19050">
          <a:headEnd type="none" w="med" len="med"/>
          <a:tailEnd type="triangle" w="med" len="lg"/>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209550</xdr:colOff>
      <xdr:row>28</xdr:row>
      <xdr:rowOff>19050</xdr:rowOff>
    </xdr:from>
    <xdr:to>
      <xdr:col>12</xdr:col>
      <xdr:colOff>485776</xdr:colOff>
      <xdr:row>47</xdr:row>
      <xdr:rowOff>180975</xdr:rowOff>
    </xdr:to>
    <xdr:pic>
      <xdr:nvPicPr>
        <xdr:cNvPr id="3" name="Picture 2"/>
        <xdr:cNvPicPr>
          <a:picLocks noChangeAspect="1"/>
        </xdr:cNvPicPr>
      </xdr:nvPicPr>
      <xdr:blipFill rotWithShape="1">
        <a:blip xmlns:r="http://schemas.openxmlformats.org/officeDocument/2006/relationships" r:embed="rId1"/>
        <a:srcRect l="10953" t="13979" r="14832" b="44597"/>
        <a:stretch/>
      </xdr:blipFill>
      <xdr:spPr>
        <a:xfrm>
          <a:off x="4391025" y="5572125"/>
          <a:ext cx="6905626" cy="3838575"/>
        </a:xfrm>
        <a:prstGeom prst="rect">
          <a:avLst/>
        </a:prstGeom>
      </xdr:spPr>
    </xdr:pic>
    <xdr:clientData/>
  </xdr:twoCellAnchor>
  <xdr:twoCellAnchor editAs="oneCell">
    <xdr:from>
      <xdr:col>3</xdr:col>
      <xdr:colOff>133351</xdr:colOff>
      <xdr:row>0</xdr:row>
      <xdr:rowOff>0</xdr:rowOff>
    </xdr:from>
    <xdr:to>
      <xdr:col>13</xdr:col>
      <xdr:colOff>495301</xdr:colOff>
      <xdr:row>27</xdr:row>
      <xdr:rowOff>142875</xdr:rowOff>
    </xdr:to>
    <xdr:pic>
      <xdr:nvPicPr>
        <xdr:cNvPr id="4" name="Picture 3"/>
        <xdr:cNvPicPr>
          <a:picLocks noChangeAspect="1"/>
        </xdr:cNvPicPr>
      </xdr:nvPicPr>
      <xdr:blipFill rotWithShape="1">
        <a:blip xmlns:r="http://schemas.openxmlformats.org/officeDocument/2006/relationships" r:embed="rId2"/>
        <a:srcRect l="14946" t="14801" r="15650" b="25787"/>
        <a:stretch/>
      </xdr:blipFill>
      <xdr:spPr>
        <a:xfrm>
          <a:off x="5457826" y="0"/>
          <a:ext cx="6457950" cy="5505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21</xdr:row>
          <xdr:rowOff>19050</xdr:rowOff>
        </xdr:from>
        <xdr:to>
          <xdr:col>1</xdr:col>
          <xdr:colOff>476250</xdr:colOff>
          <xdr:row>21</xdr:row>
          <xdr:rowOff>152400</xdr:rowOff>
        </xdr:to>
        <xdr:sp macro="" textlink="">
          <xdr:nvSpPr>
            <xdr:cNvPr id="17409" name="CheckBox1" hidden="1">
              <a:extLst>
                <a:ext uri="{63B3BB69-23CF-44E3-9099-C40C66FF867C}">
                  <a14:compatExt spid="_x0000_s174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19050</xdr:rowOff>
        </xdr:from>
        <xdr:to>
          <xdr:col>2</xdr:col>
          <xdr:colOff>476250</xdr:colOff>
          <xdr:row>21</xdr:row>
          <xdr:rowOff>152400</xdr:rowOff>
        </xdr:to>
        <xdr:sp macro="" textlink="">
          <xdr:nvSpPr>
            <xdr:cNvPr id="17410" name="CheckBox2" hidden="1">
              <a:extLst>
                <a:ext uri="{63B3BB69-23CF-44E3-9099-C40C66FF867C}">
                  <a14:compatExt spid="_x0000_s174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21</xdr:row>
          <xdr:rowOff>19050</xdr:rowOff>
        </xdr:from>
        <xdr:to>
          <xdr:col>3</xdr:col>
          <xdr:colOff>476250</xdr:colOff>
          <xdr:row>21</xdr:row>
          <xdr:rowOff>152400</xdr:rowOff>
        </xdr:to>
        <xdr:sp macro="" textlink="">
          <xdr:nvSpPr>
            <xdr:cNvPr id="17411" name="CheckBox3" hidden="1">
              <a:extLst>
                <a:ext uri="{63B3BB69-23CF-44E3-9099-C40C66FF867C}">
                  <a14:compatExt spid="_x0000_s174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21</xdr:row>
          <xdr:rowOff>19050</xdr:rowOff>
        </xdr:from>
        <xdr:to>
          <xdr:col>4</xdr:col>
          <xdr:colOff>476250</xdr:colOff>
          <xdr:row>21</xdr:row>
          <xdr:rowOff>152400</xdr:rowOff>
        </xdr:to>
        <xdr:sp macro="" textlink="">
          <xdr:nvSpPr>
            <xdr:cNvPr id="17412" name="CheckBox4" hidden="1">
              <a:extLst>
                <a:ext uri="{63B3BB69-23CF-44E3-9099-C40C66FF867C}">
                  <a14:compatExt spid="_x0000_s17412"/>
                </a:ext>
              </a:extLst>
            </xdr:cNvPr>
            <xdr:cNvSpPr/>
          </xdr:nvSpPr>
          <xdr:spPr>
            <a:xfrm>
              <a:off x="0" y="0"/>
              <a:ext cx="0" cy="0"/>
            </a:xfrm>
            <a:prstGeom prst="rect">
              <a:avLst/>
            </a:prstGeom>
          </xdr:spPr>
        </xdr:sp>
        <xdr:clientData fLocksWithSheet="0"/>
      </xdr:twoCellAnchor>
    </mc:Choice>
    <mc:Fallback/>
  </mc:AlternateContent>
  <xdr:twoCellAnchor>
    <xdr:from>
      <xdr:col>2</xdr:col>
      <xdr:colOff>57150</xdr:colOff>
      <xdr:row>24</xdr:row>
      <xdr:rowOff>104775</xdr:rowOff>
    </xdr:from>
    <xdr:to>
      <xdr:col>10</xdr:col>
      <xdr:colOff>619125</xdr:colOff>
      <xdr:row>24</xdr:row>
      <xdr:rowOff>104775</xdr:rowOff>
    </xdr:to>
    <xdr:cxnSp macro="">
      <xdr:nvCxnSpPr>
        <xdr:cNvPr id="6" name="Straight Arrow Connector 5"/>
        <xdr:cNvCxnSpPr/>
      </xdr:nvCxnSpPr>
      <xdr:spPr>
        <a:xfrm>
          <a:off x="1162050" y="4095750"/>
          <a:ext cx="6124575" cy="0"/>
        </a:xfrm>
        <a:prstGeom prst="straightConnector1">
          <a:avLst/>
        </a:prstGeom>
        <a:ln w="19050">
          <a:headEnd type="none" w="med" len="med"/>
          <a:tailEnd type="triangle" w="med" len="lg"/>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266699</xdr:colOff>
      <xdr:row>15</xdr:row>
      <xdr:rowOff>95250</xdr:rowOff>
    </xdr:from>
    <xdr:to>
      <xdr:col>6</xdr:col>
      <xdr:colOff>66674</xdr:colOff>
      <xdr:row>31</xdr:row>
      <xdr:rowOff>57150</xdr:rowOff>
    </xdr:to>
    <xdr:sp macro="" textlink="">
      <xdr:nvSpPr>
        <xdr:cNvPr id="2" name="Left Brace 1"/>
        <xdr:cNvSpPr/>
      </xdr:nvSpPr>
      <xdr:spPr>
        <a:xfrm>
          <a:off x="4400549" y="1428750"/>
          <a:ext cx="409575" cy="3028950"/>
        </a:xfrm>
        <a:prstGeom prst="leftBrace">
          <a:avLst>
            <a:gd name="adj1" fmla="val 30703"/>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AU" sz="1100"/>
        </a:p>
      </xdr:txBody>
    </xdr:sp>
    <xdr:clientData/>
  </xdr:twoCellAnchor>
  <xdr:twoCellAnchor>
    <xdr:from>
      <xdr:col>4</xdr:col>
      <xdr:colOff>533401</xdr:colOff>
      <xdr:row>20</xdr:row>
      <xdr:rowOff>133351</xdr:rowOff>
    </xdr:from>
    <xdr:to>
      <xdr:col>5</xdr:col>
      <xdr:colOff>266699</xdr:colOff>
      <xdr:row>23</xdr:row>
      <xdr:rowOff>19050</xdr:rowOff>
    </xdr:to>
    <xdr:cxnSp macro="">
      <xdr:nvCxnSpPr>
        <xdr:cNvPr id="4" name="Straight Connector 3"/>
        <xdr:cNvCxnSpPr>
          <a:stCxn id="2" idx="1"/>
        </xdr:cNvCxnSpPr>
      </xdr:nvCxnSpPr>
      <xdr:spPr>
        <a:xfrm flipH="1" flipV="1">
          <a:off x="4162426" y="4314826"/>
          <a:ext cx="342898" cy="457199"/>
        </a:xfrm>
        <a:prstGeom prst="line">
          <a:avLst/>
        </a:prstGeom>
        <a:ln>
          <a:headEnd type="triangl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419100</xdr:colOff>
      <xdr:row>4</xdr:row>
      <xdr:rowOff>123826</xdr:rowOff>
    </xdr:from>
    <xdr:to>
      <xdr:col>6</xdr:col>
      <xdr:colOff>28575</xdr:colOff>
      <xdr:row>13</xdr:row>
      <xdr:rowOff>57151</xdr:rowOff>
    </xdr:to>
    <xdr:sp macro="" textlink="">
      <xdr:nvSpPr>
        <xdr:cNvPr id="7" name="Left Brace 6"/>
        <xdr:cNvSpPr/>
      </xdr:nvSpPr>
      <xdr:spPr>
        <a:xfrm>
          <a:off x="8458200" y="123826"/>
          <a:ext cx="409575" cy="1657350"/>
        </a:xfrm>
        <a:prstGeom prst="leftBrace">
          <a:avLst>
            <a:gd name="adj1" fmla="val 30703"/>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AU" sz="1100"/>
        </a:p>
      </xdr:txBody>
    </xdr:sp>
    <xdr:clientData/>
  </xdr:twoCellAnchor>
  <xdr:twoCellAnchor>
    <xdr:from>
      <xdr:col>4</xdr:col>
      <xdr:colOff>552450</xdr:colOff>
      <xdr:row>8</xdr:row>
      <xdr:rowOff>128589</xdr:rowOff>
    </xdr:from>
    <xdr:to>
      <xdr:col>5</xdr:col>
      <xdr:colOff>419100</xdr:colOff>
      <xdr:row>10</xdr:row>
      <xdr:rowOff>114300</xdr:rowOff>
    </xdr:to>
    <xdr:cxnSp macro="">
      <xdr:nvCxnSpPr>
        <xdr:cNvPr id="8" name="Straight Connector 7"/>
        <xdr:cNvCxnSpPr>
          <a:stCxn id="7" idx="1"/>
        </xdr:cNvCxnSpPr>
      </xdr:nvCxnSpPr>
      <xdr:spPr>
        <a:xfrm flipH="1">
          <a:off x="4181475" y="1890714"/>
          <a:ext cx="476250" cy="366711"/>
        </a:xfrm>
        <a:prstGeom prst="line">
          <a:avLst/>
        </a:prstGeom>
        <a:ln>
          <a:headEnd type="triangl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228600</xdr:colOff>
      <xdr:row>33</xdr:row>
      <xdr:rowOff>95250</xdr:rowOff>
    </xdr:from>
    <xdr:to>
      <xdr:col>6</xdr:col>
      <xdr:colOff>28575</xdr:colOff>
      <xdr:row>48</xdr:row>
      <xdr:rowOff>28575</xdr:rowOff>
    </xdr:to>
    <xdr:sp macro="" textlink="">
      <xdr:nvSpPr>
        <xdr:cNvPr id="13" name="Left Brace 12"/>
        <xdr:cNvSpPr/>
      </xdr:nvSpPr>
      <xdr:spPr>
        <a:xfrm>
          <a:off x="4362450" y="5067300"/>
          <a:ext cx="409575" cy="2800350"/>
        </a:xfrm>
        <a:prstGeom prst="leftBrace">
          <a:avLst>
            <a:gd name="adj1" fmla="val 30703"/>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AU" sz="1100"/>
        </a:p>
      </xdr:txBody>
    </xdr:sp>
    <xdr:clientData/>
  </xdr:twoCellAnchor>
  <xdr:twoCellAnchor>
    <xdr:from>
      <xdr:col>4</xdr:col>
      <xdr:colOff>552450</xdr:colOff>
      <xdr:row>30</xdr:row>
      <xdr:rowOff>114301</xdr:rowOff>
    </xdr:from>
    <xdr:to>
      <xdr:col>5</xdr:col>
      <xdr:colOff>228600</xdr:colOff>
      <xdr:row>40</xdr:row>
      <xdr:rowOff>100013</xdr:rowOff>
    </xdr:to>
    <xdr:cxnSp macro="">
      <xdr:nvCxnSpPr>
        <xdr:cNvPr id="15" name="Straight Connector 14"/>
        <xdr:cNvCxnSpPr>
          <a:stCxn id="13" idx="1"/>
        </xdr:cNvCxnSpPr>
      </xdr:nvCxnSpPr>
      <xdr:spPr>
        <a:xfrm flipH="1" flipV="1">
          <a:off x="4181475" y="6200776"/>
          <a:ext cx="285750" cy="2024062"/>
        </a:xfrm>
        <a:prstGeom prst="line">
          <a:avLst/>
        </a:prstGeom>
        <a:ln>
          <a:headEnd type="triangl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9525</xdr:colOff>
      <xdr:row>17</xdr:row>
      <xdr:rowOff>19050</xdr:rowOff>
    </xdr:from>
    <xdr:to>
      <xdr:col>22</xdr:col>
      <xdr:colOff>127122</xdr:colOff>
      <xdr:row>55</xdr:row>
      <xdr:rowOff>154642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5575" y="3286125"/>
          <a:ext cx="9918823" cy="7772400"/>
        </a:xfrm>
        <a:prstGeom prst="rect">
          <a:avLst/>
        </a:prstGeom>
      </xdr:spPr>
    </xdr:pic>
    <xdr:clientData/>
  </xdr:twoCellAnchor>
  <xdr:twoCellAnchor editAs="oneCell">
    <xdr:from>
      <xdr:col>23</xdr:col>
      <xdr:colOff>0</xdr:colOff>
      <xdr:row>17</xdr:row>
      <xdr:rowOff>57150</xdr:rowOff>
    </xdr:from>
    <xdr:to>
      <xdr:col>40</xdr:col>
      <xdr:colOff>571500</xdr:colOff>
      <xdr:row>44</xdr:row>
      <xdr:rowOff>154642</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06875" y="3467100"/>
          <a:ext cx="10934700" cy="563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582706</xdr:colOff>
      <xdr:row>0</xdr:row>
      <xdr:rowOff>156882</xdr:rowOff>
    </xdr:from>
    <xdr:to>
      <xdr:col>49</xdr:col>
      <xdr:colOff>222437</xdr:colOff>
      <xdr:row>68</xdr:row>
      <xdr:rowOff>14007</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779382" y="156882"/>
          <a:ext cx="5085790" cy="13270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49866</xdr:colOff>
      <xdr:row>58</xdr:row>
      <xdr:rowOff>32497</xdr:rowOff>
    </xdr:from>
    <xdr:to>
      <xdr:col>20</xdr:col>
      <xdr:colOff>409015</xdr:colOff>
      <xdr:row>90</xdr:row>
      <xdr:rowOff>184897</xdr:rowOff>
    </xdr:to>
    <xdr:pic>
      <xdr:nvPicPr>
        <xdr:cNvPr id="5" name="Picture 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9042" y="11529732"/>
          <a:ext cx="8752355" cy="624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21</xdr:row>
          <xdr:rowOff>19050</xdr:rowOff>
        </xdr:from>
        <xdr:to>
          <xdr:col>1</xdr:col>
          <xdr:colOff>476250</xdr:colOff>
          <xdr:row>21</xdr:row>
          <xdr:rowOff>152400</xdr:rowOff>
        </xdr:to>
        <xdr:sp macro="" textlink="">
          <xdr:nvSpPr>
            <xdr:cNvPr id="3073" name="CheckBox1" hidden="1">
              <a:extLst>
                <a:ext uri="{63B3BB69-23CF-44E3-9099-C40C66FF867C}">
                  <a14:compatExt spid="_x0000_s30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19050</xdr:rowOff>
        </xdr:from>
        <xdr:to>
          <xdr:col>2</xdr:col>
          <xdr:colOff>476250</xdr:colOff>
          <xdr:row>21</xdr:row>
          <xdr:rowOff>152400</xdr:rowOff>
        </xdr:to>
        <xdr:sp macro="" textlink="">
          <xdr:nvSpPr>
            <xdr:cNvPr id="3074" name="CheckBox2" hidden="1">
              <a:extLst>
                <a:ext uri="{63B3BB69-23CF-44E3-9099-C40C66FF867C}">
                  <a14:compatExt spid="_x0000_s30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21</xdr:row>
          <xdr:rowOff>19050</xdr:rowOff>
        </xdr:from>
        <xdr:to>
          <xdr:col>3</xdr:col>
          <xdr:colOff>476250</xdr:colOff>
          <xdr:row>21</xdr:row>
          <xdr:rowOff>152400</xdr:rowOff>
        </xdr:to>
        <xdr:sp macro="" textlink="">
          <xdr:nvSpPr>
            <xdr:cNvPr id="3075" name="CheckBox3" hidden="1">
              <a:extLst>
                <a:ext uri="{63B3BB69-23CF-44E3-9099-C40C66FF867C}">
                  <a14:compatExt spid="_x0000_s30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21</xdr:row>
          <xdr:rowOff>19050</xdr:rowOff>
        </xdr:from>
        <xdr:to>
          <xdr:col>4</xdr:col>
          <xdr:colOff>476250</xdr:colOff>
          <xdr:row>21</xdr:row>
          <xdr:rowOff>152400</xdr:rowOff>
        </xdr:to>
        <xdr:sp macro="" textlink="">
          <xdr:nvSpPr>
            <xdr:cNvPr id="3076" name="CheckBox4" hidden="1">
              <a:extLst>
                <a:ext uri="{63B3BB69-23CF-44E3-9099-C40C66FF867C}">
                  <a14:compatExt spid="_x0000_s3076"/>
                </a:ext>
              </a:extLst>
            </xdr:cNvPr>
            <xdr:cNvSpPr/>
          </xdr:nvSpPr>
          <xdr:spPr>
            <a:xfrm>
              <a:off x="0" y="0"/>
              <a:ext cx="0" cy="0"/>
            </a:xfrm>
            <a:prstGeom prst="rect">
              <a:avLst/>
            </a:prstGeom>
          </xdr:spPr>
        </xdr:sp>
        <xdr:clientData fLocksWithSheet="0"/>
      </xdr:twoCellAnchor>
    </mc:Choice>
    <mc:Fallback/>
  </mc:AlternateContent>
  <xdr:twoCellAnchor>
    <xdr:from>
      <xdr:col>2</xdr:col>
      <xdr:colOff>57150</xdr:colOff>
      <xdr:row>24</xdr:row>
      <xdr:rowOff>104775</xdr:rowOff>
    </xdr:from>
    <xdr:to>
      <xdr:col>10</xdr:col>
      <xdr:colOff>619125</xdr:colOff>
      <xdr:row>24</xdr:row>
      <xdr:rowOff>104775</xdr:rowOff>
    </xdr:to>
    <xdr:cxnSp macro="">
      <xdr:nvCxnSpPr>
        <xdr:cNvPr id="3" name="Straight Arrow Connector 2"/>
        <xdr:cNvCxnSpPr/>
      </xdr:nvCxnSpPr>
      <xdr:spPr>
        <a:xfrm>
          <a:off x="1162050" y="4095750"/>
          <a:ext cx="6124575" cy="0"/>
        </a:xfrm>
        <a:prstGeom prst="straightConnector1">
          <a:avLst/>
        </a:prstGeom>
        <a:ln w="19050">
          <a:headEnd type="none" w="med" len="med"/>
          <a:tailEnd type="triangle" w="med" len="lg"/>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457200</xdr:colOff>
      <xdr:row>33</xdr:row>
      <xdr:rowOff>104775</xdr:rowOff>
    </xdr:from>
    <xdr:to>
      <xdr:col>19</xdr:col>
      <xdr:colOff>85725</xdr:colOff>
      <xdr:row>54</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76200</xdr:colOff>
      <xdr:row>0</xdr:row>
      <xdr:rowOff>133350</xdr:rowOff>
    </xdr:from>
    <xdr:to>
      <xdr:col>13</xdr:col>
      <xdr:colOff>66675</xdr:colOff>
      <xdr:row>38</xdr:row>
      <xdr:rowOff>171451</xdr:rowOff>
    </xdr:to>
    <xdr:pic>
      <xdr:nvPicPr>
        <xdr:cNvPr id="2" name="Picture 1"/>
        <xdr:cNvPicPr>
          <a:picLocks noChangeAspect="1"/>
        </xdr:cNvPicPr>
      </xdr:nvPicPr>
      <xdr:blipFill rotWithShape="1">
        <a:blip xmlns:r="http://schemas.openxmlformats.org/officeDocument/2006/relationships" r:embed="rId1"/>
        <a:srcRect l="16985" t="11932" r="19171" b="11725"/>
        <a:stretch/>
      </xdr:blipFill>
      <xdr:spPr>
        <a:xfrm>
          <a:off x="4991100" y="133350"/>
          <a:ext cx="6086475" cy="74961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21</xdr:row>
          <xdr:rowOff>19050</xdr:rowOff>
        </xdr:from>
        <xdr:to>
          <xdr:col>1</xdr:col>
          <xdr:colOff>476250</xdr:colOff>
          <xdr:row>21</xdr:row>
          <xdr:rowOff>152400</xdr:rowOff>
        </xdr:to>
        <xdr:sp macro="" textlink="">
          <xdr:nvSpPr>
            <xdr:cNvPr id="10241" name="CheckBox1" hidden="1">
              <a:extLst>
                <a:ext uri="{63B3BB69-23CF-44E3-9099-C40C66FF867C}">
                  <a14:compatExt spid="_x0000_s102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19050</xdr:rowOff>
        </xdr:from>
        <xdr:to>
          <xdr:col>2</xdr:col>
          <xdr:colOff>476250</xdr:colOff>
          <xdr:row>21</xdr:row>
          <xdr:rowOff>152400</xdr:rowOff>
        </xdr:to>
        <xdr:sp macro="" textlink="">
          <xdr:nvSpPr>
            <xdr:cNvPr id="10242" name="CheckBox2" hidden="1">
              <a:extLst>
                <a:ext uri="{63B3BB69-23CF-44E3-9099-C40C66FF867C}">
                  <a14:compatExt spid="_x0000_s102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21</xdr:row>
          <xdr:rowOff>19050</xdr:rowOff>
        </xdr:from>
        <xdr:to>
          <xdr:col>3</xdr:col>
          <xdr:colOff>476250</xdr:colOff>
          <xdr:row>21</xdr:row>
          <xdr:rowOff>152400</xdr:rowOff>
        </xdr:to>
        <xdr:sp macro="" textlink="">
          <xdr:nvSpPr>
            <xdr:cNvPr id="10243" name="CheckBox3" hidden="1">
              <a:extLst>
                <a:ext uri="{63B3BB69-23CF-44E3-9099-C40C66FF867C}">
                  <a14:compatExt spid="_x0000_s102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21</xdr:row>
          <xdr:rowOff>19050</xdr:rowOff>
        </xdr:from>
        <xdr:to>
          <xdr:col>4</xdr:col>
          <xdr:colOff>476250</xdr:colOff>
          <xdr:row>21</xdr:row>
          <xdr:rowOff>152400</xdr:rowOff>
        </xdr:to>
        <xdr:sp macro="" textlink="">
          <xdr:nvSpPr>
            <xdr:cNvPr id="10244" name="CheckBox4" hidden="1">
              <a:extLst>
                <a:ext uri="{63B3BB69-23CF-44E3-9099-C40C66FF867C}">
                  <a14:compatExt spid="_x0000_s10244"/>
                </a:ext>
              </a:extLst>
            </xdr:cNvPr>
            <xdr:cNvSpPr/>
          </xdr:nvSpPr>
          <xdr:spPr>
            <a:xfrm>
              <a:off x="0" y="0"/>
              <a:ext cx="0" cy="0"/>
            </a:xfrm>
            <a:prstGeom prst="rect">
              <a:avLst/>
            </a:prstGeom>
          </xdr:spPr>
        </xdr:sp>
        <xdr:clientData fLocksWithSheet="0"/>
      </xdr:twoCellAnchor>
    </mc:Choice>
    <mc:Fallback/>
  </mc:AlternateContent>
  <xdr:twoCellAnchor>
    <xdr:from>
      <xdr:col>2</xdr:col>
      <xdr:colOff>57150</xdr:colOff>
      <xdr:row>24</xdr:row>
      <xdr:rowOff>104775</xdr:rowOff>
    </xdr:from>
    <xdr:to>
      <xdr:col>10</xdr:col>
      <xdr:colOff>619125</xdr:colOff>
      <xdr:row>24</xdr:row>
      <xdr:rowOff>104775</xdr:rowOff>
    </xdr:to>
    <xdr:cxnSp macro="">
      <xdr:nvCxnSpPr>
        <xdr:cNvPr id="6" name="Straight Arrow Connector 5"/>
        <xdr:cNvCxnSpPr/>
      </xdr:nvCxnSpPr>
      <xdr:spPr>
        <a:xfrm>
          <a:off x="1162050" y="4095750"/>
          <a:ext cx="6124575" cy="0"/>
        </a:xfrm>
        <a:prstGeom prst="straightConnector1">
          <a:avLst/>
        </a:prstGeom>
        <a:ln w="19050">
          <a:headEnd type="none" w="med" len="med"/>
          <a:tailEnd type="triangle" w="med" len="lg"/>
        </a:ln>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581025</xdr:colOff>
      <xdr:row>0</xdr:row>
      <xdr:rowOff>0</xdr:rowOff>
    </xdr:from>
    <xdr:to>
      <xdr:col>10</xdr:col>
      <xdr:colOff>19670</xdr:colOff>
      <xdr:row>26</xdr:row>
      <xdr:rowOff>134123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0" y="0"/>
          <a:ext cx="4439270" cy="55347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21</xdr:row>
          <xdr:rowOff>19050</xdr:rowOff>
        </xdr:from>
        <xdr:to>
          <xdr:col>1</xdr:col>
          <xdr:colOff>476250</xdr:colOff>
          <xdr:row>21</xdr:row>
          <xdr:rowOff>152400</xdr:rowOff>
        </xdr:to>
        <xdr:sp macro="" textlink="">
          <xdr:nvSpPr>
            <xdr:cNvPr id="9217" name="CheckBox1" hidden="1">
              <a:extLst>
                <a:ext uri="{63B3BB69-23CF-44E3-9099-C40C66FF867C}">
                  <a14:compatExt spid="_x0000_s92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19050</xdr:rowOff>
        </xdr:from>
        <xdr:to>
          <xdr:col>2</xdr:col>
          <xdr:colOff>476250</xdr:colOff>
          <xdr:row>21</xdr:row>
          <xdr:rowOff>152400</xdr:rowOff>
        </xdr:to>
        <xdr:sp macro="" textlink="">
          <xdr:nvSpPr>
            <xdr:cNvPr id="9218" name="CheckBox2" hidden="1">
              <a:extLst>
                <a:ext uri="{63B3BB69-23CF-44E3-9099-C40C66FF867C}">
                  <a14:compatExt spid="_x0000_s92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21</xdr:row>
          <xdr:rowOff>19050</xdr:rowOff>
        </xdr:from>
        <xdr:to>
          <xdr:col>3</xdr:col>
          <xdr:colOff>476250</xdr:colOff>
          <xdr:row>21</xdr:row>
          <xdr:rowOff>152400</xdr:rowOff>
        </xdr:to>
        <xdr:sp macro="" textlink="">
          <xdr:nvSpPr>
            <xdr:cNvPr id="9219" name="CheckBox3" hidden="1">
              <a:extLst>
                <a:ext uri="{63B3BB69-23CF-44E3-9099-C40C66FF867C}">
                  <a14:compatExt spid="_x0000_s92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21</xdr:row>
          <xdr:rowOff>19050</xdr:rowOff>
        </xdr:from>
        <xdr:to>
          <xdr:col>4</xdr:col>
          <xdr:colOff>476250</xdr:colOff>
          <xdr:row>21</xdr:row>
          <xdr:rowOff>152400</xdr:rowOff>
        </xdr:to>
        <xdr:sp macro="" textlink="">
          <xdr:nvSpPr>
            <xdr:cNvPr id="9220" name="CheckBox4" hidden="1">
              <a:extLst>
                <a:ext uri="{63B3BB69-23CF-44E3-9099-C40C66FF867C}">
                  <a14:compatExt spid="_x0000_s9220"/>
                </a:ext>
              </a:extLst>
            </xdr:cNvPr>
            <xdr:cNvSpPr/>
          </xdr:nvSpPr>
          <xdr:spPr>
            <a:xfrm>
              <a:off x="0" y="0"/>
              <a:ext cx="0" cy="0"/>
            </a:xfrm>
            <a:prstGeom prst="rect">
              <a:avLst/>
            </a:prstGeom>
          </xdr:spPr>
        </xdr:sp>
        <xdr:clientData fLocksWithSheet="0"/>
      </xdr:twoCellAnchor>
    </mc:Choice>
    <mc:Fallback/>
  </mc:AlternateContent>
  <xdr:twoCellAnchor>
    <xdr:from>
      <xdr:col>2</xdr:col>
      <xdr:colOff>57150</xdr:colOff>
      <xdr:row>24</xdr:row>
      <xdr:rowOff>104775</xdr:rowOff>
    </xdr:from>
    <xdr:to>
      <xdr:col>10</xdr:col>
      <xdr:colOff>619125</xdr:colOff>
      <xdr:row>24</xdr:row>
      <xdr:rowOff>104775</xdr:rowOff>
    </xdr:to>
    <xdr:cxnSp macro="">
      <xdr:nvCxnSpPr>
        <xdr:cNvPr id="6" name="Straight Arrow Connector 5"/>
        <xdr:cNvCxnSpPr/>
      </xdr:nvCxnSpPr>
      <xdr:spPr>
        <a:xfrm>
          <a:off x="1162050" y="4095750"/>
          <a:ext cx="6124575" cy="0"/>
        </a:xfrm>
        <a:prstGeom prst="straightConnector1">
          <a:avLst/>
        </a:prstGeom>
        <a:ln w="19050">
          <a:headEnd type="none" w="med" len="med"/>
          <a:tailEnd type="triangle" w="med" len="lg"/>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85725</xdr:colOff>
      <xdr:row>27</xdr:row>
      <xdr:rowOff>19050</xdr:rowOff>
    </xdr:from>
    <xdr:to>
      <xdr:col>13</xdr:col>
      <xdr:colOff>161926</xdr:colOff>
      <xdr:row>46</xdr:row>
      <xdr:rowOff>180975</xdr:rowOff>
    </xdr:to>
    <xdr:pic>
      <xdr:nvPicPr>
        <xdr:cNvPr id="3" name="Picture 2"/>
        <xdr:cNvPicPr>
          <a:picLocks noChangeAspect="1"/>
        </xdr:cNvPicPr>
      </xdr:nvPicPr>
      <xdr:blipFill rotWithShape="1">
        <a:blip xmlns:r="http://schemas.openxmlformats.org/officeDocument/2006/relationships" r:embed="rId1"/>
        <a:srcRect l="10953" t="13979" r="14832" b="44597"/>
        <a:stretch/>
      </xdr:blipFill>
      <xdr:spPr>
        <a:xfrm>
          <a:off x="4267200" y="5953125"/>
          <a:ext cx="6905626" cy="3838575"/>
        </a:xfrm>
        <a:prstGeom prst="rect">
          <a:avLst/>
        </a:prstGeom>
      </xdr:spPr>
    </xdr:pic>
    <xdr:clientData/>
  </xdr:twoCellAnchor>
  <xdr:twoCellAnchor editAs="oneCell">
    <xdr:from>
      <xdr:col>2</xdr:col>
      <xdr:colOff>38101</xdr:colOff>
      <xdr:row>0</xdr:row>
      <xdr:rowOff>19050</xdr:rowOff>
    </xdr:from>
    <xdr:to>
      <xdr:col>12</xdr:col>
      <xdr:colOff>314326</xdr:colOff>
      <xdr:row>29</xdr:row>
      <xdr:rowOff>104775</xdr:rowOff>
    </xdr:to>
    <xdr:pic>
      <xdr:nvPicPr>
        <xdr:cNvPr id="4" name="Picture 3"/>
        <xdr:cNvPicPr>
          <a:picLocks noChangeAspect="1"/>
        </xdr:cNvPicPr>
      </xdr:nvPicPr>
      <xdr:blipFill rotWithShape="1">
        <a:blip xmlns:r="http://schemas.openxmlformats.org/officeDocument/2006/relationships" r:embed="rId2"/>
        <a:srcRect l="14331" t="23847" r="15854" b="13042"/>
        <a:stretch/>
      </xdr:blipFill>
      <xdr:spPr>
        <a:xfrm>
          <a:off x="4219576" y="19050"/>
          <a:ext cx="6496050" cy="5848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gulatory%2015-20%20AER%20Program/1%20-%20AER%20Submission/2%20-%20Official%20Supporting%20Documents/A13.%20AER%202015-20%20Additional%20Support%20Documentation_Jan15/Garbutt%20Redevelopment_Gate%203%208%20Options-v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and Need"/>
      <sheetName val="Do Nothing Option"/>
      <sheetName val="Options Analysis"/>
      <sheetName val="Option Resources"/>
      <sheetName val="Option Implementation Cost"/>
      <sheetName val="Option Lifecycle Cost"/>
      <sheetName val="Option Lifecycle Benefits"/>
      <sheetName val="Option NF Benefits"/>
      <sheetName val="Preferred Option"/>
      <sheetName val="Drop Downs and Lists"/>
      <sheetName val="Sheet1"/>
      <sheetName val="Sheet2"/>
    </sheetNames>
    <sheetDataSet>
      <sheetData sheetId="0" refreshError="1"/>
      <sheetData sheetId="1">
        <row r="34">
          <cell r="D34">
            <v>8.1253000000000006E-2</v>
          </cell>
          <cell r="E34">
            <v>8.3690590000000009E-2</v>
          </cell>
          <cell r="F34">
            <v>8.6201307700000007E-2</v>
          </cell>
          <cell r="G34">
            <v>8.8787346931000016E-2</v>
          </cell>
          <cell r="H34">
            <v>9.1894904073585013E-2</v>
          </cell>
          <cell r="I34">
            <v>9.5570700236528416E-2</v>
          </cell>
          <cell r="J34">
            <v>9.9871381747172194E-2</v>
          </cell>
          <cell r="K34">
            <v>0.1048649508345308</v>
          </cell>
          <cell r="L34">
            <v>0.11063252313043</v>
          </cell>
          <cell r="M34">
            <v>0.1172704745182558</v>
          </cell>
          <cell r="N34">
            <v>0.12489305536194242</v>
          </cell>
          <cell r="O34">
            <v>0.1336355692372784</v>
          </cell>
          <cell r="P34">
            <v>0.1429900590838879</v>
          </cell>
          <cell r="Q34">
            <v>0.15299936321976007</v>
          </cell>
          <cell r="R34">
            <v>0.16370931864514329</v>
          </cell>
          <cell r="S34">
            <v>0.17516897095030334</v>
          </cell>
          <cell r="T34">
            <v>0.1874307989168246</v>
          </cell>
          <cell r="U34">
            <v>0.20055095484100233</v>
          </cell>
          <cell r="V34">
            <v>0.2145895216798725</v>
          </cell>
          <cell r="W34">
            <v>0.22961078819746358</v>
          </cell>
        </row>
        <row r="35">
          <cell r="D35">
            <v>0.123122</v>
          </cell>
          <cell r="E35">
            <v>0.12681566</v>
          </cell>
          <cell r="F35">
            <v>0.13062012980000001</v>
          </cell>
          <cell r="G35">
            <v>0.13453873369400002</v>
          </cell>
          <cell r="H35">
            <v>0.13857489570482001</v>
          </cell>
          <cell r="I35">
            <v>0.14273214257596462</v>
          </cell>
          <cell r="J35">
            <v>0.14701410685324356</v>
          </cell>
          <cell r="K35">
            <v>0.15142453005884088</v>
          </cell>
          <cell r="L35">
            <v>0.15596726596060612</v>
          </cell>
          <cell r="M35">
            <v>0.16064628393942432</v>
          </cell>
          <cell r="N35">
            <v>0.16546567245760704</v>
          </cell>
          <cell r="O35">
            <v>0.17042964263133525</v>
          </cell>
          <cell r="P35">
            <v>0.17554253191027533</v>
          </cell>
          <cell r="Q35">
            <v>0.1808088078675836</v>
          </cell>
          <cell r="R35">
            <v>0.18623307210361112</v>
          </cell>
          <cell r="S35">
            <v>0.19182006426671946</v>
          </cell>
          <cell r="T35">
            <v>0.19757466619472105</v>
          </cell>
          <cell r="U35">
            <v>0.20350190618056269</v>
          </cell>
          <cell r="V35">
            <v>0.20960696336597956</v>
          </cell>
          <cell r="W35">
            <v>0.21589517226695895</v>
          </cell>
        </row>
        <row r="36">
          <cell r="D36">
            <v>0.26066099999999998</v>
          </cell>
          <cell r="E36">
            <v>0.26848083</v>
          </cell>
          <cell r="F36">
            <v>0.27653525490000003</v>
          </cell>
          <cell r="G36">
            <v>0.28483131254700006</v>
          </cell>
          <cell r="H36">
            <v>0.29480040848614503</v>
          </cell>
          <cell r="I36">
            <v>0.30659242482559085</v>
          </cell>
          <cell r="J36">
            <v>0.3203890839427424</v>
          </cell>
          <cell r="K36">
            <v>0.33640853813987953</v>
          </cell>
          <cell r="L36">
            <v>0.35491100773757289</v>
          </cell>
          <cell r="M36">
            <v>0.37620566820182727</v>
          </cell>
          <cell r="N36">
            <v>0.40065903663494601</v>
          </cell>
          <cell r="O36">
            <v>0.42870516919939228</v>
          </cell>
          <cell r="P36">
            <v>0.45871453104334975</v>
          </cell>
          <cell r="Q36">
            <v>0.49082454821638427</v>
          </cell>
          <cell r="R36">
            <v>0.52518226659153122</v>
          </cell>
          <cell r="S36">
            <v>0.56194502525293843</v>
          </cell>
          <cell r="T36">
            <v>0.60128117702064421</v>
          </cell>
          <cell r="U36">
            <v>0.64337085941208938</v>
          </cell>
          <cell r="V36">
            <v>0.68840681957093564</v>
          </cell>
          <cell r="W36">
            <v>0.7365952969409012</v>
          </cell>
        </row>
        <row r="37">
          <cell r="D37">
            <v>0.58091099999999996</v>
          </cell>
          <cell r="E37">
            <v>0.59833832999999992</v>
          </cell>
          <cell r="F37">
            <v>0.61628847989999991</v>
          </cell>
          <cell r="G37">
            <v>0.63477713429699989</v>
          </cell>
          <cell r="H37">
            <v>0.65382044832590991</v>
          </cell>
          <cell r="I37">
            <v>0.67343506177568724</v>
          </cell>
          <cell r="J37">
            <v>0.69363811362895789</v>
          </cell>
          <cell r="K37">
            <v>0.71444725703782663</v>
          </cell>
          <cell r="L37">
            <v>0.73588067474896146</v>
          </cell>
          <cell r="M37">
            <v>0.75795709499143027</v>
          </cell>
          <cell r="N37">
            <v>0.78069580784117321</v>
          </cell>
          <cell r="O37">
            <v>0.80411668207640841</v>
          </cell>
          <cell r="P37">
            <v>0.82824018253870069</v>
          </cell>
          <cell r="Q37">
            <v>0.85308738801486172</v>
          </cell>
          <cell r="R37">
            <v>0.87868000965530757</v>
          </cell>
          <cell r="S37">
            <v>0.90504040994496682</v>
          </cell>
          <cell r="T37">
            <v>0.93219162224331586</v>
          </cell>
          <cell r="U37">
            <v>0.96015737091061537</v>
          </cell>
          <cell r="V37">
            <v>0.98896209203793384</v>
          </cell>
          <cell r="W37">
            <v>1.018630954799072</v>
          </cell>
        </row>
        <row r="38">
          <cell r="D38">
            <v>0.28955900000000001</v>
          </cell>
          <cell r="E38">
            <v>0.29824577000000002</v>
          </cell>
          <cell r="F38">
            <v>0.30719314310000001</v>
          </cell>
          <cell r="G38">
            <v>0.31640893739300002</v>
          </cell>
          <cell r="H38">
            <v>0.32748325020175501</v>
          </cell>
          <cell r="I38">
            <v>0.34058258020982524</v>
          </cell>
          <cell r="J38">
            <v>0.35590879631926736</v>
          </cell>
          <cell r="K38">
            <v>0.37370423613523074</v>
          </cell>
          <cell r="L38">
            <v>0.39425796912266842</v>
          </cell>
          <cell r="M38">
            <v>0.41791344727002855</v>
          </cell>
          <cell r="N38">
            <v>0.44507782134258039</v>
          </cell>
          <cell r="O38">
            <v>0.47623326883656103</v>
          </cell>
          <cell r="P38">
            <v>0.50956959765512033</v>
          </cell>
          <cell r="Q38">
            <v>0.54523946949097879</v>
          </cell>
          <cell r="R38">
            <v>0.58340623235534739</v>
          </cell>
          <cell r="S38">
            <v>0.62424466862022177</v>
          </cell>
          <cell r="T38">
            <v>0.6679417954236373</v>
          </cell>
          <cell r="U38">
            <v>0.71469772110329199</v>
          </cell>
          <cell r="V38">
            <v>0.76472656158052243</v>
          </cell>
          <cell r="W38">
            <v>0.81825742089115905</v>
          </cell>
        </row>
        <row r="39">
          <cell r="D39">
            <v>0.59801499999999996</v>
          </cell>
          <cell r="E39">
            <v>0.61595544999999996</v>
          </cell>
          <cell r="F39">
            <v>0.63443411350000001</v>
          </cell>
          <cell r="G39">
            <v>0.65346713690500002</v>
          </cell>
          <cell r="H39">
            <v>0.67307115101215009</v>
          </cell>
          <cell r="I39">
            <v>0.6932632855425146</v>
          </cell>
          <cell r="J39">
            <v>0.71406118410879005</v>
          </cell>
          <cell r="K39">
            <v>0.73548301963205376</v>
          </cell>
          <cell r="L39">
            <v>0.75754751022101541</v>
          </cell>
          <cell r="M39">
            <v>0.7802739355276459</v>
          </cell>
          <cell r="N39">
            <v>0.80368215359347528</v>
          </cell>
          <cell r="O39">
            <v>0.82779261820127958</v>
          </cell>
          <cell r="P39">
            <v>0.85262639674731799</v>
          </cell>
          <cell r="Q39">
            <v>0.87820518864973751</v>
          </cell>
          <cell r="R39">
            <v>0.90455134430922968</v>
          </cell>
          <cell r="S39">
            <v>0.9316878846385066</v>
          </cell>
          <cell r="T39">
            <v>0.9596385211776618</v>
          </cell>
          <cell r="U39">
            <v>0.98842767681299171</v>
          </cell>
          <cell r="V39">
            <v>1.0180805071173815</v>
          </cell>
          <cell r="W39">
            <v>1.0486229223309029</v>
          </cell>
        </row>
        <row r="40">
          <cell r="D40">
            <v>0.18745999999999999</v>
          </cell>
          <cell r="E40">
            <v>0.1930838</v>
          </cell>
          <cell r="F40">
            <v>0.198876314</v>
          </cell>
          <cell r="G40">
            <v>0.20484260341999999</v>
          </cell>
          <cell r="H40">
            <v>0.21098788152260001</v>
          </cell>
          <cell r="I40">
            <v>0.217317517968278</v>
          </cell>
          <cell r="J40">
            <v>0.22383704350732633</v>
          </cell>
          <cell r="K40">
            <v>0.23055215481254612</v>
          </cell>
          <cell r="L40">
            <v>0.23746871945692252</v>
          </cell>
          <cell r="M40">
            <v>0.2445927810406302</v>
          </cell>
          <cell r="N40">
            <v>0.25193056447184914</v>
          </cell>
          <cell r="O40">
            <v>0.25948848140600461</v>
          </cell>
          <cell r="P40">
            <v>0.26727313584818474</v>
          </cell>
          <cell r="Q40">
            <v>0.27529132992363031</v>
          </cell>
          <cell r="R40">
            <v>0.28355006982133923</v>
          </cell>
          <cell r="S40">
            <v>0.29205657191597945</v>
          </cell>
          <cell r="T40">
            <v>0.30081826907345882</v>
          </cell>
          <cell r="U40">
            <v>0.30984281714566259</v>
          </cell>
          <cell r="V40">
            <v>0.31913810166003248</v>
          </cell>
          <cell r="W40">
            <v>0.32871224470983346</v>
          </cell>
        </row>
        <row r="41">
          <cell r="D41">
            <v>0.89947600000000005</v>
          </cell>
          <cell r="E41">
            <v>0.95344456000000011</v>
          </cell>
          <cell r="F41">
            <v>1.0106512336000002</v>
          </cell>
          <cell r="G41">
            <v>1.0712903076160003</v>
          </cell>
          <cell r="H41">
            <v>1.1355677260729604</v>
          </cell>
          <cell r="I41">
            <v>1.2037017896373381</v>
          </cell>
          <cell r="J41">
            <v>1.2759238970155784</v>
          </cell>
          <cell r="K41">
            <v>1.3524793308365133</v>
          </cell>
          <cell r="L41">
            <v>1.433628090686704</v>
          </cell>
          <cell r="M41">
            <v>1.5196457761279063</v>
          </cell>
          <cell r="N41">
            <v>1.6108245226955809</v>
          </cell>
          <cell r="O41">
            <v>1.7074739940573158</v>
          </cell>
          <cell r="P41">
            <v>1.8099224337007549</v>
          </cell>
          <cell r="Q41">
            <v>1.9185177797228004</v>
          </cell>
          <cell r="R41">
            <v>2.0336288465061685</v>
          </cell>
          <cell r="S41">
            <v>2.1556465772965385</v>
          </cell>
          <cell r="T41">
            <v>2.2849853719343312</v>
          </cell>
          <cell r="U41">
            <v>2.4220844942503912</v>
          </cell>
          <cell r="V41">
            <v>2.5674095639054149</v>
          </cell>
          <cell r="W41">
            <v>2.7214541377397401</v>
          </cell>
        </row>
        <row r="42">
          <cell r="D42">
            <v>0.43204999999999999</v>
          </cell>
          <cell r="E42">
            <v>0.45797300000000002</v>
          </cell>
          <cell r="F42">
            <v>0.48545138000000004</v>
          </cell>
          <cell r="G42">
            <v>0.51457846280000008</v>
          </cell>
          <cell r="H42">
            <v>0.54545317056800013</v>
          </cell>
          <cell r="I42">
            <v>0.57818036080208013</v>
          </cell>
          <cell r="J42">
            <v>0.612871182450205</v>
          </cell>
          <cell r="K42">
            <v>0.6496434533972173</v>
          </cell>
          <cell r="L42">
            <v>0.68862206060105036</v>
          </cell>
          <cell r="M42">
            <v>0.72993938423711346</v>
          </cell>
          <cell r="N42">
            <v>0.77373574729134031</v>
          </cell>
          <cell r="O42">
            <v>0.82015989212882079</v>
          </cell>
          <cell r="P42">
            <v>0.86936948565655003</v>
          </cell>
          <cell r="Q42">
            <v>0.92153165479594312</v>
          </cell>
          <cell r="R42">
            <v>0.97682355408369981</v>
          </cell>
          <cell r="S42">
            <v>1.0354329673287219</v>
          </cell>
          <cell r="T42">
            <v>1.0975589453684453</v>
          </cell>
          <cell r="U42">
            <v>1.163412482090552</v>
          </cell>
          <cell r="V42">
            <v>1.2332172310159852</v>
          </cell>
          <cell r="W42">
            <v>1.3072102648769444</v>
          </cell>
        </row>
        <row r="43">
          <cell r="D43">
            <v>0.33162700000000001</v>
          </cell>
          <cell r="E43">
            <v>0.34489207999999999</v>
          </cell>
        </row>
      </sheetData>
      <sheetData sheetId="2" refreshError="1"/>
      <sheetData sheetId="3" refreshError="1"/>
      <sheetData sheetId="4">
        <row r="6">
          <cell r="J6">
            <v>18.155660000000001</v>
          </cell>
          <cell r="K6">
            <v>21.799333000000001</v>
          </cell>
          <cell r="L6">
            <v>6.3560980000000002</v>
          </cell>
        </row>
        <row r="7">
          <cell r="I7">
            <v>2.6761749999999997</v>
          </cell>
        </row>
        <row r="60">
          <cell r="J60">
            <v>21.286252999999999</v>
          </cell>
          <cell r="K60">
            <v>19.618666999999999</v>
          </cell>
          <cell r="L60">
            <v>13.939063000000001</v>
          </cell>
        </row>
        <row r="61">
          <cell r="I61">
            <v>2.8579780000000001</v>
          </cell>
        </row>
        <row r="62">
          <cell r="I62">
            <v>2.2339150000000001</v>
          </cell>
        </row>
        <row r="114">
          <cell r="J114">
            <v>4.5389150000000003</v>
          </cell>
          <cell r="K114">
            <v>19.270829425000002</v>
          </cell>
          <cell r="L114">
            <v>18.183766746249997</v>
          </cell>
          <cell r="M114">
            <v>4.8385796025000003</v>
          </cell>
        </row>
        <row r="115">
          <cell r="I115">
            <v>2.6761749999999997</v>
          </cell>
        </row>
        <row r="116">
          <cell r="I116">
            <v>0.14722650000000001</v>
          </cell>
          <cell r="J116">
            <v>0.15164329500000001</v>
          </cell>
        </row>
        <row r="117">
          <cell r="I117">
            <v>0.28609800000000002</v>
          </cell>
          <cell r="J117">
            <v>0.29468094</v>
          </cell>
        </row>
        <row r="168">
          <cell r="K168">
            <v>29.983498000000001</v>
          </cell>
          <cell r="L168">
            <v>32.743882999999997</v>
          </cell>
          <cell r="M168">
            <v>33.546107999999997</v>
          </cell>
        </row>
        <row r="169">
          <cell r="I169">
            <v>2.5947619999999998</v>
          </cell>
        </row>
        <row r="170">
          <cell r="J170">
            <v>2.4293770000000001</v>
          </cell>
        </row>
        <row r="276">
          <cell r="I276">
            <v>2.7629999999999999</v>
          </cell>
        </row>
        <row r="278">
          <cell r="J278">
            <v>10.292819999999999</v>
          </cell>
          <cell r="K278">
            <v>9.9066887999999995</v>
          </cell>
        </row>
        <row r="330">
          <cell r="I330">
            <v>2.7629999999999999</v>
          </cell>
        </row>
        <row r="332">
          <cell r="J332">
            <v>13.191108180000001</v>
          </cell>
          <cell r="K332">
            <v>13.454930343599999</v>
          </cell>
          <cell r="L332">
            <v>13.766086745928</v>
          </cell>
        </row>
        <row r="384">
          <cell r="M384">
            <v>19.266931637279999</v>
          </cell>
          <cell r="N384">
            <v>23.133626574263999</v>
          </cell>
          <cell r="O384">
            <v>6.7451420463840002</v>
          </cell>
        </row>
        <row r="385">
          <cell r="I385">
            <v>2.6761749999999997</v>
          </cell>
        </row>
        <row r="386">
          <cell r="J386">
            <v>0.23903313000000001</v>
          </cell>
          <cell r="K386">
            <v>0.32178791257300005</v>
          </cell>
          <cell r="L386">
            <v>0.45553063199129074</v>
          </cell>
        </row>
        <row r="387">
          <cell r="L387">
            <v>1.9009843800899999</v>
          </cell>
        </row>
      </sheetData>
      <sheetData sheetId="5">
        <row r="6">
          <cell r="G6">
            <v>8.1253000000000006E-2</v>
          </cell>
          <cell r="H6">
            <v>0</v>
          </cell>
          <cell r="I6">
            <v>4.7184588399999998E-2</v>
          </cell>
          <cell r="J6">
            <v>4.8600126052000002E-2</v>
          </cell>
          <cell r="K6">
            <v>5.0058129833560006E-2</v>
          </cell>
          <cell r="L6">
            <v>5.155987372856681E-2</v>
          </cell>
          <cell r="M6">
            <v>5.3106669940423817E-2</v>
          </cell>
          <cell r="N6">
            <v>5.4699870038636536E-2</v>
          </cell>
          <cell r="O6">
            <v>5.6340866139795637E-2</v>
          </cell>
          <cell r="P6">
            <v>5.8031092123989506E-2</v>
          </cell>
          <cell r="Q6">
            <v>5.9772024887709191E-2</v>
          </cell>
          <cell r="R6">
            <v>6.156518563434047E-2</v>
          </cell>
          <cell r="S6">
            <v>6.3412141203370687E-2</v>
          </cell>
          <cell r="T6">
            <v>6.5314505439471815E-2</v>
          </cell>
          <cell r="U6">
            <v>6.7273940602655971E-2</v>
          </cell>
          <cell r="V6">
            <v>6.9292158820735653E-2</v>
          </cell>
          <cell r="W6">
            <v>7.1370923585357723E-2</v>
          </cell>
          <cell r="X6">
            <v>7.3512051292918462E-2</v>
          </cell>
          <cell r="Y6">
            <v>7.5717412831706021E-2</v>
          </cell>
          <cell r="Z6">
            <v>7.7988935216657201E-2</v>
          </cell>
        </row>
        <row r="7">
          <cell r="G7">
            <v>0.123122</v>
          </cell>
          <cell r="H7">
            <v>0.12078707</v>
          </cell>
          <cell r="I7">
            <v>0.10500469929999999</v>
          </cell>
          <cell r="J7">
            <v>0.10815484027899999</v>
          </cell>
          <cell r="K7">
            <v>0.11139948548737</v>
          </cell>
          <cell r="L7">
            <v>0.1147414700519911</v>
          </cell>
          <cell r="M7">
            <v>0.11818371415355083</v>
          </cell>
          <cell r="N7">
            <v>0.12172922557815737</v>
          </cell>
          <cell r="O7">
            <v>0.12538110234550209</v>
          </cell>
          <cell r="P7">
            <v>0.12914253541586715</v>
          </cell>
          <cell r="Q7">
            <v>0.13301681147834316</v>
          </cell>
          <cell r="R7">
            <v>0.13700731582269346</v>
          </cell>
          <cell r="S7">
            <v>0.14111753529737428</v>
          </cell>
          <cell r="T7">
            <v>0.14535106135629552</v>
          </cell>
          <cell r="U7">
            <v>0.1497115931969844</v>
          </cell>
          <cell r="V7">
            <v>0.15420294099289394</v>
          </cell>
          <cell r="W7">
            <v>0.15882902922268077</v>
          </cell>
          <cell r="X7">
            <v>0.1635939000993612</v>
          </cell>
          <cell r="Y7">
            <v>0.16850171710234205</v>
          </cell>
          <cell r="Z7">
            <v>0.1735567686154123</v>
          </cell>
        </row>
        <row r="8">
          <cell r="G8">
            <v>0.26066099999999998</v>
          </cell>
          <cell r="H8">
            <v>0</v>
          </cell>
          <cell r="I8">
            <v>0.10501849099999999</v>
          </cell>
          <cell r="J8">
            <v>0.10816904573</v>
          </cell>
          <cell r="K8">
            <v>0.1114141171019</v>
          </cell>
          <cell r="L8">
            <v>0.11475654061495699</v>
          </cell>
          <cell r="M8">
            <v>0.1181992368334057</v>
          </cell>
          <cell r="N8">
            <v>0.12174521393840788</v>
          </cell>
          <cell r="O8">
            <v>0.12539757035656013</v>
          </cell>
          <cell r="P8">
            <v>0.12915949746725694</v>
          </cell>
          <cell r="Q8">
            <v>0.13303428239127466</v>
          </cell>
          <cell r="R8">
            <v>0.13702531086301289</v>
          </cell>
          <cell r="S8">
            <v>0.14113607018890328</v>
          </cell>
          <cell r="T8">
            <v>0.1453701522945704</v>
          </cell>
          <cell r="U8">
            <v>0.14973125686340752</v>
          </cell>
          <cell r="V8">
            <v>0.15422319456930975</v>
          </cell>
          <cell r="W8">
            <v>0.15884989040638905</v>
          </cell>
          <cell r="X8">
            <v>0.16361538711858073</v>
          </cell>
          <cell r="Y8">
            <v>0.16852384873213816</v>
          </cell>
          <cell r="Z8">
            <v>0.17357956419410231</v>
          </cell>
        </row>
        <row r="9">
          <cell r="G9">
            <v>0.58091099999999996</v>
          </cell>
          <cell r="H9">
            <v>9.8470060000000012E-2</v>
          </cell>
          <cell r="I9">
            <v>0.47155519739999996</v>
          </cell>
          <cell r="J9">
            <v>0.48570185332199994</v>
          </cell>
          <cell r="K9">
            <v>0.50027290892165999</v>
          </cell>
          <cell r="L9">
            <v>0.51528109618930984</v>
          </cell>
          <cell r="M9">
            <v>0.53073952907498911</v>
          </cell>
          <cell r="N9">
            <v>0.54666171494723881</v>
          </cell>
          <cell r="O9">
            <v>0.56306156639565597</v>
          </cell>
          <cell r="P9">
            <v>0.57995341338752571</v>
          </cell>
          <cell r="Q9">
            <v>0.59735201578915154</v>
          </cell>
          <cell r="R9">
            <v>0.61527257626282605</v>
          </cell>
          <cell r="S9">
            <v>0.63373075355071085</v>
          </cell>
          <cell r="T9">
            <v>0.65274267615723214</v>
          </cell>
          <cell r="U9">
            <v>0.67232495644194912</v>
          </cell>
          <cell r="V9">
            <v>0.69249470513520761</v>
          </cell>
          <cell r="W9">
            <v>0.71326954628926387</v>
          </cell>
          <cell r="X9">
            <v>0.73466763267794177</v>
          </cell>
          <cell r="Y9">
            <v>0.75670766165828007</v>
          </cell>
          <cell r="Z9">
            <v>0.7794088915080285</v>
          </cell>
        </row>
        <row r="10">
          <cell r="G10">
            <v>0.28955900000000001</v>
          </cell>
          <cell r="H10">
            <v>0.29824577000000002</v>
          </cell>
          <cell r="I10">
            <v>0</v>
          </cell>
          <cell r="J10">
            <v>2.3228097839000001E-2</v>
          </cell>
          <cell r="K10">
            <v>4.7849881548340002E-2</v>
          </cell>
          <cell r="L10">
            <v>4.9285377994790207E-2</v>
          </cell>
          <cell r="M10">
            <v>5.0763939334633912E-2</v>
          </cell>
          <cell r="N10">
            <v>5.2286857514672928E-2</v>
          </cell>
          <cell r="O10">
            <v>5.3855463240113116E-2</v>
          </cell>
          <cell r="P10">
            <v>5.5471127137316514E-2</v>
          </cell>
          <cell r="Q10">
            <v>5.7135260951436014E-2</v>
          </cell>
          <cell r="R10">
            <v>5.8849318779979093E-2</v>
          </cell>
          <cell r="S10">
            <v>6.0614798343378469E-2</v>
          </cell>
          <cell r="T10">
            <v>6.2433242293679823E-2</v>
          </cell>
          <cell r="U10">
            <v>6.4306239562490222E-2</v>
          </cell>
          <cell r="V10">
            <v>6.6235426749364931E-2</v>
          </cell>
          <cell r="W10">
            <v>6.8222489551845886E-2</v>
          </cell>
          <cell r="X10">
            <v>7.0269164238401266E-2</v>
          </cell>
          <cell r="Y10">
            <v>7.2377239165553303E-2</v>
          </cell>
          <cell r="Z10">
            <v>7.4548556340519906E-2</v>
          </cell>
        </row>
        <row r="11">
          <cell r="G11">
            <v>0.59801499999999996</v>
          </cell>
          <cell r="H11">
            <v>0.61595544999999996</v>
          </cell>
          <cell r="I11">
            <v>0.1347926495</v>
          </cell>
          <cell r="J11">
            <v>0.12973674489250001</v>
          </cell>
          <cell r="K11">
            <v>0.26725769447854997</v>
          </cell>
          <cell r="L11">
            <v>0.2752754253129065</v>
          </cell>
          <cell r="M11">
            <v>0.28353368807229368</v>
          </cell>
          <cell r="N11">
            <v>0.2920396987144625</v>
          </cell>
          <cell r="O11">
            <v>0.30080088967589641</v>
          </cell>
          <cell r="P11">
            <v>0.30982491636617332</v>
          </cell>
          <cell r="Q11">
            <v>0.31911966385715851</v>
          </cell>
          <cell r="R11">
            <v>0.32869325377287328</v>
          </cell>
          <cell r="S11">
            <v>0.33855405138605948</v>
          </cell>
          <cell r="T11">
            <v>0.3487106729276413</v>
          </cell>
          <cell r="U11">
            <v>0.35917199311547054</v>
          </cell>
          <cell r="V11">
            <v>0.36994715290893465</v>
          </cell>
          <cell r="W11">
            <v>0.38104556749620272</v>
          </cell>
          <cell r="X11">
            <v>0.39247693452108884</v>
          </cell>
          <cell r="Y11">
            <v>0.40425124255672151</v>
          </cell>
          <cell r="Z11">
            <v>0.4163787798334232</v>
          </cell>
        </row>
        <row r="12">
          <cell r="G12">
            <v>0.18745999999999999</v>
          </cell>
          <cell r="H12">
            <v>0.1930838</v>
          </cell>
        </row>
        <row r="13">
          <cell r="G13">
            <v>0.33162700000000001</v>
          </cell>
          <cell r="H13">
            <v>0.34489207999999999</v>
          </cell>
        </row>
        <row r="60">
          <cell r="G60">
            <v>8.1253000000000006E-2</v>
          </cell>
          <cell r="H60">
            <v>0</v>
          </cell>
          <cell r="I60">
            <v>4.7184588399999998E-2</v>
          </cell>
          <cell r="J60">
            <v>4.8600126052000002E-2</v>
          </cell>
          <cell r="K60">
            <v>5.0058129833560006E-2</v>
          </cell>
          <cell r="L60">
            <v>5.155987372856681E-2</v>
          </cell>
          <cell r="M60">
            <v>5.3106669940423817E-2</v>
          </cell>
          <cell r="N60">
            <v>5.4699870038636536E-2</v>
          </cell>
          <cell r="O60">
            <v>5.6340866139795637E-2</v>
          </cell>
          <cell r="P60">
            <v>5.8031092123989506E-2</v>
          </cell>
          <cell r="Q60">
            <v>5.9772024887709191E-2</v>
          </cell>
          <cell r="R60">
            <v>6.156518563434047E-2</v>
          </cell>
          <cell r="S60">
            <v>6.3412141203370687E-2</v>
          </cell>
          <cell r="T60">
            <v>6.5314505439471815E-2</v>
          </cell>
          <cell r="U60">
            <v>6.7273940602655971E-2</v>
          </cell>
          <cell r="V60">
            <v>6.9292158820735653E-2</v>
          </cell>
          <cell r="W60">
            <v>7.1370923585357723E-2</v>
          </cell>
          <cell r="X60">
            <v>7.3512051292918462E-2</v>
          </cell>
          <cell r="Y60">
            <v>7.5717412831706021E-2</v>
          </cell>
          <cell r="Z60">
            <v>7.7988935216657201E-2</v>
          </cell>
        </row>
        <row r="61">
          <cell r="G61">
            <v>0.123122</v>
          </cell>
          <cell r="H61">
            <v>0.12078707</v>
          </cell>
          <cell r="I61">
            <v>0.10500469929999999</v>
          </cell>
          <cell r="J61">
            <v>0.10815484027899999</v>
          </cell>
          <cell r="K61">
            <v>0.11139948548737</v>
          </cell>
          <cell r="L61">
            <v>0.1147414700519911</v>
          </cell>
          <cell r="M61">
            <v>0.11818371415355083</v>
          </cell>
          <cell r="N61">
            <v>0.12172922557815737</v>
          </cell>
          <cell r="O61">
            <v>0.12538110234550209</v>
          </cell>
          <cell r="P61">
            <v>0.12914253541586715</v>
          </cell>
          <cell r="Q61">
            <v>0.13301681147834316</v>
          </cell>
          <cell r="R61">
            <v>0.13700731582269346</v>
          </cell>
          <cell r="S61">
            <v>0.14111753529737428</v>
          </cell>
          <cell r="T61">
            <v>0.14535106135629552</v>
          </cell>
          <cell r="U61">
            <v>0.1497115931969844</v>
          </cell>
          <cell r="V61">
            <v>0.15420294099289394</v>
          </cell>
          <cell r="W61">
            <v>0.15882902922268077</v>
          </cell>
          <cell r="X61">
            <v>0.1635939000993612</v>
          </cell>
          <cell r="Y61">
            <v>0.16850171710234205</v>
          </cell>
          <cell r="Z61">
            <v>0.1735567686154123</v>
          </cell>
        </row>
        <row r="62">
          <cell r="G62">
            <v>0.26066099999999998</v>
          </cell>
          <cell r="H62">
            <v>0</v>
          </cell>
          <cell r="I62">
            <v>0.13826762744999999</v>
          </cell>
          <cell r="J62">
            <v>0.22218745909100002</v>
          </cell>
          <cell r="K62">
            <v>0.22885308286373002</v>
          </cell>
          <cell r="L62">
            <v>0.23571867534964192</v>
          </cell>
          <cell r="M62">
            <v>0.24279023561013119</v>
          </cell>
          <cell r="N62">
            <v>0.25007394267843513</v>
          </cell>
          <cell r="O62">
            <v>0.25757616095878821</v>
          </cell>
          <cell r="P62">
            <v>0.26530344578755188</v>
          </cell>
          <cell r="Q62">
            <v>0.27326254916117843</v>
          </cell>
          <cell r="R62">
            <v>0.28146042563601381</v>
          </cell>
          <cell r="S62">
            <v>0.28990423840509422</v>
          </cell>
          <cell r="T62">
            <v>0.29860136555724703</v>
          </cell>
          <cell r="U62">
            <v>0.30755940652396446</v>
          </cell>
          <cell r="V62">
            <v>0.31678618871968339</v>
          </cell>
          <cell r="W62">
            <v>0.32628977438127388</v>
          </cell>
          <cell r="X62">
            <v>0.3360784676127121</v>
          </cell>
          <cell r="Y62">
            <v>0.34616082164109346</v>
          </cell>
          <cell r="Z62">
            <v>0.35654564629032626</v>
          </cell>
        </row>
        <row r="63">
          <cell r="G63">
            <v>0.58091099999999996</v>
          </cell>
          <cell r="H63">
            <v>9.8470060000000012E-2</v>
          </cell>
          <cell r="I63">
            <v>0.19111105645000001</v>
          </cell>
          <cell r="J63">
            <v>0.78737755257399999</v>
          </cell>
          <cell r="K63">
            <v>0.81099887915122004</v>
          </cell>
          <cell r="L63">
            <v>0.8353288455257567</v>
          </cell>
          <cell r="M63">
            <v>0.86038871089152946</v>
          </cell>
          <cell r="N63">
            <v>0.88620037221827541</v>
          </cell>
          <cell r="O63">
            <v>0.91278638338482365</v>
          </cell>
          <cell r="P63">
            <v>0.94016997488636833</v>
          </cell>
          <cell r="Q63">
            <v>0.96837507413295942</v>
          </cell>
          <cell r="R63">
            <v>0.99742632635694828</v>
          </cell>
          <cell r="S63">
            <v>1.0273491161476567</v>
          </cell>
          <cell r="T63">
            <v>1.0581695896320864</v>
          </cell>
          <cell r="U63">
            <v>1.0899146773210491</v>
          </cell>
          <cell r="V63">
            <v>1.1226121176406805</v>
          </cell>
          <cell r="W63">
            <v>1.1562904811699009</v>
          </cell>
          <cell r="X63">
            <v>1.190979195604998</v>
          </cell>
          <cell r="Y63">
            <v>1.226708571473148</v>
          </cell>
          <cell r="Z63">
            <v>1.2635098286173425</v>
          </cell>
        </row>
        <row r="64">
          <cell r="G64">
            <v>0.28955900000000001</v>
          </cell>
          <cell r="H64">
            <v>0.29824577000000002</v>
          </cell>
          <cell r="I64">
            <v>0</v>
          </cell>
          <cell r="J64">
            <v>1.1614048919500001E-2</v>
          </cell>
          <cell r="K64">
            <v>4.7849881548340002E-2</v>
          </cell>
          <cell r="L64">
            <v>4.9285377994790207E-2</v>
          </cell>
          <cell r="M64">
            <v>5.0763939334633912E-2</v>
          </cell>
          <cell r="N64">
            <v>5.2286857514672928E-2</v>
          </cell>
          <cell r="O64">
            <v>5.3855463240113116E-2</v>
          </cell>
          <cell r="P64">
            <v>5.5471127137316514E-2</v>
          </cell>
          <cell r="Q64">
            <v>5.7135260951436014E-2</v>
          </cell>
          <cell r="R64">
            <v>5.8849318779979093E-2</v>
          </cell>
          <cell r="S64">
            <v>6.0614798343378469E-2</v>
          </cell>
          <cell r="T64">
            <v>6.2433242293679823E-2</v>
          </cell>
          <cell r="U64">
            <v>6.4306239562490222E-2</v>
          </cell>
          <cell r="V64">
            <v>6.6235426749364931E-2</v>
          </cell>
          <cell r="W64">
            <v>6.8222489551845886E-2</v>
          </cell>
          <cell r="X64">
            <v>7.0269164238401266E-2</v>
          </cell>
          <cell r="Y64">
            <v>7.2377239165553303E-2</v>
          </cell>
          <cell r="Z64">
            <v>7.4548556340519906E-2</v>
          </cell>
        </row>
        <row r="65">
          <cell r="G65">
            <v>0.59801499999999996</v>
          </cell>
          <cell r="H65">
            <v>0.61595544999999996</v>
          </cell>
          <cell r="I65">
            <v>0.1347926495</v>
          </cell>
          <cell r="J65">
            <v>0.16899569418499999</v>
          </cell>
          <cell r="K65">
            <v>0.26725769447854997</v>
          </cell>
          <cell r="L65">
            <v>0.2752754253129065</v>
          </cell>
          <cell r="M65">
            <v>0.28353368807229368</v>
          </cell>
          <cell r="N65">
            <v>0.2920396987144625</v>
          </cell>
          <cell r="O65">
            <v>0.30080088967589641</v>
          </cell>
          <cell r="P65">
            <v>0.30982491636617332</v>
          </cell>
          <cell r="Q65">
            <v>0.31911966385715851</v>
          </cell>
          <cell r="R65">
            <v>0.32869325377287328</v>
          </cell>
          <cell r="S65">
            <v>0.33855405138605948</v>
          </cell>
          <cell r="T65">
            <v>0.3487106729276413</v>
          </cell>
          <cell r="U65">
            <v>0.35917199311547054</v>
          </cell>
          <cell r="V65">
            <v>0.36994715290893465</v>
          </cell>
          <cell r="W65">
            <v>0.38104556749620272</v>
          </cell>
          <cell r="X65">
            <v>0.39247693452108884</v>
          </cell>
          <cell r="Y65">
            <v>0.40425124255672151</v>
          </cell>
          <cell r="Z65">
            <v>0.4163787798334232</v>
          </cell>
        </row>
        <row r="66">
          <cell r="G66">
            <v>0.18745999999999999</v>
          </cell>
          <cell r="H66">
            <v>0.1930838</v>
          </cell>
        </row>
        <row r="67">
          <cell r="G67">
            <v>0.33162700000000001</v>
          </cell>
          <cell r="H67">
            <v>0.34489207999999999</v>
          </cell>
          <cell r="I67">
            <v>0.26901582239999999</v>
          </cell>
        </row>
        <row r="114">
          <cell r="G114">
            <v>8.1253000000000006E-2</v>
          </cell>
          <cell r="H114">
            <v>8.3690590000000009E-2</v>
          </cell>
          <cell r="I114">
            <v>0</v>
          </cell>
          <cell r="J114">
            <v>4.8600126052000002E-2</v>
          </cell>
          <cell r="K114">
            <v>5.0058129833560006E-2</v>
          </cell>
          <cell r="L114">
            <v>5.155987372856681E-2</v>
          </cell>
          <cell r="M114">
            <v>5.3106669940423817E-2</v>
          </cell>
          <cell r="N114">
            <v>5.4699870038636536E-2</v>
          </cell>
          <cell r="O114">
            <v>5.6340866139795637E-2</v>
          </cell>
          <cell r="P114">
            <v>5.8031092123989506E-2</v>
          </cell>
          <cell r="Q114">
            <v>5.9772024887709191E-2</v>
          </cell>
          <cell r="R114">
            <v>6.156518563434047E-2</v>
          </cell>
          <cell r="S114">
            <v>6.3412141203370687E-2</v>
          </cell>
          <cell r="T114">
            <v>6.5314505439471815E-2</v>
          </cell>
          <cell r="U114">
            <v>6.7273940602655971E-2</v>
          </cell>
          <cell r="V114">
            <v>6.9292158820735653E-2</v>
          </cell>
          <cell r="W114">
            <v>7.1370923585357723E-2</v>
          </cell>
          <cell r="X114">
            <v>7.3512051292918462E-2</v>
          </cell>
          <cell r="Y114">
            <v>7.5717412831706021E-2</v>
          </cell>
          <cell r="Z114">
            <v>7.7988935216657201E-2</v>
          </cell>
        </row>
        <row r="115">
          <cell r="G115">
            <v>0.123122</v>
          </cell>
          <cell r="H115">
            <v>0.12681566</v>
          </cell>
          <cell r="I115">
            <v>0.12441068209999999</v>
          </cell>
          <cell r="J115">
            <v>0.10815484027899999</v>
          </cell>
          <cell r="K115">
            <v>0.11139948548737</v>
          </cell>
          <cell r="L115">
            <v>0.1147414700519911</v>
          </cell>
          <cell r="M115">
            <v>0.11818371415355083</v>
          </cell>
          <cell r="N115">
            <v>0.12172922557815737</v>
          </cell>
          <cell r="O115">
            <v>0.12538110234550209</v>
          </cell>
          <cell r="P115">
            <v>0.12914253541586715</v>
          </cell>
          <cell r="Q115">
            <v>0.13301681147834316</v>
          </cell>
          <cell r="R115">
            <v>0.13700731582269346</v>
          </cell>
          <cell r="S115">
            <v>0.14111753529737428</v>
          </cell>
          <cell r="T115">
            <v>0.14535106135629552</v>
          </cell>
          <cell r="U115">
            <v>0.1497115931969844</v>
          </cell>
          <cell r="V115">
            <v>0.15420294099289394</v>
          </cell>
          <cell r="W115">
            <v>0.15882902922268077</v>
          </cell>
          <cell r="X115">
            <v>0.1635939000993612</v>
          </cell>
          <cell r="Y115">
            <v>0.16850171710234205</v>
          </cell>
          <cell r="Z115">
            <v>0.1735567686154123</v>
          </cell>
        </row>
        <row r="116">
          <cell r="G116">
            <v>0.26066099999999998</v>
          </cell>
          <cell r="H116">
            <v>0.26848083</v>
          </cell>
          <cell r="I116">
            <v>0</v>
          </cell>
          <cell r="J116">
            <v>0.10816904573</v>
          </cell>
          <cell r="K116">
            <v>0.1114141171019</v>
          </cell>
          <cell r="L116">
            <v>0.11475654061495699</v>
          </cell>
          <cell r="M116">
            <v>0.1181992368334057</v>
          </cell>
          <cell r="N116">
            <v>0.12174521393840788</v>
          </cell>
          <cell r="O116">
            <v>0.12539757035656013</v>
          </cell>
          <cell r="P116">
            <v>0.12915949746725694</v>
          </cell>
          <cell r="Q116">
            <v>0.13303428239127466</v>
          </cell>
          <cell r="R116">
            <v>0.13702531086301289</v>
          </cell>
          <cell r="S116">
            <v>0.14113607018890328</v>
          </cell>
          <cell r="T116">
            <v>0.1453701522945704</v>
          </cell>
          <cell r="U116">
            <v>0.14973125686340752</v>
          </cell>
          <cell r="V116">
            <v>0.15422319456930975</v>
          </cell>
          <cell r="W116">
            <v>0.15884989040638905</v>
          </cell>
          <cell r="X116">
            <v>0.16361538711858073</v>
          </cell>
          <cell r="Y116">
            <v>0.16852384873213816</v>
          </cell>
          <cell r="Z116">
            <v>0.17357956419410231</v>
          </cell>
        </row>
        <row r="117">
          <cell r="G117">
            <v>0.58091099999999996</v>
          </cell>
          <cell r="H117">
            <v>0.59833832999999992</v>
          </cell>
          <cell r="I117">
            <v>0.1014241618</v>
          </cell>
          <cell r="J117">
            <v>0.485701853322</v>
          </cell>
          <cell r="K117">
            <v>0.50027290892165999</v>
          </cell>
          <cell r="L117">
            <v>0.51528109618930984</v>
          </cell>
          <cell r="M117">
            <v>0.53073952907498911</v>
          </cell>
          <cell r="N117">
            <v>0.54666171494723881</v>
          </cell>
          <cell r="O117">
            <v>0.56306156639565597</v>
          </cell>
          <cell r="P117">
            <v>0.57995341338752571</v>
          </cell>
          <cell r="Q117">
            <v>0.59735201578915154</v>
          </cell>
          <cell r="R117">
            <v>0.61527257626282605</v>
          </cell>
          <cell r="S117">
            <v>0.63373075355071085</v>
          </cell>
          <cell r="T117">
            <v>0.65274267615723214</v>
          </cell>
          <cell r="U117">
            <v>0.67232495644194912</v>
          </cell>
          <cell r="V117">
            <v>0.69249470513520761</v>
          </cell>
          <cell r="W117">
            <v>0.71326954628926387</v>
          </cell>
          <cell r="X117">
            <v>0.73466763267794177</v>
          </cell>
          <cell r="Y117">
            <v>0.75670766165828007</v>
          </cell>
          <cell r="Z117">
            <v>0.7794088915080285</v>
          </cell>
        </row>
        <row r="118">
          <cell r="G118">
            <v>0.28955900000000001</v>
          </cell>
          <cell r="H118">
            <v>0.29824577000000002</v>
          </cell>
          <cell r="I118">
            <v>0.30719314310000001</v>
          </cell>
          <cell r="J118">
            <v>0</v>
          </cell>
          <cell r="K118">
            <v>4.7849881548340002E-2</v>
          </cell>
          <cell r="L118">
            <v>4.9285377994790207E-2</v>
          </cell>
          <cell r="M118">
            <v>5.0763939334633912E-2</v>
          </cell>
          <cell r="N118">
            <v>5.2286857514672928E-2</v>
          </cell>
          <cell r="O118">
            <v>5.3855463240113116E-2</v>
          </cell>
          <cell r="P118">
            <v>5.5471127137316514E-2</v>
          </cell>
          <cell r="Q118">
            <v>5.7135260951436014E-2</v>
          </cell>
          <cell r="R118">
            <v>5.8849318779979093E-2</v>
          </cell>
          <cell r="S118">
            <v>6.0614798343378469E-2</v>
          </cell>
          <cell r="T118">
            <v>6.2433242293679823E-2</v>
          </cell>
          <cell r="U118">
            <v>6.4306239562490222E-2</v>
          </cell>
          <cell r="V118">
            <v>6.6235426749364931E-2</v>
          </cell>
          <cell r="W118">
            <v>6.8222489551845886E-2</v>
          </cell>
          <cell r="X118">
            <v>7.0269164238401266E-2</v>
          </cell>
          <cell r="Y118">
            <v>7.2377239165553303E-2</v>
          </cell>
          <cell r="Z118">
            <v>7.4548556340519906E-2</v>
          </cell>
        </row>
        <row r="119">
          <cell r="G119">
            <v>0.59801499999999996</v>
          </cell>
          <cell r="H119">
            <v>0.61595544999999996</v>
          </cell>
          <cell r="I119">
            <v>0.63443411350000001</v>
          </cell>
          <cell r="J119">
            <v>0.1347926495</v>
          </cell>
          <cell r="K119">
            <v>0.26725769447854997</v>
          </cell>
          <cell r="L119">
            <v>0.2752754253129065</v>
          </cell>
          <cell r="M119">
            <v>0.28353368807229368</v>
          </cell>
          <cell r="N119">
            <v>0.2920396987144625</v>
          </cell>
          <cell r="O119">
            <v>0.30080088967589641</v>
          </cell>
          <cell r="P119">
            <v>0.30982491636617332</v>
          </cell>
          <cell r="Q119">
            <v>0.31911966385715851</v>
          </cell>
          <cell r="R119">
            <v>0.32869325377287328</v>
          </cell>
          <cell r="S119">
            <v>0.33855405138605948</v>
          </cell>
          <cell r="T119">
            <v>0.3487106729276413</v>
          </cell>
          <cell r="U119">
            <v>0.35917199311547054</v>
          </cell>
          <cell r="V119">
            <v>0.36994715290893465</v>
          </cell>
          <cell r="W119">
            <v>0.38104556749620272</v>
          </cell>
          <cell r="X119">
            <v>0.39247693452108884</v>
          </cell>
          <cell r="Y119">
            <v>0.40425124255672151</v>
          </cell>
          <cell r="Z119">
            <v>0.4163787798334232</v>
          </cell>
        </row>
        <row r="120">
          <cell r="G120">
            <v>0.18745999999999999</v>
          </cell>
          <cell r="H120">
            <v>0.1930838</v>
          </cell>
          <cell r="I120">
            <v>0.198876314</v>
          </cell>
        </row>
        <row r="121">
          <cell r="G121">
            <v>0.33162700000000001</v>
          </cell>
          <cell r="H121">
            <v>0.34489207999999999</v>
          </cell>
          <cell r="I121">
            <v>0.35523884239999998</v>
          </cell>
        </row>
        <row r="122">
          <cell r="G122">
            <v>0.21602499999999999</v>
          </cell>
          <cell r="H122">
            <v>0.22898650000000001</v>
          </cell>
        </row>
        <row r="168">
          <cell r="G168">
            <v>8.1253000000000006E-2</v>
          </cell>
          <cell r="H168">
            <v>8.3690590000000009E-2</v>
          </cell>
          <cell r="I168">
            <v>8.6201307700000007E-2</v>
          </cell>
          <cell r="J168">
            <v>8.8787346931000016E-2</v>
          </cell>
          <cell r="K168">
            <v>0</v>
          </cell>
        </row>
        <row r="169">
          <cell r="G169">
            <v>0.123122</v>
          </cell>
          <cell r="H169">
            <v>0.12681566</v>
          </cell>
          <cell r="I169">
            <v>0.13062012980000001</v>
          </cell>
          <cell r="J169">
            <v>0.13453873369400002</v>
          </cell>
          <cell r="K169">
            <v>0.13857489570482001</v>
          </cell>
        </row>
        <row r="170">
          <cell r="G170">
            <v>0.26066099999999998</v>
          </cell>
          <cell r="H170">
            <v>0.26848083</v>
          </cell>
          <cell r="I170">
            <v>0.27653525490000003</v>
          </cell>
          <cell r="J170">
            <v>0.28483131254700006</v>
          </cell>
          <cell r="K170">
            <v>0</v>
          </cell>
        </row>
        <row r="171">
          <cell r="G171">
            <v>0.58091099999999996</v>
          </cell>
          <cell r="H171">
            <v>0.59833832999999992</v>
          </cell>
          <cell r="I171">
            <v>0.61628847989999991</v>
          </cell>
          <cell r="J171">
            <v>0.63477713429699989</v>
          </cell>
          <cell r="K171">
            <v>0.10760089325362</v>
          </cell>
        </row>
        <row r="172">
          <cell r="G172">
            <v>0.28955900000000001</v>
          </cell>
          <cell r="H172">
            <v>0.29824577000000002</v>
          </cell>
          <cell r="I172">
            <v>0.30719314310000001</v>
          </cell>
          <cell r="J172">
            <v>0.31640893739300002</v>
          </cell>
          <cell r="K172">
            <v>0</v>
          </cell>
        </row>
        <row r="173">
          <cell r="G173">
            <v>0.59801499999999996</v>
          </cell>
          <cell r="H173">
            <v>0.61595544999999996</v>
          </cell>
          <cell r="I173">
            <v>0.63443411350000001</v>
          </cell>
          <cell r="J173">
            <v>0.65346713690500002</v>
          </cell>
          <cell r="K173">
            <v>0.14300152185454998</v>
          </cell>
        </row>
        <row r="174">
          <cell r="G174">
            <v>0.18745999999999999</v>
          </cell>
          <cell r="H174">
            <v>0.1930838</v>
          </cell>
          <cell r="I174">
            <v>0.198876314</v>
          </cell>
          <cell r="J174">
            <v>0.10242130171</v>
          </cell>
        </row>
        <row r="175">
          <cell r="G175">
            <v>0.33162700000000001</v>
          </cell>
          <cell r="H175">
            <v>0.34489207999999999</v>
          </cell>
        </row>
        <row r="176">
          <cell r="G176">
            <v>0</v>
          </cell>
          <cell r="H176">
            <v>0</v>
          </cell>
          <cell r="I176">
            <v>0</v>
          </cell>
          <cell r="J176">
            <v>0.19914457847850001</v>
          </cell>
          <cell r="K176">
            <v>0.41023783166570998</v>
          </cell>
          <cell r="L176">
            <v>0.42254496661568131</v>
          </cell>
          <cell r="M176">
            <v>0.43522131561415178</v>
          </cell>
          <cell r="N176">
            <v>0.44827795508257634</v>
          </cell>
          <cell r="O176">
            <v>0.46172629373505364</v>
          </cell>
          <cell r="P176">
            <v>0.47557808254710526</v>
          </cell>
          <cell r="Q176">
            <v>0.48984542502351841</v>
          </cell>
          <cell r="R176">
            <v>0.50454078777422395</v>
          </cell>
          <cell r="S176">
            <v>0.51967701140745071</v>
          </cell>
          <cell r="T176">
            <v>0.53526732174967429</v>
          </cell>
          <cell r="U176">
            <v>0.55132534140216449</v>
          </cell>
          <cell r="V176">
            <v>0.56786510164422943</v>
          </cell>
          <cell r="W176">
            <v>0.58490105469355635</v>
          </cell>
          <cell r="X176">
            <v>0.60244808633436309</v>
          </cell>
          <cell r="Y176">
            <v>0.62052152892439405</v>
          </cell>
          <cell r="Z176">
            <v>0.63913717479212584</v>
          </cell>
        </row>
        <row r="177">
          <cell r="G177">
            <v>0</v>
          </cell>
          <cell r="H177">
            <v>0</v>
          </cell>
          <cell r="I177">
            <v>0</v>
          </cell>
          <cell r="J177">
            <v>0.37673293142800002</v>
          </cell>
          <cell r="K177">
            <v>0.77606983874168001</v>
          </cell>
          <cell r="L177">
            <v>0.79935193390393044</v>
          </cell>
          <cell r="M177">
            <v>0.8233324919210484</v>
          </cell>
          <cell r="N177">
            <v>0.84803246667867993</v>
          </cell>
          <cell r="O177">
            <v>0.87347344067904031</v>
          </cell>
          <cell r="P177">
            <v>0.89967764389941152</v>
          </cell>
          <cell r="Q177">
            <v>0.92666797321639394</v>
          </cell>
          <cell r="R177">
            <v>0.95446801241288581</v>
          </cell>
          <cell r="S177">
            <v>0.98310205278527241</v>
          </cell>
          <cell r="T177">
            <v>1.0125951143688305</v>
          </cell>
          <cell r="U177">
            <v>1.0429729677998956</v>
          </cell>
          <cell r="V177">
            <v>1.0742621568338924</v>
          </cell>
          <cell r="W177">
            <v>1.1064900215389091</v>
          </cell>
          <cell r="X177">
            <v>1.1396847221850763</v>
          </cell>
          <cell r="Y177">
            <v>1.1738752638506287</v>
          </cell>
          <cell r="Z177">
            <v>1.2090915217661475</v>
          </cell>
        </row>
        <row r="276">
          <cell r="G276">
            <v>8.1253000000000006E-2</v>
          </cell>
          <cell r="H276">
            <v>8.3690590000000009E-2</v>
          </cell>
          <cell r="I276">
            <v>8.6201307700000007E-2</v>
          </cell>
          <cell r="J276">
            <v>8.8787346931000016E-2</v>
          </cell>
          <cell r="K276">
            <v>9.1894904073585013E-2</v>
          </cell>
          <cell r="L276">
            <v>9.5570700236528416E-2</v>
          </cell>
          <cell r="M276">
            <v>9.9871381747172194E-2</v>
          </cell>
          <cell r="N276">
            <v>0.1048649508345308</v>
          </cell>
          <cell r="O276">
            <v>0.11063252313043</v>
          </cell>
          <cell r="P276">
            <v>0.1172704745182558</v>
          </cell>
          <cell r="Q276">
            <v>0.12489305536194242</v>
          </cell>
          <cell r="R276">
            <v>0.1336355692372784</v>
          </cell>
          <cell r="S276">
            <v>0.1429900590838879</v>
          </cell>
          <cell r="T276">
            <v>0.15299936321976007</v>
          </cell>
          <cell r="U276">
            <v>0.16370931864514329</v>
          </cell>
          <cell r="V276">
            <v>0.17516897095030334</v>
          </cell>
          <cell r="W276">
            <v>0.1874307989168246</v>
          </cell>
          <cell r="X276">
            <v>0.20055095484100233</v>
          </cell>
          <cell r="Y276">
            <v>0.2145895216798725</v>
          </cell>
          <cell r="Z276">
            <v>0.22961078819746358</v>
          </cell>
        </row>
        <row r="277">
          <cell r="G277">
            <v>0.123122</v>
          </cell>
          <cell r="H277">
            <v>0.12681566</v>
          </cell>
          <cell r="I277">
            <v>0.13062012980000001</v>
          </cell>
          <cell r="J277">
            <v>0.13453873369400002</v>
          </cell>
          <cell r="K277">
            <v>0.13857489570482001</v>
          </cell>
          <cell r="L277">
            <v>0.14273214257596462</v>
          </cell>
          <cell r="M277">
            <v>0.14701410685324356</v>
          </cell>
          <cell r="N277">
            <v>0.15142453005884088</v>
          </cell>
          <cell r="O277">
            <v>0.15596726596060612</v>
          </cell>
          <cell r="P277">
            <v>0.16064628393942432</v>
          </cell>
          <cell r="Q277">
            <v>0.16546567245760704</v>
          </cell>
          <cell r="R277">
            <v>0.17042964263133525</v>
          </cell>
          <cell r="S277">
            <v>0.17554253191027533</v>
          </cell>
          <cell r="T277">
            <v>0.1808088078675836</v>
          </cell>
          <cell r="U277">
            <v>0.18623307210361112</v>
          </cell>
          <cell r="V277">
            <v>0.19182006426671946</v>
          </cell>
          <cell r="W277">
            <v>0.19757466619472105</v>
          </cell>
          <cell r="X277">
            <v>0.20350190618056269</v>
          </cell>
          <cell r="Y277">
            <v>0.20960696336597956</v>
          </cell>
          <cell r="Z277">
            <v>0.21589517226695895</v>
          </cell>
        </row>
        <row r="278">
          <cell r="G278">
            <v>0.26066099999999998</v>
          </cell>
          <cell r="H278">
            <v>0.26848083</v>
          </cell>
          <cell r="I278">
            <v>0.27653525490000003</v>
          </cell>
          <cell r="J278">
            <v>0.28483131254700006</v>
          </cell>
          <cell r="K278">
            <v>0.29480040848614503</v>
          </cell>
          <cell r="L278">
            <v>0.30659242482559085</v>
          </cell>
          <cell r="M278">
            <v>0.3203890839427424</v>
          </cell>
          <cell r="N278">
            <v>0.33640853813987953</v>
          </cell>
          <cell r="O278">
            <v>0.35491100773757289</v>
          </cell>
          <cell r="P278">
            <v>0.37620566820182727</v>
          </cell>
          <cell r="Q278">
            <v>0.40065903663494601</v>
          </cell>
          <cell r="R278">
            <v>0.42870516919939228</v>
          </cell>
          <cell r="S278">
            <v>0.45871453104334975</v>
          </cell>
          <cell r="T278">
            <v>0.49082454821638427</v>
          </cell>
          <cell r="U278">
            <v>0.52518226659153122</v>
          </cell>
          <cell r="V278">
            <v>0.56194502525293843</v>
          </cell>
          <cell r="W278">
            <v>0.60128117702064421</v>
          </cell>
          <cell r="X278">
            <v>0.64337085941208938</v>
          </cell>
          <cell r="Y278">
            <v>0.68840681957093564</v>
          </cell>
          <cell r="Z278">
            <v>0.7365952969409012</v>
          </cell>
        </row>
        <row r="279">
          <cell r="G279">
            <v>0.58091099999999996</v>
          </cell>
          <cell r="H279">
            <v>0.59833832999999992</v>
          </cell>
          <cell r="I279">
            <v>0.61628847989999991</v>
          </cell>
          <cell r="J279">
            <v>0.63477713429699989</v>
          </cell>
          <cell r="K279">
            <v>0.65382044832590991</v>
          </cell>
          <cell r="L279">
            <v>0.67343506177568724</v>
          </cell>
          <cell r="M279">
            <v>0.69363811362895789</v>
          </cell>
          <cell r="N279">
            <v>0.71444725703782663</v>
          </cell>
          <cell r="O279">
            <v>0.73588067474896146</v>
          </cell>
          <cell r="P279">
            <v>0.75795709499143027</v>
          </cell>
          <cell r="Q279">
            <v>0.78069580784117321</v>
          </cell>
          <cell r="R279">
            <v>0.80411668207640841</v>
          </cell>
          <cell r="S279">
            <v>0.82824018253870069</v>
          </cell>
          <cell r="T279">
            <v>0.85308738801486172</v>
          </cell>
          <cell r="U279">
            <v>0.87868000965530757</v>
          </cell>
          <cell r="V279">
            <v>0.90504040994496682</v>
          </cell>
          <cell r="W279">
            <v>0.93219162224331586</v>
          </cell>
          <cell r="X279">
            <v>0.96015737091061537</v>
          </cell>
          <cell r="Y279">
            <v>0.98896209203793384</v>
          </cell>
          <cell r="Z279">
            <v>1.018630954799072</v>
          </cell>
        </row>
        <row r="280">
          <cell r="G280">
            <v>0.28955900000000001</v>
          </cell>
          <cell r="H280">
            <v>0.29824577000000002</v>
          </cell>
          <cell r="I280">
            <v>0.30719314310000001</v>
          </cell>
          <cell r="J280">
            <v>0.31640893739300002</v>
          </cell>
          <cell r="K280">
            <v>0.32748325020175501</v>
          </cell>
          <cell r="L280">
            <v>0.34058258020982524</v>
          </cell>
          <cell r="M280">
            <v>0.35590879631926736</v>
          </cell>
          <cell r="N280">
            <v>0.37370423613523074</v>
          </cell>
          <cell r="O280">
            <v>0.39425796912266842</v>
          </cell>
          <cell r="P280">
            <v>0.41791344727002855</v>
          </cell>
          <cell r="Q280">
            <v>0.44507782134258039</v>
          </cell>
          <cell r="R280">
            <v>0.47623326883656103</v>
          </cell>
          <cell r="S280">
            <v>0.50956959765512033</v>
          </cell>
          <cell r="T280">
            <v>0.54523946949097879</v>
          </cell>
          <cell r="U280">
            <v>0.58340623235534739</v>
          </cell>
          <cell r="V280">
            <v>0.62424466862022177</v>
          </cell>
          <cell r="W280">
            <v>0.6679417954236373</v>
          </cell>
          <cell r="X280">
            <v>0.71469772110329199</v>
          </cell>
          <cell r="Y280">
            <v>0.76472656158052243</v>
          </cell>
          <cell r="Z280">
            <v>0.81825742089115905</v>
          </cell>
        </row>
        <row r="281">
          <cell r="G281">
            <v>0.59801499999999996</v>
          </cell>
          <cell r="H281">
            <v>0.61595544999999996</v>
          </cell>
          <cell r="I281">
            <v>0.63443411350000001</v>
          </cell>
          <cell r="J281">
            <v>0.65346713690500002</v>
          </cell>
          <cell r="K281">
            <v>0.67307115101215009</v>
          </cell>
          <cell r="L281">
            <v>0.6932632855425146</v>
          </cell>
          <cell r="M281">
            <v>0.71406118410879005</v>
          </cell>
          <cell r="N281">
            <v>0.73548301963205376</v>
          </cell>
          <cell r="O281">
            <v>0.75754751022101541</v>
          </cell>
          <cell r="P281">
            <v>0.7802739355276459</v>
          </cell>
          <cell r="Q281">
            <v>0.80368215359347528</v>
          </cell>
          <cell r="R281">
            <v>0.82779261820127958</v>
          </cell>
          <cell r="S281">
            <v>0.85262639674731799</v>
          </cell>
          <cell r="T281">
            <v>0.87820518864973751</v>
          </cell>
          <cell r="U281">
            <v>0.90455134430922968</v>
          </cell>
          <cell r="V281">
            <v>0.9316878846385066</v>
          </cell>
          <cell r="W281">
            <v>0.9596385211776618</v>
          </cell>
          <cell r="X281">
            <v>0.98842767681299171</v>
          </cell>
          <cell r="Y281">
            <v>1.0180805071173815</v>
          </cell>
          <cell r="Z281">
            <v>1.0486229223309029</v>
          </cell>
        </row>
        <row r="282">
          <cell r="G282">
            <v>0.18745999999999999</v>
          </cell>
          <cell r="H282">
            <v>0.1930838</v>
          </cell>
          <cell r="I282">
            <v>0.198876314</v>
          </cell>
          <cell r="J282">
            <v>0.20484260341999999</v>
          </cell>
          <cell r="K282">
            <v>0.21098788152260001</v>
          </cell>
          <cell r="L282">
            <v>0.217317517968278</v>
          </cell>
          <cell r="M282">
            <v>0.22383704350732633</v>
          </cell>
          <cell r="N282">
            <v>0.23055215481254612</v>
          </cell>
          <cell r="O282">
            <v>0.23746871945692252</v>
          </cell>
          <cell r="P282">
            <v>0.2445927810406302</v>
          </cell>
          <cell r="Q282">
            <v>0.25193056447184914</v>
          </cell>
          <cell r="R282">
            <v>0.25948848140600461</v>
          </cell>
          <cell r="S282">
            <v>0.26727313584818474</v>
          </cell>
          <cell r="T282">
            <v>0.27529132992363031</v>
          </cell>
          <cell r="U282">
            <v>0.28355006982133923</v>
          </cell>
          <cell r="V282">
            <v>0.29205657191597945</v>
          </cell>
          <cell r="W282">
            <v>0.30081826907345882</v>
          </cell>
          <cell r="X282">
            <v>0.30984281714566259</v>
          </cell>
          <cell r="Y282">
            <v>0.31913810166003248</v>
          </cell>
          <cell r="Z282">
            <v>0.32871224470983346</v>
          </cell>
        </row>
        <row r="283">
          <cell r="G283">
            <v>0.33162700000000001</v>
          </cell>
          <cell r="H283">
            <v>0.34489207999999999</v>
          </cell>
        </row>
        <row r="284">
          <cell r="G284">
            <v>0.89947600000000005</v>
          </cell>
          <cell r="H284">
            <v>0</v>
          </cell>
          <cell r="I284">
            <v>0.95344456000000011</v>
          </cell>
          <cell r="J284">
            <v>1.0106512336000002</v>
          </cell>
          <cell r="K284">
            <v>1.0712903076160003</v>
          </cell>
          <cell r="L284">
            <v>1.1355677260729604</v>
          </cell>
          <cell r="M284">
            <v>1.2037017896373381</v>
          </cell>
          <cell r="N284">
            <v>1.2759238970155784</v>
          </cell>
          <cell r="O284">
            <v>1.3524793308365133</v>
          </cell>
          <cell r="P284">
            <v>1.433628090686704</v>
          </cell>
          <cell r="Q284">
            <v>1.5196457761279063</v>
          </cell>
          <cell r="R284">
            <v>1.6108245226955809</v>
          </cell>
          <cell r="S284">
            <v>1.7074739940573158</v>
          </cell>
          <cell r="T284">
            <v>1.8099224337007549</v>
          </cell>
          <cell r="U284">
            <v>1.9185177797228004</v>
          </cell>
          <cell r="V284">
            <v>2.0336288465061685</v>
          </cell>
          <cell r="W284">
            <v>2.1556465772965385</v>
          </cell>
          <cell r="X284">
            <v>2.2849853719343312</v>
          </cell>
          <cell r="Y284">
            <v>2.4220844942503912</v>
          </cell>
          <cell r="Z284">
            <v>2.5674095639054149</v>
          </cell>
        </row>
        <row r="285">
          <cell r="G285">
            <v>0.43204999999999999</v>
          </cell>
          <cell r="H285">
            <v>0</v>
          </cell>
          <cell r="I285">
            <v>0.45797300000000002</v>
          </cell>
          <cell r="J285">
            <v>0.48545138000000004</v>
          </cell>
          <cell r="K285">
            <v>0.51457846280000008</v>
          </cell>
          <cell r="L285">
            <v>0.54545317056800013</v>
          </cell>
          <cell r="M285">
            <v>0.57818036080208013</v>
          </cell>
          <cell r="N285">
            <v>0.612871182450205</v>
          </cell>
          <cell r="O285">
            <v>0.6496434533972173</v>
          </cell>
          <cell r="P285">
            <v>0.68862206060105036</v>
          </cell>
          <cell r="Q285">
            <v>0.72993938423711346</v>
          </cell>
          <cell r="R285">
            <v>0.77373574729134031</v>
          </cell>
          <cell r="S285">
            <v>0.82015989212882079</v>
          </cell>
          <cell r="T285">
            <v>0.86936948565655003</v>
          </cell>
          <cell r="U285">
            <v>0.92153165479594312</v>
          </cell>
          <cell r="V285">
            <v>0.97682355408369981</v>
          </cell>
          <cell r="W285">
            <v>1.0354329673287219</v>
          </cell>
          <cell r="X285">
            <v>1.0975589453684453</v>
          </cell>
          <cell r="Y285">
            <v>1.163412482090552</v>
          </cell>
          <cell r="Z285">
            <v>1.2332172310159852</v>
          </cell>
        </row>
        <row r="330">
          <cell r="G330">
            <v>8.1253000000000006E-2</v>
          </cell>
          <cell r="H330">
            <v>0</v>
          </cell>
          <cell r="I330">
            <v>0</v>
          </cell>
          <cell r="J330">
            <v>4.8258102501000003E-2</v>
          </cell>
          <cell r="K330">
            <v>4.9705845576030007E-2</v>
          </cell>
          <cell r="L330">
            <v>5.1197020943310911E-2</v>
          </cell>
          <cell r="M330">
            <v>5.2732931571610242E-2</v>
          </cell>
          <cell r="N330">
            <v>5.4314919518758553E-2</v>
          </cell>
          <cell r="O330">
            <v>5.594436710432131E-2</v>
          </cell>
          <cell r="P330">
            <v>5.7622698117450952E-2</v>
          </cell>
          <cell r="Q330">
            <v>5.9351379060974485E-2</v>
          </cell>
          <cell r="R330">
            <v>6.1131920432803723E-2</v>
          </cell>
          <cell r="S330">
            <v>6.2965878045787835E-2</v>
          </cell>
          <cell r="T330">
            <v>6.4854854387161473E-2</v>
          </cell>
          <cell r="U330">
            <v>6.6800500018776313E-2</v>
          </cell>
          <cell r="V330">
            <v>6.880451501933961E-2</v>
          </cell>
          <cell r="W330">
            <v>7.0868650469919803E-2</v>
          </cell>
          <cell r="X330">
            <v>7.29947099840174E-2</v>
          </cell>
          <cell r="Y330">
            <v>7.5184551283537918E-2</v>
          </cell>
          <cell r="Z330">
            <v>7.7440087822044062E-2</v>
          </cell>
        </row>
        <row r="331">
          <cell r="G331">
            <v>0.123122</v>
          </cell>
          <cell r="H331">
            <v>0.12078707</v>
          </cell>
          <cell r="I331">
            <v>0.1244106821</v>
          </cell>
          <cell r="J331">
            <v>0.13453873369399999</v>
          </cell>
          <cell r="K331">
            <v>0.13857489570481998</v>
          </cell>
          <cell r="L331">
            <v>0.14273214257596459</v>
          </cell>
          <cell r="M331">
            <v>0.14701410685324354</v>
          </cell>
          <cell r="N331">
            <v>0.15142453005884085</v>
          </cell>
          <cell r="O331">
            <v>0.15596726596060609</v>
          </cell>
          <cell r="P331">
            <v>0.16064628393942426</v>
          </cell>
          <cell r="Q331">
            <v>0.16546567245760699</v>
          </cell>
          <cell r="R331">
            <v>0.1704296426313352</v>
          </cell>
          <cell r="S331">
            <v>0.17554253191027525</v>
          </cell>
          <cell r="T331">
            <v>0.18080880786758352</v>
          </cell>
          <cell r="U331">
            <v>0.18623307210361104</v>
          </cell>
          <cell r="V331">
            <v>0.19182006426671938</v>
          </cell>
          <cell r="W331">
            <v>0.19757466619472097</v>
          </cell>
          <cell r="X331">
            <v>0.2035019061805626</v>
          </cell>
          <cell r="Y331">
            <v>0.20960696336597948</v>
          </cell>
          <cell r="Z331">
            <v>0.21589517226695887</v>
          </cell>
        </row>
        <row r="332">
          <cell r="G332">
            <v>0.26066099999999998</v>
          </cell>
          <cell r="H332">
            <v>0</v>
          </cell>
          <cell r="I332">
            <v>0</v>
          </cell>
          <cell r="J332">
            <v>0.17772876836900001</v>
          </cell>
          <cell r="K332">
            <v>0.18306063142007001</v>
          </cell>
          <cell r="L332">
            <v>0.18855245036267212</v>
          </cell>
          <cell r="M332">
            <v>0.19420902387355229</v>
          </cell>
          <cell r="N332">
            <v>0.20003529458975886</v>
          </cell>
          <cell r="O332">
            <v>0.20603635342745164</v>
          </cell>
          <cell r="P332">
            <v>0.21221744403027518</v>
          </cell>
          <cell r="Q332">
            <v>0.21858396735118343</v>
          </cell>
          <cell r="R332">
            <v>0.22514148637171894</v>
          </cell>
          <cell r="S332">
            <v>0.2318957309628705</v>
          </cell>
          <cell r="T332">
            <v>0.23885260289175661</v>
          </cell>
          <cell r="U332">
            <v>0.2460181809785093</v>
          </cell>
          <cell r="V332">
            <v>0.25339872640786459</v>
          </cell>
          <cell r="W332">
            <v>0.26100068820010053</v>
          </cell>
          <cell r="X332">
            <v>0.26883070884610355</v>
          </cell>
          <cell r="Y332">
            <v>0.27689563011148666</v>
          </cell>
          <cell r="Z332">
            <v>0.28520249901483125</v>
          </cell>
        </row>
        <row r="333">
          <cell r="G333">
            <v>0.58091099999999996</v>
          </cell>
          <cell r="H333">
            <v>9.8470060000000012E-2</v>
          </cell>
          <cell r="I333">
            <v>0.10142416180000001</v>
          </cell>
          <cell r="J333">
            <v>0.53338736687499999</v>
          </cell>
          <cell r="K333">
            <v>0.54938898788125001</v>
          </cell>
          <cell r="L333">
            <v>0.5658706575176875</v>
          </cell>
          <cell r="M333">
            <v>0.58284677724321809</v>
          </cell>
          <cell r="N333">
            <v>0.60033218056051463</v>
          </cell>
          <cell r="O333">
            <v>0.61834214597733006</v>
          </cell>
          <cell r="P333">
            <v>0.63689241035665001</v>
          </cell>
          <cell r="Q333">
            <v>0.65599918266734958</v>
          </cell>
          <cell r="R333">
            <v>0.67567915814737012</v>
          </cell>
          <cell r="S333">
            <v>0.69594953289179129</v>
          </cell>
          <cell r="T333">
            <v>0.71682801887854508</v>
          </cell>
          <cell r="U333">
            <v>0.73833285944490146</v>
          </cell>
          <cell r="V333">
            <v>0.76048284522824849</v>
          </cell>
          <cell r="W333">
            <v>0.78329733058509599</v>
          </cell>
          <cell r="X333">
            <v>0.80679625050264892</v>
          </cell>
          <cell r="Y333">
            <v>0.83100013801772843</v>
          </cell>
          <cell r="Z333">
            <v>0.85593014215826035</v>
          </cell>
        </row>
        <row r="334">
          <cell r="G334">
            <v>0.28955900000000001</v>
          </cell>
          <cell r="H334">
            <v>0</v>
          </cell>
          <cell r="I334">
            <v>0</v>
          </cell>
          <cell r="J334">
            <v>0.53338736687499999</v>
          </cell>
          <cell r="K334">
            <v>0.54938898788125001</v>
          </cell>
          <cell r="L334">
            <v>0.5658706575176875</v>
          </cell>
          <cell r="M334">
            <v>0.58284677724321809</v>
          </cell>
          <cell r="N334">
            <v>0.60033218056051463</v>
          </cell>
          <cell r="O334">
            <v>0.61834214597733006</v>
          </cell>
          <cell r="P334">
            <v>0.63689241035665001</v>
          </cell>
          <cell r="Q334">
            <v>0.65599918266734958</v>
          </cell>
          <cell r="R334">
            <v>0.67567915814737012</v>
          </cell>
          <cell r="S334">
            <v>0.69594953289179129</v>
          </cell>
          <cell r="T334">
            <v>0.71682801887854508</v>
          </cell>
          <cell r="U334">
            <v>0.73833285944490146</v>
          </cell>
          <cell r="V334">
            <v>0.76048284522824849</v>
          </cell>
          <cell r="W334">
            <v>0.78329733058509599</v>
          </cell>
          <cell r="X334">
            <v>0.80679625050264892</v>
          </cell>
          <cell r="Y334">
            <v>0.83100013801772843</v>
          </cell>
          <cell r="Z334">
            <v>0.85593014215826035</v>
          </cell>
        </row>
        <row r="335">
          <cell r="G335">
            <v>0.59801499999999996</v>
          </cell>
          <cell r="H335">
            <v>0.13086665</v>
          </cell>
          <cell r="I335">
            <v>0.1347926495</v>
          </cell>
          <cell r="J335">
            <v>0.141727784627</v>
          </cell>
          <cell r="K335">
            <v>0.14597961816581001</v>
          </cell>
          <cell r="L335">
            <v>0.15035900671078431</v>
          </cell>
          <cell r="M335">
            <v>0.15486977691210785</v>
          </cell>
          <cell r="N335">
            <v>0.15951587021947108</v>
          </cell>
          <cell r="O335">
            <v>0.16430134632605523</v>
          </cell>
          <cell r="P335">
            <v>0.1692303867158369</v>
          </cell>
          <cell r="Q335">
            <v>0.17430729831731201</v>
          </cell>
          <cell r="R335">
            <v>0.17953651726683137</v>
          </cell>
          <cell r="S335">
            <v>0.18492261278483632</v>
          </cell>
          <cell r="T335">
            <v>0.19047029116838141</v>
          </cell>
          <cell r="U335">
            <v>0.19618439990343287</v>
          </cell>
          <cell r="V335">
            <v>0.20206993190053585</v>
          </cell>
          <cell r="W335">
            <v>0.20813202985755194</v>
          </cell>
          <cell r="X335">
            <v>0.21437599075327851</v>
          </cell>
          <cell r="Y335">
            <v>0.22080727047587687</v>
          </cell>
          <cell r="Z335">
            <v>0.22743148859015319</v>
          </cell>
        </row>
        <row r="336">
          <cell r="G336">
            <v>0.18745999999999999</v>
          </cell>
          <cell r="H336">
            <v>0.1930838</v>
          </cell>
          <cell r="I336">
            <v>0.198876314</v>
          </cell>
          <cell r="J336">
            <v>0.57460393658800002</v>
          </cell>
          <cell r="K336">
            <v>0.59184205468564</v>
          </cell>
          <cell r="L336">
            <v>0.60959731632620917</v>
          </cell>
          <cell r="M336">
            <v>0.62788523581599542</v>
          </cell>
          <cell r="N336">
            <v>0.64672179289047527</v>
          </cell>
          <cell r="O336">
            <v>0.66612344667718959</v>
          </cell>
          <cell r="P336">
            <v>0.68610715007750533</v>
          </cell>
          <cell r="Q336">
            <v>0.70669036457983048</v>
          </cell>
          <cell r="R336">
            <v>0.72789107551722543</v>
          </cell>
          <cell r="S336">
            <v>0.74972780778274217</v>
          </cell>
          <cell r="T336">
            <v>0.77221964201622451</v>
          </cell>
          <cell r="U336">
            <v>0.79538623127671126</v>
          </cell>
          <cell r="V336">
            <v>0.81924781821501258</v>
          </cell>
          <cell r="W336">
            <v>0.84382525276146303</v>
          </cell>
          <cell r="X336">
            <v>0.86914001034430699</v>
          </cell>
          <cell r="Y336">
            <v>0.89521421065463624</v>
          </cell>
          <cell r="Z336">
            <v>0.92207063697427538</v>
          </cell>
        </row>
        <row r="337">
          <cell r="G337">
            <v>0.33162700000000001</v>
          </cell>
          <cell r="H337">
            <v>0.34489207999999999</v>
          </cell>
          <cell r="I337">
            <v>0.35868776320000001</v>
          </cell>
        </row>
        <row r="338">
          <cell r="G338">
            <v>0.89947600000000005</v>
          </cell>
          <cell r="H338">
            <v>0</v>
          </cell>
          <cell r="I338">
            <v>0</v>
          </cell>
          <cell r="J338">
            <v>0</v>
          </cell>
          <cell r="K338">
            <v>0</v>
          </cell>
          <cell r="L338">
            <v>0</v>
          </cell>
          <cell r="M338">
            <v>0</v>
          </cell>
          <cell r="N338">
            <v>0</v>
          </cell>
          <cell r="O338">
            <v>0</v>
          </cell>
          <cell r="P338">
            <v>0</v>
          </cell>
          <cell r="Q338">
            <v>0</v>
          </cell>
          <cell r="R338">
            <v>0</v>
          </cell>
          <cell r="S338">
            <v>1.319790253809966</v>
          </cell>
          <cell r="T338">
            <v>1.3593839614242649</v>
          </cell>
          <cell r="U338">
            <v>1.4001654802669929</v>
          </cell>
          <cell r="V338">
            <v>1.4421704446750028</v>
          </cell>
          <cell r="W338">
            <v>1.485435558015253</v>
          </cell>
          <cell r="X338">
            <v>1.5299986247557107</v>
          </cell>
          <cell r="Y338">
            <v>1.5758985834983821</v>
          </cell>
          <cell r="Z338">
            <v>1.6231755410033335</v>
          </cell>
        </row>
        <row r="339">
          <cell r="G339">
            <v>0.43204999999999999</v>
          </cell>
          <cell r="H339">
            <v>0</v>
          </cell>
          <cell r="I339">
            <v>0</v>
          </cell>
          <cell r="J339">
            <v>0.45797300000000002</v>
          </cell>
          <cell r="K339">
            <v>0.47171219000000003</v>
          </cell>
          <cell r="L339">
            <v>0.48586355570000006</v>
          </cell>
          <cell r="M339">
            <v>0.50043946237100012</v>
          </cell>
          <cell r="N339">
            <v>0.51545264624213016</v>
          </cell>
          <cell r="O339">
            <v>0.53091622562939411</v>
          </cell>
          <cell r="P339">
            <v>0.54684371239827589</v>
          </cell>
          <cell r="Q339">
            <v>0.56324902377022423</v>
          </cell>
          <cell r="R339">
            <v>0.580146494483331</v>
          </cell>
          <cell r="S339">
            <v>0.59755088931783096</v>
          </cell>
          <cell r="T339">
            <v>0.61547741599736594</v>
          </cell>
          <cell r="U339">
            <v>0.63394173847728696</v>
          </cell>
          <cell r="V339">
            <v>0.65295999063160559</v>
          </cell>
          <cell r="W339">
            <v>0.67254879035055382</v>
          </cell>
          <cell r="X339">
            <v>0.69272525406107044</v>
          </cell>
          <cell r="Y339">
            <v>0.71350701168290254</v>
          </cell>
          <cell r="Z339">
            <v>0.73491222203338968</v>
          </cell>
        </row>
        <row r="384">
          <cell r="G384">
            <v>8.1253000000000006E-2</v>
          </cell>
          <cell r="H384">
            <v>8.3690590000000009E-2</v>
          </cell>
          <cell r="I384">
            <v>8.6201307700000007E-2</v>
          </cell>
          <cell r="J384">
            <v>8.8787346931000016E-2</v>
          </cell>
          <cell r="K384">
            <v>0</v>
          </cell>
          <cell r="L384">
            <v>5.1559873728566796E-2</v>
          </cell>
          <cell r="M384">
            <v>5.3106669940423804E-2</v>
          </cell>
          <cell r="N384">
            <v>5.4699870038636522E-2</v>
          </cell>
          <cell r="O384">
            <v>5.6340866139795616E-2</v>
          </cell>
          <cell r="P384">
            <v>5.8031092123989485E-2</v>
          </cell>
          <cell r="Q384">
            <v>5.977202488770917E-2</v>
          </cell>
          <cell r="R384">
            <v>6.156518563434045E-2</v>
          </cell>
          <cell r="S384">
            <v>6.3412141203370659E-2</v>
          </cell>
          <cell r="T384">
            <v>6.5314505439471787E-2</v>
          </cell>
          <cell r="U384">
            <v>6.7273940602655943E-2</v>
          </cell>
          <cell r="V384">
            <v>6.9292158820735625E-2</v>
          </cell>
          <cell r="W384">
            <v>7.1370923585357696E-2</v>
          </cell>
          <cell r="X384">
            <v>7.3512051292918434E-2</v>
          </cell>
          <cell r="Y384">
            <v>7.5717412831705994E-2</v>
          </cell>
          <cell r="Z384">
            <v>7.7988935216657174E-2</v>
          </cell>
        </row>
        <row r="385">
          <cell r="G385">
            <v>0.123122</v>
          </cell>
          <cell r="H385">
            <v>0.12681566</v>
          </cell>
          <cell r="I385">
            <v>0.13062012980000001</v>
          </cell>
          <cell r="J385">
            <v>0.13453873369400002</v>
          </cell>
          <cell r="K385">
            <v>0.13857489570482001</v>
          </cell>
          <cell r="L385">
            <v>0.11474147005199108</v>
          </cell>
          <cell r="M385">
            <v>0.11818371415355081</v>
          </cell>
          <cell r="N385">
            <v>0.12172922557815734</v>
          </cell>
          <cell r="O385">
            <v>0.12538110234550207</v>
          </cell>
          <cell r="P385">
            <v>0.12914253541586712</v>
          </cell>
          <cell r="Q385">
            <v>0.13301681147834313</v>
          </cell>
          <cell r="R385">
            <v>0.13700731582269343</v>
          </cell>
          <cell r="S385">
            <v>0.14111753529737422</v>
          </cell>
          <cell r="T385">
            <v>0.14535106135629547</v>
          </cell>
          <cell r="U385">
            <v>0.14971159319698435</v>
          </cell>
          <cell r="V385">
            <v>0.15420294099289389</v>
          </cell>
          <cell r="W385">
            <v>0.15882902922268072</v>
          </cell>
          <cell r="X385">
            <v>0.16359390009936114</v>
          </cell>
          <cell r="Y385">
            <v>0.16850171710234199</v>
          </cell>
          <cell r="Z385">
            <v>0.17355676861541225</v>
          </cell>
        </row>
        <row r="386">
          <cell r="G386">
            <v>0.26066099999999998</v>
          </cell>
          <cell r="H386">
            <v>0.26848083</v>
          </cell>
          <cell r="I386">
            <v>0.27653525490000003</v>
          </cell>
          <cell r="J386">
            <v>0.28483131254700006</v>
          </cell>
          <cell r="K386">
            <v>0</v>
          </cell>
          <cell r="L386">
            <v>0.11475654061495698</v>
          </cell>
          <cell r="M386">
            <v>0.11819923683340569</v>
          </cell>
          <cell r="N386">
            <v>0.12174521393840787</v>
          </cell>
          <cell r="O386">
            <v>0.1253975703565601</v>
          </cell>
          <cell r="P386">
            <v>0.12915949746725691</v>
          </cell>
          <cell r="Q386">
            <v>0.13303428239127463</v>
          </cell>
          <cell r="R386">
            <v>0.13702531086301287</v>
          </cell>
          <cell r="S386">
            <v>0.14113607018890326</v>
          </cell>
          <cell r="T386">
            <v>0.14537015229457037</v>
          </cell>
          <cell r="U386">
            <v>0.14973125686340749</v>
          </cell>
          <cell r="V386">
            <v>0.15422319456930972</v>
          </cell>
          <cell r="W386">
            <v>0.15884989040638903</v>
          </cell>
          <cell r="X386">
            <v>0.1636153871185807</v>
          </cell>
          <cell r="Y386">
            <v>0.16852384873213813</v>
          </cell>
          <cell r="Z386">
            <v>0.17357956419410228</v>
          </cell>
        </row>
        <row r="387">
          <cell r="G387">
            <v>0.58091099999999996</v>
          </cell>
          <cell r="H387">
            <v>0.59833832999999992</v>
          </cell>
          <cell r="I387">
            <v>0.61628847989999991</v>
          </cell>
          <cell r="J387">
            <v>0.63477713429699989</v>
          </cell>
          <cell r="K387">
            <v>0.65382044832590991</v>
          </cell>
          <cell r="L387">
            <v>0.51528109618930973</v>
          </cell>
          <cell r="M387">
            <v>0.530739529074989</v>
          </cell>
          <cell r="N387">
            <v>0.5466617149472387</v>
          </cell>
          <cell r="O387">
            <v>0.56306156639565585</v>
          </cell>
          <cell r="P387">
            <v>0.5799534133875256</v>
          </cell>
          <cell r="Q387">
            <v>0.59735201578915142</v>
          </cell>
          <cell r="R387">
            <v>0.61527257626282594</v>
          </cell>
          <cell r="S387">
            <v>0.63373075355071073</v>
          </cell>
          <cell r="T387">
            <v>0.65274267615723203</v>
          </cell>
          <cell r="U387">
            <v>0.67232495644194901</v>
          </cell>
          <cell r="V387">
            <v>0.6924947051352075</v>
          </cell>
          <cell r="W387">
            <v>0.71326954628926376</v>
          </cell>
          <cell r="X387">
            <v>0.73466763267794166</v>
          </cell>
          <cell r="Y387">
            <v>0.75670766165827996</v>
          </cell>
          <cell r="Z387">
            <v>0.77940889150802839</v>
          </cell>
        </row>
        <row r="388">
          <cell r="G388">
            <v>0.28955900000000001</v>
          </cell>
          <cell r="H388">
            <v>0.29824577000000002</v>
          </cell>
          <cell r="I388">
            <v>0.30719314310000001</v>
          </cell>
          <cell r="J388">
            <v>0.31640893739300002</v>
          </cell>
          <cell r="K388">
            <v>0.32748325020175501</v>
          </cell>
          <cell r="L388">
            <v>0.17029129010491262</v>
          </cell>
          <cell r="M388">
            <v>2.5381969667316952E-2</v>
          </cell>
          <cell r="N388">
            <v>5.2286857514672928E-2</v>
          </cell>
          <cell r="O388">
            <v>5.3855463240113116E-2</v>
          </cell>
          <cell r="P388">
            <v>5.5471127137316514E-2</v>
          </cell>
          <cell r="Q388">
            <v>5.7135260951436014E-2</v>
          </cell>
          <cell r="R388">
            <v>5.8849318779979093E-2</v>
          </cell>
          <cell r="S388">
            <v>6.0614798343378469E-2</v>
          </cell>
          <cell r="T388">
            <v>6.2433242293679823E-2</v>
          </cell>
          <cell r="U388">
            <v>6.4306239562490222E-2</v>
          </cell>
          <cell r="V388">
            <v>6.6235426749364931E-2</v>
          </cell>
          <cell r="W388">
            <v>6.8222489551845886E-2</v>
          </cell>
          <cell r="X388">
            <v>7.0269164238401266E-2</v>
          </cell>
          <cell r="Y388">
            <v>7.2377239165553303E-2</v>
          </cell>
          <cell r="Z388">
            <v>7.4548556340519906E-2</v>
          </cell>
        </row>
        <row r="389">
          <cell r="G389">
            <v>0.59801499999999996</v>
          </cell>
          <cell r="H389">
            <v>0.61595544999999996</v>
          </cell>
          <cell r="I389">
            <v>0.63443411350000001</v>
          </cell>
          <cell r="J389">
            <v>0.65346713690500002</v>
          </cell>
          <cell r="K389">
            <v>0.67307115101215009</v>
          </cell>
          <cell r="L389">
            <v>0.6932632855425146</v>
          </cell>
          <cell r="M389">
            <v>0.49879743609054183</v>
          </cell>
          <cell r="N389">
            <v>0.2920396987144625</v>
          </cell>
          <cell r="O389">
            <v>0.30080088967589641</v>
          </cell>
          <cell r="P389">
            <v>0.30982491636617332</v>
          </cell>
          <cell r="Q389">
            <v>0.31911966385715851</v>
          </cell>
          <cell r="R389">
            <v>0.32869325377287328</v>
          </cell>
          <cell r="S389">
            <v>0.33855405138605948</v>
          </cell>
          <cell r="T389">
            <v>0.3487106729276413</v>
          </cell>
          <cell r="U389">
            <v>0.35917199311547054</v>
          </cell>
          <cell r="V389">
            <v>0.36994715290893465</v>
          </cell>
          <cell r="W389">
            <v>0.38104556749620272</v>
          </cell>
          <cell r="X389">
            <v>0.39247693452108884</v>
          </cell>
          <cell r="Y389">
            <v>0.40425124255672151</v>
          </cell>
          <cell r="Z389">
            <v>0.4163787798334232</v>
          </cell>
        </row>
        <row r="390">
          <cell r="G390">
            <v>0.18745999999999999</v>
          </cell>
          <cell r="H390">
            <v>0.1930838</v>
          </cell>
          <cell r="I390">
            <v>0.198876314</v>
          </cell>
          <cell r="J390">
            <v>0.20484260341999999</v>
          </cell>
          <cell r="K390">
            <v>0.21098788152260001</v>
          </cell>
          <cell r="L390">
            <v>0</v>
          </cell>
        </row>
        <row r="391">
          <cell r="G391">
            <v>0.33162700000000001</v>
          </cell>
          <cell r="H391">
            <v>0.34489207999999999</v>
          </cell>
          <cell r="I391">
            <v>0.35868776320000001</v>
          </cell>
          <cell r="J391">
            <v>0.37303527372800005</v>
          </cell>
          <cell r="K391">
            <v>0.38795668467712008</v>
          </cell>
          <cell r="L391">
            <v>0</v>
          </cell>
        </row>
        <row r="392">
          <cell r="G392">
            <v>0.21602499999999999</v>
          </cell>
          <cell r="H392">
            <v>0.45797300000000002</v>
          </cell>
          <cell r="I392">
            <v>0.48545138000000004</v>
          </cell>
          <cell r="J392">
            <v>0.51457846280000008</v>
          </cell>
        </row>
      </sheetData>
      <sheetData sheetId="6">
        <row r="6">
          <cell r="N6">
            <v>5.2929633705408001</v>
          </cell>
        </row>
        <row r="60">
          <cell r="N60">
            <v>5.2929633705408001</v>
          </cell>
        </row>
        <row r="114">
          <cell r="N114">
            <v>5.2929633705408001</v>
          </cell>
        </row>
        <row r="168">
          <cell r="R168">
            <v>42.564688688205024</v>
          </cell>
        </row>
        <row r="384">
          <cell r="Q384">
            <v>5.6169350725248615</v>
          </cell>
        </row>
      </sheetData>
      <sheetData sheetId="7" refreshError="1"/>
      <sheetData sheetId="8">
        <row r="6">
          <cell r="H6">
            <v>17</v>
          </cell>
        </row>
        <row r="7">
          <cell r="H7">
            <v>17</v>
          </cell>
        </row>
        <row r="8">
          <cell r="H8">
            <v>17</v>
          </cell>
        </row>
        <row r="9">
          <cell r="H9">
            <v>26</v>
          </cell>
        </row>
        <row r="10">
          <cell r="H10">
            <v>60</v>
          </cell>
        </row>
        <row r="11">
          <cell r="H11">
            <v>46</v>
          </cell>
        </row>
        <row r="12">
          <cell r="H12">
            <v>38</v>
          </cell>
        </row>
        <row r="13">
          <cell r="H13">
            <v>21</v>
          </cell>
        </row>
      </sheetData>
      <sheetData sheetId="9" refreshError="1"/>
      <sheetData sheetId="10" refreshError="1"/>
      <sheetData sheetId="1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coles" refreshedDate="41611.478923263887" createdVersion="4" refreshedVersion="4" minRefreshableVersion="3" recordCount="47">
  <cacheSource type="worksheet">
    <worksheetSource ref="A1:AA48" sheet="OP5-Garbutt Projects"/>
  </cacheSource>
  <cacheFields count="27">
    <cacheField name="Work Request Number" numFmtId="0">
      <sharedItems containsMixedTypes="1" containsNumber="1" containsInteger="1" minValue="139687" maxValue="740305"/>
    </cacheField>
    <cacheField name="Project Number" numFmtId="0">
      <sharedItems containsMixedTypes="1" containsNumber="1" containsInteger="1" minValue="61743" maxValue="168151"/>
    </cacheField>
    <cacheField name="Project Opened" numFmtId="0">
      <sharedItems containsDate="1" containsMixedTypes="1" minDate="2008-09-09T00:00:00" maxDate="2013-03-16T00:00:00"/>
    </cacheField>
    <cacheField name="Program Category - Version 1 Forecast" numFmtId="0">
      <sharedItems containsBlank="1" count="3">
        <s v="MP&lt;"/>
        <s v="MP"/>
        <m u="1"/>
      </sharedItems>
    </cacheField>
    <cacheField name="Project Code" numFmtId="0">
      <sharedItems containsNonDate="0" containsString="0" containsBlank="1"/>
    </cacheField>
    <cacheField name="Financial Year Project Opened" numFmtId="49">
      <sharedItems count="8">
        <s v="05/06"/>
        <s v="06/07"/>
        <s v="07/08"/>
        <s v="08/09"/>
        <s v="09/10"/>
        <s v="10/11"/>
        <s v="12/13"/>
        <s v="11/12"/>
      </sharedItems>
    </cacheField>
    <cacheField name="Project Location" numFmtId="0">
      <sharedItems/>
    </cacheField>
    <cacheField name="Project Description_x000a_(Data from Ellipse)" numFmtId="0">
      <sharedItems/>
    </cacheField>
    <cacheField name="Comments" numFmtId="0">
      <sharedItems containsBlank="1"/>
    </cacheField>
    <cacheField name="Region" numFmtId="0">
      <sharedItems containsBlank="1"/>
    </cacheField>
    <cacheField name="Work Category" numFmtId="0">
      <sharedItems containsBlank="1"/>
    </cacheField>
    <cacheField name="Residential" numFmtId="0">
      <sharedItems containsNonDate="0" containsString="0" containsBlank="1"/>
    </cacheField>
    <cacheField name="Project Supervisor" numFmtId="0">
      <sharedItems containsBlank="1"/>
    </cacheField>
    <cacheField name="Project Type" numFmtId="0">
      <sharedItems containsBlank="1"/>
    </cacheField>
    <cacheField name="Project Planned Start Date" numFmtId="178">
      <sharedItems containsNonDate="0" containsDate="1" containsString="0" containsBlank="1" minDate="2008-07-19T00:00:00" maxDate="2012-11-20T00:00:00"/>
    </cacheField>
    <cacheField name="Project Planned Finish Date" numFmtId="178">
      <sharedItems containsDate="1" containsBlank="1" containsMixedTypes="1" minDate="1899-12-30T00:00:00" maxDate="2013-07-01T00:00:00"/>
    </cacheField>
    <cacheField name="Project Status" numFmtId="0">
      <sharedItems containsBlank="1"/>
    </cacheField>
    <cacheField name="Pratical Completion / Closed Date" numFmtId="0">
      <sharedItems containsNonDate="0" containsDate="1" containsString="0" containsBlank="1" minDate="2009-08-31T00:00:00" maxDate="2013-09-01T00:00:00"/>
    </cacheField>
    <cacheField name="Initial Project Estimate_x000a_Excl OH's" numFmtId="0">
      <sharedItems containsString="0" containsBlank="1" containsNumber="1" minValue="6500" maxValue="100000"/>
    </cacheField>
    <cacheField name="Initial Project Estimate_x000a_Incl OH's*" numFmtId="0">
      <sharedItems containsString="0" containsBlank="1" containsNumber="1" minValue="9897.5499999999993" maxValue="170000"/>
    </cacheField>
    <cacheField name="Budget_x000a_(Excl O/H's)   " numFmtId="0">
      <sharedItems containsString="0" containsBlank="1" containsNumber="1" containsInteger="1" minValue="0" maxValue="0"/>
    </cacheField>
    <cacheField name="Budget_x000a_(Incl O/H's @ 41.95 / 45.73%)*" numFmtId="0">
      <sharedItems containsString="0" containsBlank="1" containsNumber="1" containsInteger="1" minValue="0" maxValue="0"/>
    </cacheField>
    <cacheField name="Forecast V1 (Excl O/H's)" numFmtId="38">
      <sharedItems containsString="0" containsBlank="1" containsNumber="1" minValue="0" maxValue="300000"/>
    </cacheField>
    <cacheField name="Forecast V1 (Incl O/H's @ 48.6%)" numFmtId="38">
      <sharedItems containsString="0" containsBlank="1" containsNumber="1" minValue="0" maxValue="441000"/>
    </cacheField>
    <cacheField name="AP Estimate Excl OH's" numFmtId="0">
      <sharedItems containsString="0" containsBlank="1" containsNumber="1" containsInteger="1" minValue="6500" maxValue="100000"/>
    </cacheField>
    <cacheField name="AP Estimate" numFmtId="38">
      <sharedItems containsSemiMixedTypes="0" containsString="0" containsNumber="1" containsInteger="1" minValue="3377" maxValue="2000000"/>
    </cacheField>
    <cacheField name="LTD Spend" numFmtId="38">
      <sharedItems containsString="0" containsBlank="1" containsNumber="1" minValue="0" maxValue="523758.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
  <r>
    <s v="-"/>
    <s v="-"/>
    <s v="-"/>
    <x v="0"/>
    <m/>
    <x v="0"/>
    <s v="Garbutt"/>
    <s v="05/06 Minor Projects"/>
    <m/>
    <m/>
    <m/>
    <m/>
    <m/>
    <m/>
    <m/>
    <m/>
    <m/>
    <m/>
    <m/>
    <m/>
    <m/>
    <m/>
    <m/>
    <m/>
    <m/>
    <n v="29938"/>
    <m/>
  </r>
  <r>
    <s v="-"/>
    <s v="-"/>
    <s v="-"/>
    <x v="1"/>
    <m/>
    <x v="0"/>
    <s v="Garbutt"/>
    <s v="05/06 Major Projects"/>
    <m/>
    <m/>
    <m/>
    <m/>
    <m/>
    <m/>
    <m/>
    <m/>
    <m/>
    <m/>
    <m/>
    <m/>
    <m/>
    <m/>
    <m/>
    <m/>
    <m/>
    <n v="197538"/>
    <m/>
  </r>
  <r>
    <s v="-"/>
    <s v="-"/>
    <s v="-"/>
    <x v="0"/>
    <m/>
    <x v="1"/>
    <s v="Garbutt"/>
    <s v="06/07 Minor Projects"/>
    <m/>
    <m/>
    <m/>
    <m/>
    <m/>
    <m/>
    <m/>
    <m/>
    <m/>
    <m/>
    <m/>
    <m/>
    <m/>
    <m/>
    <m/>
    <m/>
    <m/>
    <n v="100000"/>
    <m/>
  </r>
  <r>
    <s v="-"/>
    <s v="-"/>
    <s v="-"/>
    <x v="1"/>
    <m/>
    <x v="1"/>
    <s v="Garbutt"/>
    <s v="06/07 Major Projects"/>
    <m/>
    <m/>
    <m/>
    <m/>
    <m/>
    <m/>
    <m/>
    <m/>
    <m/>
    <m/>
    <m/>
    <m/>
    <m/>
    <m/>
    <m/>
    <m/>
    <m/>
    <n v="2000000"/>
    <m/>
  </r>
  <r>
    <n v="139687"/>
    <n v="61743"/>
    <s v="-"/>
    <x v="1"/>
    <m/>
    <x v="2"/>
    <s v="Garbutt"/>
    <s v="PJTOGD Mster Site Planning Garbutt"/>
    <m/>
    <s v="N "/>
    <m/>
    <m/>
    <s v="L. Olsen"/>
    <s v="Carry Over"/>
    <m/>
    <d v="1899-12-30T00:00:00"/>
    <s v="Closed"/>
    <d v="2009-08-31T00:00:00"/>
    <m/>
    <m/>
    <m/>
    <m/>
    <n v="0"/>
    <n v="0"/>
    <m/>
    <n v="143690"/>
    <n v="142130.5"/>
  </r>
  <r>
    <n v="252703"/>
    <n v="81476"/>
    <d v="2008-09-09T00:00:00"/>
    <x v="0"/>
    <m/>
    <x v="3"/>
    <s v="Garbutt"/>
    <s v="Garbutt Depot- Heavy duty racking for storage shed"/>
    <m/>
    <s v="N"/>
    <m/>
    <m/>
    <s v="D. Dixon"/>
    <s v="Carry Over"/>
    <m/>
    <d v="2008-10-05T00:00:00"/>
    <s v="Closed"/>
    <d v="2009-10-31T00:00:00"/>
    <m/>
    <m/>
    <m/>
    <m/>
    <n v="15500"/>
    <n v="22271.95"/>
    <m/>
    <n v="27574"/>
    <n v="27724.61"/>
  </r>
  <r>
    <n v="253937"/>
    <n v="81803"/>
    <d v="2008-09-15T00:00:00"/>
    <x v="0"/>
    <m/>
    <x v="3"/>
    <s v="Garbutt"/>
    <s v="Garbutt, Pandora Rm Video Conferencing Upg"/>
    <m/>
    <s v="N"/>
    <m/>
    <m/>
    <s v="R. Rhead"/>
    <s v="Carry Over"/>
    <d v="2008-09-01T00:00:00"/>
    <d v="2008-11-01T00:00:00"/>
    <s v="Closed"/>
    <d v="2009-11-30T00:00:00"/>
    <m/>
    <m/>
    <m/>
    <m/>
    <n v="48500"/>
    <n v="69689.649999999994"/>
    <m/>
    <n v="107768"/>
    <n v="102275.19"/>
  </r>
  <r>
    <n v="256834"/>
    <n v="82604"/>
    <d v="2008-10-06T00:00:00"/>
    <x v="0"/>
    <m/>
    <x v="3"/>
    <s v="Garbutt"/>
    <s v="Garbutt install Dexion heavy duty shelving required for Carpenters shed"/>
    <m/>
    <s v="N"/>
    <m/>
    <m/>
    <s v="D. Dixon"/>
    <s v="Carry Over"/>
    <d v="2008-09-09T00:00:00"/>
    <d v="2008-09-30T00:00:00"/>
    <s v="Closed"/>
    <d v="2009-09-30T00:00:00"/>
    <m/>
    <m/>
    <m/>
    <m/>
    <n v="11765"/>
    <n v="16905.128499999999"/>
    <m/>
    <n v="19154"/>
    <n v="19751.439999999999"/>
  </r>
  <r>
    <n v="264674"/>
    <n v="83257"/>
    <d v="2008-10-16T00:00:00"/>
    <x v="0"/>
    <m/>
    <x v="3"/>
    <s v="Garbutt"/>
    <s v="Garbutt, Upgrade of Switchboard"/>
    <m/>
    <s v="N"/>
    <m/>
    <m/>
    <s v="R. Rhead"/>
    <s v="Carry Over"/>
    <d v="2008-12-10T00:00:00"/>
    <d v="2008-12-31T00:00:00"/>
    <s v="Active"/>
    <m/>
    <m/>
    <m/>
    <m/>
    <m/>
    <n v="20000"/>
    <n v="28738"/>
    <m/>
    <n v="28738"/>
    <n v="2892.07"/>
  </r>
  <r>
    <n v="264678"/>
    <n v="83261"/>
    <d v="2008-10-16T00:00:00"/>
    <x v="0"/>
    <m/>
    <x v="3"/>
    <s v="Garbutt"/>
    <s v="Garbutt, Control Room Accommodation Upgrade"/>
    <m/>
    <s v="N"/>
    <m/>
    <m/>
    <s v="R. Rhead"/>
    <s v="Carry Over"/>
    <d v="2008-12-10T00:00:00"/>
    <s v="31/2/08"/>
    <s v="Closed"/>
    <d v="2010-02-28T00:00:00"/>
    <m/>
    <m/>
    <m/>
    <m/>
    <n v="80000"/>
    <n v="114952"/>
    <m/>
    <n v="163807"/>
    <n v="146277.24"/>
  </r>
  <r>
    <n v="269821"/>
    <n v="84130"/>
    <d v="2008-10-30T00:00:00"/>
    <x v="0"/>
    <m/>
    <x v="3"/>
    <s v="Garbutt"/>
    <s v="Garbutt - Airconditioner in Comms Room, Old Control Room"/>
    <m/>
    <s v="N"/>
    <m/>
    <m/>
    <s v="D. Dixon"/>
    <s v="Carry Over"/>
    <d v="2008-10-28T00:00:00"/>
    <d v="2008-11-05T00:00:00"/>
    <s v="Closed"/>
    <d v="2009-10-31T00:00:00"/>
    <m/>
    <m/>
    <m/>
    <m/>
    <n v="10255"/>
    <n v="14735.4095"/>
    <m/>
    <n v="14735"/>
    <n v="10896.6"/>
  </r>
  <r>
    <n v="281753"/>
    <n v="85691"/>
    <d v="2008-12-04T00:00:00"/>
    <x v="0"/>
    <m/>
    <x v="3"/>
    <s v="Garbutt"/>
    <s v="Relocation Control Computer 1st Garbutt"/>
    <m/>
    <s v="N"/>
    <m/>
    <m/>
    <s v="D. Dixon"/>
    <s v="Carry Over"/>
    <d v="2008-07-19T00:00:00"/>
    <d v="2008-10-01T00:00:00"/>
    <s v="Closed"/>
    <d v="2009-10-31T00:00:00"/>
    <m/>
    <m/>
    <m/>
    <m/>
    <n v="6743"/>
    <n v="9689.0167000000001"/>
    <m/>
    <n v="9689"/>
    <n v="0"/>
  </r>
  <r>
    <n v="302955"/>
    <n v="87712"/>
    <d v="2009-01-21T00:00:00"/>
    <x v="0"/>
    <m/>
    <x v="3"/>
    <s v="Garbutt"/>
    <s v="Garbutt Muster Room fit out &amp; adjoining Office Area for training"/>
    <m/>
    <s v="N"/>
    <m/>
    <m/>
    <s v="R. Rhead"/>
    <s v="Carry Over"/>
    <d v="2009-01-19T00:00:00"/>
    <d v="2009-02-28T00:00:00"/>
    <s v="Closed"/>
    <d v="2009-09-30T00:00:00"/>
    <m/>
    <m/>
    <m/>
    <m/>
    <n v="40000"/>
    <n v="57476"/>
    <m/>
    <n v="74719"/>
    <n v="72224.800000000003"/>
  </r>
  <r>
    <n v="327109"/>
    <n v="91151"/>
    <d v="2009-03-30T00:00:00"/>
    <x v="1"/>
    <m/>
    <x v="3"/>
    <s v="Garbutt"/>
    <s v="Garbutt - Replace Roof above old control room"/>
    <m/>
    <s v="N"/>
    <m/>
    <m/>
    <s v="R. Rhead"/>
    <s v="Carry Over"/>
    <m/>
    <m/>
    <s v="Closed"/>
    <d v="2010-05-31T00:00:00"/>
    <m/>
    <m/>
    <m/>
    <m/>
    <n v="145000"/>
    <n v="232000"/>
    <m/>
    <n v="221850"/>
    <n v="242324.41"/>
  </r>
  <r>
    <n v="331146"/>
    <n v="91636"/>
    <d v="2009-04-07T00:00:00"/>
    <x v="0"/>
    <m/>
    <x v="3"/>
    <s v="Garbutt"/>
    <s v="Garbutt - HR Management Area Electronic Access"/>
    <m/>
    <s v="N"/>
    <m/>
    <m/>
    <s v="D. Dixon"/>
    <s v="Carry Over"/>
    <m/>
    <m/>
    <s v="Closed"/>
    <d v="2009-09-30T00:00:00"/>
    <m/>
    <m/>
    <m/>
    <m/>
    <n v="4120"/>
    <n v="6592"/>
    <m/>
    <n v="6304"/>
    <n v="6695"/>
  </r>
  <r>
    <n v="330552"/>
    <n v="92426"/>
    <d v="2009-04-23T00:00:00"/>
    <x v="0"/>
    <m/>
    <x v="3"/>
    <s v="Garbutt"/>
    <s v="Garbutt - Pedestrian access to the OCCN Secure Parking Area"/>
    <m/>
    <s v="N"/>
    <m/>
    <m/>
    <s v="D. Dixon"/>
    <s v="Carry Over"/>
    <m/>
    <m/>
    <s v="Closed"/>
    <d v="2009-10-31T00:00:00"/>
    <m/>
    <m/>
    <m/>
    <m/>
    <n v="2350"/>
    <n v="3760"/>
    <m/>
    <n v="3377"/>
    <n v="2193.75"/>
  </r>
  <r>
    <n v="337681"/>
    <n v="92835"/>
    <d v="2009-04-30T00:00:00"/>
    <x v="0"/>
    <m/>
    <x v="3"/>
    <s v="Garbutt"/>
    <s v="Garbutt - Additional Shelving Line Services "/>
    <m/>
    <s v="N"/>
    <m/>
    <m/>
    <s v="D. Dixon"/>
    <s v="Carry Over"/>
    <m/>
    <m/>
    <s v="Closed"/>
    <d v="2009-10-31T00:00:00"/>
    <m/>
    <m/>
    <m/>
    <m/>
    <n v="18452"/>
    <n v="29523.199999999997"/>
    <m/>
    <n v="32966"/>
    <n v="32963.199999999997"/>
  </r>
  <r>
    <n v="343334"/>
    <n v="93957"/>
    <d v="2009-05-20T00:00:00"/>
    <x v="0"/>
    <m/>
    <x v="3"/>
    <s v="Garbutt"/>
    <s v="Additional Shelving Logistics Ext Store"/>
    <m/>
    <s v="N"/>
    <m/>
    <m/>
    <s v="D. Dixon"/>
    <s v="Carry Over"/>
    <m/>
    <m/>
    <s v="Closed"/>
    <d v="2009-09-30T00:00:00"/>
    <m/>
    <m/>
    <m/>
    <m/>
    <n v="11765"/>
    <n v="18824"/>
    <m/>
    <n v="12617"/>
    <n v="12640.99"/>
  </r>
  <r>
    <n v="350354"/>
    <n v="97001"/>
    <d v="2009-06-26T00:00:00"/>
    <x v="1"/>
    <m/>
    <x v="4"/>
    <s v="Garbutt"/>
    <s v="Roof Upgrade Bldg 6 Workshops Garbutt"/>
    <m/>
    <s v="N"/>
    <m/>
    <m/>
    <s v="R. Rhead"/>
    <s v="New Project"/>
    <d v="2009-07-03T00:00:00"/>
    <d v="2009-07-31T00:00:00"/>
    <s v="Active"/>
    <m/>
    <m/>
    <m/>
    <m/>
    <m/>
    <n v="266574"/>
    <n v="384026.50439999998"/>
    <m/>
    <n v="497007"/>
    <n v="523758.1"/>
  </r>
  <r>
    <n v="354769"/>
    <n v="98430"/>
    <d v="2009-07-22T00:00:00"/>
    <x v="0"/>
    <m/>
    <x v="4"/>
    <s v="Garbutt"/>
    <s v="Repair Garbutt Admin Control Rm Ceiling"/>
    <m/>
    <s v="N"/>
    <m/>
    <m/>
    <s v="R. Rhead"/>
    <s v="New Project"/>
    <d v="2009-07-12T00:00:00"/>
    <d v="2009-08-30T00:00:00"/>
    <s v="Closed"/>
    <d v="2010-03-31T00:00:00"/>
    <m/>
    <m/>
    <m/>
    <m/>
    <n v="30000"/>
    <n v="43218"/>
    <m/>
    <n v="78138"/>
    <n v="70569.960000000006"/>
  </r>
  <r>
    <n v="402748"/>
    <n v="107902"/>
    <d v="2009-12-15T00:00:00"/>
    <x v="0"/>
    <m/>
    <x v="4"/>
    <s v="Garbutt"/>
    <s v="Workstns Additions &amp; upgrd Garbutt Bld14"/>
    <s v="5/7 - Completed CP sent to Damian Dixon for approval"/>
    <s v="N"/>
    <m/>
    <m/>
    <s v="D. Dixon"/>
    <s v="New Project"/>
    <d v="2009-12-07T00:00:00"/>
    <d v="2010-01-11T00:00:00"/>
    <s v="Practical Completion"/>
    <d v="2010-06-30T00:00:00"/>
    <m/>
    <m/>
    <m/>
    <m/>
    <n v="12000"/>
    <n v="17287.2"/>
    <m/>
    <n v="17287"/>
    <n v="14608.1"/>
  </r>
  <r>
    <n v="407054"/>
    <n v="107903"/>
    <d v="2009-12-15T00:00:00"/>
    <x v="0"/>
    <m/>
    <x v="4"/>
    <s v="Garbutt"/>
    <s v="Pallet Racking Replacement Program 2010"/>
    <m/>
    <s v="N"/>
    <m/>
    <m/>
    <s v="D. Dixon"/>
    <s v="New Project"/>
    <d v="2010-02-12T00:00:00"/>
    <d v="2010-02-17T00:00:00"/>
    <s v="Closed"/>
    <d v="2010-05-31T00:00:00"/>
    <m/>
    <m/>
    <m/>
    <m/>
    <n v="33938"/>
    <n v="48891.082800000004"/>
    <m/>
    <n v="48891"/>
    <n v="49888.86"/>
  </r>
  <r>
    <n v="417415"/>
    <n v="110890"/>
    <d v="2010-02-17T00:00:00"/>
    <x v="0"/>
    <m/>
    <x v="4"/>
    <s v="Garbutt"/>
    <s v="Board Room Kitchenette Annex Upgrade"/>
    <s v="21/6 - CP sent to Rowan Rhead"/>
    <s v="N"/>
    <m/>
    <m/>
    <s v="R. Rhead"/>
    <s v="New Project"/>
    <d v="2010-02-02T00:00:00"/>
    <d v="2010-02-28T00:00:00"/>
    <s v="Practical Completion"/>
    <d v="2010-06-30T00:00:00"/>
    <m/>
    <m/>
    <m/>
    <m/>
    <n v="30000"/>
    <n v="44100"/>
    <m/>
    <n v="44100"/>
    <n v="48519.32"/>
  </r>
  <r>
    <n v="436304"/>
    <n v="111869"/>
    <d v="2010-03-10T00:00:00"/>
    <x v="1"/>
    <m/>
    <x v="4"/>
    <s v="Garbutt"/>
    <s v="Generator Upgrade Garbutt Admin"/>
    <m/>
    <s v="N"/>
    <m/>
    <m/>
    <s v="D. Dixon"/>
    <s v="New Project"/>
    <d v="2010-03-03T00:00:00"/>
    <d v="2010-06-30T00:00:00"/>
    <s v="Active"/>
    <m/>
    <m/>
    <m/>
    <m/>
    <m/>
    <n v="300000"/>
    <n v="441000"/>
    <m/>
    <n v="441000"/>
    <n v="331488.17"/>
  </r>
  <r>
    <n v="450997"/>
    <n v="113952"/>
    <d v="2010-04-21T00:00:00"/>
    <x v="0"/>
    <m/>
    <x v="4"/>
    <s v="Garbutt"/>
    <s v="Upgrade External Racking Garbutt Stores"/>
    <m/>
    <s v="N"/>
    <m/>
    <m/>
    <s v="D. Dixon"/>
    <s v="New Project"/>
    <d v="2010-06-21T00:00:00"/>
    <d v="2010-06-25T00:00:00"/>
    <s v="Active"/>
    <m/>
    <m/>
    <m/>
    <m/>
    <m/>
    <n v="67469"/>
    <n v="105926.32999999999"/>
    <m/>
    <n v="105926"/>
    <n v="28009.599999999999"/>
  </r>
  <r>
    <n v="457722"/>
    <n v="115317"/>
    <d v="2010-05-20T00:00:00"/>
    <x v="0"/>
    <m/>
    <x v="4"/>
    <s v="Garbutt"/>
    <s v="Add/Upgrade Workstations Bld 7 Garbutt"/>
    <s v="5/7 - Completed CP sent to Damian Dixon for approval"/>
    <s v="N"/>
    <m/>
    <m/>
    <s v="D. Dixon"/>
    <s v="New Project"/>
    <d v="2010-05-17T00:00:00"/>
    <d v="2010-06-04T00:00:00"/>
    <s v="Practical Completion"/>
    <d v="2010-06-30T00:00:00"/>
    <m/>
    <m/>
    <m/>
    <m/>
    <n v="8300"/>
    <n v="13238.5"/>
    <m/>
    <n v="13239"/>
    <n v="17844.72"/>
  </r>
  <r>
    <n v="462298"/>
    <n v="115936"/>
    <d v="2010-06-02T00:00:00"/>
    <x v="0"/>
    <m/>
    <x v="4"/>
    <s v="Garbutt"/>
    <s v="Add Wrkstations Bld 6 Garbutt Depot"/>
    <m/>
    <s v="N"/>
    <m/>
    <m/>
    <s v="D. Dixon"/>
    <s v="New Project"/>
    <d v="2010-06-01T00:00:00"/>
    <d v="2010-06-28T00:00:00"/>
    <s v="Active"/>
    <m/>
    <m/>
    <m/>
    <m/>
    <m/>
    <n v="30000"/>
    <n v="66000"/>
    <m/>
    <n v="66000"/>
    <n v="34355.56"/>
  </r>
  <r>
    <n v="465524"/>
    <n v="117044"/>
    <d v="2010-06-10T00:00:00"/>
    <x v="1"/>
    <m/>
    <x v="4"/>
    <s v="Garbutt"/>
    <s v="Construct Roadway Heavy Vehicles Garbutt"/>
    <m/>
    <s v="N"/>
    <m/>
    <m/>
    <s v="R. Rhead"/>
    <s v="New Project"/>
    <d v="2010-06-07T00:00:00"/>
    <d v="2010-06-30T00:00:00"/>
    <s v="Active"/>
    <m/>
    <m/>
    <m/>
    <m/>
    <m/>
    <n v="125000"/>
    <n v="275000"/>
    <m/>
    <n v="275000"/>
    <n v="85118.76"/>
  </r>
  <r>
    <n v="468884"/>
    <n v="118439"/>
    <d v="2010-06-28T00:00:00"/>
    <x v="0"/>
    <m/>
    <x v="4"/>
    <s v="Garbutt"/>
    <s v="Storage Upgrade Fld Ops Garbutt Depot"/>
    <m/>
    <s v="N"/>
    <m/>
    <m/>
    <s v="D. Dixon"/>
    <s v="New Project"/>
    <d v="2010-06-24T00:00:00"/>
    <d v="2010-06-29T00:00:00"/>
    <s v="Active"/>
    <m/>
    <m/>
    <m/>
    <m/>
    <m/>
    <n v="8002"/>
    <n v="12803.2"/>
    <m/>
    <n v="12803"/>
    <n v="0"/>
  </r>
  <r>
    <n v="469083"/>
    <n v="118474"/>
    <d v="2010-06-28T00:00:00"/>
    <x v="0"/>
    <m/>
    <x v="4"/>
    <s v="Garbutt"/>
    <s v="Upgrade Road Pavement Garbutt Stores"/>
    <m/>
    <s v="N"/>
    <m/>
    <m/>
    <s v="D. Dixon"/>
    <s v="New Project"/>
    <d v="2010-05-29T00:00:00"/>
    <d v="2010-06-03T00:00:00"/>
    <s v="Active"/>
    <m/>
    <m/>
    <m/>
    <m/>
    <m/>
    <n v="21258"/>
    <n v="34012.800000000003"/>
    <m/>
    <n v="34013"/>
    <n v="34012.800000000003"/>
  </r>
  <r>
    <n v="470222"/>
    <n v="118593"/>
    <d v="2010-06-29T00:00:00"/>
    <x v="0"/>
    <m/>
    <x v="4"/>
    <s v="Garbutt"/>
    <s v="Supply &amp; Install Path Superdonga Garbutt"/>
    <m/>
    <s v="N"/>
    <m/>
    <m/>
    <s v="D. Dixon"/>
    <s v="New Project"/>
    <d v="2010-06-15T00:00:00"/>
    <d v="2010-06-21T00:00:00"/>
    <s v="Active"/>
    <m/>
    <m/>
    <m/>
    <m/>
    <m/>
    <n v="3931"/>
    <n v="6289.6"/>
    <m/>
    <n v="6290"/>
    <n v="6289.6"/>
  </r>
  <r>
    <n v="472203"/>
    <n v="118997"/>
    <d v="2010-07-05T00:00:00"/>
    <x v="0"/>
    <m/>
    <x v="4"/>
    <s v="Garbutt"/>
    <s v="Ugrade CBUS Lighting Sys Garbutt Depot"/>
    <m/>
    <s v="N"/>
    <m/>
    <m/>
    <s v="D. Dixon"/>
    <s v="New Project"/>
    <d v="2010-06-15T00:00:00"/>
    <d v="2010-07-02T00:00:00"/>
    <s v="Active"/>
    <m/>
    <m/>
    <m/>
    <m/>
    <m/>
    <n v="16925"/>
    <n v="24553.0975"/>
    <m/>
    <n v="24553"/>
    <n v="0"/>
  </r>
  <r>
    <n v="557398"/>
    <n v="133031"/>
    <d v="2011-03-23T00:00:00"/>
    <x v="1"/>
    <m/>
    <x v="5"/>
    <s v="Townsville, Garbutt"/>
    <s v="TSV Garbutt-TAPS Soil Test Lab"/>
    <m/>
    <s v="N"/>
    <m/>
    <m/>
    <s v="Dixon, D"/>
    <s v="Carry Over"/>
    <d v="2011-03-10T00:00:00"/>
    <d v="2011-03-30T00:00:00"/>
    <s v="Closed"/>
    <d v="2012-06-30T00:00:00"/>
    <n v="26000"/>
    <n v="41600"/>
    <m/>
    <m/>
    <n v="10254"/>
    <n v="15235.810000000001"/>
    <m/>
    <n v="41600"/>
    <n v="46385.95"/>
  </r>
  <r>
    <n v="562704"/>
    <n v="134030"/>
    <d v="2011-04-07T00:00:00"/>
    <x v="0"/>
    <m/>
    <x v="5"/>
    <s v="Townsville, Garbutt"/>
    <s v="TSV Garbutt-Mezzaine Flr &amp; Racking Upgr"/>
    <m/>
    <s v="N"/>
    <s v="FU"/>
    <m/>
    <s v="Rhead, R"/>
    <s v="Carry Over"/>
    <d v="2011-05-03T00:00:00"/>
    <d v="2011-05-13T00:00:00"/>
    <s v="Closed"/>
    <d v="2012-08-31T00:00:00"/>
    <n v="100000"/>
    <n v="170000"/>
    <n v="0"/>
    <n v="0"/>
    <n v="0"/>
    <n v="0"/>
    <n v="100000"/>
    <n v="170000"/>
    <n v="78824.929999999993"/>
  </r>
  <r>
    <n v="564876"/>
    <n v="134032"/>
    <d v="2011-04-07T00:00:00"/>
    <x v="0"/>
    <m/>
    <x v="5"/>
    <s v="Townsville, Garbutt"/>
    <s v="TSV Garbutt Depot-Storage Demountable"/>
    <m/>
    <s v="N"/>
    <s v="FU"/>
    <m/>
    <s v="Dixon, D"/>
    <s v="Carry Over"/>
    <d v="2011-04-09T00:00:00"/>
    <d v="2011-05-31T00:00:00"/>
    <s v="Closed"/>
    <d v="2012-04-30T00:00:00"/>
    <n v="15000"/>
    <n v="25500"/>
    <m/>
    <m/>
    <n v="8346.9399999999987"/>
    <n v="12210.76"/>
    <m/>
    <n v="25500"/>
    <n v="25407.119999999999"/>
  </r>
  <r>
    <n v="577551"/>
    <n v="136656"/>
    <d v="2011-05-31T00:00:00"/>
    <x v="0"/>
    <m/>
    <x v="5"/>
    <s v="Townsville, Garbutt"/>
    <s v="TSV Garbutt-Install Additional Workstati"/>
    <m/>
    <s v="N"/>
    <s v="FU"/>
    <m/>
    <s v="Dixon, D"/>
    <s v="Carry Over"/>
    <d v="2011-05-21T00:00:00"/>
    <d v="2011-06-10T00:00:00"/>
    <s v="Closed"/>
    <d v="2011-10-31T00:00:00"/>
    <n v="13800"/>
    <n v="20010"/>
    <m/>
    <m/>
    <n v="1900"/>
    <n v="2893.13"/>
    <m/>
    <n v="20010"/>
    <n v="19624.61"/>
  </r>
  <r>
    <n v="577529"/>
    <n v="136659"/>
    <d v="2011-05-31T00:00:00"/>
    <x v="0"/>
    <m/>
    <x v="5"/>
    <s v="Townsville, Garbutt"/>
    <s v="TSV Garbutt-Install Workstn Trans Test"/>
    <m/>
    <s v="N"/>
    <s v="FU"/>
    <m/>
    <s v="Dixon, D"/>
    <s v="Carry Over"/>
    <d v="2011-05-23T00:00:00"/>
    <d v="2011-06-28T00:00:00"/>
    <s v="Closed"/>
    <d v="2012-05-31T00:00:00"/>
    <n v="10000"/>
    <n v="14500"/>
    <m/>
    <m/>
    <n v="0"/>
    <n v="0"/>
    <m/>
    <n v="14500"/>
    <n v="13396.82"/>
  </r>
  <r>
    <n v="576989"/>
    <n v="136668"/>
    <d v="2011-05-31T00:00:00"/>
    <x v="0"/>
    <m/>
    <x v="5"/>
    <s v="Townsville, Garbutt"/>
    <s v="TOGDPJ-Line Services Roller Shutter Upg"/>
    <m/>
    <s v="N"/>
    <m/>
    <m/>
    <s v="Dixon, D"/>
    <s v="Carry Over"/>
    <d v="2011-05-17T00:00:00"/>
    <d v="2011-05-20T00:00:00"/>
    <s v="Closed"/>
    <d v="2012-05-31T00:00:00"/>
    <n v="35576"/>
    <n v="51585.2"/>
    <m/>
    <m/>
    <n v="0"/>
    <n v="0"/>
    <m/>
    <n v="51585"/>
    <n v="71641.899999999994"/>
  </r>
  <r>
    <n v="579439"/>
    <n v="136671"/>
    <d v="2011-05-31T00:00:00"/>
    <x v="0"/>
    <m/>
    <x v="5"/>
    <s v="Townsville, Garbutt"/>
    <s v="TSV Garbutt-Hdrive Recorder &amp; Sec Cam"/>
    <m/>
    <s v="N"/>
    <s v="FS"/>
    <m/>
    <s v="Dixon, D"/>
    <s v="Carry Over"/>
    <d v="2011-06-06T00:00:00"/>
    <d v="2011-06-24T00:00:00"/>
    <s v="Closed"/>
    <d v="2012-08-31T00:00:00"/>
    <n v="9575"/>
    <n v="13883.75"/>
    <n v="0"/>
    <n v="0"/>
    <n v="0"/>
    <n v="0"/>
    <n v="9575"/>
    <n v="13884"/>
    <n v="11592"/>
  </r>
  <r>
    <n v="709297"/>
    <n v="159420"/>
    <d v="2012-08-02T00:00:00"/>
    <x v="0"/>
    <m/>
    <x v="6"/>
    <s v="Townsville, Garbutt"/>
    <s v="Garbutt Depot-Install OCCN Street Light"/>
    <m/>
    <s v="N"/>
    <m/>
    <m/>
    <s v="Webley, A"/>
    <s v="Outside Program"/>
    <d v="2012-07-30T00:00:00"/>
    <d v="2012-08-31T00:00:00"/>
    <s v="Closed"/>
    <d v="2012-11-30T00:00:00"/>
    <n v="8789"/>
    <n v="12808"/>
    <n v="0"/>
    <n v="0"/>
    <n v="5927.16"/>
    <n v="8619.44"/>
    <n v="8789"/>
    <n v="12808"/>
    <n v="8619.44"/>
  </r>
  <r>
    <n v="740305"/>
    <n v="168151"/>
    <d v="2013-03-15T00:00:00"/>
    <x v="0"/>
    <m/>
    <x v="6"/>
    <s v="Townsville, Garbutt"/>
    <s v="TSV Garbutt OCCN-Sounding Ugrad"/>
    <m/>
    <s v="N"/>
    <s v="C"/>
    <m/>
    <s v="Rhead, R"/>
    <s v="Carry Over"/>
    <d v="2012-11-19T00:00:00"/>
    <d v="2013-06-30T00:00:00"/>
    <s v="Closed"/>
    <d v="2013-08-31T00:00:00"/>
    <n v="100000"/>
    <n v="145730"/>
    <n v="0"/>
    <n v="0"/>
    <n v="28476.659999999993"/>
    <n v="42316.029999999992"/>
    <n v="100000"/>
    <n v="145730"/>
    <n v="162462.51"/>
  </r>
  <r>
    <n v="620199"/>
    <n v="144643"/>
    <d v="2011-10-19T00:00:00"/>
    <x v="0"/>
    <m/>
    <x v="7"/>
    <s v="Townsville, Garbutt"/>
    <s v="TSV Garbutt Bld 3-Add Workstations"/>
    <m/>
    <s v="N"/>
    <s v="FU"/>
    <m/>
    <s v="Dixon, D"/>
    <s v="Carry Over"/>
    <d v="2011-10-17T00:00:00"/>
    <d v="2011-11-07T00:00:00"/>
    <s v="Closed"/>
    <d v="2012-08-31T00:00:00"/>
    <n v="6500"/>
    <n v="9897.5499999999993"/>
    <n v="0"/>
    <n v="0"/>
    <n v="0"/>
    <n v="0"/>
    <n v="6500"/>
    <n v="9898"/>
    <n v="15073.15"/>
  </r>
  <r>
    <n v="640004"/>
    <n v="147320"/>
    <d v="2011-12-14T00:00:00"/>
    <x v="0"/>
    <m/>
    <x v="7"/>
    <s v="Townsville, Garbutt"/>
    <s v="TSV Garbutt Dot - Designated Smoking Areas"/>
    <m/>
    <s v="N"/>
    <s v="FU"/>
    <m/>
    <s v="Dixon, D"/>
    <s v="Carry Over"/>
    <d v="2011-12-12T00:00:00"/>
    <d v="2012-02-29T00:00:00"/>
    <s v="Closed"/>
    <d v="2012-08-31T00:00:00"/>
    <n v="54675"/>
    <n v="83253.622499999998"/>
    <n v="0"/>
    <n v="0"/>
    <n v="0"/>
    <n v="0"/>
    <n v="54675"/>
    <n v="83254"/>
    <n v="92334.05"/>
  </r>
  <r>
    <n v="652300"/>
    <n v="148663"/>
    <d v="2012-01-19T00:00:00"/>
    <x v="0"/>
    <m/>
    <x v="7"/>
    <s v="Townsville, Garbutt"/>
    <s v="TSV Garbutt - Careers workstation upgrade"/>
    <m/>
    <s v="N"/>
    <s v="FU"/>
    <m/>
    <s v="Dixon, D"/>
    <s v="Carry Over"/>
    <d v="2012-01-20T00:00:00"/>
    <d v="2012-03-30T00:00:00"/>
    <s v="Closed"/>
    <d v="2012-08-31T00:00:00"/>
    <n v="17906"/>
    <n v="25784.639999999999"/>
    <n v="0"/>
    <n v="0"/>
    <n v="0"/>
    <n v="0"/>
    <n v="17906"/>
    <n v="25785"/>
    <n v="24637.53"/>
  </r>
  <r>
    <n v="673148"/>
    <n v="151729"/>
    <d v="2012-03-20T00:00:00"/>
    <x v="1"/>
    <m/>
    <x v="7"/>
    <s v="Townsville, Garbutt"/>
    <s v="TSV Garbutt-OCCN Generator Roof"/>
    <m/>
    <s v="N"/>
    <s v="FU"/>
    <m/>
    <s v="Dixon, D"/>
    <s v="Carry Over"/>
    <d v="2012-03-19T00:00:00"/>
    <d v="2012-04-20T00:00:00"/>
    <s v="Closed"/>
    <d v="2012-09-30T00:00:00"/>
    <n v="55000"/>
    <n v="79200"/>
    <n v="0"/>
    <n v="0"/>
    <n v="1297.44"/>
    <n v="2241.6799999999998"/>
    <n v="55000"/>
    <n v="79200"/>
    <n v="100212.56"/>
  </r>
  <r>
    <n v="673018"/>
    <n v="151846"/>
    <d v="2012-03-21T00:00:00"/>
    <x v="0"/>
    <m/>
    <x v="7"/>
    <s v="Townsville, Garbutt"/>
    <s v="TSV-Generation W/shop &amp; Office Accom"/>
    <m/>
    <s v="N"/>
    <s v="FU"/>
    <m/>
    <s v="Dixon, D"/>
    <s v="Carry Over"/>
    <d v="2012-03-01T00:00:00"/>
    <d v="2012-04-27T00:00:00"/>
    <s v="Closed"/>
    <d v="2013-01-31T00:00:00"/>
    <n v="45000"/>
    <n v="64800"/>
    <n v="0"/>
    <n v="0"/>
    <n v="9468.7099999999991"/>
    <n v="13798.720000000001"/>
    <n v="45000"/>
    <n v="64800"/>
    <n v="17569.29"/>
  </r>
  <r>
    <n v="665782"/>
    <n v="151848"/>
    <d v="2012-03-21T00:00:00"/>
    <x v="0"/>
    <m/>
    <x v="7"/>
    <s v="Townsville, Garbutt"/>
    <s v="Garbutt-Admin Building Fire Panel Upgrad"/>
    <m/>
    <s v="N"/>
    <m/>
    <m/>
    <s v="Dixon, D"/>
    <s v="Outside Program"/>
    <d v="2012-03-01T00:00:00"/>
    <d v="2012-04-30T00:00:00"/>
    <s v="Closed"/>
    <m/>
    <n v="13282.5"/>
    <n v="19126.8"/>
    <m/>
    <m/>
    <n v="12321.62"/>
    <n v="18467.63"/>
    <m/>
    <n v="19127"/>
    <n v="18467.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51:D60" firstHeaderRow="1" firstDataRow="2" firstDataCol="1"/>
  <pivotFields count="27">
    <pivotField showAll="0"/>
    <pivotField showAll="0"/>
    <pivotField showAll="0"/>
    <pivotField axis="axisCol" showAll="0">
      <items count="4">
        <item x="1"/>
        <item x="0"/>
        <item m="1" x="2"/>
        <item t="default"/>
      </items>
    </pivotField>
    <pivotField showAll="0"/>
    <pivotField axis="axisRow" showAll="0">
      <items count="9">
        <item x="0"/>
        <item x="1"/>
        <item x="2"/>
        <item x="3"/>
        <item x="4"/>
        <item x="5"/>
        <item x="7"/>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8" showAll="0"/>
    <pivotField showAll="0"/>
  </pivotFields>
  <rowFields count="1">
    <field x="5"/>
  </rowFields>
  <rowItems count="8">
    <i>
      <x/>
    </i>
    <i>
      <x v="1"/>
    </i>
    <i>
      <x v="2"/>
    </i>
    <i>
      <x v="3"/>
    </i>
    <i>
      <x v="4"/>
    </i>
    <i>
      <x v="5"/>
    </i>
    <i>
      <x v="6"/>
    </i>
    <i t="grand">
      <x/>
    </i>
  </rowItems>
  <colFields count="1">
    <field x="3"/>
  </colFields>
  <colItems count="3">
    <i>
      <x/>
    </i>
    <i>
      <x v="1"/>
    </i>
    <i t="grand">
      <x/>
    </i>
  </colItems>
  <dataFields count="1">
    <dataField name="Sum of AP Estimate" fld="25" baseField="0" baseItem="0"/>
  </dataFields>
  <formats count="1">
    <format dxfId="0">
      <pivotArea collapsedLevelsAreSubtotals="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11.xml"/><Relationship Id="rId3" Type="http://schemas.openxmlformats.org/officeDocument/2006/relationships/vmlDrawing" Target="../drawings/vmlDrawing6.vml"/><Relationship Id="rId7" Type="http://schemas.openxmlformats.org/officeDocument/2006/relationships/image" Target="../media/image16.emf"/><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ontrol" Target="../activeX/activeX10.xml"/><Relationship Id="rId11" Type="http://schemas.openxmlformats.org/officeDocument/2006/relationships/image" Target="../media/image18.emf"/><Relationship Id="rId5" Type="http://schemas.openxmlformats.org/officeDocument/2006/relationships/image" Target="../media/image15.emf"/><Relationship Id="rId10" Type="http://schemas.openxmlformats.org/officeDocument/2006/relationships/control" Target="../activeX/activeX12.xml"/><Relationship Id="rId4" Type="http://schemas.openxmlformats.org/officeDocument/2006/relationships/control" Target="../activeX/activeX9.xml"/><Relationship Id="rId9" Type="http://schemas.openxmlformats.org/officeDocument/2006/relationships/image" Target="../media/image17.emf"/></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bin"/><Relationship Id="rId1" Type="http://schemas.openxmlformats.org/officeDocument/2006/relationships/pivotTable" Target="../pivotTables/pivotTable1.xml"/><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5.xml"/><Relationship Id="rId3" Type="http://schemas.openxmlformats.org/officeDocument/2006/relationships/vmlDrawing" Target="../drawings/vmlDrawing8.vml"/><Relationship Id="rId7" Type="http://schemas.openxmlformats.org/officeDocument/2006/relationships/image" Target="../media/image22.emf"/><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ontrol" Target="../activeX/activeX14.xml"/><Relationship Id="rId11" Type="http://schemas.openxmlformats.org/officeDocument/2006/relationships/image" Target="../media/image24.emf"/><Relationship Id="rId5" Type="http://schemas.openxmlformats.org/officeDocument/2006/relationships/image" Target="../media/image21.emf"/><Relationship Id="rId10" Type="http://schemas.openxmlformats.org/officeDocument/2006/relationships/control" Target="../activeX/activeX16.xml"/><Relationship Id="rId4" Type="http://schemas.openxmlformats.org/officeDocument/2006/relationships/control" Target="../activeX/activeX13.xml"/><Relationship Id="rId9" Type="http://schemas.openxmlformats.org/officeDocument/2006/relationships/image" Target="../media/image23.emf"/></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9.xml"/><Relationship Id="rId3" Type="http://schemas.openxmlformats.org/officeDocument/2006/relationships/vmlDrawing" Target="../drawings/vmlDrawing9.vml"/><Relationship Id="rId7" Type="http://schemas.openxmlformats.org/officeDocument/2006/relationships/image" Target="../media/image27.emf"/><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ontrol" Target="../activeX/activeX18.xml"/><Relationship Id="rId11" Type="http://schemas.openxmlformats.org/officeDocument/2006/relationships/image" Target="../media/image29.emf"/><Relationship Id="rId5" Type="http://schemas.openxmlformats.org/officeDocument/2006/relationships/image" Target="../media/image26.emf"/><Relationship Id="rId10" Type="http://schemas.openxmlformats.org/officeDocument/2006/relationships/control" Target="../activeX/activeX20.xml"/><Relationship Id="rId4" Type="http://schemas.openxmlformats.org/officeDocument/2006/relationships/control" Target="../activeX/activeX17.xml"/><Relationship Id="rId9" Type="http://schemas.openxmlformats.org/officeDocument/2006/relationships/image" Target="../media/image28.emf"/></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sp/ess/ss/Property%20Major%20Projects%20Supporting%20Information/Forms/AllItems.aspx?RootFolder=%2fess%2fss%2fProperty%20Major%20Projects%20Supporting%20Information%2fTownsville%20Garbutt%20Major%20Project&amp;FolderCTID=&amp;View=%7b0A0AD082%2d373C%2d40B" TargetMode="External"/><Relationship Id="rId7" Type="http://schemas.openxmlformats.org/officeDocument/2006/relationships/hyperlink" Target="http://esp/ess/ss/Property%20Major%20Projects%20Supporting%20Information/Forms/AllItems.aspx?RootFolder=%2fess%2fss%2fProperty%20Major%20Projects%20Supporting%20Information%2fTownsville%20Garbutt%20Major%20Project&amp;FolderCTID=&amp;View=%7b0A0AD082%2d373C%2d40B" TargetMode="External"/><Relationship Id="rId2" Type="http://schemas.openxmlformats.org/officeDocument/2006/relationships/hyperlink" Target="http://esp/ess/ss/Property%20Major%20Projects%20Supporting%20Information/Forms/AllItems.aspx?RootFolder=%2fess%2fss%2fProperty%20Major%20Projects%20Supporting%20Information%2fTownsville%20Garbutt%20Major%20Project&amp;FolderCTID=&amp;View=%7b0A0AD082%2d373C%2d40B" TargetMode="External"/><Relationship Id="rId1" Type="http://schemas.openxmlformats.org/officeDocument/2006/relationships/hyperlink" Target="http://esp/ess/ss/Property%20Major%20Projects%20Supporting%20Information/Forms/AllItems.aspx?RootFolder=%2fess%2fss%2fProperty%20Major%20Projects%20Supporting%20Information%2fTownsville%20Garbutt%20Major%20Project&amp;FolderCTID=&amp;View=%7b0A0AD082%2d373C%2d40B" TargetMode="External"/><Relationship Id="rId6" Type="http://schemas.openxmlformats.org/officeDocument/2006/relationships/hyperlink" Target="http://esp/ess/ss/Property%20Major%20Projects%20Supporting%20Information/Forms/AllItems.aspx?RootFolder=%2fess%2fss%2fProperty%20Major%20Projects%20Supporting%20Information%2fTownsville%20Garbutt%20Major%20Project&amp;FolderCTID=&amp;View=%7b0A0AD082%2d373C%2d40B" TargetMode="External"/><Relationship Id="rId5" Type="http://schemas.openxmlformats.org/officeDocument/2006/relationships/hyperlink" Target="http://esp/ess/ss/Property%20Major%20Projects%20Supporting%20Information/Forms/AllItems.aspx?RootFolder=%2fess%2fss%2fProperty%20Major%20Projects%20Supporting%20Information%2fTownsville%20Garbutt%20Major%20Project&amp;FolderCTID=&amp;View=%7b0A0AD082%2d373C%2d40B" TargetMode="External"/><Relationship Id="rId4" Type="http://schemas.openxmlformats.org/officeDocument/2006/relationships/hyperlink" Target="http://esp/ess/ss/Property%20Major%20Projects%20Supporting%20Information/Forms/AllItems.aspx?RootFolder=%2fess%2fss%2fProperty%20Major%20Projects%20Supporting%20Information%2fTownsville%20Garbutt%20Major%20Project&amp;FolderCTID=&amp;View=%7b0A0AD082%2d373C%2d40B"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ntrol" Target="../activeX/activeX2.xml"/><Relationship Id="rId11" Type="http://schemas.openxmlformats.org/officeDocument/2006/relationships/image" Target="../media/image8.emf"/><Relationship Id="rId5" Type="http://schemas.openxmlformats.org/officeDocument/2006/relationships/image" Target="../media/image5.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7.emf"/></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xml"/><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control" Target="../activeX/activeX8.xml"/><Relationship Id="rId4" Type="http://schemas.openxmlformats.org/officeDocument/2006/relationships/control" Target="../activeX/activeX5.xml"/><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2:K67"/>
  <sheetViews>
    <sheetView tabSelected="1" zoomScale="85" zoomScaleNormal="85" workbookViewId="0">
      <selection activeCell="C20" sqref="C17:J20"/>
    </sheetView>
  </sheetViews>
  <sheetFormatPr defaultRowHeight="14.25" x14ac:dyDescent="0.2"/>
  <cols>
    <col min="1" max="1" width="3.5703125" style="253" customWidth="1"/>
    <col min="2" max="2" width="31" style="253" customWidth="1"/>
    <col min="3" max="10" width="13.42578125" style="483" customWidth="1"/>
    <col min="11" max="16384" width="9.140625" style="253"/>
  </cols>
  <sheetData>
    <row r="2" spans="1:11" ht="28.5" customHeight="1" x14ac:dyDescent="0.2">
      <c r="A2" s="4"/>
      <c r="B2" s="691" t="s">
        <v>731</v>
      </c>
      <c r="C2" s="692"/>
      <c r="D2" s="692"/>
      <c r="E2" s="692"/>
      <c r="F2" s="692"/>
      <c r="G2" s="692"/>
      <c r="H2" s="692"/>
      <c r="I2" s="692"/>
      <c r="J2" s="693"/>
      <c r="K2" s="4"/>
    </row>
    <row r="3" spans="1:11" ht="14.25" customHeight="1" x14ac:dyDescent="0.2">
      <c r="A3" s="4"/>
      <c r="B3" s="576" t="s">
        <v>662</v>
      </c>
      <c r="C3" s="577"/>
      <c r="D3" s="577"/>
      <c r="E3" s="577"/>
      <c r="F3" s="577"/>
      <c r="G3" s="577"/>
      <c r="H3" s="577"/>
      <c r="I3" s="577"/>
      <c r="J3" s="578"/>
      <c r="K3" s="4"/>
    </row>
    <row r="4" spans="1:11" x14ac:dyDescent="0.2">
      <c r="A4" s="4"/>
      <c r="B4" s="579"/>
      <c r="C4" s="580"/>
      <c r="D4" s="580"/>
      <c r="E4" s="580"/>
      <c r="F4" s="580"/>
      <c r="G4" s="580"/>
      <c r="H4" s="580"/>
      <c r="I4" s="580"/>
      <c r="J4" s="581"/>
      <c r="K4" s="4"/>
    </row>
    <row r="5" spans="1:11" x14ac:dyDescent="0.2">
      <c r="A5" s="4"/>
      <c r="B5" s="582"/>
      <c r="C5" s="583"/>
      <c r="D5" s="583"/>
      <c r="E5" s="583"/>
      <c r="F5" s="583"/>
      <c r="G5" s="583"/>
      <c r="H5" s="583"/>
      <c r="I5" s="583"/>
      <c r="J5" s="584"/>
      <c r="K5" s="4"/>
    </row>
    <row r="6" spans="1:11" ht="9.75" customHeight="1" x14ac:dyDescent="0.2">
      <c r="A6" s="4"/>
      <c r="B6" s="588"/>
      <c r="C6" s="588"/>
      <c r="D6" s="588"/>
      <c r="E6" s="588"/>
      <c r="F6" s="588"/>
      <c r="G6" s="588"/>
      <c r="H6" s="588"/>
      <c r="I6" s="588"/>
      <c r="J6" s="588"/>
      <c r="K6" s="4"/>
    </row>
    <row r="7" spans="1:11" ht="15" customHeight="1" x14ac:dyDescent="0.2">
      <c r="A7" s="4"/>
      <c r="B7" s="491" t="s">
        <v>584</v>
      </c>
      <c r="C7" s="585" t="s">
        <v>663</v>
      </c>
      <c r="D7" s="586"/>
      <c r="E7" s="586"/>
      <c r="F7" s="586"/>
      <c r="G7" s="586"/>
      <c r="H7" s="586"/>
      <c r="I7" s="586"/>
      <c r="J7" s="587"/>
      <c r="K7" s="4"/>
    </row>
    <row r="8" spans="1:11" ht="15" customHeight="1" x14ac:dyDescent="0.2">
      <c r="A8" s="4"/>
      <c r="B8" s="491" t="s">
        <v>598</v>
      </c>
      <c r="C8" s="585" t="s">
        <v>664</v>
      </c>
      <c r="D8" s="586"/>
      <c r="E8" s="586"/>
      <c r="F8" s="586"/>
      <c r="G8" s="586"/>
      <c r="H8" s="586"/>
      <c r="I8" s="586"/>
      <c r="J8" s="587"/>
      <c r="K8" s="4"/>
    </row>
    <row r="9" spans="1:11" ht="15" customHeight="1" x14ac:dyDescent="0.2">
      <c r="A9" s="4"/>
      <c r="B9" s="491" t="s">
        <v>599</v>
      </c>
      <c r="C9" s="585" t="s">
        <v>665</v>
      </c>
      <c r="D9" s="586"/>
      <c r="E9" s="586"/>
      <c r="F9" s="586"/>
      <c r="G9" s="586"/>
      <c r="H9" s="586"/>
      <c r="I9" s="586"/>
      <c r="J9" s="587"/>
      <c r="K9" s="4"/>
    </row>
    <row r="10" spans="1:11" ht="15" customHeight="1" x14ac:dyDescent="0.2">
      <c r="A10" s="4"/>
      <c r="B10" s="491" t="s">
        <v>600</v>
      </c>
      <c r="C10" s="585" t="s">
        <v>666</v>
      </c>
      <c r="D10" s="586"/>
      <c r="E10" s="586"/>
      <c r="F10" s="586"/>
      <c r="G10" s="586"/>
      <c r="H10" s="586"/>
      <c r="I10" s="586"/>
      <c r="J10" s="587"/>
      <c r="K10" s="4"/>
    </row>
    <row r="11" spans="1:11" ht="15" customHeight="1" x14ac:dyDescent="0.2">
      <c r="A11" s="4"/>
      <c r="B11" s="491" t="s">
        <v>698</v>
      </c>
      <c r="C11" s="585" t="s">
        <v>667</v>
      </c>
      <c r="D11" s="586"/>
      <c r="E11" s="586"/>
      <c r="F11" s="586"/>
      <c r="G11" s="586"/>
      <c r="H11" s="586"/>
      <c r="I11" s="586"/>
      <c r="J11" s="587"/>
      <c r="K11" s="4"/>
    </row>
    <row r="12" spans="1:11" ht="15" customHeight="1" x14ac:dyDescent="0.2">
      <c r="A12" s="4"/>
      <c r="B12" s="491" t="s">
        <v>601</v>
      </c>
      <c r="C12" s="585" t="s">
        <v>668</v>
      </c>
      <c r="D12" s="586"/>
      <c r="E12" s="586"/>
      <c r="F12" s="586"/>
      <c r="G12" s="586"/>
      <c r="H12" s="586"/>
      <c r="I12" s="586"/>
      <c r="J12" s="587"/>
      <c r="K12" s="4"/>
    </row>
    <row r="13" spans="1:11" ht="15" customHeight="1" x14ac:dyDescent="0.2">
      <c r="A13" s="4"/>
      <c r="B13" s="491" t="s">
        <v>602</v>
      </c>
      <c r="C13" s="585" t="s">
        <v>669</v>
      </c>
      <c r="D13" s="586"/>
      <c r="E13" s="586"/>
      <c r="F13" s="586"/>
      <c r="G13" s="586"/>
      <c r="H13" s="586"/>
      <c r="I13" s="586"/>
      <c r="J13" s="587"/>
      <c r="K13" s="4"/>
    </row>
    <row r="14" spans="1:11" ht="15" customHeight="1" x14ac:dyDescent="0.2">
      <c r="A14" s="4"/>
      <c r="B14" s="491" t="s">
        <v>603</v>
      </c>
      <c r="C14" s="585" t="s">
        <v>670</v>
      </c>
      <c r="D14" s="586"/>
      <c r="E14" s="586"/>
      <c r="F14" s="586"/>
      <c r="G14" s="586"/>
      <c r="H14" s="586"/>
      <c r="I14" s="586"/>
      <c r="J14" s="587"/>
      <c r="K14" s="4"/>
    </row>
    <row r="15" spans="1:11" ht="8.25" customHeight="1" thickBot="1" x14ac:dyDescent="0.25">
      <c r="A15" s="4"/>
      <c r="K15" s="4"/>
    </row>
    <row r="16" spans="1:11" ht="26.25" thickBot="1" x14ac:dyDescent="0.25">
      <c r="A16" s="4"/>
      <c r="B16" s="501" t="s">
        <v>695</v>
      </c>
      <c r="C16" s="502" t="s">
        <v>584</v>
      </c>
      <c r="D16" s="503" t="s">
        <v>598</v>
      </c>
      <c r="E16" s="503" t="s">
        <v>599</v>
      </c>
      <c r="F16" s="503" t="s">
        <v>600</v>
      </c>
      <c r="G16" s="503" t="s">
        <v>601</v>
      </c>
      <c r="H16" s="503" t="s">
        <v>602</v>
      </c>
      <c r="I16" s="504" t="s">
        <v>603</v>
      </c>
      <c r="J16" s="514" t="s">
        <v>677</v>
      </c>
      <c r="K16" s="4"/>
    </row>
    <row r="17" spans="1:11" x14ac:dyDescent="0.2">
      <c r="A17" s="4"/>
      <c r="B17" s="526" t="s">
        <v>699</v>
      </c>
      <c r="C17" s="505">
        <f>NPVData!AH17</f>
        <v>-41.972728643876778</v>
      </c>
      <c r="D17" s="506">
        <f>NPVData!AH34</f>
        <v>-51.12943081367392</v>
      </c>
      <c r="E17" s="506">
        <f>NPVData!AH51</f>
        <v>-40.534388544061187</v>
      </c>
      <c r="F17" s="506">
        <f>NPVData!AH68</f>
        <v>-77.096444034697058</v>
      </c>
      <c r="G17" s="506">
        <f>NPVData!AH102</f>
        <v>-20.307455206611568</v>
      </c>
      <c r="H17" s="506">
        <f>NPVData!AH119</f>
        <v>-36.217358393454539</v>
      </c>
      <c r="I17" s="507">
        <f>NPVData!AH136</f>
        <v>-36.261095287395015</v>
      </c>
      <c r="J17" s="515">
        <f>NPVData!AH85</f>
        <v>0</v>
      </c>
      <c r="K17" s="4"/>
    </row>
    <row r="18" spans="1:11" x14ac:dyDescent="0.2">
      <c r="A18" s="4"/>
      <c r="B18" s="527" t="s">
        <v>672</v>
      </c>
      <c r="C18" s="505">
        <f>NPVData!AH18</f>
        <v>-14.93139778451313</v>
      </c>
      <c r="D18" s="506">
        <f>NPVData!AH35</f>
        <v>-19.04648337509288</v>
      </c>
      <c r="E18" s="506">
        <f>NPVData!AH52</f>
        <v>-16.831110151153631</v>
      </c>
      <c r="F18" s="506">
        <f>NPVData!AH69</f>
        <v>-19.403336533499921</v>
      </c>
      <c r="G18" s="506">
        <f>NPVData!AH103</f>
        <v>-53.504815708297919</v>
      </c>
      <c r="H18" s="506">
        <f>NPVData!AH120</f>
        <v>-35.446410242680891</v>
      </c>
      <c r="I18" s="507">
        <f>NPVData!AH137</f>
        <v>-21.24894888106078</v>
      </c>
      <c r="J18" s="515">
        <f>NPVData!AH86</f>
        <v>-56.019204751391101</v>
      </c>
      <c r="K18" s="4"/>
    </row>
    <row r="19" spans="1:11" x14ac:dyDescent="0.2">
      <c r="A19" s="4"/>
      <c r="B19" s="528" t="s">
        <v>646</v>
      </c>
      <c r="C19" s="505">
        <f>NPVData!AH19</f>
        <v>3.6151652008338218</v>
      </c>
      <c r="D19" s="506">
        <f>NPVData!AH36</f>
        <v>3.6151652008338218</v>
      </c>
      <c r="E19" s="506">
        <f>NPVData!AH53</f>
        <v>3.6151652008338218</v>
      </c>
      <c r="F19" s="506">
        <f>NPVData!AH70</f>
        <v>21.917797119527801</v>
      </c>
      <c r="G19" s="506">
        <f>NPVData!AH104</f>
        <v>0</v>
      </c>
      <c r="H19" s="506">
        <f>NPVData!AH121</f>
        <v>0</v>
      </c>
      <c r="I19" s="507">
        <f>NPVData!AH138</f>
        <v>2.8993842226704372</v>
      </c>
      <c r="J19" s="515">
        <f>NPVData!AH87</f>
        <v>0</v>
      </c>
      <c r="K19" s="4"/>
    </row>
    <row r="20" spans="1:11" ht="15" x14ac:dyDescent="0.2">
      <c r="A20" s="4"/>
      <c r="B20" s="525" t="s">
        <v>647</v>
      </c>
      <c r="C20" s="572">
        <f t="shared" ref="C20:J20" si="0">IF(C176+C18+C19=0,0,C17+C18+C19)</f>
        <v>-53.288961227556086</v>
      </c>
      <c r="D20" s="508">
        <f t="shared" si="0"/>
        <v>-66.560748987932982</v>
      </c>
      <c r="E20" s="508">
        <f t="shared" si="0"/>
        <v>-53.750333494380996</v>
      </c>
      <c r="F20" s="508">
        <f t="shared" si="0"/>
        <v>-74.581983448669178</v>
      </c>
      <c r="G20" s="508">
        <f t="shared" si="0"/>
        <v>-73.81227091490949</v>
      </c>
      <c r="H20" s="508">
        <f t="shared" si="0"/>
        <v>-71.66376863613543</v>
      </c>
      <c r="I20" s="573">
        <f t="shared" si="0"/>
        <v>-54.610659945785358</v>
      </c>
      <c r="J20" s="516">
        <f t="shared" si="0"/>
        <v>-56.019204751391101</v>
      </c>
      <c r="K20" s="4"/>
    </row>
    <row r="21" spans="1:11" ht="15" x14ac:dyDescent="0.2">
      <c r="A21" s="4"/>
      <c r="B21" s="535" t="s">
        <v>648</v>
      </c>
      <c r="C21" s="536">
        <f t="shared" ref="C21:I21" si="1">RANK(C20,$C$20:$I$20,0)</f>
        <v>1</v>
      </c>
      <c r="D21" s="537">
        <f t="shared" si="1"/>
        <v>4</v>
      </c>
      <c r="E21" s="537">
        <f t="shared" si="1"/>
        <v>2</v>
      </c>
      <c r="F21" s="537">
        <f t="shared" si="1"/>
        <v>7</v>
      </c>
      <c r="G21" s="537">
        <f t="shared" si="1"/>
        <v>6</v>
      </c>
      <c r="H21" s="537">
        <f t="shared" si="1"/>
        <v>5</v>
      </c>
      <c r="I21" s="538">
        <f t="shared" si="1"/>
        <v>3</v>
      </c>
      <c r="J21" s="539"/>
      <c r="K21" s="4"/>
    </row>
    <row r="22" spans="1:11" ht="5.25" customHeight="1" x14ac:dyDescent="0.2">
      <c r="A22" s="4"/>
      <c r="B22" s="529"/>
      <c r="C22" s="531"/>
      <c r="D22" s="532"/>
      <c r="E22" s="532"/>
      <c r="F22" s="532"/>
      <c r="G22" s="532"/>
      <c r="H22" s="532"/>
      <c r="I22" s="533"/>
      <c r="J22" s="534"/>
      <c r="K22" s="4"/>
    </row>
    <row r="23" spans="1:11" ht="15" x14ac:dyDescent="0.2">
      <c r="A23" s="4"/>
      <c r="B23" s="540" t="s">
        <v>649</v>
      </c>
      <c r="C23" s="541">
        <f>NPVData!A6</f>
        <v>0</v>
      </c>
      <c r="D23" s="542">
        <f>NPVData!A23</f>
        <v>0</v>
      </c>
      <c r="E23" s="542">
        <f>NPVData!A40</f>
        <v>0</v>
      </c>
      <c r="F23" s="542">
        <f>NPVData!A57</f>
        <v>-9</v>
      </c>
      <c r="G23" s="542">
        <f>NPVData!A91</f>
        <v>-29</v>
      </c>
      <c r="H23" s="542">
        <f>NPVData!A108</f>
        <v>-21</v>
      </c>
      <c r="I23" s="543">
        <f>NPVData!A125</f>
        <v>-4</v>
      </c>
      <c r="J23" s="544">
        <f>NPVData!A74</f>
        <v>-43</v>
      </c>
      <c r="K23" s="4"/>
    </row>
    <row r="24" spans="1:11" ht="15.75" thickBot="1" x14ac:dyDescent="0.25">
      <c r="A24" s="4"/>
      <c r="B24" s="530" t="s">
        <v>678</v>
      </c>
      <c r="C24" s="545">
        <f>-C20/(C23-$J23)</f>
        <v>1.2392781680826996</v>
      </c>
      <c r="D24" s="546">
        <f t="shared" ref="D24:I24" si="2">-D20/(D23-$J23)</f>
        <v>1.5479243950682089</v>
      </c>
      <c r="E24" s="546">
        <f t="shared" si="2"/>
        <v>1.2500077556832789</v>
      </c>
      <c r="F24" s="546">
        <f t="shared" si="2"/>
        <v>2.1935877484902697</v>
      </c>
      <c r="G24" s="546">
        <f t="shared" si="2"/>
        <v>5.272305065350678</v>
      </c>
      <c r="H24" s="546">
        <f t="shared" si="2"/>
        <v>3.2574440289152466</v>
      </c>
      <c r="I24" s="547">
        <f t="shared" si="2"/>
        <v>1.4002733319432143</v>
      </c>
      <c r="J24" s="549"/>
      <c r="K24" s="4"/>
    </row>
    <row r="25" spans="1:11" ht="6" customHeight="1" x14ac:dyDescent="0.2">
      <c r="A25" s="4"/>
      <c r="B25" s="574"/>
      <c r="C25" s="574"/>
      <c r="D25" s="574"/>
      <c r="E25" s="574"/>
      <c r="F25" s="574"/>
      <c r="G25" s="574"/>
      <c r="H25" s="574"/>
      <c r="I25" s="574"/>
      <c r="J25" s="574"/>
      <c r="K25" s="4"/>
    </row>
    <row r="26" spans="1:11" ht="17.25" thickBot="1" x14ac:dyDescent="0.3">
      <c r="A26" s="4"/>
      <c r="B26" s="575" t="s">
        <v>650</v>
      </c>
      <c r="C26" s="575"/>
      <c r="D26" s="575"/>
      <c r="E26" s="575"/>
      <c r="F26" s="575"/>
      <c r="G26" s="575"/>
      <c r="H26" s="575"/>
      <c r="I26" s="575"/>
      <c r="J26" s="575"/>
      <c r="K26" s="4"/>
    </row>
    <row r="27" spans="1:11" ht="26.25" thickBot="1" x14ac:dyDescent="0.3">
      <c r="A27" s="4"/>
      <c r="B27" s="569"/>
      <c r="C27" s="502" t="s">
        <v>584</v>
      </c>
      <c r="D27" s="503" t="s">
        <v>598</v>
      </c>
      <c r="E27" s="503" t="s">
        <v>599</v>
      </c>
      <c r="F27" s="503" t="s">
        <v>600</v>
      </c>
      <c r="G27" s="503" t="s">
        <v>601</v>
      </c>
      <c r="H27" s="503" t="s">
        <v>602</v>
      </c>
      <c r="I27" s="504" t="s">
        <v>603</v>
      </c>
      <c r="J27" s="514" t="s">
        <v>677</v>
      </c>
      <c r="K27" s="4"/>
    </row>
    <row r="28" spans="1:11" x14ac:dyDescent="0.2">
      <c r="A28" s="4"/>
      <c r="B28" s="490" t="s">
        <v>651</v>
      </c>
      <c r="C28" s="494" t="str">
        <f>Assumptions!M29</f>
        <v>13/14</v>
      </c>
      <c r="D28" s="495" t="str">
        <f>Assumptions!M103</f>
        <v>13/14</v>
      </c>
      <c r="E28" s="495" t="str">
        <f>Assumptions!M177</f>
        <v>14/15</v>
      </c>
      <c r="F28" s="495" t="str">
        <f>Assumptions!M251</f>
        <v>13/14</v>
      </c>
      <c r="G28" s="495" t="str">
        <f>Assumptions!M372</f>
        <v>13/14</v>
      </c>
      <c r="H28" s="495" t="str">
        <f>Assumptions!M442</f>
        <v>13/14</v>
      </c>
      <c r="I28" s="517" t="str">
        <f>Assumptions!M515</f>
        <v>16/17</v>
      </c>
      <c r="J28" s="521" t="s">
        <v>652</v>
      </c>
      <c r="K28" s="4"/>
    </row>
    <row r="29" spans="1:11" x14ac:dyDescent="0.2">
      <c r="A29" s="4"/>
      <c r="B29" s="485" t="s">
        <v>653</v>
      </c>
      <c r="C29" s="496" t="str">
        <f>Assumptions!M37</f>
        <v>16/17</v>
      </c>
      <c r="D29" s="497" t="str">
        <f>Assumptions!M112</f>
        <v>16/17</v>
      </c>
      <c r="E29" s="497" t="str">
        <f>Assumptions!M185</f>
        <v>17/18</v>
      </c>
      <c r="F29" s="497" t="str">
        <f>Assumptions!M255</f>
        <v>16/17</v>
      </c>
      <c r="G29" s="497" t="str">
        <f>Assumptions!M375</f>
        <v>15/16</v>
      </c>
      <c r="H29" s="497" t="str">
        <f>Assumptions!M445</f>
        <v>18/19</v>
      </c>
      <c r="I29" s="518" t="str">
        <f>Assumptions!M523</f>
        <v>19/20</v>
      </c>
      <c r="J29" s="522" t="s">
        <v>652</v>
      </c>
      <c r="K29" s="4"/>
    </row>
    <row r="30" spans="1:11" x14ac:dyDescent="0.2">
      <c r="A30" s="4"/>
      <c r="B30" s="485" t="s">
        <v>654</v>
      </c>
      <c r="C30" s="551" t="s">
        <v>682</v>
      </c>
      <c r="D30" s="551" t="s">
        <v>682</v>
      </c>
      <c r="E30" s="551" t="s">
        <v>682</v>
      </c>
      <c r="F30" s="551" t="s">
        <v>682</v>
      </c>
      <c r="G30" s="496" t="s">
        <v>686</v>
      </c>
      <c r="H30" s="551" t="s">
        <v>688</v>
      </c>
      <c r="I30" s="551" t="s">
        <v>682</v>
      </c>
      <c r="J30" s="522" t="s">
        <v>652</v>
      </c>
      <c r="K30" s="4"/>
    </row>
    <row r="31" spans="1:11" x14ac:dyDescent="0.2">
      <c r="A31" s="4"/>
      <c r="B31" s="484" t="s">
        <v>655</v>
      </c>
      <c r="C31" s="552">
        <f>SUM(Assumptions!M49:M52)</f>
        <v>48987265.299999997</v>
      </c>
      <c r="D31" s="552">
        <f>SUM(Assumptions!M123:M126)</f>
        <v>59935876.509500004</v>
      </c>
      <c r="E31" s="552">
        <f>SUM(Assumptions!M197:M200)</f>
        <v>48987265.299999997</v>
      </c>
      <c r="F31" s="552">
        <f>SUM(Assumptions!M266:M267)+Assumptions!M269+Assumptions!M270</f>
        <v>95185706.364999995</v>
      </c>
      <c r="G31" s="552">
        <v>0</v>
      </c>
      <c r="H31" s="552">
        <v>0</v>
      </c>
      <c r="I31" s="555">
        <f>SUM(Assumptions!M535:M538)</f>
        <v>48987265.299999997</v>
      </c>
      <c r="J31" s="522" t="s">
        <v>652</v>
      </c>
      <c r="K31" s="4"/>
    </row>
    <row r="32" spans="1:11" x14ac:dyDescent="0.2">
      <c r="A32" s="4"/>
      <c r="B32" s="484" t="s">
        <v>656</v>
      </c>
      <c r="C32" s="552">
        <f>Assumptions!M54</f>
        <v>24493632.649999999</v>
      </c>
      <c r="D32" s="552">
        <f>Assumptions!M128</f>
        <v>28850980.60475</v>
      </c>
      <c r="E32" s="552">
        <f>Assumptions!M204</f>
        <v>24493632.649999999</v>
      </c>
      <c r="F32" s="552">
        <f>Assumptions!M272</f>
        <v>50648814.081774913</v>
      </c>
      <c r="G32" s="552">
        <v>0</v>
      </c>
      <c r="H32" s="552">
        <v>0</v>
      </c>
      <c r="I32" s="555">
        <f>Assumptions!M543</f>
        <v>24493632.649999999</v>
      </c>
      <c r="J32" s="522" t="s">
        <v>652</v>
      </c>
      <c r="K32" s="4"/>
    </row>
    <row r="33" spans="1:11" x14ac:dyDescent="0.2">
      <c r="A33" s="4"/>
      <c r="B33" s="484" t="s">
        <v>683</v>
      </c>
      <c r="C33" s="552">
        <v>0</v>
      </c>
      <c r="D33" s="552">
        <v>0</v>
      </c>
      <c r="E33" s="552">
        <f>Assumptions!M201</f>
        <v>299334.25612231513</v>
      </c>
      <c r="F33" s="552">
        <f>Assumptions!M268</f>
        <v>6111921.7985498337</v>
      </c>
      <c r="G33" s="552">
        <v>0</v>
      </c>
      <c r="H33" s="552">
        <v>0</v>
      </c>
      <c r="I33" s="555">
        <f>SUM(Assumptions!M539:M540)</f>
        <v>2570003.5222009178</v>
      </c>
      <c r="J33" s="522" t="s">
        <v>652</v>
      </c>
      <c r="K33" s="4"/>
    </row>
    <row r="34" spans="1:11" ht="15" thickBot="1" x14ac:dyDescent="0.25">
      <c r="A34" s="4"/>
      <c r="B34" s="493" t="s">
        <v>658</v>
      </c>
      <c r="C34" s="552">
        <f>Assumptions!M53</f>
        <v>3373448.0985151711</v>
      </c>
      <c r="D34" s="552">
        <f>Assumptions!M127</f>
        <v>3908797.5371319456</v>
      </c>
      <c r="E34" s="552">
        <f>Assumptions!M203</f>
        <v>3373448.0985151711</v>
      </c>
      <c r="F34" s="552">
        <f>Assumptions!M271</f>
        <v>6875315.8426920539</v>
      </c>
      <c r="G34" s="552">
        <v>0</v>
      </c>
      <c r="H34" s="552">
        <v>0</v>
      </c>
      <c r="I34" s="555">
        <f>Assumptions!M542</f>
        <v>3373448.0985151711</v>
      </c>
      <c r="J34" s="522" t="s">
        <v>652</v>
      </c>
      <c r="K34" s="4"/>
    </row>
    <row r="35" spans="1:11" ht="15" thickBot="1" x14ac:dyDescent="0.25">
      <c r="A35" s="4"/>
      <c r="B35" s="488" t="s">
        <v>659</v>
      </c>
      <c r="C35" s="553">
        <f>SUM(C31:C34)</f>
        <v>76854346.048515156</v>
      </c>
      <c r="D35" s="553">
        <f t="shared" ref="D35:J35" si="3">SUM(D31:D34)</f>
        <v>92695654.651381955</v>
      </c>
      <c r="E35" s="553">
        <f t="shared" si="3"/>
        <v>77153680.304637477</v>
      </c>
      <c r="F35" s="553">
        <f t="shared" si="3"/>
        <v>158821758.08801678</v>
      </c>
      <c r="G35" s="553">
        <f t="shared" si="3"/>
        <v>0</v>
      </c>
      <c r="H35" s="553">
        <f t="shared" si="3"/>
        <v>0</v>
      </c>
      <c r="I35" s="556">
        <f t="shared" si="3"/>
        <v>79424349.570716068</v>
      </c>
      <c r="J35" s="559">
        <f t="shared" si="3"/>
        <v>0</v>
      </c>
      <c r="K35" s="4"/>
    </row>
    <row r="36" spans="1:11" x14ac:dyDescent="0.2">
      <c r="A36" s="4"/>
      <c r="B36" s="492" t="s">
        <v>671</v>
      </c>
      <c r="C36" s="498">
        <v>0</v>
      </c>
      <c r="D36" s="498">
        <v>0</v>
      </c>
      <c r="E36" s="498">
        <v>0</v>
      </c>
      <c r="F36" s="498">
        <v>0</v>
      </c>
      <c r="G36" s="498">
        <f>SUM(Assumptions!M386:M389)</f>
        <v>21400509</v>
      </c>
      <c r="H36" s="498">
        <v>0</v>
      </c>
      <c r="I36" s="519">
        <v>0</v>
      </c>
      <c r="J36" s="523">
        <v>0</v>
      </c>
      <c r="K36" s="4"/>
    </row>
    <row r="37" spans="1:11" ht="13.5" customHeight="1" x14ac:dyDescent="0.2">
      <c r="A37" s="4"/>
      <c r="B37" s="492" t="s">
        <v>691</v>
      </c>
      <c r="C37" s="499">
        <v>0</v>
      </c>
      <c r="D37" s="499">
        <v>0</v>
      </c>
      <c r="E37" s="499">
        <v>0</v>
      </c>
      <c r="F37" s="499">
        <v>0</v>
      </c>
      <c r="G37" s="499">
        <v>0</v>
      </c>
      <c r="H37" s="499">
        <f>SUM(Assumptions!M459:M462)</f>
        <v>40256509</v>
      </c>
      <c r="I37" s="520">
        <v>0</v>
      </c>
      <c r="J37" s="524">
        <v>0</v>
      </c>
      <c r="K37" s="4"/>
    </row>
    <row r="38" spans="1:11" x14ac:dyDescent="0.2">
      <c r="A38" s="4"/>
      <c r="B38" s="484" t="s">
        <v>657</v>
      </c>
      <c r="C38" s="499">
        <v>0</v>
      </c>
      <c r="D38" s="499">
        <v>0</v>
      </c>
      <c r="E38" s="499">
        <v>0</v>
      </c>
      <c r="F38" s="499">
        <v>0</v>
      </c>
      <c r="G38" s="499">
        <v>0</v>
      </c>
      <c r="H38" s="499">
        <v>0</v>
      </c>
      <c r="I38" s="520">
        <v>0</v>
      </c>
      <c r="J38" s="524">
        <v>0</v>
      </c>
      <c r="K38" s="4"/>
    </row>
    <row r="39" spans="1:11" x14ac:dyDescent="0.2">
      <c r="A39" s="4"/>
      <c r="B39" s="484" t="s">
        <v>656</v>
      </c>
      <c r="C39" s="499">
        <v>0</v>
      </c>
      <c r="D39" s="499">
        <v>0</v>
      </c>
      <c r="E39" s="499">
        <v>0</v>
      </c>
      <c r="F39" s="499">
        <v>0</v>
      </c>
      <c r="G39" s="499">
        <f>Assumptions!M392</f>
        <v>11187779.5</v>
      </c>
      <c r="H39" s="499">
        <f>Assumptions!M465</f>
        <v>21027924.525605001</v>
      </c>
      <c r="I39" s="520">
        <v>0</v>
      </c>
      <c r="J39" s="524">
        <v>0</v>
      </c>
      <c r="K39" s="4"/>
    </row>
    <row r="40" spans="1:11" ht="15" thickBot="1" x14ac:dyDescent="0.25">
      <c r="A40" s="4"/>
      <c r="B40" s="493" t="s">
        <v>658</v>
      </c>
      <c r="C40" s="499">
        <v>0</v>
      </c>
      <c r="D40" s="499">
        <v>0</v>
      </c>
      <c r="E40" s="499">
        <v>0</v>
      </c>
      <c r="F40" s="499">
        <v>0</v>
      </c>
      <c r="G40" s="499">
        <f>Assumptions!M391</f>
        <v>3320419.1145967138</v>
      </c>
      <c r="H40" s="499">
        <f>Assumptions!M464</f>
        <v>4477005.7740819026</v>
      </c>
      <c r="I40" s="520">
        <v>0</v>
      </c>
      <c r="J40" s="524">
        <v>0</v>
      </c>
      <c r="K40" s="4"/>
    </row>
    <row r="41" spans="1:11" ht="15" thickBot="1" x14ac:dyDescent="0.25">
      <c r="A41" s="4"/>
      <c r="B41" s="487" t="s">
        <v>660</v>
      </c>
      <c r="C41" s="553">
        <f t="shared" ref="C41:J41" si="4">SUM(C36:C40)</f>
        <v>0</v>
      </c>
      <c r="D41" s="553">
        <f t="shared" si="4"/>
        <v>0</v>
      </c>
      <c r="E41" s="553">
        <f t="shared" si="4"/>
        <v>0</v>
      </c>
      <c r="F41" s="553">
        <f t="shared" si="4"/>
        <v>0</v>
      </c>
      <c r="G41" s="553">
        <f t="shared" si="4"/>
        <v>35908707.614596717</v>
      </c>
      <c r="H41" s="553">
        <f t="shared" si="4"/>
        <v>65761439.299686901</v>
      </c>
      <c r="I41" s="553">
        <f t="shared" si="4"/>
        <v>0</v>
      </c>
      <c r="J41" s="559">
        <f t="shared" si="4"/>
        <v>0</v>
      </c>
      <c r="K41" s="4"/>
    </row>
    <row r="42" spans="1:11" ht="15" thickBot="1" x14ac:dyDescent="0.25">
      <c r="A42" s="4"/>
      <c r="B42" s="486" t="s">
        <v>692</v>
      </c>
      <c r="C42" s="500">
        <f>C35+C41</f>
        <v>76854346.048515156</v>
      </c>
      <c r="D42" s="500">
        <f>D35+D41</f>
        <v>92695654.651381955</v>
      </c>
      <c r="E42" s="500">
        <f t="shared" ref="E42:J42" si="5">E35+E41</f>
        <v>77153680.304637477</v>
      </c>
      <c r="F42" s="500">
        <f t="shared" si="5"/>
        <v>158821758.08801678</v>
      </c>
      <c r="G42" s="500">
        <f t="shared" si="5"/>
        <v>35908707.614596717</v>
      </c>
      <c r="H42" s="500">
        <f t="shared" si="5"/>
        <v>65761439.299686901</v>
      </c>
      <c r="I42" s="557">
        <f t="shared" si="5"/>
        <v>79424349.570716068</v>
      </c>
      <c r="J42" s="560">
        <f t="shared" si="5"/>
        <v>0</v>
      </c>
      <c r="K42" s="4"/>
    </row>
    <row r="43" spans="1:11" ht="15" thickTop="1" x14ac:dyDescent="0.2">
      <c r="A43" s="4"/>
      <c r="B43" s="489" t="s">
        <v>684</v>
      </c>
      <c r="C43" s="554">
        <f>Assumptions!M57</f>
        <v>5292963.3705408005</v>
      </c>
      <c r="D43" s="554">
        <f>Assumptions!M132</f>
        <v>5292963.3705408005</v>
      </c>
      <c r="E43" s="554">
        <f>Assumptions!M209</f>
        <v>5292963.3705408005</v>
      </c>
      <c r="F43" s="554">
        <f>Assumptions!M332</f>
        <v>5292963.3705408005</v>
      </c>
      <c r="G43" s="554">
        <v>0</v>
      </c>
      <c r="H43" s="554">
        <v>0</v>
      </c>
      <c r="I43" s="558">
        <f>Assumptions!M546</f>
        <v>5616935.0725248605</v>
      </c>
      <c r="J43" s="561">
        <v>0</v>
      </c>
      <c r="K43" s="4"/>
    </row>
    <row r="44" spans="1:11" x14ac:dyDescent="0.2">
      <c r="A44" s="4"/>
      <c r="B44" s="489" t="s">
        <v>685</v>
      </c>
      <c r="C44" s="554">
        <v>0</v>
      </c>
      <c r="D44" s="554">
        <v>0</v>
      </c>
      <c r="E44" s="554">
        <v>0</v>
      </c>
      <c r="F44" s="554">
        <f>Assumptions!M275</f>
        <v>45590391.307803914</v>
      </c>
      <c r="G44" s="554">
        <v>0</v>
      </c>
      <c r="H44" s="554">
        <v>0</v>
      </c>
      <c r="I44" s="558">
        <v>0</v>
      </c>
      <c r="J44" s="561">
        <v>0</v>
      </c>
      <c r="K44" s="4"/>
    </row>
    <row r="45" spans="1:11" ht="4.5" customHeight="1" x14ac:dyDescent="0.2">
      <c r="A45" s="4"/>
      <c r="B45" s="489"/>
      <c r="C45" s="554"/>
      <c r="D45" s="554"/>
      <c r="E45" s="554"/>
      <c r="F45" s="554"/>
      <c r="G45" s="554"/>
      <c r="H45" s="554"/>
      <c r="I45" s="558"/>
      <c r="J45" s="561"/>
      <c r="K45" s="4"/>
    </row>
    <row r="46" spans="1:11" ht="25.5" x14ac:dyDescent="0.2">
      <c r="A46" s="4"/>
      <c r="B46" s="489" t="s">
        <v>694</v>
      </c>
      <c r="C46" s="499">
        <f>NPVData!AH6*1000000</f>
        <v>47846622.280279845</v>
      </c>
      <c r="D46" s="499">
        <f>NPVData!AH23*1000000</f>
        <v>64818842.979036175</v>
      </c>
      <c r="E46" s="499">
        <f>NPVData!AH40*1000000</f>
        <v>49989551.49834834</v>
      </c>
      <c r="F46" s="499">
        <f>NPVData!AH57*1000000</f>
        <v>56148315.717545323</v>
      </c>
      <c r="G46" s="499">
        <f>NPVData!AH91*1000000</f>
        <v>216250286.81491482</v>
      </c>
      <c r="H46" s="499">
        <f>NPVData!AH108*1000000</f>
        <v>142402957.37115952</v>
      </c>
      <c r="I46" s="520">
        <f>NPVData!AH125*1000000</f>
        <v>55943614.699143983</v>
      </c>
      <c r="J46" s="524">
        <f>NPVData!AH74*1000000</f>
        <v>223331508.86186367</v>
      </c>
      <c r="K46" s="4"/>
    </row>
    <row r="47" spans="1:11" x14ac:dyDescent="0.2">
      <c r="A47" s="4"/>
      <c r="B47" s="562" t="s">
        <v>661</v>
      </c>
      <c r="C47" s="563">
        <f>C46/20</f>
        <v>2392331.1140139922</v>
      </c>
      <c r="D47" s="563">
        <f t="shared" ref="D47:J47" si="6">D46/20</f>
        <v>3240942.1489518089</v>
      </c>
      <c r="E47" s="563">
        <f t="shared" si="6"/>
        <v>2499477.574917417</v>
      </c>
      <c r="F47" s="563">
        <f t="shared" si="6"/>
        <v>2807415.785877266</v>
      </c>
      <c r="G47" s="563">
        <f t="shared" si="6"/>
        <v>10812514.340745742</v>
      </c>
      <c r="H47" s="563">
        <f t="shared" si="6"/>
        <v>7120147.8685579766</v>
      </c>
      <c r="I47" s="564">
        <f t="shared" si="6"/>
        <v>2797180.7349571991</v>
      </c>
      <c r="J47" s="565">
        <f t="shared" si="6"/>
        <v>11166575.443093184</v>
      </c>
      <c r="K47" s="4"/>
    </row>
    <row r="48" spans="1:11" ht="26.25" thickBot="1" x14ac:dyDescent="0.25">
      <c r="A48" s="4"/>
      <c r="B48" s="566" t="s">
        <v>719</v>
      </c>
      <c r="C48" s="567">
        <f>C42-SUM(C43:C44)+C46</f>
        <v>119408004.9582542</v>
      </c>
      <c r="D48" s="567">
        <f t="shared" ref="D48:J48" si="7">D42-SUM(D43:D44)+D46</f>
        <v>152221534.25987732</v>
      </c>
      <c r="E48" s="567">
        <f t="shared" si="7"/>
        <v>121850268.43244502</v>
      </c>
      <c r="F48" s="567">
        <f t="shared" si="7"/>
        <v>164086719.12721738</v>
      </c>
      <c r="G48" s="567">
        <f t="shared" si="7"/>
        <v>252158994.42951155</v>
      </c>
      <c r="H48" s="567">
        <f t="shared" si="7"/>
        <v>208164396.67084643</v>
      </c>
      <c r="I48" s="567">
        <f t="shared" si="7"/>
        <v>129751029.19733518</v>
      </c>
      <c r="J48" s="568">
        <f t="shared" si="7"/>
        <v>223331508.86186367</v>
      </c>
      <c r="K48" s="4"/>
    </row>
    <row r="49" spans="1:11" ht="5.25" customHeight="1" x14ac:dyDescent="0.2">
      <c r="A49" s="4"/>
      <c r="B49" s="4"/>
      <c r="C49" s="570"/>
      <c r="D49" s="570"/>
      <c r="E49" s="570"/>
      <c r="F49" s="570"/>
      <c r="G49" s="570"/>
      <c r="H49" s="570"/>
      <c r="I49" s="570"/>
      <c r="J49" s="570"/>
      <c r="K49" s="4"/>
    </row>
    <row r="50" spans="1:11" ht="16.5" x14ac:dyDescent="0.25">
      <c r="A50" s="4"/>
      <c r="B50" s="575" t="s">
        <v>697</v>
      </c>
      <c r="C50" s="575"/>
      <c r="D50" s="575"/>
      <c r="E50" s="575"/>
      <c r="F50" s="575"/>
      <c r="G50" s="575"/>
      <c r="H50" s="575"/>
      <c r="I50" s="575"/>
      <c r="J50" s="575"/>
      <c r="K50" s="4"/>
    </row>
    <row r="51" spans="1:11" x14ac:dyDescent="0.2">
      <c r="A51" s="4"/>
      <c r="B51" s="571" t="s">
        <v>584</v>
      </c>
      <c r="C51" s="589" t="s">
        <v>663</v>
      </c>
      <c r="D51" s="590"/>
      <c r="E51" s="590"/>
      <c r="F51" s="590"/>
      <c r="G51" s="590"/>
      <c r="H51" s="590"/>
      <c r="I51" s="590"/>
      <c r="J51" s="591"/>
      <c r="K51" s="4"/>
    </row>
    <row r="52" spans="1:11" ht="42.75" customHeight="1" x14ac:dyDescent="0.2">
      <c r="A52" s="4"/>
      <c r="B52" s="592" t="s">
        <v>703</v>
      </c>
      <c r="C52" s="593"/>
      <c r="D52" s="593"/>
      <c r="E52" s="593"/>
      <c r="F52" s="593"/>
      <c r="G52" s="593"/>
      <c r="H52" s="593"/>
      <c r="I52" s="593"/>
      <c r="J52" s="594"/>
      <c r="K52" s="4"/>
    </row>
    <row r="53" spans="1:11" x14ac:dyDescent="0.2">
      <c r="A53" s="4"/>
      <c r="B53" s="571" t="s">
        <v>598</v>
      </c>
      <c r="C53" s="589" t="s">
        <v>664</v>
      </c>
      <c r="D53" s="590"/>
      <c r="E53" s="590"/>
      <c r="F53" s="590"/>
      <c r="G53" s="590"/>
      <c r="H53" s="590"/>
      <c r="I53" s="590"/>
      <c r="J53" s="591"/>
      <c r="K53" s="4"/>
    </row>
    <row r="54" spans="1:11" ht="54" customHeight="1" x14ac:dyDescent="0.2">
      <c r="A54" s="4"/>
      <c r="B54" s="592" t="s">
        <v>700</v>
      </c>
      <c r="C54" s="593"/>
      <c r="D54" s="593"/>
      <c r="E54" s="593"/>
      <c r="F54" s="593"/>
      <c r="G54" s="593"/>
      <c r="H54" s="593"/>
      <c r="I54" s="593"/>
      <c r="J54" s="594"/>
      <c r="K54" s="4"/>
    </row>
    <row r="55" spans="1:11" x14ac:dyDescent="0.2">
      <c r="A55" s="4"/>
      <c r="B55" s="571" t="s">
        <v>599</v>
      </c>
      <c r="C55" s="589" t="s">
        <v>665</v>
      </c>
      <c r="D55" s="590"/>
      <c r="E55" s="590"/>
      <c r="F55" s="590"/>
      <c r="G55" s="590"/>
      <c r="H55" s="590"/>
      <c r="I55" s="590"/>
      <c r="J55" s="591"/>
      <c r="K55" s="4"/>
    </row>
    <row r="56" spans="1:11" ht="54.75" customHeight="1" x14ac:dyDescent="0.2">
      <c r="A56" s="4"/>
      <c r="B56" s="592" t="s">
        <v>704</v>
      </c>
      <c r="C56" s="593"/>
      <c r="D56" s="593"/>
      <c r="E56" s="593"/>
      <c r="F56" s="593"/>
      <c r="G56" s="593"/>
      <c r="H56" s="593"/>
      <c r="I56" s="593"/>
      <c r="J56" s="594"/>
      <c r="K56" s="4"/>
    </row>
    <row r="57" spans="1:11" x14ac:dyDescent="0.2">
      <c r="A57" s="4"/>
      <c r="B57" s="571" t="s">
        <v>600</v>
      </c>
      <c r="C57" s="589" t="s">
        <v>666</v>
      </c>
      <c r="D57" s="590"/>
      <c r="E57" s="590"/>
      <c r="F57" s="590"/>
      <c r="G57" s="590"/>
      <c r="H57" s="590"/>
      <c r="I57" s="590"/>
      <c r="J57" s="591"/>
      <c r="K57" s="4"/>
    </row>
    <row r="58" spans="1:11" ht="51" customHeight="1" x14ac:dyDescent="0.2">
      <c r="A58" s="4"/>
      <c r="B58" s="592" t="s">
        <v>701</v>
      </c>
      <c r="C58" s="593"/>
      <c r="D58" s="593"/>
      <c r="E58" s="593"/>
      <c r="F58" s="593"/>
      <c r="G58" s="593"/>
      <c r="H58" s="593"/>
      <c r="I58" s="593"/>
      <c r="J58" s="594"/>
      <c r="K58" s="4"/>
    </row>
    <row r="59" spans="1:11" x14ac:dyDescent="0.2">
      <c r="A59" s="4"/>
      <c r="B59" s="571" t="s">
        <v>698</v>
      </c>
      <c r="C59" s="589" t="s">
        <v>667</v>
      </c>
      <c r="D59" s="590"/>
      <c r="E59" s="590"/>
      <c r="F59" s="590"/>
      <c r="G59" s="590"/>
      <c r="H59" s="590"/>
      <c r="I59" s="590"/>
      <c r="J59" s="591"/>
      <c r="K59" s="4"/>
    </row>
    <row r="60" spans="1:11" ht="27.75" customHeight="1" x14ac:dyDescent="0.2">
      <c r="A60" s="4"/>
      <c r="B60" s="592" t="s">
        <v>702</v>
      </c>
      <c r="C60" s="593"/>
      <c r="D60" s="593"/>
      <c r="E60" s="593"/>
      <c r="F60" s="593"/>
      <c r="G60" s="593"/>
      <c r="H60" s="593"/>
      <c r="I60" s="593"/>
      <c r="J60" s="594"/>
      <c r="K60" s="4"/>
    </row>
    <row r="61" spans="1:11" x14ac:dyDescent="0.2">
      <c r="A61" s="4"/>
      <c r="B61" s="571" t="s">
        <v>601</v>
      </c>
      <c r="C61" s="589" t="s">
        <v>668</v>
      </c>
      <c r="D61" s="590"/>
      <c r="E61" s="590"/>
      <c r="F61" s="590"/>
      <c r="G61" s="590"/>
      <c r="H61" s="590"/>
      <c r="I61" s="590"/>
      <c r="J61" s="591"/>
      <c r="K61" s="4"/>
    </row>
    <row r="62" spans="1:11" ht="42.75" customHeight="1" x14ac:dyDescent="0.2">
      <c r="A62" s="4"/>
      <c r="B62" s="592" t="s">
        <v>705</v>
      </c>
      <c r="C62" s="593"/>
      <c r="D62" s="593"/>
      <c r="E62" s="593"/>
      <c r="F62" s="593"/>
      <c r="G62" s="593"/>
      <c r="H62" s="593"/>
      <c r="I62" s="593"/>
      <c r="J62" s="594"/>
      <c r="K62" s="4"/>
    </row>
    <row r="63" spans="1:11" x14ac:dyDescent="0.2">
      <c r="A63" s="4"/>
      <c r="B63" s="571" t="s">
        <v>602</v>
      </c>
      <c r="C63" s="589" t="s">
        <v>669</v>
      </c>
      <c r="D63" s="590"/>
      <c r="E63" s="590"/>
      <c r="F63" s="590"/>
      <c r="G63" s="590"/>
      <c r="H63" s="590"/>
      <c r="I63" s="590"/>
      <c r="J63" s="591"/>
      <c r="K63" s="4"/>
    </row>
    <row r="64" spans="1:11" ht="42.75" customHeight="1" x14ac:dyDescent="0.2">
      <c r="A64" s="4"/>
      <c r="B64" s="592" t="s">
        <v>707</v>
      </c>
      <c r="C64" s="593"/>
      <c r="D64" s="593"/>
      <c r="E64" s="593"/>
      <c r="F64" s="593"/>
      <c r="G64" s="593"/>
      <c r="H64" s="593"/>
      <c r="I64" s="593"/>
      <c r="J64" s="594"/>
      <c r="K64" s="4"/>
    </row>
    <row r="65" spans="1:11" x14ac:dyDescent="0.2">
      <c r="A65" s="4"/>
      <c r="B65" s="571" t="s">
        <v>603</v>
      </c>
      <c r="C65" s="589" t="s">
        <v>670</v>
      </c>
      <c r="D65" s="590"/>
      <c r="E65" s="590"/>
      <c r="F65" s="590"/>
      <c r="G65" s="590"/>
      <c r="H65" s="590"/>
      <c r="I65" s="590"/>
      <c r="J65" s="591"/>
      <c r="K65" s="4"/>
    </row>
    <row r="66" spans="1:11" ht="41.25" customHeight="1" x14ac:dyDescent="0.2">
      <c r="A66" s="4"/>
      <c r="B66" s="592" t="s">
        <v>706</v>
      </c>
      <c r="C66" s="593"/>
      <c r="D66" s="593"/>
      <c r="E66" s="593"/>
      <c r="F66" s="593"/>
      <c r="G66" s="593"/>
      <c r="H66" s="593"/>
      <c r="I66" s="593"/>
      <c r="J66" s="594"/>
      <c r="K66" s="4"/>
    </row>
    <row r="67" spans="1:11" x14ac:dyDescent="0.2">
      <c r="A67" s="4"/>
      <c r="B67" s="4"/>
      <c r="C67" s="570"/>
      <c r="D67" s="570"/>
      <c r="E67" s="570"/>
      <c r="F67" s="570"/>
      <c r="G67" s="570"/>
      <c r="H67" s="570"/>
      <c r="I67" s="570"/>
      <c r="J67" s="570"/>
      <c r="K67" s="4"/>
    </row>
  </sheetData>
  <mergeCells count="30">
    <mergeCell ref="B2:J2"/>
    <mergeCell ref="B58:J58"/>
    <mergeCell ref="B60:J60"/>
    <mergeCell ref="B62:J62"/>
    <mergeCell ref="B64:J64"/>
    <mergeCell ref="B66:J66"/>
    <mergeCell ref="C59:J59"/>
    <mergeCell ref="C61:J61"/>
    <mergeCell ref="C63:J63"/>
    <mergeCell ref="C65:J65"/>
    <mergeCell ref="B50:J50"/>
    <mergeCell ref="C51:J51"/>
    <mergeCell ref="C53:J53"/>
    <mergeCell ref="C55:J55"/>
    <mergeCell ref="C57:J57"/>
    <mergeCell ref="B52:J52"/>
    <mergeCell ref="B54:J54"/>
    <mergeCell ref="B56:J56"/>
    <mergeCell ref="B25:J25"/>
    <mergeCell ref="B26:J26"/>
    <mergeCell ref="B3:J5"/>
    <mergeCell ref="C7:J7"/>
    <mergeCell ref="C14:J14"/>
    <mergeCell ref="C11:J11"/>
    <mergeCell ref="C12:J12"/>
    <mergeCell ref="C13:J13"/>
    <mergeCell ref="C8:J8"/>
    <mergeCell ref="C9:J9"/>
    <mergeCell ref="C10:J10"/>
    <mergeCell ref="B6:J6"/>
  </mergeCells>
  <conditionalFormatting sqref="C23:J23">
    <cfRule type="colorScale" priority="2">
      <colorScale>
        <cfvo type="min"/>
        <cfvo type="percentile" val="50"/>
        <cfvo type="max"/>
        <color rgb="FFF8696B"/>
        <color rgb="FFFFEB84"/>
        <color rgb="FF63BE7B"/>
      </colorScale>
    </cfRule>
  </conditionalFormatting>
  <conditionalFormatting sqref="C21:I21">
    <cfRule type="colorScale" priority="1">
      <colorScale>
        <cfvo type="min"/>
        <cfvo type="percentile" val="50"/>
        <cfvo type="max"/>
        <color rgb="FF63BE7B"/>
        <color rgb="FFFFEB84"/>
        <color rgb="FFF8696B"/>
      </colorScale>
    </cfRule>
  </conditionalFormatting>
  <pageMargins left="0.25" right="0.25" top="0.75" bottom="0.75" header="0.3" footer="0.3"/>
  <pageSetup paperSize="9" scale="65"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dimension ref="A1:C30"/>
  <sheetViews>
    <sheetView workbookViewId="0"/>
  </sheetViews>
  <sheetFormatPr defaultRowHeight="15" x14ac:dyDescent="0.25"/>
  <cols>
    <col min="1" max="1" width="44" style="246" customWidth="1"/>
    <col min="2" max="2" width="18.7109375" style="246" customWidth="1"/>
    <col min="3" max="3" width="11" style="246" customWidth="1"/>
    <col min="4" max="16384" width="9.140625" style="246"/>
  </cols>
  <sheetData>
    <row r="1" spans="1:2" ht="45" x14ac:dyDescent="0.25">
      <c r="A1" s="18" t="s">
        <v>28</v>
      </c>
      <c r="B1" s="19" t="s">
        <v>29</v>
      </c>
    </row>
    <row r="2" spans="1:2" x14ac:dyDescent="0.25">
      <c r="A2" s="20" t="s">
        <v>30</v>
      </c>
      <c r="B2" s="21"/>
    </row>
    <row r="3" spans="1:2" x14ac:dyDescent="0.25">
      <c r="A3" s="21" t="s">
        <v>264</v>
      </c>
      <c r="B3" s="22">
        <f>B22</f>
        <v>2233915.2999999998</v>
      </c>
    </row>
    <row r="4" spans="1:2" x14ac:dyDescent="0.25">
      <c r="A4" s="21" t="s">
        <v>259</v>
      </c>
      <c r="B4" s="22">
        <v>70430600</v>
      </c>
    </row>
    <row r="5" spans="1:2" ht="15.75" thickBot="1" x14ac:dyDescent="0.3">
      <c r="A5" s="444" t="s">
        <v>519</v>
      </c>
      <c r="B5" s="445">
        <v>9461000</v>
      </c>
    </row>
    <row r="6" spans="1:2" ht="15.75" thickBot="1" x14ac:dyDescent="0.3">
      <c r="A6" s="26" t="s">
        <v>36</v>
      </c>
      <c r="B6" s="27">
        <f>SUM(B3:B5)</f>
        <v>82125515.299999997</v>
      </c>
    </row>
    <row r="7" spans="1:2" x14ac:dyDescent="0.25">
      <c r="A7" s="28"/>
      <c r="B7" s="29"/>
    </row>
    <row r="8" spans="1:2" x14ac:dyDescent="0.25">
      <c r="A8" s="20" t="s">
        <v>618</v>
      </c>
      <c r="B8" s="30"/>
    </row>
    <row r="9" spans="1:2" x14ac:dyDescent="0.25">
      <c r="A9" s="21" t="s">
        <v>38</v>
      </c>
      <c r="B9" s="22">
        <v>2150000</v>
      </c>
    </row>
    <row r="10" spans="1:2" x14ac:dyDescent="0.25">
      <c r="A10" s="21" t="s">
        <v>39</v>
      </c>
      <c r="B10" s="22">
        <v>1000000</v>
      </c>
    </row>
    <row r="11" spans="1:2" x14ac:dyDescent="0.25">
      <c r="A11" s="21" t="s">
        <v>40</v>
      </c>
      <c r="B11" s="22">
        <v>1500000</v>
      </c>
    </row>
    <row r="12" spans="1:2" x14ac:dyDescent="0.25">
      <c r="A12" s="21" t="s">
        <v>41</v>
      </c>
      <c r="B12" s="22">
        <v>100000</v>
      </c>
    </row>
    <row r="13" spans="1:2" x14ac:dyDescent="0.25">
      <c r="A13" s="21" t="s">
        <v>42</v>
      </c>
      <c r="B13" s="22">
        <v>250000</v>
      </c>
    </row>
    <row r="14" spans="1:2" x14ac:dyDescent="0.25">
      <c r="A14" s="21" t="s">
        <v>43</v>
      </c>
      <c r="B14" s="22">
        <v>150000</v>
      </c>
    </row>
    <row r="15" spans="1:2" x14ac:dyDescent="0.25">
      <c r="A15" s="21" t="s">
        <v>44</v>
      </c>
      <c r="B15" s="22">
        <v>250000</v>
      </c>
    </row>
    <row r="16" spans="1:2" x14ac:dyDescent="0.25">
      <c r="A16" s="21" t="s">
        <v>45</v>
      </c>
      <c r="B16" s="22">
        <v>400000</v>
      </c>
    </row>
    <row r="17" spans="1:3" ht="15.75" thickBot="1" x14ac:dyDescent="0.3">
      <c r="A17" s="21" t="s">
        <v>46</v>
      </c>
      <c r="B17" s="22">
        <v>600000</v>
      </c>
    </row>
    <row r="18" spans="1:3" ht="15.75" thickBot="1" x14ac:dyDescent="0.3">
      <c r="A18" s="26" t="s">
        <v>47</v>
      </c>
      <c r="B18" s="31">
        <f>SUM(B9:B17)</f>
        <v>6400000</v>
      </c>
    </row>
    <row r="19" spans="1:3" x14ac:dyDescent="0.25">
      <c r="A19" s="32" t="s">
        <v>214</v>
      </c>
      <c r="B19" s="33">
        <f>(B6+B18)*0.05</f>
        <v>4426275.7649999997</v>
      </c>
    </row>
    <row r="20" spans="1:3" ht="15.75" thickBot="1" x14ac:dyDescent="0.3">
      <c r="A20" s="34" t="s">
        <v>48</v>
      </c>
      <c r="B20" s="35">
        <f>B19+B18+B6</f>
        <v>92951791.064999998</v>
      </c>
      <c r="C20" s="247"/>
    </row>
    <row r="21" spans="1:3" ht="15.75" thickBot="1" x14ac:dyDescent="0.3">
      <c r="C21" s="247"/>
    </row>
    <row r="22" spans="1:3" x14ac:dyDescent="0.25">
      <c r="A22" s="37" t="s">
        <v>219</v>
      </c>
      <c r="B22" s="38">
        <f>1733915.3+500000</f>
        <v>2233915.2999999998</v>
      </c>
    </row>
    <row r="23" spans="1:3" x14ac:dyDescent="0.25">
      <c r="A23" s="39" t="s">
        <v>296</v>
      </c>
      <c r="B23" s="40">
        <f>'OP4-Project Cost'!I36</f>
        <v>6111921.7985498337</v>
      </c>
    </row>
    <row r="24" spans="1:3" ht="15.75" x14ac:dyDescent="0.25">
      <c r="A24" s="44"/>
      <c r="B24" s="45"/>
      <c r="C24" s="46"/>
    </row>
    <row r="25" spans="1:3" x14ac:dyDescent="0.25">
      <c r="A25" s="41" t="s">
        <v>62</v>
      </c>
      <c r="B25" s="42">
        <f>'OP4-Project Cost'!I37</f>
        <v>50648814.081774913</v>
      </c>
      <c r="C25" s="43"/>
    </row>
    <row r="26" spans="1:3" ht="15" customHeight="1" thickBot="1" x14ac:dyDescent="0.3">
      <c r="A26" s="47" t="s">
        <v>64</v>
      </c>
      <c r="B26" s="48">
        <f>'OP4-Project Cost'!I38</f>
        <v>6875315.8426920539</v>
      </c>
    </row>
    <row r="27" spans="1:3" x14ac:dyDescent="0.25">
      <c r="A27" s="49"/>
      <c r="B27" s="50"/>
    </row>
    <row r="28" spans="1:3" ht="15.75" thickBot="1" x14ac:dyDescent="0.3">
      <c r="A28" s="51" t="s">
        <v>50</v>
      </c>
      <c r="B28" s="52">
        <f>SUM(B20:B26)</f>
        <v>158821758.08801678</v>
      </c>
      <c r="C28" s="53"/>
    </row>
    <row r="29" spans="1:3" x14ac:dyDescent="0.25">
      <c r="C29" s="54"/>
    </row>
    <row r="30" spans="1:3" x14ac:dyDescent="0.25">
      <c r="C30" s="43"/>
    </row>
  </sheetData>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G91"/>
  <sheetViews>
    <sheetView workbookViewId="0">
      <selection sqref="A1:J1"/>
    </sheetView>
  </sheetViews>
  <sheetFormatPr defaultRowHeight="12.75" x14ac:dyDescent="0.2"/>
  <cols>
    <col min="1" max="1" width="4.5703125" style="58" customWidth="1"/>
    <col min="2" max="6" width="12" style="58" customWidth="1"/>
    <col min="7" max="7" width="7" style="58" customWidth="1"/>
    <col min="8" max="8" width="11.28515625" style="58" bestFit="1" customWidth="1"/>
    <col min="9" max="9" width="13.7109375" style="58" customWidth="1"/>
    <col min="10" max="10" width="3.42578125" style="58" customWidth="1"/>
    <col min="11" max="11" width="10.5703125" style="58" customWidth="1"/>
    <col min="12" max="12" width="10.5703125" style="63" customWidth="1"/>
    <col min="13" max="22" width="10.42578125" style="58" customWidth="1"/>
    <col min="23" max="23" width="11.28515625" style="58" customWidth="1"/>
    <col min="24" max="33" width="10.140625" style="58" customWidth="1"/>
    <col min="34" max="16384" width="9.140625" style="58"/>
  </cols>
  <sheetData>
    <row r="1" spans="1:33" ht="21" customHeight="1" thickBot="1" x14ac:dyDescent="0.25">
      <c r="A1" s="669" t="s">
        <v>51</v>
      </c>
      <c r="B1" s="670"/>
      <c r="C1" s="670"/>
      <c r="D1" s="670"/>
      <c r="E1" s="670"/>
      <c r="F1" s="670"/>
      <c r="G1" s="670"/>
      <c r="H1" s="670"/>
      <c r="I1" s="670"/>
      <c r="J1" s="671"/>
      <c r="K1" s="56"/>
      <c r="L1" s="57"/>
    </row>
    <row r="2" spans="1:33" x14ac:dyDescent="0.2">
      <c r="A2" s="59" t="s">
        <v>52</v>
      </c>
      <c r="J2" s="60"/>
      <c r="K2" s="61"/>
      <c r="L2" s="61"/>
      <c r="V2" s="62"/>
    </row>
    <row r="3" spans="1:33" x14ac:dyDescent="0.2">
      <c r="X3" s="64" t="s">
        <v>53</v>
      </c>
      <c r="Y3" s="65"/>
      <c r="Z3" s="65"/>
      <c r="AA3" s="65"/>
      <c r="AB3" s="65"/>
      <c r="AC3" s="65"/>
      <c r="AD3" s="65"/>
      <c r="AE3" s="66"/>
      <c r="AF3" s="67" t="s">
        <v>54</v>
      </c>
      <c r="AG3" s="68">
        <v>2</v>
      </c>
    </row>
    <row r="4" spans="1:33" x14ac:dyDescent="0.2">
      <c r="B4" s="62" t="s">
        <v>55</v>
      </c>
      <c r="X4" s="69">
        <v>1</v>
      </c>
      <c r="Y4" s="70">
        <v>2</v>
      </c>
      <c r="Z4" s="70">
        <v>3</v>
      </c>
      <c r="AA4" s="70">
        <v>4</v>
      </c>
      <c r="AB4" s="70">
        <v>5</v>
      </c>
      <c r="AC4" s="70" t="s">
        <v>56</v>
      </c>
      <c r="AD4" s="71"/>
      <c r="AE4" s="72"/>
      <c r="AF4" s="71" t="s">
        <v>57</v>
      </c>
      <c r="AG4" s="73">
        <v>3</v>
      </c>
    </row>
    <row r="5" spans="1:33" x14ac:dyDescent="0.2">
      <c r="A5" s="672">
        <v>1</v>
      </c>
      <c r="B5" s="74"/>
      <c r="C5" s="75"/>
      <c r="X5" s="69"/>
      <c r="Y5" s="70"/>
      <c r="Z5" s="70"/>
      <c r="AA5" s="70"/>
      <c r="AB5" s="70"/>
      <c r="AC5" s="70"/>
      <c r="AD5" s="71"/>
      <c r="AE5" s="72"/>
      <c r="AF5" s="71"/>
      <c r="AG5" s="73">
        <v>4</v>
      </c>
    </row>
    <row r="6" spans="1:33" x14ac:dyDescent="0.2">
      <c r="A6" s="673"/>
      <c r="B6" s="74">
        <f>'OP4-Item Costs'!B6</f>
        <v>82125515.299999997</v>
      </c>
      <c r="C6" s="76" t="s">
        <v>520</v>
      </c>
      <c r="X6" s="77">
        <f>B20*B13</f>
        <v>2594762.3555099</v>
      </c>
      <c r="Y6" s="78">
        <f>C20*$B13</f>
        <v>2370124.0884884996</v>
      </c>
      <c r="Z6" s="78">
        <f>D20*$B13</f>
        <v>28555711.909499999</v>
      </c>
      <c r="AA6" s="78">
        <f>E20*$B13</f>
        <v>30459426.036799997</v>
      </c>
      <c r="AB6" s="78">
        <f>F20*$B13</f>
        <v>31205681.974701602</v>
      </c>
      <c r="AC6" s="79">
        <f>SUM(X6:AB6)</f>
        <v>95185706.364999995</v>
      </c>
      <c r="AD6" s="71"/>
      <c r="AE6" s="72"/>
      <c r="AF6" s="71"/>
      <c r="AG6" s="73">
        <v>5</v>
      </c>
    </row>
    <row r="7" spans="1:33" x14ac:dyDescent="0.2">
      <c r="A7" s="80"/>
      <c r="X7" s="81">
        <v>0</v>
      </c>
      <c r="Y7" s="82">
        <f>Y6*B28</f>
        <v>59253.102212212492</v>
      </c>
      <c r="Z7" s="82">
        <f>Z6*($B$28*2)</f>
        <v>1427785.5954750001</v>
      </c>
      <c r="AA7" s="82">
        <f>AA6*($B$28*3)</f>
        <v>2284456.9527600002</v>
      </c>
      <c r="AB7" s="82">
        <f>AB6*($B$28*3)</f>
        <v>2340426.1481026206</v>
      </c>
      <c r="AC7" s="83">
        <f>SUM(X7:AB7)</f>
        <v>6111921.7985498337</v>
      </c>
      <c r="AD7" s="84" t="s">
        <v>61</v>
      </c>
      <c r="AE7" s="72"/>
      <c r="AF7" s="71"/>
      <c r="AG7" s="85"/>
    </row>
    <row r="8" spans="1:33" ht="9.75" customHeight="1" x14ac:dyDescent="0.25">
      <c r="H8" s="86"/>
      <c r="I8" s="87"/>
      <c r="J8" s="87"/>
      <c r="X8" s="81">
        <f>$B25*SUM(X6:X7)</f>
        <v>1297381.17775495</v>
      </c>
      <c r="Y8" s="82">
        <f>$B25*SUM(Y6:Y7)</f>
        <v>1214688.5953503561</v>
      </c>
      <c r="Z8" s="82">
        <f>$B25*SUM(Z6:Z7)</f>
        <v>14991748.752487499</v>
      </c>
      <c r="AA8" s="82">
        <f>$B25*SUM(AA6:AA7)</f>
        <v>16371941.494779998</v>
      </c>
      <c r="AB8" s="82">
        <f>$B25*SUM(AB6:AB7)</f>
        <v>16773054.061402112</v>
      </c>
      <c r="AC8" s="83">
        <f>SUM(X8:AB8)</f>
        <v>50648814.081774913</v>
      </c>
      <c r="AD8" s="84" t="s">
        <v>62</v>
      </c>
      <c r="AE8" s="71"/>
      <c r="AF8" s="71"/>
      <c r="AG8" s="85"/>
    </row>
    <row r="9" spans="1:33" ht="15" x14ac:dyDescent="0.25">
      <c r="B9" s="88" t="s">
        <v>63</v>
      </c>
      <c r="H9" s="86"/>
      <c r="I9" s="87"/>
      <c r="J9" s="87"/>
      <c r="X9" s="89">
        <f>Y25</f>
        <v>153201.42764638353</v>
      </c>
      <c r="Y9" s="90">
        <f>AA25</f>
        <v>440621.24493210332</v>
      </c>
      <c r="Z9" s="90">
        <f>AC25</f>
        <v>2367561.9942912795</v>
      </c>
      <c r="AA9" s="90">
        <f>AE25</f>
        <v>1933282.87272032</v>
      </c>
      <c r="AB9" s="90">
        <f>AG25</f>
        <v>1980648.303101968</v>
      </c>
      <c r="AC9" s="83">
        <f>SUM(X9:AB9)</f>
        <v>6875315.8426920539</v>
      </c>
      <c r="AD9" s="84" t="s">
        <v>64</v>
      </c>
      <c r="AE9" s="71"/>
      <c r="AF9" s="71"/>
      <c r="AG9" s="85"/>
    </row>
    <row r="10" spans="1:33" ht="15" x14ac:dyDescent="0.25">
      <c r="A10" s="91">
        <v>2</v>
      </c>
      <c r="B10" s="92">
        <f>'OP4-Item Costs'!B18</f>
        <v>6400000</v>
      </c>
      <c r="C10" s="75" t="s">
        <v>65</v>
      </c>
      <c r="H10" s="86"/>
      <c r="I10" s="87"/>
      <c r="J10" s="87"/>
      <c r="X10" s="93"/>
      <c r="Y10" s="71"/>
      <c r="Z10" s="71"/>
      <c r="AA10" s="71"/>
      <c r="AB10" s="71"/>
      <c r="AC10" s="94">
        <f>SUM(AC6:AC9)</f>
        <v>158821758.08801678</v>
      </c>
      <c r="AD10" s="71"/>
      <c r="AE10" s="71"/>
      <c r="AF10" s="71"/>
      <c r="AG10" s="85"/>
    </row>
    <row r="11" spans="1:33" ht="15" x14ac:dyDescent="0.25">
      <c r="A11" s="91">
        <v>3</v>
      </c>
      <c r="B11" s="92">
        <f>'OP4-Item Costs'!B19</f>
        <v>4426275.7649999997</v>
      </c>
      <c r="C11" s="75" t="s">
        <v>253</v>
      </c>
      <c r="H11" s="86"/>
      <c r="I11" s="87"/>
      <c r="J11" s="87"/>
      <c r="X11" s="95" t="b">
        <v>0</v>
      </c>
      <c r="Y11" s="71"/>
      <c r="Z11" s="96" t="b">
        <v>0</v>
      </c>
      <c r="AA11" s="71"/>
      <c r="AB11" s="96" t="b">
        <v>1</v>
      </c>
      <c r="AC11" s="71"/>
      <c r="AD11" s="96" t="b">
        <v>1</v>
      </c>
      <c r="AE11" s="71"/>
      <c r="AF11" s="71"/>
      <c r="AG11" s="85"/>
    </row>
    <row r="12" spans="1:33" x14ac:dyDescent="0.2">
      <c r="A12" s="91">
        <v>4</v>
      </c>
      <c r="B12" s="92">
        <f>'OP4-Item Costs'!B22</f>
        <v>2233915.2999999998</v>
      </c>
      <c r="C12" s="75"/>
      <c r="H12" s="97"/>
      <c r="I12" s="98"/>
      <c r="J12" s="87"/>
      <c r="X12" s="99">
        <f>SUM(X6:X8)</f>
        <v>3892143.5332648503</v>
      </c>
      <c r="Y12" s="71"/>
      <c r="Z12" s="100">
        <f>SUM(Y6:Y8)</f>
        <v>3644065.7860510685</v>
      </c>
      <c r="AA12" s="71"/>
      <c r="AB12" s="100">
        <f>IF(AND($B$16&gt;2,D20&gt;0),SUM(Z6:Z8),0)</f>
        <v>44975246.257462502</v>
      </c>
      <c r="AC12" s="71"/>
      <c r="AD12" s="101">
        <f>IF(AND($B$16&gt;3,E20&gt;0),SUM(AA6:AA8),0)</f>
        <v>49115824.484339997</v>
      </c>
      <c r="AE12" s="82"/>
      <c r="AF12" s="101">
        <f>IF(AND($B$16&gt;4,F20&gt;0),SUM(AB6:AB8),0)</f>
        <v>50319162.184206337</v>
      </c>
      <c r="AG12" s="102"/>
    </row>
    <row r="13" spans="1:33" x14ac:dyDescent="0.2">
      <c r="B13" s="103">
        <f>SUM($B$5:$B$6)+SUM($B$10:$B$12)</f>
        <v>95185706.364999995</v>
      </c>
      <c r="C13" s="104" t="s">
        <v>66</v>
      </c>
      <c r="X13" s="105">
        <f>X$12/12</f>
        <v>324345.2944387375</v>
      </c>
      <c r="Y13" s="90">
        <f t="shared" ref="Y13:Y24" si="0">X13*(0.0711/12)</f>
        <v>1921.7458695495195</v>
      </c>
      <c r="Z13" s="105">
        <f>IF(X11,(Z$12/12),SUM($X$24:$Y$24)+(Z$12/12))</f>
        <v>4349017.1097488217</v>
      </c>
      <c r="AA13" s="90">
        <f t="shared" ref="AA13:AA24" si="1">Z13*(0.0711/12)</f>
        <v>25767.926375261766</v>
      </c>
      <c r="AB13" s="105">
        <f>IF(Z11,IF($B$16&gt;2,(AB$12/12),0),IF($B$16&gt;2,SUM($Z$24:$AA$24)+(AB$12/12),0))</f>
        <v>11877969.180016277</v>
      </c>
      <c r="AC13" s="90">
        <f t="shared" ref="AC13:AC24" si="2">AB13*(0.0711/12)</f>
        <v>70376.967391596438</v>
      </c>
      <c r="AD13" s="106">
        <f>IF(AB11,IF($B$16&gt;3,(AD$12/12),0),IF($B$16&gt;3,SUM($AB$24:$AC$24)+(AD$12/12),0))</f>
        <v>4092985.3736949996</v>
      </c>
      <c r="AE13" s="90">
        <f t="shared" ref="AE13:AE24" si="3">AD13*(0.0711/12)</f>
        <v>24250.938339142871</v>
      </c>
      <c r="AF13" s="105">
        <f>IF(AD11,IF($B$16&gt;4,(AF$12/12),0),IF($B$16&gt;4,SUM($AD$24:$AE$24)+(AF$12/12),0))</f>
        <v>4193263.5153505281</v>
      </c>
      <c r="AG13" s="102">
        <f t="shared" ref="AG13:AG24" si="4">AF13*(0.0711/12)</f>
        <v>24845.086328451878</v>
      </c>
    </row>
    <row r="14" spans="1:33" x14ac:dyDescent="0.2">
      <c r="X14" s="81">
        <f>(X$12/12)+X13+Y13</f>
        <v>650612.33474702458</v>
      </c>
      <c r="Y14" s="90">
        <f t="shared" si="0"/>
        <v>3854.8780833761202</v>
      </c>
      <c r="Z14" s="81">
        <f>(Z$12/12)+Z13+AA13</f>
        <v>4678457.1849616719</v>
      </c>
      <c r="AA14" s="90">
        <f t="shared" si="1"/>
        <v>27719.858820897905</v>
      </c>
      <c r="AB14" s="81">
        <f>(AB$12/12)+AB13+AC13</f>
        <v>15696283.33552975</v>
      </c>
      <c r="AC14" s="90">
        <f t="shared" si="2"/>
        <v>93000.478763013773</v>
      </c>
      <c r="AD14" s="81">
        <f>(AD$12/12)+AD13+AE13</f>
        <v>8210221.6857291423</v>
      </c>
      <c r="AE14" s="90">
        <f t="shared" si="3"/>
        <v>48645.563487945168</v>
      </c>
      <c r="AF14" s="81">
        <f>(AF$12/12)+AF13+AG13</f>
        <v>8411372.1170295086</v>
      </c>
      <c r="AG14" s="102">
        <f t="shared" si="4"/>
        <v>49837.379793399836</v>
      </c>
    </row>
    <row r="15" spans="1:33" x14ac:dyDescent="0.2">
      <c r="B15" s="62" t="s">
        <v>67</v>
      </c>
      <c r="X15" s="81">
        <f>(X$12/12)+X14+Y14</f>
        <v>978812.50726913812</v>
      </c>
      <c r="Y15" s="90">
        <f t="shared" si="0"/>
        <v>5799.4641055696429</v>
      </c>
      <c r="Z15" s="81">
        <f>(Z$12/12)+Z14+AA14</f>
        <v>5009849.1926201582</v>
      </c>
      <c r="AA15" s="90">
        <f t="shared" si="1"/>
        <v>29683.356466274436</v>
      </c>
      <c r="AB15" s="81">
        <f>(AB$12/12)+AB14+AC14</f>
        <v>19537221.00241464</v>
      </c>
      <c r="AC15" s="90">
        <f t="shared" si="2"/>
        <v>115758.03443930674</v>
      </c>
      <c r="AD15" s="81">
        <f t="shared" ref="AD15:AD24" si="5">(AD$12/12)+AD14+AE14</f>
        <v>12351852.622912087</v>
      </c>
      <c r="AE15" s="90">
        <f t="shared" si="3"/>
        <v>73184.72679075411</v>
      </c>
      <c r="AF15" s="81">
        <f t="shared" ref="AF15:AF24" si="6">(AF$12/12)+AF14+AG14</f>
        <v>12654473.012173437</v>
      </c>
      <c r="AG15" s="102">
        <f t="shared" si="4"/>
        <v>74977.752597127605</v>
      </c>
    </row>
    <row r="16" spans="1:33" x14ac:dyDescent="0.2">
      <c r="A16" s="91">
        <v>5</v>
      </c>
      <c r="B16" s="107">
        <v>5</v>
      </c>
      <c r="C16" s="75" t="s">
        <v>68</v>
      </c>
      <c r="X16" s="81">
        <f t="shared" ref="X16:X24" si="7">(X$12/12)+X15+Y15</f>
        <v>1308957.2658134454</v>
      </c>
      <c r="Y16" s="90">
        <f t="shared" si="0"/>
        <v>7755.5717999446642</v>
      </c>
      <c r="Z16" s="81">
        <f t="shared" ref="Z16:Z24" si="8">(Z$12/12)+Z15+AA15</f>
        <v>5343204.6979240216</v>
      </c>
      <c r="AA16" s="90">
        <f t="shared" si="1"/>
        <v>31658.487835199827</v>
      </c>
      <c r="AB16" s="81">
        <f t="shared" ref="AB16:AB24" si="9">(AB$12/12)+AB15+AC15</f>
        <v>23400916.224975821</v>
      </c>
      <c r="AC16" s="90">
        <f t="shared" si="2"/>
        <v>138650.42863298173</v>
      </c>
      <c r="AD16" s="81">
        <f t="shared" si="5"/>
        <v>16518022.72339784</v>
      </c>
      <c r="AE16" s="90">
        <f t="shared" si="3"/>
        <v>97869.284636132201</v>
      </c>
      <c r="AF16" s="81">
        <f t="shared" si="6"/>
        <v>16922714.280121092</v>
      </c>
      <c r="AG16" s="102">
        <f t="shared" si="4"/>
        <v>100267.08210971746</v>
      </c>
    </row>
    <row r="17" spans="1:33" x14ac:dyDescent="0.2">
      <c r="H17" s="238">
        <f>1-G20</f>
        <v>0</v>
      </c>
      <c r="X17" s="81">
        <f t="shared" si="7"/>
        <v>1641058.1320521275</v>
      </c>
      <c r="Y17" s="90">
        <f t="shared" si="0"/>
        <v>9723.2694324088552</v>
      </c>
      <c r="Z17" s="81">
        <f t="shared" si="8"/>
        <v>5678535.3345968099</v>
      </c>
      <c r="AA17" s="90">
        <f t="shared" si="1"/>
        <v>33645.321857486095</v>
      </c>
      <c r="AB17" s="81">
        <f t="shared" si="9"/>
        <v>27287503.841730677</v>
      </c>
      <c r="AC17" s="90">
        <f t="shared" si="2"/>
        <v>161678.46026225426</v>
      </c>
      <c r="AD17" s="81">
        <f t="shared" si="5"/>
        <v>20708877.381728973</v>
      </c>
      <c r="AE17" s="90">
        <f t="shared" si="3"/>
        <v>122700.09848674416</v>
      </c>
      <c r="AF17" s="81">
        <f t="shared" si="6"/>
        <v>21216244.877581336</v>
      </c>
      <c r="AG17" s="102">
        <f t="shared" si="4"/>
        <v>125706.25089966941</v>
      </c>
    </row>
    <row r="18" spans="1:33" x14ac:dyDescent="0.2">
      <c r="B18" s="62" t="s">
        <v>69</v>
      </c>
      <c r="G18" s="108"/>
      <c r="X18" s="81">
        <f t="shared" si="7"/>
        <v>1975126.6959232739</v>
      </c>
      <c r="Y18" s="90">
        <f t="shared" si="0"/>
        <v>11702.625673345397</v>
      </c>
      <c r="Z18" s="81">
        <f t="shared" si="8"/>
        <v>6015852.8052918846</v>
      </c>
      <c r="AA18" s="90">
        <f t="shared" si="1"/>
        <v>35643.927871354412</v>
      </c>
      <c r="AB18" s="81">
        <f t="shared" si="9"/>
        <v>31197119.490114804</v>
      </c>
      <c r="AC18" s="90">
        <f t="shared" si="2"/>
        <v>184842.93297893021</v>
      </c>
      <c r="AD18" s="81">
        <f t="shared" si="5"/>
        <v>24924562.853910718</v>
      </c>
      <c r="AE18" s="90">
        <f t="shared" si="3"/>
        <v>147678.034909421</v>
      </c>
      <c r="AF18" s="81">
        <f t="shared" si="6"/>
        <v>25535214.643831532</v>
      </c>
      <c r="AG18" s="102">
        <f t="shared" si="4"/>
        <v>151296.14676470181</v>
      </c>
    </row>
    <row r="19" spans="1:33" x14ac:dyDescent="0.2">
      <c r="A19" s="674">
        <v>6</v>
      </c>
      <c r="B19" s="109" t="s">
        <v>70</v>
      </c>
      <c r="C19" s="110" t="s">
        <v>71</v>
      </c>
      <c r="D19" s="110" t="s">
        <v>72</v>
      </c>
      <c r="E19" s="110" t="s">
        <v>73</v>
      </c>
      <c r="F19" s="110" t="s">
        <v>74</v>
      </c>
      <c r="G19" s="111"/>
      <c r="X19" s="81">
        <f t="shared" si="7"/>
        <v>2311174.6160353567</v>
      </c>
      <c r="Y19" s="90">
        <f t="shared" si="0"/>
        <v>13693.709600009488</v>
      </c>
      <c r="Z19" s="81">
        <f t="shared" si="8"/>
        <v>6355168.8820008282</v>
      </c>
      <c r="AA19" s="90">
        <f t="shared" si="1"/>
        <v>37654.375625854904</v>
      </c>
      <c r="AB19" s="81">
        <f t="shared" si="9"/>
        <v>35129899.611215606</v>
      </c>
      <c r="AC19" s="90">
        <f t="shared" si="2"/>
        <v>208144.65519645246</v>
      </c>
      <c r="AD19" s="81">
        <f t="shared" si="5"/>
        <v>29165226.262515139</v>
      </c>
      <c r="AE19" s="90">
        <f t="shared" si="3"/>
        <v>172803.96560540219</v>
      </c>
      <c r="AF19" s="81">
        <f t="shared" si="6"/>
        <v>29879774.305946764</v>
      </c>
      <c r="AG19" s="102">
        <f t="shared" si="4"/>
        <v>177037.66276273457</v>
      </c>
    </row>
    <row r="20" spans="1:33" ht="15" x14ac:dyDescent="0.25">
      <c r="A20" s="674"/>
      <c r="B20" s="112">
        <v>2.726E-2</v>
      </c>
      <c r="C20" s="112">
        <v>2.4899999999999999E-2</v>
      </c>
      <c r="D20" s="112">
        <v>0.3</v>
      </c>
      <c r="E20" s="112">
        <v>0.32</v>
      </c>
      <c r="F20" s="113">
        <v>0.32784000000000002</v>
      </c>
      <c r="G20" s="114">
        <f>SUM(B20:F20)</f>
        <v>1</v>
      </c>
      <c r="H20" s="80" t="s">
        <v>75</v>
      </c>
      <c r="X20" s="81">
        <f t="shared" si="7"/>
        <v>2649213.6200741036</v>
      </c>
      <c r="Y20" s="90">
        <f t="shared" si="0"/>
        <v>15696.590698939062</v>
      </c>
      <c r="Z20" s="81">
        <f t="shared" si="8"/>
        <v>6696495.4064642722</v>
      </c>
      <c r="AA20" s="90">
        <f t="shared" si="1"/>
        <v>39676.735283300812</v>
      </c>
      <c r="AB20" s="81">
        <f t="shared" si="9"/>
        <v>39085981.454533935</v>
      </c>
      <c r="AC20" s="90">
        <f t="shared" si="2"/>
        <v>231584.44011811356</v>
      </c>
      <c r="AD20" s="81">
        <f t="shared" si="5"/>
        <v>33431015.60181554</v>
      </c>
      <c r="AE20" s="90">
        <f t="shared" si="3"/>
        <v>198078.76744075707</v>
      </c>
      <c r="AF20" s="81">
        <f t="shared" si="6"/>
        <v>34250075.484060019</v>
      </c>
      <c r="AG20" s="102">
        <f t="shared" si="4"/>
        <v>202931.69724305559</v>
      </c>
    </row>
    <row r="21" spans="1:33" ht="2.25" customHeight="1" x14ac:dyDescent="0.2">
      <c r="G21" s="115"/>
      <c r="X21" s="81">
        <f t="shared" si="7"/>
        <v>2989255.5052117803</v>
      </c>
      <c r="Y21" s="90">
        <f t="shared" si="0"/>
        <v>17711.338868379797</v>
      </c>
      <c r="Z21" s="81">
        <f t="shared" si="8"/>
        <v>7039844.2905851621</v>
      </c>
      <c r="AA21" s="90">
        <f t="shared" si="1"/>
        <v>41711.077421717084</v>
      </c>
      <c r="AB21" s="81">
        <f t="shared" si="9"/>
        <v>43065503.082773924</v>
      </c>
      <c r="AC21" s="90">
        <f t="shared" si="2"/>
        <v>255163.1057654355</v>
      </c>
      <c r="AD21" s="81">
        <f t="shared" si="5"/>
        <v>37722079.742951296</v>
      </c>
      <c r="AE21" s="90">
        <f t="shared" si="3"/>
        <v>223503.32247698642</v>
      </c>
      <c r="AF21" s="81">
        <f t="shared" si="6"/>
        <v>38646270.696653605</v>
      </c>
      <c r="AG21" s="102">
        <f t="shared" si="4"/>
        <v>228979.15387767259</v>
      </c>
    </row>
    <row r="22" spans="1:33" ht="12.75" customHeight="1" x14ac:dyDescent="0.2">
      <c r="A22" s="252">
        <v>7</v>
      </c>
      <c r="B22" s="117" t="s">
        <v>54</v>
      </c>
      <c r="C22" s="117"/>
      <c r="D22" s="117"/>
      <c r="E22" s="117"/>
      <c r="F22" s="118" t="s">
        <v>76</v>
      </c>
      <c r="G22" s="115"/>
      <c r="X22" s="81">
        <f t="shared" si="7"/>
        <v>3331312.1385188974</v>
      </c>
      <c r="Y22" s="90">
        <f t="shared" si="0"/>
        <v>19738.024420724465</v>
      </c>
      <c r="Z22" s="81">
        <f t="shared" si="8"/>
        <v>7385227.5168444682</v>
      </c>
      <c r="AA22" s="90">
        <f t="shared" si="1"/>
        <v>43757.473037303469</v>
      </c>
      <c r="AB22" s="81">
        <f t="shared" si="9"/>
        <v>47068603.376661234</v>
      </c>
      <c r="AC22" s="90">
        <f t="shared" si="2"/>
        <v>278881.47500671778</v>
      </c>
      <c r="AD22" s="81">
        <f t="shared" si="5"/>
        <v>42038568.43912328</v>
      </c>
      <c r="AE22" s="90">
        <f t="shared" si="3"/>
        <v>249078.51800180544</v>
      </c>
      <c r="AF22" s="81">
        <f t="shared" si="6"/>
        <v>43068513.365881808</v>
      </c>
      <c r="AG22" s="102">
        <f t="shared" si="4"/>
        <v>255180.94169284971</v>
      </c>
    </row>
    <row r="23" spans="1:33" ht="15" customHeight="1" x14ac:dyDescent="0.25">
      <c r="G23" s="115"/>
      <c r="M23" s="246"/>
      <c r="N23" s="246"/>
      <c r="X23" s="81">
        <f t="shared" si="7"/>
        <v>3675395.457378359</v>
      </c>
      <c r="Y23" s="90">
        <f t="shared" si="0"/>
        <v>21776.718084966775</v>
      </c>
      <c r="Z23" s="81">
        <f t="shared" si="8"/>
        <v>7732657.1387193603</v>
      </c>
      <c r="AA23" s="90">
        <f t="shared" si="1"/>
        <v>45815.993546912207</v>
      </c>
      <c r="AB23" s="81">
        <f t="shared" si="9"/>
        <v>51095422.039789826</v>
      </c>
      <c r="AC23" s="90">
        <f t="shared" si="2"/>
        <v>302740.37558575469</v>
      </c>
      <c r="AD23" s="81">
        <f t="shared" si="5"/>
        <v>46380632.330820084</v>
      </c>
      <c r="AE23" s="90">
        <f t="shared" si="3"/>
        <v>274805.24656010896</v>
      </c>
      <c r="AF23" s="81">
        <f t="shared" si="6"/>
        <v>47516957.822925188</v>
      </c>
      <c r="AG23" s="102">
        <f t="shared" si="4"/>
        <v>281537.97510083171</v>
      </c>
    </row>
    <row r="24" spans="1:33" ht="15" customHeight="1" x14ac:dyDescent="0.3">
      <c r="B24" s="62" t="s">
        <v>77</v>
      </c>
      <c r="L24" s="248" t="s">
        <v>242</v>
      </c>
      <c r="M24" s="246"/>
      <c r="N24" s="246"/>
      <c r="X24" s="81">
        <f t="shared" si="7"/>
        <v>4021517.4699020633</v>
      </c>
      <c r="Y24" s="90">
        <f t="shared" si="0"/>
        <v>23827.491009169724</v>
      </c>
      <c r="Z24" s="81">
        <f t="shared" si="8"/>
        <v>8082145.2811038615</v>
      </c>
      <c r="AA24" s="90">
        <f t="shared" si="1"/>
        <v>47886.710790540375</v>
      </c>
      <c r="AB24" s="81">
        <f t="shared" si="9"/>
        <v>55146099.60349746</v>
      </c>
      <c r="AC24" s="90">
        <f t="shared" si="2"/>
        <v>326740.64015072247</v>
      </c>
      <c r="AD24" s="81">
        <f t="shared" si="5"/>
        <v>50748422.951075196</v>
      </c>
      <c r="AE24" s="90">
        <f t="shared" si="3"/>
        <v>300684.40598512051</v>
      </c>
      <c r="AF24" s="81">
        <f t="shared" si="6"/>
        <v>51991759.313376546</v>
      </c>
      <c r="AG24" s="102">
        <f t="shared" si="4"/>
        <v>308051.173931756</v>
      </c>
    </row>
    <row r="25" spans="1:33" ht="15" x14ac:dyDescent="0.25">
      <c r="A25" s="91">
        <v>8</v>
      </c>
      <c r="B25" s="119">
        <v>0.5</v>
      </c>
      <c r="L25" s="247" t="s">
        <v>243</v>
      </c>
      <c r="M25" s="246"/>
      <c r="N25" s="246"/>
      <c r="X25" s="120" t="s">
        <v>78</v>
      </c>
      <c r="Y25" s="121">
        <f>SUM(Y13:Y24)</f>
        <v>153201.42764638353</v>
      </c>
      <c r="Z25" s="122"/>
      <c r="AA25" s="121">
        <f>SUM(AA13:AA24)</f>
        <v>440621.24493210332</v>
      </c>
      <c r="AB25" s="122"/>
      <c r="AC25" s="121">
        <f>SUM(AC13:AC24)</f>
        <v>2367561.9942912795</v>
      </c>
      <c r="AD25" s="122"/>
      <c r="AE25" s="121">
        <f>SUM(AE13:AE24)</f>
        <v>1933282.87272032</v>
      </c>
      <c r="AF25" s="122"/>
      <c r="AG25" s="123">
        <f>SUM(AG13:AG24)</f>
        <v>1980648.303101968</v>
      </c>
    </row>
    <row r="26" spans="1:33" ht="15" x14ac:dyDescent="0.25">
      <c r="L26" s="246"/>
      <c r="M26" s="249">
        <v>0.53559999999999997</v>
      </c>
      <c r="N26" s="250" t="s">
        <v>244</v>
      </c>
    </row>
    <row r="27" spans="1:33" ht="15" x14ac:dyDescent="0.25">
      <c r="B27" s="62" t="s">
        <v>79</v>
      </c>
      <c r="L27" s="246"/>
      <c r="M27" s="249">
        <v>0.51049999999999995</v>
      </c>
      <c r="N27" s="250" t="s">
        <v>245</v>
      </c>
    </row>
    <row r="28" spans="1:33" ht="15" x14ac:dyDescent="0.25">
      <c r="A28" s="91">
        <v>9</v>
      </c>
      <c r="B28" s="119">
        <v>2.5000000000000001E-2</v>
      </c>
      <c r="L28" s="246"/>
      <c r="M28" s="249">
        <v>0.51670000000000005</v>
      </c>
      <c r="N28" s="250" t="s">
        <v>246</v>
      </c>
      <c r="O28" s="124"/>
      <c r="P28" s="124"/>
      <c r="Q28" s="124"/>
      <c r="R28" s="124"/>
      <c r="S28" s="124"/>
      <c r="T28" s="124"/>
      <c r="U28" s="124"/>
      <c r="V28" s="124"/>
      <c r="W28" s="124"/>
      <c r="X28" s="124"/>
      <c r="Y28" s="124"/>
      <c r="Z28" s="124"/>
      <c r="AA28" s="124"/>
    </row>
    <row r="29" spans="1:33" ht="15" x14ac:dyDescent="0.25">
      <c r="A29" s="80" t="s">
        <v>80</v>
      </c>
      <c r="L29" s="246"/>
      <c r="M29" s="249">
        <v>0.52900000000000003</v>
      </c>
      <c r="N29" s="250" t="s">
        <v>247</v>
      </c>
      <c r="O29" s="124"/>
      <c r="P29" s="124"/>
      <c r="Q29" s="124"/>
      <c r="R29" s="124"/>
      <c r="S29" s="124"/>
      <c r="T29" s="124"/>
      <c r="U29" s="124"/>
      <c r="V29" s="124"/>
      <c r="W29" s="124"/>
      <c r="X29" s="124"/>
      <c r="Y29" s="124"/>
      <c r="Z29" s="124"/>
      <c r="AA29" s="124"/>
    </row>
    <row r="30" spans="1:33" ht="15" x14ac:dyDescent="0.25">
      <c r="L30" s="246"/>
      <c r="M30" s="249">
        <v>0.48599999999999999</v>
      </c>
      <c r="N30" s="250" t="s">
        <v>248</v>
      </c>
      <c r="O30" s="124"/>
      <c r="P30" s="124"/>
      <c r="Q30" s="124"/>
      <c r="R30" s="124"/>
      <c r="S30" s="124"/>
      <c r="T30" s="124"/>
      <c r="U30" s="124"/>
      <c r="V30" s="124"/>
      <c r="W30" s="124"/>
      <c r="X30" s="124"/>
      <c r="Y30" s="124"/>
      <c r="Z30" s="124"/>
      <c r="AA30" s="124"/>
    </row>
    <row r="31" spans="1:33" ht="15.75" thickBot="1" x14ac:dyDescent="0.3">
      <c r="L31" s="246"/>
      <c r="M31" s="254">
        <f>AVERAGE(M26:M30)</f>
        <v>0.51556000000000002</v>
      </c>
      <c r="N31" s="250" t="s">
        <v>254</v>
      </c>
      <c r="O31" s="124"/>
      <c r="P31" s="124"/>
      <c r="Q31" s="124"/>
      <c r="R31" s="124"/>
      <c r="S31" s="124"/>
      <c r="T31" s="124"/>
      <c r="U31" s="124"/>
      <c r="V31" s="124"/>
      <c r="W31" s="124"/>
      <c r="X31" s="124"/>
      <c r="Y31" s="124"/>
      <c r="Z31" s="124"/>
      <c r="AA31" s="124"/>
    </row>
    <row r="32" spans="1:33" ht="15.75" x14ac:dyDescent="0.25">
      <c r="B32" s="675" t="s">
        <v>81</v>
      </c>
      <c r="C32" s="676"/>
      <c r="D32" s="676"/>
      <c r="E32" s="676"/>
      <c r="F32" s="676"/>
      <c r="G32" s="676"/>
      <c r="H32" s="676"/>
      <c r="I32" s="676"/>
      <c r="J32" s="677"/>
      <c r="L32" s="246"/>
      <c r="M32" s="245">
        <v>0.5</v>
      </c>
      <c r="N32" s="251" t="s">
        <v>249</v>
      </c>
    </row>
    <row r="33" spans="1:21" ht="18" customHeight="1" x14ac:dyDescent="0.25">
      <c r="B33" s="678" t="s">
        <v>82</v>
      </c>
      <c r="C33" s="665"/>
      <c r="D33" s="125"/>
      <c r="E33" s="125"/>
      <c r="F33" s="125"/>
      <c r="G33" s="125"/>
      <c r="H33" s="666" t="s">
        <v>83</v>
      </c>
      <c r="I33" s="666"/>
      <c r="J33" s="126"/>
      <c r="L33" s="246"/>
    </row>
    <row r="34" spans="1:21" x14ac:dyDescent="0.2">
      <c r="B34" s="446" t="s">
        <v>21</v>
      </c>
      <c r="C34" s="128" t="s">
        <v>22</v>
      </c>
      <c r="D34" s="128" t="s">
        <v>23</v>
      </c>
      <c r="E34" s="128" t="s">
        <v>24</v>
      </c>
      <c r="F34" s="128" t="s">
        <v>109</v>
      </c>
      <c r="G34" s="125"/>
      <c r="H34" s="125"/>
      <c r="I34" s="125"/>
      <c r="J34" s="126"/>
    </row>
    <row r="35" spans="1:21" x14ac:dyDescent="0.2">
      <c r="B35" s="129">
        <f t="shared" ref="B35:F38" si="10">X6</f>
        <v>2594762.3555099</v>
      </c>
      <c r="C35" s="130">
        <f>Y6</f>
        <v>2370124.0884884996</v>
      </c>
      <c r="D35" s="130">
        <f t="shared" si="10"/>
        <v>28555711.909499999</v>
      </c>
      <c r="E35" s="130">
        <f t="shared" si="10"/>
        <v>30459426.036799997</v>
      </c>
      <c r="F35" s="130">
        <f t="shared" si="10"/>
        <v>31205681.974701602</v>
      </c>
      <c r="G35" s="665" t="s">
        <v>30</v>
      </c>
      <c r="H35" s="665"/>
      <c r="I35" s="131">
        <f>AC6</f>
        <v>95185706.364999995</v>
      </c>
      <c r="J35" s="126"/>
    </row>
    <row r="36" spans="1:21" x14ac:dyDescent="0.2">
      <c r="B36" s="129">
        <f t="shared" si="10"/>
        <v>0</v>
      </c>
      <c r="C36" s="130">
        <f t="shared" si="10"/>
        <v>59253.102212212492</v>
      </c>
      <c r="D36" s="130">
        <f t="shared" si="10"/>
        <v>1427785.5954750001</v>
      </c>
      <c r="E36" s="130">
        <f t="shared" si="10"/>
        <v>2284456.9527600002</v>
      </c>
      <c r="F36" s="130">
        <f t="shared" si="10"/>
        <v>2340426.1481026206</v>
      </c>
      <c r="G36" s="665" t="s">
        <v>61</v>
      </c>
      <c r="H36" s="665" t="s">
        <v>61</v>
      </c>
      <c r="I36" s="131">
        <f>AC7</f>
        <v>6111921.7985498337</v>
      </c>
      <c r="J36" s="126"/>
    </row>
    <row r="37" spans="1:21" ht="15" x14ac:dyDescent="0.25">
      <c r="B37" s="129">
        <f t="shared" si="10"/>
        <v>1297381.17775495</v>
      </c>
      <c r="C37" s="130">
        <f t="shared" si="10"/>
        <v>1214688.5953503561</v>
      </c>
      <c r="D37" s="130">
        <f t="shared" si="10"/>
        <v>14991748.752487499</v>
      </c>
      <c r="E37" s="130">
        <f t="shared" si="10"/>
        <v>16371941.494779998</v>
      </c>
      <c r="F37" s="130">
        <f t="shared" si="10"/>
        <v>16773054.061402112</v>
      </c>
      <c r="G37" s="665" t="s">
        <v>62</v>
      </c>
      <c r="H37" s="665" t="s">
        <v>62</v>
      </c>
      <c r="I37" s="131">
        <f>AC8</f>
        <v>50648814.081774913</v>
      </c>
      <c r="J37" s="126"/>
      <c r="K37" s="132"/>
      <c r="L37" s="133"/>
      <c r="M37" s="134"/>
      <c r="N37" s="134"/>
      <c r="O37" s="134"/>
      <c r="P37" s="134"/>
      <c r="Q37" s="134"/>
      <c r="R37" s="134"/>
      <c r="S37" s="134"/>
      <c r="T37" s="134"/>
      <c r="U37" s="135"/>
    </row>
    <row r="38" spans="1:21" x14ac:dyDescent="0.2">
      <c r="B38" s="129">
        <f t="shared" si="10"/>
        <v>153201.42764638353</v>
      </c>
      <c r="C38" s="130">
        <f t="shared" si="10"/>
        <v>440621.24493210332</v>
      </c>
      <c r="D38" s="130">
        <f t="shared" si="10"/>
        <v>2367561.9942912795</v>
      </c>
      <c r="E38" s="130">
        <f t="shared" si="10"/>
        <v>1933282.87272032</v>
      </c>
      <c r="F38" s="130">
        <f t="shared" si="10"/>
        <v>1980648.303101968</v>
      </c>
      <c r="G38" s="665" t="s">
        <v>84</v>
      </c>
      <c r="H38" s="665" t="s">
        <v>85</v>
      </c>
      <c r="I38" s="131">
        <f>AC9</f>
        <v>6875315.8426920539</v>
      </c>
      <c r="J38" s="126"/>
      <c r="L38" s="136"/>
      <c r="M38" s="87"/>
      <c r="N38" s="87"/>
      <c r="O38" s="87"/>
      <c r="P38" s="87"/>
      <c r="Q38" s="87"/>
      <c r="R38" s="87"/>
      <c r="S38" s="87"/>
      <c r="T38" s="87"/>
      <c r="U38" s="87"/>
    </row>
    <row r="39" spans="1:21" ht="6" customHeight="1" x14ac:dyDescent="0.2">
      <c r="B39" s="137"/>
      <c r="C39" s="125"/>
      <c r="D39" s="125"/>
      <c r="E39" s="125"/>
      <c r="F39" s="125"/>
      <c r="G39" s="125"/>
      <c r="H39" s="125"/>
      <c r="I39" s="125"/>
      <c r="J39" s="126"/>
      <c r="L39" s="136"/>
      <c r="M39" s="87"/>
      <c r="N39" s="87"/>
      <c r="O39" s="87"/>
      <c r="P39" s="87"/>
      <c r="Q39" s="87"/>
      <c r="R39" s="87"/>
      <c r="S39" s="87"/>
      <c r="T39" s="87"/>
      <c r="U39" s="87"/>
    </row>
    <row r="40" spans="1:21" ht="15.75" thickBot="1" x14ac:dyDescent="0.3">
      <c r="B40" s="138">
        <f>SUM(B35:B38)</f>
        <v>4045344.9609112339</v>
      </c>
      <c r="C40" s="139">
        <f>SUM(C35:C38)</f>
        <v>4084687.0309831719</v>
      </c>
      <c r="D40" s="139">
        <f>SUM(D35:D38)</f>
        <v>47342808.251753777</v>
      </c>
      <c r="E40" s="139">
        <f>SUM(E35:E38)</f>
        <v>51049107.357060321</v>
      </c>
      <c r="F40" s="139">
        <f>SUM(F35:F38)</f>
        <v>52299810.487308308</v>
      </c>
      <c r="G40" s="666" t="s">
        <v>56</v>
      </c>
      <c r="H40" s="666"/>
      <c r="I40" s="140">
        <f>SUM(I35:I38)</f>
        <v>158821758.08801678</v>
      </c>
      <c r="J40" s="126"/>
      <c r="L40" s="133"/>
      <c r="M40" s="134"/>
      <c r="N40" s="134"/>
      <c r="O40" s="134"/>
      <c r="P40" s="134"/>
      <c r="Q40" s="134"/>
      <c r="R40" s="134"/>
      <c r="S40" s="134"/>
      <c r="T40" s="134"/>
      <c r="U40" s="135"/>
    </row>
    <row r="41" spans="1:21" ht="16.5" thickTop="1" thickBot="1" x14ac:dyDescent="0.3">
      <c r="B41" s="141"/>
      <c r="C41" s="142"/>
      <c r="D41" s="142"/>
      <c r="E41" s="142"/>
      <c r="F41" s="142"/>
      <c r="G41" s="142"/>
      <c r="H41" s="142"/>
      <c r="I41" s="142"/>
      <c r="J41" s="143"/>
      <c r="L41" s="133"/>
      <c r="M41" s="144"/>
      <c r="N41" s="144"/>
      <c r="O41" s="144"/>
      <c r="P41" s="144"/>
      <c r="Q41" s="144"/>
      <c r="R41" s="144"/>
      <c r="S41" s="144"/>
      <c r="T41" s="144"/>
      <c r="U41" s="145"/>
    </row>
    <row r="42" spans="1:21" x14ac:dyDescent="0.2">
      <c r="B42" s="236"/>
      <c r="C42" s="236"/>
      <c r="D42" s="236"/>
      <c r="E42" s="236"/>
      <c r="F42" s="236"/>
      <c r="L42" s="133"/>
      <c r="M42" s="87"/>
      <c r="N42" s="87"/>
      <c r="O42" s="87"/>
      <c r="P42" s="87"/>
      <c r="Q42" s="87"/>
      <c r="R42" s="87"/>
      <c r="S42" s="87"/>
      <c r="T42" s="87"/>
      <c r="U42" s="135"/>
    </row>
    <row r="43" spans="1:21" x14ac:dyDescent="0.2">
      <c r="F43" s="62"/>
      <c r="L43" s="136"/>
      <c r="M43" s="87"/>
      <c r="N43" s="87"/>
      <c r="O43" s="98"/>
      <c r="P43" s="98"/>
      <c r="Q43" s="98"/>
      <c r="R43" s="98"/>
      <c r="S43" s="98"/>
      <c r="T43" s="98"/>
      <c r="U43" s="135"/>
    </row>
    <row r="44" spans="1:21" x14ac:dyDescent="0.2">
      <c r="A44" s="237">
        <v>2214401</v>
      </c>
      <c r="D44" s="239">
        <f>D35+C35+B35</f>
        <v>33520598.353498399</v>
      </c>
      <c r="F44" s="239">
        <f>E35+F35</f>
        <v>61665108.011501595</v>
      </c>
    </row>
    <row r="66" spans="2:14" x14ac:dyDescent="0.2">
      <c r="B66" s="667" t="s">
        <v>86</v>
      </c>
      <c r="C66" s="668"/>
      <c r="D66" s="668"/>
      <c r="E66" s="146"/>
      <c r="F66" s="146"/>
      <c r="G66" s="146"/>
      <c r="H66" s="146"/>
      <c r="I66" s="146"/>
      <c r="J66" s="147"/>
      <c r="L66" s="663" t="s">
        <v>87</v>
      </c>
      <c r="M66" s="664"/>
      <c r="N66" s="147"/>
    </row>
    <row r="67" spans="2:14" x14ac:dyDescent="0.2">
      <c r="B67" s="148"/>
      <c r="C67" s="149"/>
      <c r="D67" s="149"/>
      <c r="E67" s="149"/>
      <c r="F67" s="150">
        <f>F69/$I69</f>
        <v>0.3038166462510476</v>
      </c>
      <c r="G67" s="150">
        <f>G69/$I69</f>
        <v>0.54125029548922265</v>
      </c>
      <c r="H67" s="150">
        <f>H69/$I69</f>
        <v>0.15493305825972964</v>
      </c>
      <c r="I67" s="149"/>
      <c r="J67" s="151"/>
      <c r="L67" s="152"/>
      <c r="M67" s="153"/>
      <c r="N67" s="151"/>
    </row>
    <row r="68" spans="2:14" ht="15" x14ac:dyDescent="0.25">
      <c r="B68" s="154">
        <v>41602063</v>
      </c>
      <c r="C68" s="149"/>
      <c r="D68" s="149"/>
      <c r="E68" s="149"/>
      <c r="F68" s="155">
        <v>28275000</v>
      </c>
      <c r="G68" s="155">
        <v>50372000</v>
      </c>
      <c r="H68" s="155">
        <v>14419000</v>
      </c>
      <c r="I68" s="156">
        <f>SUM(F68:H68)</f>
        <v>93066000</v>
      </c>
      <c r="J68" s="151"/>
      <c r="L68" s="148" t="s">
        <v>88</v>
      </c>
      <c r="M68" s="155">
        <v>131440</v>
      </c>
      <c r="N68" s="151"/>
    </row>
    <row r="69" spans="2:14" ht="15" x14ac:dyDescent="0.25">
      <c r="B69" s="154">
        <v>4712741</v>
      </c>
      <c r="C69" s="149"/>
      <c r="D69" s="149"/>
      <c r="E69" s="149"/>
      <c r="F69" s="155">
        <f>F68/1.5227</f>
        <v>18568989.295330662</v>
      </c>
      <c r="G69" s="155">
        <f>G68/1.5227</f>
        <v>33080711.893347345</v>
      </c>
      <c r="H69" s="155">
        <f>H68/1.5227</f>
        <v>9469363.6303933803</v>
      </c>
      <c r="I69" s="156">
        <f>SUM(F69:H69)</f>
        <v>61119064.81907139</v>
      </c>
      <c r="J69" s="151"/>
      <c r="L69" s="148" t="s">
        <v>89</v>
      </c>
      <c r="M69" s="155">
        <v>469601</v>
      </c>
      <c r="N69" s="151"/>
    </row>
    <row r="70" spans="2:14" ht="15" x14ac:dyDescent="0.25">
      <c r="B70" s="154">
        <v>2639135</v>
      </c>
      <c r="C70" s="157">
        <f>SUM(B68:B70)</f>
        <v>48953939</v>
      </c>
      <c r="D70" s="149"/>
      <c r="E70" s="149"/>
      <c r="F70" s="149"/>
      <c r="G70" s="149"/>
      <c r="H70" s="149"/>
      <c r="I70" s="158"/>
      <c r="J70" s="151"/>
      <c r="L70" s="148" t="s">
        <v>90</v>
      </c>
      <c r="M70" s="155">
        <v>312802</v>
      </c>
      <c r="N70" s="151"/>
    </row>
    <row r="71" spans="2:14" ht="15" x14ac:dyDescent="0.25">
      <c r="B71" s="154">
        <f>SUM(B68:B70)*0.07</f>
        <v>3426775.7300000004</v>
      </c>
      <c r="C71" s="159">
        <v>7.0000000000000007E-2</v>
      </c>
      <c r="D71" s="149"/>
      <c r="E71" s="149"/>
      <c r="F71" s="160">
        <f>$J71*F67</f>
        <v>25439515.334603008</v>
      </c>
      <c r="G71" s="160">
        <f>$J71*G67</f>
        <v>45320575.293885864</v>
      </c>
      <c r="H71" s="160">
        <f>$J71*H67</f>
        <v>12973028.173638931</v>
      </c>
      <c r="I71" s="161">
        <f>SUM(F71:H71)</f>
        <v>83733118.802127793</v>
      </c>
      <c r="J71" s="162">
        <f>I69*1.37</f>
        <v>83733118.802127808</v>
      </c>
      <c r="L71" s="148" t="s">
        <v>91</v>
      </c>
      <c r="M71" s="155">
        <v>281380</v>
      </c>
      <c r="N71" s="163">
        <v>0.6</v>
      </c>
    </row>
    <row r="72" spans="2:14" ht="15" x14ac:dyDescent="0.25">
      <c r="B72" s="154">
        <f>SUM(B68:B71)*0.02</f>
        <v>1047614.2946000001</v>
      </c>
      <c r="C72" s="159">
        <v>0.02</v>
      </c>
      <c r="D72" s="149"/>
      <c r="E72" s="149"/>
      <c r="F72" s="164">
        <f>F71*1.5227</f>
        <v>38736750</v>
      </c>
      <c r="G72" s="164">
        <f>G71*1.5227</f>
        <v>69009640</v>
      </c>
      <c r="H72" s="164">
        <f>H71*1.5227</f>
        <v>19754030</v>
      </c>
      <c r="I72" s="165">
        <f>I71*1.5227</f>
        <v>127500419.99999999</v>
      </c>
      <c r="J72" s="151"/>
      <c r="L72" s="148" t="s">
        <v>92</v>
      </c>
      <c r="M72" s="155">
        <v>2231569</v>
      </c>
      <c r="N72" s="163">
        <v>0.6</v>
      </c>
    </row>
    <row r="73" spans="2:14" ht="15" x14ac:dyDescent="0.25">
      <c r="B73" s="166">
        <f>SUM(B71:B72)</f>
        <v>4474390.0246000011</v>
      </c>
      <c r="C73" s="149"/>
      <c r="D73" s="149"/>
      <c r="E73" s="164"/>
      <c r="F73" s="167">
        <v>28737000</v>
      </c>
      <c r="G73" s="168">
        <v>49010000</v>
      </c>
      <c r="H73" s="168">
        <v>49753420</v>
      </c>
      <c r="I73" s="164">
        <f>I72-SUM(E73:H73)</f>
        <v>0</v>
      </c>
      <c r="J73" s="151"/>
      <c r="L73" s="148" t="s">
        <v>93</v>
      </c>
      <c r="M73" s="155">
        <v>707673</v>
      </c>
      <c r="N73" s="163">
        <v>0.8</v>
      </c>
    </row>
    <row r="74" spans="2:14" x14ac:dyDescent="0.2">
      <c r="B74" s="154">
        <f>B73*0.1</f>
        <v>447439.00246000011</v>
      </c>
      <c r="C74" s="149" t="s">
        <v>94</v>
      </c>
      <c r="D74" s="149"/>
      <c r="E74" s="149"/>
      <c r="F74" s="149"/>
      <c r="G74" s="149"/>
      <c r="H74" s="149"/>
      <c r="I74" s="149"/>
      <c r="J74" s="151"/>
      <c r="L74" s="148" t="s">
        <v>66</v>
      </c>
      <c r="M74" s="156">
        <f>SUM(M68:M70)+(M71*N71)+(M72*N72)+(M73*N73)</f>
        <v>2987750.8</v>
      </c>
      <c r="N74" s="151"/>
    </row>
    <row r="75" spans="2:14" ht="15" x14ac:dyDescent="0.25">
      <c r="B75" s="154">
        <f>SUM(B73:B74)*0.5227</f>
        <v>2572640.0324442629</v>
      </c>
      <c r="C75" s="149" t="s">
        <v>95</v>
      </c>
      <c r="D75" s="169">
        <f>B73+B74</f>
        <v>4921829.0270600012</v>
      </c>
      <c r="E75" s="155">
        <f>SUM(E77:E88)</f>
        <v>4921829.0270600021</v>
      </c>
      <c r="F75" s="149"/>
      <c r="G75" s="149"/>
      <c r="H75" s="149"/>
      <c r="I75" s="149"/>
      <c r="J75" s="151"/>
      <c r="L75" s="148" t="s">
        <v>96</v>
      </c>
      <c r="M75" s="156">
        <v>8075641</v>
      </c>
      <c r="N75" s="151"/>
    </row>
    <row r="76" spans="2:14" ht="15" x14ac:dyDescent="0.25">
      <c r="B76" s="154">
        <f>G89</f>
        <v>188054.88407558424</v>
      </c>
      <c r="C76" s="149" t="s">
        <v>97</v>
      </c>
      <c r="D76" s="149"/>
      <c r="E76" s="149"/>
      <c r="F76" s="149"/>
      <c r="G76" s="149"/>
      <c r="H76" s="149"/>
      <c r="I76" s="149"/>
      <c r="J76" s="151"/>
      <c r="L76" s="148"/>
      <c r="M76" s="155"/>
      <c r="N76" s="151"/>
    </row>
    <row r="77" spans="2:14" ht="15" x14ac:dyDescent="0.25">
      <c r="B77" s="166">
        <f>B73+B74+B75+B76</f>
        <v>7682523.9435798479</v>
      </c>
      <c r="C77" s="158" t="s">
        <v>98</v>
      </c>
      <c r="D77" s="149"/>
      <c r="E77" s="155">
        <f>$D$75*0.05</f>
        <v>246091.45135300007</v>
      </c>
      <c r="F77" s="170">
        <f>E77</f>
        <v>246091.45135300007</v>
      </c>
      <c r="G77" s="171">
        <f>(F77*0.07)/12</f>
        <v>1435.5334662258338</v>
      </c>
      <c r="H77" s="170"/>
      <c r="I77" s="170"/>
      <c r="J77" s="172"/>
      <c r="L77" s="173" t="s">
        <v>99</v>
      </c>
      <c r="M77" s="174">
        <f>M74/(M75)</f>
        <v>0.36997073049681134</v>
      </c>
      <c r="N77" s="175"/>
    </row>
    <row r="78" spans="2:14" ht="15" x14ac:dyDescent="0.25">
      <c r="B78" s="148"/>
      <c r="C78" s="149"/>
      <c r="D78" s="149"/>
      <c r="E78" s="155">
        <f>$D$75*0.05</f>
        <v>246091.45135300007</v>
      </c>
      <c r="F78" s="160">
        <f>SUM(E$77:E77)+E78</f>
        <v>492182.90270600014</v>
      </c>
      <c r="G78" s="171">
        <f>(F78*0.07)/12</f>
        <v>2871.0669324516675</v>
      </c>
      <c r="H78" s="149"/>
      <c r="I78" s="149"/>
      <c r="J78" s="151"/>
    </row>
    <row r="79" spans="2:14" ht="15" x14ac:dyDescent="0.25">
      <c r="B79" s="148"/>
      <c r="C79" s="149"/>
      <c r="D79" s="149"/>
      <c r="E79" s="155">
        <f>$D$75*0.05</f>
        <v>246091.45135300007</v>
      </c>
      <c r="F79" s="160">
        <f>SUM(E$77:E78)+E79</f>
        <v>738274.35405900027</v>
      </c>
      <c r="G79" s="171">
        <f t="shared" ref="G79:G88" si="11">(F79*0.07)/12</f>
        <v>4306.6003986775022</v>
      </c>
      <c r="H79" s="149"/>
      <c r="I79" s="149"/>
      <c r="J79" s="151"/>
    </row>
    <row r="80" spans="2:14" ht="15" x14ac:dyDescent="0.25">
      <c r="B80" s="148"/>
      <c r="C80" s="149"/>
      <c r="D80" s="149"/>
      <c r="E80" s="155">
        <f>$D$75*0.1</f>
        <v>492182.90270600014</v>
      </c>
      <c r="F80" s="160">
        <f>SUM(E$77:E79)+E80</f>
        <v>1230457.2567650005</v>
      </c>
      <c r="G80" s="171">
        <f t="shared" si="11"/>
        <v>7177.6673311291706</v>
      </c>
      <c r="H80" s="149"/>
      <c r="I80" s="149"/>
      <c r="J80" s="151"/>
    </row>
    <row r="81" spans="2:10" ht="15" x14ac:dyDescent="0.25">
      <c r="B81" s="148"/>
      <c r="C81" s="149"/>
      <c r="D81" s="149"/>
      <c r="E81" s="155">
        <f>$D$75*0.1</f>
        <v>492182.90270600014</v>
      </c>
      <c r="F81" s="160">
        <f>SUM(E$77:E80)+E81</f>
        <v>1722640.1594710005</v>
      </c>
      <c r="G81" s="171">
        <f t="shared" si="11"/>
        <v>10048.734263580836</v>
      </c>
      <c r="H81" s="149"/>
      <c r="I81" s="149"/>
      <c r="J81" s="151"/>
    </row>
    <row r="82" spans="2:10" ht="15" x14ac:dyDescent="0.25">
      <c r="B82" s="148"/>
      <c r="C82" s="149"/>
      <c r="D82" s="149"/>
      <c r="E82" s="155">
        <f>$D$75*0.15</f>
        <v>738274.35405900015</v>
      </c>
      <c r="F82" s="160">
        <f>SUM(E$77:E81)+E82</f>
        <v>2460914.5135300006</v>
      </c>
      <c r="G82" s="171">
        <f t="shared" si="11"/>
        <v>14355.334662258339</v>
      </c>
      <c r="H82" s="149"/>
      <c r="I82" s="149"/>
      <c r="J82" s="151"/>
    </row>
    <row r="83" spans="2:10" ht="15" x14ac:dyDescent="0.25">
      <c r="B83" s="148"/>
      <c r="C83" s="149"/>
      <c r="D83" s="149"/>
      <c r="E83" s="155">
        <f>$D$75*0.15</f>
        <v>738274.35405900015</v>
      </c>
      <c r="F83" s="160">
        <f>SUM(E$77:E82)+E83</f>
        <v>3199188.8675890006</v>
      </c>
      <c r="G83" s="171">
        <f t="shared" si="11"/>
        <v>18661.935060935841</v>
      </c>
      <c r="H83" s="149"/>
      <c r="I83" s="149"/>
      <c r="J83" s="151"/>
    </row>
    <row r="84" spans="2:10" ht="15" x14ac:dyDescent="0.25">
      <c r="B84" s="148"/>
      <c r="C84" s="149"/>
      <c r="D84" s="149"/>
      <c r="E84" s="155">
        <f>$D$75*0.15</f>
        <v>738274.35405900015</v>
      </c>
      <c r="F84" s="160">
        <f>SUM(E$77:E83)+E84</f>
        <v>3937463.2216480006</v>
      </c>
      <c r="G84" s="171">
        <f t="shared" si="11"/>
        <v>22968.53545961334</v>
      </c>
      <c r="H84" s="149"/>
      <c r="I84" s="149"/>
      <c r="J84" s="151"/>
    </row>
    <row r="85" spans="2:10" ht="15" x14ac:dyDescent="0.25">
      <c r="B85" s="148"/>
      <c r="C85" s="149"/>
      <c r="D85" s="149"/>
      <c r="E85" s="155">
        <f>$D$75*0.05</f>
        <v>246091.45135300007</v>
      </c>
      <c r="F85" s="160">
        <f>SUM(E$77:E84)+E85</f>
        <v>4183554.6730010007</v>
      </c>
      <c r="G85" s="171">
        <f t="shared" si="11"/>
        <v>24404.068925839176</v>
      </c>
      <c r="H85" s="149"/>
      <c r="I85" s="149"/>
      <c r="J85" s="151"/>
    </row>
    <row r="86" spans="2:10" ht="15" x14ac:dyDescent="0.25">
      <c r="B86" s="148"/>
      <c r="C86" s="149"/>
      <c r="D86" s="149"/>
      <c r="E86" s="155">
        <f>$D$75*0.05</f>
        <v>246091.45135300007</v>
      </c>
      <c r="F86" s="160">
        <f>SUM(E$77:E85)+E86</f>
        <v>4429646.1243540011</v>
      </c>
      <c r="G86" s="171">
        <f t="shared" si="11"/>
        <v>25839.602392065008</v>
      </c>
      <c r="H86" s="149"/>
      <c r="I86" s="149"/>
      <c r="J86" s="151"/>
    </row>
    <row r="87" spans="2:10" ht="15" x14ac:dyDescent="0.25">
      <c r="B87" s="148"/>
      <c r="C87" s="149"/>
      <c r="D87" s="149"/>
      <c r="E87" s="155">
        <f>$D$75*0.05</f>
        <v>246091.45135300007</v>
      </c>
      <c r="F87" s="160">
        <f>SUM(E$77:E86)+E87</f>
        <v>4675737.5757070016</v>
      </c>
      <c r="G87" s="171">
        <f t="shared" si="11"/>
        <v>27275.135858290843</v>
      </c>
      <c r="H87" s="149"/>
      <c r="I87" s="149"/>
      <c r="J87" s="151"/>
    </row>
    <row r="88" spans="2:10" ht="15" x14ac:dyDescent="0.25">
      <c r="B88" s="148"/>
      <c r="C88" s="149"/>
      <c r="D88" s="149"/>
      <c r="E88" s="155">
        <f>$D$75*0.05</f>
        <v>246091.45135300007</v>
      </c>
      <c r="F88" s="160">
        <f>SUM(E$77:E87)+E88</f>
        <v>4921829.0270600021</v>
      </c>
      <c r="G88" s="171">
        <f t="shared" si="11"/>
        <v>28710.669324516683</v>
      </c>
      <c r="H88" s="149"/>
      <c r="I88" s="149"/>
      <c r="J88" s="151"/>
    </row>
    <row r="89" spans="2:10" x14ac:dyDescent="0.2">
      <c r="B89" s="148"/>
      <c r="C89" s="149"/>
      <c r="D89" s="149"/>
      <c r="E89" s="149"/>
      <c r="F89" s="149"/>
      <c r="G89" s="156">
        <f>SUM(G77:G88)</f>
        <v>188054.88407558424</v>
      </c>
      <c r="H89" s="158" t="s">
        <v>100</v>
      </c>
      <c r="I89" s="149"/>
      <c r="J89" s="151"/>
    </row>
    <row r="90" spans="2:10" x14ac:dyDescent="0.2">
      <c r="B90" s="148"/>
      <c r="C90" s="149"/>
      <c r="D90" s="149"/>
      <c r="E90" s="149"/>
      <c r="F90" s="149"/>
      <c r="G90" s="149"/>
      <c r="H90" s="149"/>
      <c r="I90" s="149"/>
      <c r="J90" s="151"/>
    </row>
    <row r="91" spans="2:10" x14ac:dyDescent="0.2">
      <c r="B91" s="173"/>
      <c r="C91" s="176"/>
      <c r="D91" s="176"/>
      <c r="E91" s="176"/>
      <c r="F91" s="176"/>
      <c r="G91" s="176"/>
      <c r="H91" s="176"/>
      <c r="I91" s="176"/>
      <c r="J91" s="175"/>
    </row>
  </sheetData>
  <mergeCells count="13">
    <mergeCell ref="L66:M66"/>
    <mergeCell ref="G35:H35"/>
    <mergeCell ref="G36:H36"/>
    <mergeCell ref="G37:H37"/>
    <mergeCell ref="G38:H38"/>
    <mergeCell ref="G40:H40"/>
    <mergeCell ref="B66:D66"/>
    <mergeCell ref="A1:J1"/>
    <mergeCell ref="A5:A6"/>
    <mergeCell ref="A19:A20"/>
    <mergeCell ref="B32:J32"/>
    <mergeCell ref="B33:C33"/>
    <mergeCell ref="H33:I33"/>
  </mergeCells>
  <dataValidations count="2">
    <dataValidation type="list" allowBlank="1" showInputMessage="1" showErrorMessage="1" errorTitle="Incorrect Entry" error="Please enter a number between 2 and 5" sqref="B16">
      <formula1>$AG$3:$AG$6</formula1>
    </dataValidation>
    <dataValidation allowBlank="1" showErrorMessage="1" errorTitle="Enter Yes or No" error="Please enter either yes or no to reflect partial capitalisation of costs_x000a_" sqref="B22:E22"/>
  </dataValidations>
  <pageMargins left="0.35433070866141736" right="0.35433070866141736" top="0.59055118110236227" bottom="0.59055118110236227" header="0.51181102362204722" footer="0.51181102362204722"/>
  <pageSetup paperSize="9" scale="98" orientation="portrait" r:id="rId1"/>
  <headerFooter alignWithMargins="0"/>
  <drawing r:id="rId2"/>
  <legacyDrawing r:id="rId3"/>
  <controls>
    <mc:AlternateContent xmlns:mc="http://schemas.openxmlformats.org/markup-compatibility/2006">
      <mc:Choice Requires="x14">
        <control shapeId="9220" r:id="rId4" name="CheckBox4">
          <controlPr locked="0" defaultSize="0" autoLine="0" linkedCell="AD11" r:id="rId5">
            <anchor moveWithCells="1">
              <from>
                <xdr:col>4</xdr:col>
                <xdr:colOff>333375</xdr:colOff>
                <xdr:row>21</xdr:row>
                <xdr:rowOff>19050</xdr:rowOff>
              </from>
              <to>
                <xdr:col>4</xdr:col>
                <xdr:colOff>476250</xdr:colOff>
                <xdr:row>21</xdr:row>
                <xdr:rowOff>152400</xdr:rowOff>
              </to>
            </anchor>
          </controlPr>
        </control>
      </mc:Choice>
      <mc:Fallback>
        <control shapeId="9220" r:id="rId4" name="CheckBox4"/>
      </mc:Fallback>
    </mc:AlternateContent>
    <mc:AlternateContent xmlns:mc="http://schemas.openxmlformats.org/markup-compatibility/2006">
      <mc:Choice Requires="x14">
        <control shapeId="9219" r:id="rId6" name="CheckBox3">
          <controlPr locked="0" defaultSize="0" autoLine="0" linkedCell="AB11" r:id="rId7">
            <anchor moveWithCells="1">
              <from>
                <xdr:col>3</xdr:col>
                <xdr:colOff>333375</xdr:colOff>
                <xdr:row>21</xdr:row>
                <xdr:rowOff>19050</xdr:rowOff>
              </from>
              <to>
                <xdr:col>3</xdr:col>
                <xdr:colOff>476250</xdr:colOff>
                <xdr:row>21</xdr:row>
                <xdr:rowOff>152400</xdr:rowOff>
              </to>
            </anchor>
          </controlPr>
        </control>
      </mc:Choice>
      <mc:Fallback>
        <control shapeId="9219" r:id="rId6" name="CheckBox3"/>
      </mc:Fallback>
    </mc:AlternateContent>
    <mc:AlternateContent xmlns:mc="http://schemas.openxmlformats.org/markup-compatibility/2006">
      <mc:Choice Requires="x14">
        <control shapeId="9218" r:id="rId8" name="CheckBox2">
          <controlPr locked="0" defaultSize="0" autoLine="0" linkedCell="Z11" r:id="rId9">
            <anchor moveWithCells="1">
              <from>
                <xdr:col>2</xdr:col>
                <xdr:colOff>333375</xdr:colOff>
                <xdr:row>21</xdr:row>
                <xdr:rowOff>19050</xdr:rowOff>
              </from>
              <to>
                <xdr:col>2</xdr:col>
                <xdr:colOff>476250</xdr:colOff>
                <xdr:row>21</xdr:row>
                <xdr:rowOff>152400</xdr:rowOff>
              </to>
            </anchor>
          </controlPr>
        </control>
      </mc:Choice>
      <mc:Fallback>
        <control shapeId="9218" r:id="rId8" name="CheckBox2"/>
      </mc:Fallback>
    </mc:AlternateContent>
    <mc:AlternateContent xmlns:mc="http://schemas.openxmlformats.org/markup-compatibility/2006">
      <mc:Choice Requires="x14">
        <control shapeId="9217" r:id="rId10" name="CheckBox1">
          <controlPr locked="0" defaultSize="0" autoLine="0" linkedCell="X11" r:id="rId11">
            <anchor moveWithCells="1">
              <from>
                <xdr:col>1</xdr:col>
                <xdr:colOff>333375</xdr:colOff>
                <xdr:row>21</xdr:row>
                <xdr:rowOff>19050</xdr:rowOff>
              </from>
              <to>
                <xdr:col>1</xdr:col>
                <xdr:colOff>476250</xdr:colOff>
                <xdr:row>21</xdr:row>
                <xdr:rowOff>152400</xdr:rowOff>
              </to>
            </anchor>
          </controlPr>
        </control>
      </mc:Choice>
      <mc:Fallback>
        <control shapeId="9217" r:id="rId10" name="CheckBox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5"/>
  <sheetViews>
    <sheetView zoomScale="85" zoomScaleNormal="85" workbookViewId="0"/>
  </sheetViews>
  <sheetFormatPr defaultRowHeight="15" x14ac:dyDescent="0.25"/>
  <cols>
    <col min="1" max="1" width="18.42578125" style="246" customWidth="1"/>
    <col min="2" max="2" width="16.28515625" style="246" customWidth="1"/>
    <col min="3" max="3" width="9" style="246" customWidth="1"/>
    <col min="4" max="5" width="11.28515625" style="246" customWidth="1"/>
    <col min="6" max="6" width="8.42578125" style="246" customWidth="1"/>
    <col min="7" max="7" width="21.7109375" style="246" bestFit="1" customWidth="1"/>
    <col min="8" max="8" width="69" style="246" customWidth="1"/>
    <col min="9" max="9" width="51.7109375" style="246" bestFit="1" customWidth="1"/>
    <col min="10" max="12" width="4.140625" style="246" customWidth="1"/>
    <col min="13" max="18" width="11.42578125" style="246" customWidth="1"/>
    <col min="19" max="24" width="12.42578125" style="246" customWidth="1"/>
    <col min="25" max="27" width="11.7109375" style="246" customWidth="1"/>
    <col min="28" max="35" width="16.28515625" style="246" bestFit="1" customWidth="1"/>
    <col min="36" max="36" width="11.28515625" style="246" bestFit="1" customWidth="1"/>
    <col min="37" max="16384" width="9.140625" style="246"/>
  </cols>
  <sheetData>
    <row r="1" spans="1:27" ht="81.75" customHeight="1" thickBot="1" x14ac:dyDescent="0.3">
      <c r="A1" s="319" t="s">
        <v>344</v>
      </c>
      <c r="B1" s="319" t="s">
        <v>345</v>
      </c>
      <c r="C1" s="320" t="s">
        <v>346</v>
      </c>
      <c r="D1" s="320" t="s">
        <v>347</v>
      </c>
      <c r="E1" s="321" t="s">
        <v>348</v>
      </c>
      <c r="F1" s="322" t="s">
        <v>349</v>
      </c>
      <c r="G1" s="323" t="s">
        <v>350</v>
      </c>
      <c r="H1" s="324" t="s">
        <v>351</v>
      </c>
      <c r="I1" s="325" t="s">
        <v>352</v>
      </c>
      <c r="J1" s="326" t="s">
        <v>353</v>
      </c>
      <c r="K1" s="327" t="s">
        <v>354</v>
      </c>
      <c r="L1" s="328" t="s">
        <v>355</v>
      </c>
      <c r="M1" s="329" t="s">
        <v>356</v>
      </c>
      <c r="N1" s="330" t="s">
        <v>357</v>
      </c>
      <c r="O1" s="331" t="s">
        <v>358</v>
      </c>
      <c r="P1" s="331" t="s">
        <v>359</v>
      </c>
      <c r="Q1" s="323" t="s">
        <v>360</v>
      </c>
      <c r="R1" s="332" t="s">
        <v>361</v>
      </c>
      <c r="S1" s="333" t="s">
        <v>362</v>
      </c>
      <c r="T1" s="334" t="s">
        <v>363</v>
      </c>
      <c r="U1" s="335" t="s">
        <v>364</v>
      </c>
      <c r="V1" s="336" t="s">
        <v>365</v>
      </c>
      <c r="W1" s="337" t="s">
        <v>366</v>
      </c>
      <c r="X1" s="338" t="s">
        <v>367</v>
      </c>
      <c r="Y1" s="339" t="s">
        <v>368</v>
      </c>
      <c r="Z1" s="339" t="s">
        <v>369</v>
      </c>
      <c r="AA1" s="340" t="s">
        <v>370</v>
      </c>
    </row>
    <row r="2" spans="1:27" x14ac:dyDescent="0.25">
      <c r="A2" s="341" t="s">
        <v>13</v>
      </c>
      <c r="B2" s="342" t="s">
        <v>13</v>
      </c>
      <c r="C2" s="343" t="s">
        <v>13</v>
      </c>
      <c r="D2" s="343" t="s">
        <v>379</v>
      </c>
      <c r="E2" s="344"/>
      <c r="F2" s="448" t="s">
        <v>561</v>
      </c>
      <c r="G2" s="344" t="s">
        <v>373</v>
      </c>
      <c r="H2" s="346" t="s">
        <v>562</v>
      </c>
      <c r="I2" s="347"/>
      <c r="J2" s="348"/>
      <c r="K2" s="344"/>
      <c r="L2" s="344"/>
      <c r="M2" s="344"/>
      <c r="N2" s="349"/>
      <c r="O2" s="350"/>
      <c r="P2" s="350"/>
      <c r="Q2" s="348"/>
      <c r="R2" s="351"/>
      <c r="S2" s="344"/>
      <c r="T2" s="352"/>
      <c r="U2" s="353"/>
      <c r="V2" s="354"/>
      <c r="W2" s="355"/>
      <c r="X2" s="356"/>
      <c r="Y2" s="344"/>
      <c r="Z2" s="357">
        <v>29938</v>
      </c>
      <c r="AA2" s="358"/>
    </row>
    <row r="3" spans="1:27" x14ac:dyDescent="0.25">
      <c r="A3" s="341" t="s">
        <v>13</v>
      </c>
      <c r="B3" s="342" t="s">
        <v>13</v>
      </c>
      <c r="C3" s="343" t="s">
        <v>13</v>
      </c>
      <c r="D3" s="343" t="s">
        <v>371</v>
      </c>
      <c r="E3" s="344"/>
      <c r="F3" s="448" t="s">
        <v>561</v>
      </c>
      <c r="G3" s="344" t="s">
        <v>373</v>
      </c>
      <c r="H3" s="346" t="s">
        <v>563</v>
      </c>
      <c r="I3" s="347"/>
      <c r="J3" s="348"/>
      <c r="K3" s="344"/>
      <c r="L3" s="344"/>
      <c r="M3" s="344"/>
      <c r="N3" s="349"/>
      <c r="O3" s="350"/>
      <c r="P3" s="350"/>
      <c r="Q3" s="348"/>
      <c r="R3" s="351"/>
      <c r="S3" s="344"/>
      <c r="T3" s="352"/>
      <c r="U3" s="353"/>
      <c r="V3" s="354"/>
      <c r="W3" s="355"/>
      <c r="X3" s="356"/>
      <c r="Y3" s="344"/>
      <c r="Z3" s="357">
        <v>197538</v>
      </c>
      <c r="AA3" s="358"/>
    </row>
    <row r="4" spans="1:27" x14ac:dyDescent="0.25">
      <c r="A4" s="341" t="s">
        <v>13</v>
      </c>
      <c r="B4" s="342" t="s">
        <v>13</v>
      </c>
      <c r="C4" s="343" t="s">
        <v>13</v>
      </c>
      <c r="D4" s="343" t="s">
        <v>379</v>
      </c>
      <c r="E4" s="344"/>
      <c r="F4" s="448" t="s">
        <v>558</v>
      </c>
      <c r="G4" s="344" t="s">
        <v>373</v>
      </c>
      <c r="H4" s="346" t="s">
        <v>559</v>
      </c>
      <c r="I4" s="347"/>
      <c r="J4" s="348"/>
      <c r="K4" s="344"/>
      <c r="L4" s="344"/>
      <c r="M4" s="344"/>
      <c r="N4" s="349"/>
      <c r="O4" s="350"/>
      <c r="P4" s="350"/>
      <c r="Q4" s="348"/>
      <c r="R4" s="351"/>
      <c r="S4" s="344"/>
      <c r="T4" s="352"/>
      <c r="U4" s="353"/>
      <c r="V4" s="354"/>
      <c r="W4" s="355"/>
      <c r="X4" s="356"/>
      <c r="Y4" s="344"/>
      <c r="Z4" s="357">
        <v>100000</v>
      </c>
      <c r="AA4" s="358"/>
    </row>
    <row r="5" spans="1:27" x14ac:dyDescent="0.25">
      <c r="A5" s="341" t="s">
        <v>13</v>
      </c>
      <c r="B5" s="342" t="s">
        <v>13</v>
      </c>
      <c r="C5" s="343" t="s">
        <v>13</v>
      </c>
      <c r="D5" s="343" t="s">
        <v>371</v>
      </c>
      <c r="E5" s="344"/>
      <c r="F5" s="448" t="s">
        <v>558</v>
      </c>
      <c r="G5" s="344" t="s">
        <v>373</v>
      </c>
      <c r="H5" s="346" t="s">
        <v>560</v>
      </c>
      <c r="I5" s="347"/>
      <c r="J5" s="348"/>
      <c r="K5" s="344"/>
      <c r="L5" s="344"/>
      <c r="M5" s="344"/>
      <c r="N5" s="349"/>
      <c r="O5" s="350"/>
      <c r="P5" s="350"/>
      <c r="Q5" s="348"/>
      <c r="R5" s="351"/>
      <c r="S5" s="344"/>
      <c r="T5" s="352"/>
      <c r="U5" s="353"/>
      <c r="V5" s="354"/>
      <c r="W5" s="355"/>
      <c r="X5" s="356"/>
      <c r="Y5" s="344"/>
      <c r="Z5" s="357">
        <v>2000000</v>
      </c>
      <c r="AA5" s="358"/>
    </row>
    <row r="6" spans="1:27" x14ac:dyDescent="0.25">
      <c r="A6" s="341">
        <v>139687</v>
      </c>
      <c r="B6" s="342">
        <v>61743</v>
      </c>
      <c r="C6" s="343" t="s">
        <v>13</v>
      </c>
      <c r="D6" s="343" t="s">
        <v>371</v>
      </c>
      <c r="E6" s="344"/>
      <c r="F6" s="345" t="s">
        <v>372</v>
      </c>
      <c r="G6" s="344" t="s">
        <v>373</v>
      </c>
      <c r="H6" s="346" t="s">
        <v>374</v>
      </c>
      <c r="I6" s="347"/>
      <c r="J6" s="348" t="s">
        <v>375</v>
      </c>
      <c r="K6" s="344"/>
      <c r="L6" s="344"/>
      <c r="M6" s="344" t="s">
        <v>376</v>
      </c>
      <c r="N6" s="349" t="s">
        <v>377</v>
      </c>
      <c r="O6" s="350"/>
      <c r="P6" s="350">
        <v>0</v>
      </c>
      <c r="Q6" s="348" t="s">
        <v>378</v>
      </c>
      <c r="R6" s="351">
        <v>40056</v>
      </c>
      <c r="S6" s="344"/>
      <c r="T6" s="352"/>
      <c r="U6" s="353"/>
      <c r="V6" s="354"/>
      <c r="W6" s="355">
        <v>0</v>
      </c>
      <c r="X6" s="356">
        <v>0</v>
      </c>
      <c r="Y6" s="344"/>
      <c r="Z6" s="357">
        <v>143690</v>
      </c>
      <c r="AA6" s="358">
        <v>142130.5</v>
      </c>
    </row>
    <row r="7" spans="1:27" x14ac:dyDescent="0.25">
      <c r="A7" s="359">
        <v>252703</v>
      </c>
      <c r="B7" s="342">
        <v>81476</v>
      </c>
      <c r="C7" s="360">
        <v>39700</v>
      </c>
      <c r="D7" s="343" t="s">
        <v>379</v>
      </c>
      <c r="E7" s="344"/>
      <c r="F7" s="361" t="s">
        <v>380</v>
      </c>
      <c r="G7" s="347" t="s">
        <v>373</v>
      </c>
      <c r="H7" s="344" t="s">
        <v>381</v>
      </c>
      <c r="I7" s="362"/>
      <c r="J7" s="348" t="s">
        <v>382</v>
      </c>
      <c r="K7" s="344"/>
      <c r="L7" s="344"/>
      <c r="M7" s="344" t="s">
        <v>383</v>
      </c>
      <c r="N7" s="363" t="s">
        <v>377</v>
      </c>
      <c r="O7" s="350"/>
      <c r="P7" s="350">
        <v>39726</v>
      </c>
      <c r="Q7" s="348" t="s">
        <v>378</v>
      </c>
      <c r="R7" s="364">
        <v>40117</v>
      </c>
      <c r="S7" s="344"/>
      <c r="T7" s="352"/>
      <c r="U7" s="353"/>
      <c r="V7" s="354"/>
      <c r="W7" s="355">
        <v>15500</v>
      </c>
      <c r="X7" s="365">
        <v>22271.95</v>
      </c>
      <c r="Y7" s="344"/>
      <c r="Z7" s="365">
        <v>27574</v>
      </c>
      <c r="AA7" s="358">
        <v>27724.61</v>
      </c>
    </row>
    <row r="8" spans="1:27" x14ac:dyDescent="0.25">
      <c r="A8" s="353">
        <v>253937</v>
      </c>
      <c r="B8" s="366">
        <v>81803</v>
      </c>
      <c r="C8" s="367">
        <v>39706</v>
      </c>
      <c r="D8" s="343" t="s">
        <v>379</v>
      </c>
      <c r="E8" s="344"/>
      <c r="F8" s="361" t="s">
        <v>380</v>
      </c>
      <c r="G8" s="344" t="s">
        <v>373</v>
      </c>
      <c r="H8" s="344" t="s">
        <v>384</v>
      </c>
      <c r="I8" s="347"/>
      <c r="J8" s="348" t="s">
        <v>382</v>
      </c>
      <c r="K8" s="344"/>
      <c r="L8" s="344"/>
      <c r="M8" s="344" t="s">
        <v>385</v>
      </c>
      <c r="N8" s="363" t="s">
        <v>377</v>
      </c>
      <c r="O8" s="350">
        <v>39692</v>
      </c>
      <c r="P8" s="350">
        <v>39753</v>
      </c>
      <c r="Q8" s="348" t="s">
        <v>378</v>
      </c>
      <c r="R8" s="364">
        <v>40147</v>
      </c>
      <c r="S8" s="344"/>
      <c r="T8" s="352"/>
      <c r="U8" s="353"/>
      <c r="V8" s="354"/>
      <c r="W8" s="355">
        <v>48500</v>
      </c>
      <c r="X8" s="365">
        <v>69689.649999999994</v>
      </c>
      <c r="Y8" s="344"/>
      <c r="Z8" s="365">
        <v>107768</v>
      </c>
      <c r="AA8" s="358">
        <v>102275.19</v>
      </c>
    </row>
    <row r="9" spans="1:27" x14ac:dyDescent="0.25">
      <c r="A9" s="368">
        <v>256834</v>
      </c>
      <c r="B9" s="342">
        <v>82604</v>
      </c>
      <c r="C9" s="367">
        <v>39727</v>
      </c>
      <c r="D9" s="343" t="s">
        <v>379</v>
      </c>
      <c r="E9" s="344"/>
      <c r="F9" s="361" t="s">
        <v>380</v>
      </c>
      <c r="G9" s="344" t="s">
        <v>373</v>
      </c>
      <c r="H9" s="344" t="s">
        <v>386</v>
      </c>
      <c r="I9" s="347"/>
      <c r="J9" s="348" t="s">
        <v>382</v>
      </c>
      <c r="K9" s="344"/>
      <c r="L9" s="344"/>
      <c r="M9" s="344" t="s">
        <v>383</v>
      </c>
      <c r="N9" s="363" t="s">
        <v>377</v>
      </c>
      <c r="O9" s="350">
        <v>39700</v>
      </c>
      <c r="P9" s="350">
        <v>39721</v>
      </c>
      <c r="Q9" s="348" t="s">
        <v>378</v>
      </c>
      <c r="R9" s="364">
        <v>40086</v>
      </c>
      <c r="S9" s="344"/>
      <c r="T9" s="352"/>
      <c r="U9" s="353"/>
      <c r="V9" s="354"/>
      <c r="W9" s="355">
        <v>11765</v>
      </c>
      <c r="X9" s="365">
        <v>16905.128499999999</v>
      </c>
      <c r="Y9" s="344"/>
      <c r="Z9" s="365">
        <v>19154</v>
      </c>
      <c r="AA9" s="358">
        <v>19751.439999999999</v>
      </c>
    </row>
    <row r="10" spans="1:27" x14ac:dyDescent="0.25">
      <c r="A10" s="359">
        <v>264674</v>
      </c>
      <c r="B10" s="369">
        <v>83257</v>
      </c>
      <c r="C10" s="370">
        <v>39737</v>
      </c>
      <c r="D10" s="371" t="s">
        <v>379</v>
      </c>
      <c r="E10" s="346"/>
      <c r="F10" s="372" t="s">
        <v>380</v>
      </c>
      <c r="G10" s="344" t="s">
        <v>373</v>
      </c>
      <c r="H10" s="344" t="s">
        <v>387</v>
      </c>
      <c r="I10" s="347"/>
      <c r="J10" s="348" t="s">
        <v>382</v>
      </c>
      <c r="K10" s="344"/>
      <c r="L10" s="344"/>
      <c r="M10" s="344" t="s">
        <v>385</v>
      </c>
      <c r="N10" s="363" t="s">
        <v>377</v>
      </c>
      <c r="O10" s="350">
        <v>39792</v>
      </c>
      <c r="P10" s="350">
        <v>39813</v>
      </c>
      <c r="Q10" s="348" t="s">
        <v>388</v>
      </c>
      <c r="R10" s="344"/>
      <c r="S10" s="344"/>
      <c r="T10" s="352"/>
      <c r="U10" s="353"/>
      <c r="V10" s="354"/>
      <c r="W10" s="355">
        <v>20000</v>
      </c>
      <c r="X10" s="365">
        <v>28738</v>
      </c>
      <c r="Y10" s="346"/>
      <c r="Z10" s="373">
        <v>28738</v>
      </c>
      <c r="AA10" s="358">
        <v>2892.07</v>
      </c>
    </row>
    <row r="11" spans="1:27" x14ac:dyDescent="0.25">
      <c r="A11" s="342">
        <v>264678</v>
      </c>
      <c r="B11" s="342">
        <v>83261</v>
      </c>
      <c r="C11" s="370">
        <v>39737</v>
      </c>
      <c r="D11" s="343" t="s">
        <v>379</v>
      </c>
      <c r="E11" s="354"/>
      <c r="F11" s="361" t="s">
        <v>380</v>
      </c>
      <c r="G11" s="374" t="s">
        <v>373</v>
      </c>
      <c r="H11" s="344" t="s">
        <v>389</v>
      </c>
      <c r="I11" s="347"/>
      <c r="J11" s="348" t="s">
        <v>382</v>
      </c>
      <c r="K11" s="344"/>
      <c r="L11" s="344"/>
      <c r="M11" s="344" t="s">
        <v>385</v>
      </c>
      <c r="N11" s="363" t="s">
        <v>377</v>
      </c>
      <c r="O11" s="350">
        <v>39792</v>
      </c>
      <c r="P11" s="350" t="s">
        <v>390</v>
      </c>
      <c r="Q11" s="348" t="s">
        <v>378</v>
      </c>
      <c r="R11" s="351">
        <v>40237</v>
      </c>
      <c r="S11" s="344"/>
      <c r="T11" s="344"/>
      <c r="U11" s="353"/>
      <c r="V11" s="354"/>
      <c r="W11" s="355">
        <v>80000</v>
      </c>
      <c r="X11" s="365">
        <v>114952</v>
      </c>
      <c r="Y11" s="346"/>
      <c r="Z11" s="373">
        <v>163807</v>
      </c>
      <c r="AA11" s="358">
        <v>146277.24</v>
      </c>
    </row>
    <row r="12" spans="1:27" x14ac:dyDescent="0.25">
      <c r="A12" s="375">
        <v>269821</v>
      </c>
      <c r="B12" s="375">
        <v>84130</v>
      </c>
      <c r="C12" s="376">
        <v>39751</v>
      </c>
      <c r="D12" s="371" t="s">
        <v>379</v>
      </c>
      <c r="E12" s="377"/>
      <c r="F12" s="372" t="s">
        <v>380</v>
      </c>
      <c r="G12" s="378" t="s">
        <v>373</v>
      </c>
      <c r="H12" s="346" t="s">
        <v>391</v>
      </c>
      <c r="I12" s="379"/>
      <c r="J12" s="380" t="s">
        <v>382</v>
      </c>
      <c r="K12" s="346"/>
      <c r="L12" s="346"/>
      <c r="M12" s="346" t="s">
        <v>383</v>
      </c>
      <c r="N12" s="363" t="s">
        <v>377</v>
      </c>
      <c r="O12" s="381">
        <v>39749</v>
      </c>
      <c r="P12" s="381">
        <v>39757</v>
      </c>
      <c r="Q12" s="380" t="s">
        <v>378</v>
      </c>
      <c r="R12" s="382">
        <v>40117</v>
      </c>
      <c r="S12" s="346"/>
      <c r="T12" s="344"/>
      <c r="U12" s="353"/>
      <c r="V12" s="354"/>
      <c r="W12" s="355">
        <v>10255</v>
      </c>
      <c r="X12" s="365">
        <v>14735.4095</v>
      </c>
      <c r="Y12" s="346"/>
      <c r="Z12" s="373">
        <v>14735</v>
      </c>
      <c r="AA12" s="358">
        <v>10896.6</v>
      </c>
    </row>
    <row r="13" spans="1:27" x14ac:dyDescent="0.25">
      <c r="A13" s="383">
        <v>281753</v>
      </c>
      <c r="B13" s="384">
        <v>85691</v>
      </c>
      <c r="C13" s="376">
        <v>39786</v>
      </c>
      <c r="D13" s="343" t="s">
        <v>379</v>
      </c>
      <c r="E13" s="344"/>
      <c r="F13" s="361" t="s">
        <v>380</v>
      </c>
      <c r="G13" s="347" t="s">
        <v>373</v>
      </c>
      <c r="H13" s="344" t="s">
        <v>392</v>
      </c>
      <c r="I13" s="362"/>
      <c r="J13" s="348" t="s">
        <v>382</v>
      </c>
      <c r="K13" s="344"/>
      <c r="L13" s="344"/>
      <c r="M13" s="344" t="s">
        <v>383</v>
      </c>
      <c r="N13" s="363" t="s">
        <v>377</v>
      </c>
      <c r="O13" s="350">
        <v>39648</v>
      </c>
      <c r="P13" s="350">
        <v>39722</v>
      </c>
      <c r="Q13" s="348" t="s">
        <v>378</v>
      </c>
      <c r="R13" s="364">
        <v>40117</v>
      </c>
      <c r="S13" s="346"/>
      <c r="T13" s="352"/>
      <c r="U13" s="353"/>
      <c r="V13" s="354"/>
      <c r="W13" s="355">
        <v>6743</v>
      </c>
      <c r="X13" s="365">
        <v>9689.0167000000001</v>
      </c>
      <c r="Y13" s="346"/>
      <c r="Z13" s="373">
        <v>9689</v>
      </c>
      <c r="AA13" s="358">
        <v>0</v>
      </c>
    </row>
    <row r="14" spans="1:27" x14ac:dyDescent="0.25">
      <c r="A14" s="385">
        <v>302955</v>
      </c>
      <c r="B14" s="384">
        <v>87712</v>
      </c>
      <c r="C14" s="367">
        <v>39834</v>
      </c>
      <c r="D14" s="343" t="s">
        <v>379</v>
      </c>
      <c r="E14" s="344"/>
      <c r="F14" s="361" t="s">
        <v>380</v>
      </c>
      <c r="G14" s="347" t="s">
        <v>373</v>
      </c>
      <c r="H14" s="346" t="s">
        <v>393</v>
      </c>
      <c r="I14" s="347"/>
      <c r="J14" s="348" t="s">
        <v>382</v>
      </c>
      <c r="K14" s="344"/>
      <c r="L14" s="344"/>
      <c r="M14" s="344" t="s">
        <v>385</v>
      </c>
      <c r="N14" s="363" t="s">
        <v>377</v>
      </c>
      <c r="O14" s="350">
        <v>39832</v>
      </c>
      <c r="P14" s="350">
        <v>39872</v>
      </c>
      <c r="Q14" s="348" t="s">
        <v>378</v>
      </c>
      <c r="R14" s="364">
        <v>40086</v>
      </c>
      <c r="S14" s="344"/>
      <c r="T14" s="352"/>
      <c r="U14" s="353"/>
      <c r="V14" s="354"/>
      <c r="W14" s="355">
        <v>40000</v>
      </c>
      <c r="X14" s="365">
        <v>57476</v>
      </c>
      <c r="Y14" s="344"/>
      <c r="Z14" s="355">
        <v>74719</v>
      </c>
      <c r="AA14" s="358">
        <v>72224.800000000003</v>
      </c>
    </row>
    <row r="15" spans="1:27" x14ac:dyDescent="0.25">
      <c r="A15" s="383">
        <v>327109</v>
      </c>
      <c r="B15" s="384">
        <v>91151</v>
      </c>
      <c r="C15" s="367">
        <v>39902</v>
      </c>
      <c r="D15" s="343" t="s">
        <v>371</v>
      </c>
      <c r="E15" s="344"/>
      <c r="F15" s="361" t="s">
        <v>380</v>
      </c>
      <c r="G15" s="347" t="s">
        <v>373</v>
      </c>
      <c r="H15" s="344" t="s">
        <v>394</v>
      </c>
      <c r="I15" s="362"/>
      <c r="J15" s="348" t="s">
        <v>382</v>
      </c>
      <c r="K15" s="344"/>
      <c r="L15" s="344"/>
      <c r="M15" s="344" t="s">
        <v>385</v>
      </c>
      <c r="N15" s="363" t="s">
        <v>377</v>
      </c>
      <c r="O15" s="350"/>
      <c r="P15" s="350"/>
      <c r="Q15" s="348" t="s">
        <v>378</v>
      </c>
      <c r="R15" s="364">
        <v>40329</v>
      </c>
      <c r="S15" s="344"/>
      <c r="T15" s="352"/>
      <c r="W15" s="355">
        <v>145000</v>
      </c>
      <c r="X15" s="365">
        <v>232000</v>
      </c>
      <c r="Z15" s="355">
        <v>221850</v>
      </c>
      <c r="AA15" s="355">
        <v>242324.41</v>
      </c>
    </row>
    <row r="16" spans="1:27" x14ac:dyDescent="0.25">
      <c r="A16" s="383">
        <v>331146</v>
      </c>
      <c r="B16" s="384">
        <v>91636</v>
      </c>
      <c r="C16" s="367">
        <v>39910</v>
      </c>
      <c r="D16" s="343" t="s">
        <v>379</v>
      </c>
      <c r="E16" s="344"/>
      <c r="F16" s="361" t="s">
        <v>380</v>
      </c>
      <c r="G16" s="347" t="s">
        <v>373</v>
      </c>
      <c r="H16" s="344" t="s">
        <v>395</v>
      </c>
      <c r="I16" s="362"/>
      <c r="J16" s="348" t="s">
        <v>382</v>
      </c>
      <c r="K16" s="344"/>
      <c r="L16" s="344"/>
      <c r="M16" s="344" t="s">
        <v>383</v>
      </c>
      <c r="N16" s="363" t="s">
        <v>377</v>
      </c>
      <c r="O16" s="350"/>
      <c r="P16" s="350"/>
      <c r="Q16" s="348" t="s">
        <v>378</v>
      </c>
      <c r="R16" s="364">
        <v>40086</v>
      </c>
      <c r="S16" s="344"/>
      <c r="T16" s="352"/>
      <c r="W16" s="355">
        <v>4120</v>
      </c>
      <c r="X16" s="365">
        <v>6592</v>
      </c>
      <c r="Z16" s="355">
        <v>6304</v>
      </c>
      <c r="AA16" s="355">
        <v>6695</v>
      </c>
    </row>
    <row r="17" spans="1:27" x14ac:dyDescent="0.25">
      <c r="A17" s="383">
        <v>330552</v>
      </c>
      <c r="B17" s="384">
        <v>92426</v>
      </c>
      <c r="C17" s="367">
        <v>39926</v>
      </c>
      <c r="D17" s="343" t="s">
        <v>379</v>
      </c>
      <c r="E17" s="344"/>
      <c r="F17" s="361" t="s">
        <v>380</v>
      </c>
      <c r="G17" s="347" t="s">
        <v>373</v>
      </c>
      <c r="H17" s="344" t="s">
        <v>396</v>
      </c>
      <c r="I17" s="362"/>
      <c r="J17" s="348" t="s">
        <v>382</v>
      </c>
      <c r="K17" s="344"/>
      <c r="L17" s="344"/>
      <c r="M17" s="344" t="s">
        <v>383</v>
      </c>
      <c r="N17" s="363" t="s">
        <v>377</v>
      </c>
      <c r="O17" s="350"/>
      <c r="P17" s="350"/>
      <c r="Q17" s="348" t="s">
        <v>378</v>
      </c>
      <c r="R17" s="364">
        <v>40117</v>
      </c>
      <c r="S17" s="344"/>
      <c r="T17" s="352"/>
      <c r="W17" s="355">
        <v>2350</v>
      </c>
      <c r="X17" s="365">
        <v>3760</v>
      </c>
      <c r="Z17" s="355">
        <v>3377</v>
      </c>
      <c r="AA17" s="355">
        <v>2193.75</v>
      </c>
    </row>
    <row r="18" spans="1:27" x14ac:dyDescent="0.25">
      <c r="A18" s="383">
        <v>337681</v>
      </c>
      <c r="B18" s="384">
        <v>92835</v>
      </c>
      <c r="C18" s="367">
        <v>39933</v>
      </c>
      <c r="D18" s="343" t="s">
        <v>379</v>
      </c>
      <c r="E18" s="344"/>
      <c r="F18" s="361" t="s">
        <v>380</v>
      </c>
      <c r="G18" s="347" t="s">
        <v>373</v>
      </c>
      <c r="H18" s="344" t="s">
        <v>397</v>
      </c>
      <c r="I18" s="362"/>
      <c r="J18" s="348" t="s">
        <v>382</v>
      </c>
      <c r="K18" s="344"/>
      <c r="L18" s="344"/>
      <c r="M18" s="344" t="s">
        <v>383</v>
      </c>
      <c r="N18" s="363" t="s">
        <v>377</v>
      </c>
      <c r="O18" s="350"/>
      <c r="P18" s="350"/>
      <c r="Q18" s="348" t="s">
        <v>378</v>
      </c>
      <c r="R18" s="364">
        <v>40117</v>
      </c>
      <c r="S18" s="344"/>
      <c r="T18" s="352"/>
      <c r="W18" s="355">
        <v>18452</v>
      </c>
      <c r="X18" s="365">
        <v>29523.199999999997</v>
      </c>
      <c r="Z18" s="355">
        <v>32966</v>
      </c>
      <c r="AA18" s="355">
        <v>32963.199999999997</v>
      </c>
    </row>
    <row r="19" spans="1:27" x14ac:dyDescent="0.25">
      <c r="A19" s="383">
        <v>343334</v>
      </c>
      <c r="B19" s="384">
        <v>93957</v>
      </c>
      <c r="C19" s="367">
        <v>39953</v>
      </c>
      <c r="D19" s="343" t="s">
        <v>379</v>
      </c>
      <c r="E19" s="344"/>
      <c r="F19" s="361" t="s">
        <v>380</v>
      </c>
      <c r="G19" s="347" t="s">
        <v>373</v>
      </c>
      <c r="H19" s="344" t="s">
        <v>398</v>
      </c>
      <c r="I19" s="347"/>
      <c r="J19" s="348" t="s">
        <v>382</v>
      </c>
      <c r="K19" s="344"/>
      <c r="L19" s="344"/>
      <c r="M19" s="344" t="s">
        <v>383</v>
      </c>
      <c r="N19" s="363" t="s">
        <v>377</v>
      </c>
      <c r="O19" s="350"/>
      <c r="P19" s="350"/>
      <c r="Q19" s="348" t="s">
        <v>378</v>
      </c>
      <c r="R19" s="364">
        <v>40086</v>
      </c>
      <c r="S19" s="344"/>
      <c r="T19" s="352"/>
      <c r="W19" s="355">
        <v>11765</v>
      </c>
      <c r="X19" s="365">
        <v>18824</v>
      </c>
      <c r="Z19" s="355">
        <v>12617</v>
      </c>
      <c r="AA19" s="355">
        <v>12640.99</v>
      </c>
    </row>
    <row r="20" spans="1:27" x14ac:dyDescent="0.25">
      <c r="A20" s="383">
        <v>350354</v>
      </c>
      <c r="B20" s="384">
        <v>97001</v>
      </c>
      <c r="C20" s="386">
        <v>39990</v>
      </c>
      <c r="D20" s="343" t="s">
        <v>371</v>
      </c>
      <c r="E20" s="344"/>
      <c r="F20" s="387" t="s">
        <v>399</v>
      </c>
      <c r="G20" s="347" t="s">
        <v>373</v>
      </c>
      <c r="H20" s="347" t="s">
        <v>400</v>
      </c>
      <c r="I20" s="362"/>
      <c r="J20" s="343" t="s">
        <v>382</v>
      </c>
      <c r="K20" s="344"/>
      <c r="L20" s="344"/>
      <c r="M20" s="347" t="s">
        <v>385</v>
      </c>
      <c r="N20" s="363" t="s">
        <v>401</v>
      </c>
      <c r="O20" s="388">
        <v>39997</v>
      </c>
      <c r="P20" s="388">
        <v>40025</v>
      </c>
      <c r="Q20" s="343" t="s">
        <v>388</v>
      </c>
      <c r="R20" s="347"/>
      <c r="S20" s="344"/>
      <c r="T20" s="352"/>
      <c r="W20" s="355">
        <v>266574</v>
      </c>
      <c r="X20" s="355">
        <v>384026.50439999998</v>
      </c>
      <c r="Z20" s="355">
        <v>497007</v>
      </c>
      <c r="AA20" s="355">
        <v>523758.1</v>
      </c>
    </row>
    <row r="21" spans="1:27" x14ac:dyDescent="0.25">
      <c r="A21" s="383">
        <v>354769</v>
      </c>
      <c r="B21" s="384">
        <v>98430</v>
      </c>
      <c r="C21" s="386">
        <v>40016</v>
      </c>
      <c r="D21" s="343" t="s">
        <v>379</v>
      </c>
      <c r="F21" s="387" t="s">
        <v>399</v>
      </c>
      <c r="G21" s="347" t="s">
        <v>373</v>
      </c>
      <c r="H21" s="347" t="s">
        <v>402</v>
      </c>
      <c r="I21" s="362"/>
      <c r="J21" s="343" t="s">
        <v>382</v>
      </c>
      <c r="M21" s="347" t="s">
        <v>385</v>
      </c>
      <c r="N21" s="363" t="s">
        <v>401</v>
      </c>
      <c r="O21" s="388">
        <v>40006</v>
      </c>
      <c r="P21" s="388">
        <v>40055</v>
      </c>
      <c r="Q21" s="343" t="s">
        <v>378</v>
      </c>
      <c r="R21" s="351">
        <v>40268</v>
      </c>
      <c r="W21" s="355">
        <v>30000</v>
      </c>
      <c r="X21" s="389">
        <v>43218</v>
      </c>
      <c r="Z21" s="355">
        <v>78138</v>
      </c>
      <c r="AA21" s="355">
        <v>70569.960000000006</v>
      </c>
    </row>
    <row r="22" spans="1:27" x14ac:dyDescent="0.25">
      <c r="A22" s="383">
        <v>402748</v>
      </c>
      <c r="B22" s="384">
        <v>107902</v>
      </c>
      <c r="C22" s="386">
        <v>40162</v>
      </c>
      <c r="D22" s="343" t="s">
        <v>379</v>
      </c>
      <c r="F22" s="387" t="s">
        <v>399</v>
      </c>
      <c r="G22" s="347" t="s">
        <v>373</v>
      </c>
      <c r="H22" s="347" t="s">
        <v>403</v>
      </c>
      <c r="I22" s="362" t="s">
        <v>404</v>
      </c>
      <c r="J22" s="343" t="s">
        <v>382</v>
      </c>
      <c r="M22" s="347" t="s">
        <v>383</v>
      </c>
      <c r="N22" s="363" t="s">
        <v>401</v>
      </c>
      <c r="O22" s="388">
        <v>40154</v>
      </c>
      <c r="P22" s="388">
        <v>40189</v>
      </c>
      <c r="Q22" s="343" t="s">
        <v>405</v>
      </c>
      <c r="R22" s="364">
        <v>40359</v>
      </c>
      <c r="W22" s="355">
        <v>12000</v>
      </c>
      <c r="X22" s="389">
        <v>17287.2</v>
      </c>
      <c r="Z22" s="355">
        <v>17287</v>
      </c>
      <c r="AA22" s="355">
        <v>14608.1</v>
      </c>
    </row>
    <row r="23" spans="1:27" x14ac:dyDescent="0.25">
      <c r="A23" s="383">
        <v>407054</v>
      </c>
      <c r="B23" s="384">
        <v>107903</v>
      </c>
      <c r="C23" s="386">
        <v>40162</v>
      </c>
      <c r="D23" s="343" t="s">
        <v>379</v>
      </c>
      <c r="F23" s="387" t="s">
        <v>399</v>
      </c>
      <c r="G23" s="347" t="s">
        <v>373</v>
      </c>
      <c r="H23" s="347" t="s">
        <v>406</v>
      </c>
      <c r="I23" s="362"/>
      <c r="J23" s="343" t="s">
        <v>382</v>
      </c>
      <c r="M23" s="347" t="s">
        <v>383</v>
      </c>
      <c r="N23" s="363" t="s">
        <v>401</v>
      </c>
      <c r="O23" s="388">
        <v>40221</v>
      </c>
      <c r="P23" s="388">
        <v>40226</v>
      </c>
      <c r="Q23" s="343" t="s">
        <v>378</v>
      </c>
      <c r="R23" s="351">
        <v>40329</v>
      </c>
      <c r="W23" s="355">
        <v>33938</v>
      </c>
      <c r="X23" s="389">
        <v>48891.082800000004</v>
      </c>
      <c r="Z23" s="355">
        <v>48891</v>
      </c>
      <c r="AA23" s="355">
        <v>49888.86</v>
      </c>
    </row>
    <row r="24" spans="1:27" x14ac:dyDescent="0.25">
      <c r="A24" s="359">
        <v>417415</v>
      </c>
      <c r="B24" s="342">
        <v>110890</v>
      </c>
      <c r="C24" s="386">
        <v>40226</v>
      </c>
      <c r="D24" s="343" t="s">
        <v>379</v>
      </c>
      <c r="F24" s="387" t="s">
        <v>399</v>
      </c>
      <c r="G24" s="347" t="s">
        <v>373</v>
      </c>
      <c r="H24" s="347" t="s">
        <v>407</v>
      </c>
      <c r="I24" s="347" t="s">
        <v>408</v>
      </c>
      <c r="J24" s="343" t="s">
        <v>382</v>
      </c>
      <c r="M24" s="347" t="s">
        <v>385</v>
      </c>
      <c r="N24" s="363" t="s">
        <v>401</v>
      </c>
      <c r="O24" s="388">
        <v>40211</v>
      </c>
      <c r="P24" s="388">
        <v>40237</v>
      </c>
      <c r="Q24" s="343" t="s">
        <v>405</v>
      </c>
      <c r="R24" s="351">
        <v>40359</v>
      </c>
      <c r="W24" s="355">
        <v>30000</v>
      </c>
      <c r="X24" s="389">
        <v>44100</v>
      </c>
      <c r="Z24" s="355">
        <v>44100</v>
      </c>
      <c r="AA24" s="355">
        <v>48519.32</v>
      </c>
    </row>
    <row r="25" spans="1:27" x14ac:dyDescent="0.25">
      <c r="A25" s="383">
        <v>436304</v>
      </c>
      <c r="B25" s="384">
        <v>111869</v>
      </c>
      <c r="C25" s="386">
        <v>40247</v>
      </c>
      <c r="D25" s="343" t="s">
        <v>371</v>
      </c>
      <c r="F25" s="387" t="s">
        <v>399</v>
      </c>
      <c r="G25" s="390" t="s">
        <v>373</v>
      </c>
      <c r="H25" s="390" t="s">
        <v>409</v>
      </c>
      <c r="I25" s="390"/>
      <c r="J25" s="391" t="s">
        <v>382</v>
      </c>
      <c r="M25" s="390" t="s">
        <v>383</v>
      </c>
      <c r="N25" s="392" t="s">
        <v>401</v>
      </c>
      <c r="O25" s="393">
        <v>40240</v>
      </c>
      <c r="P25" s="393">
        <v>40359</v>
      </c>
      <c r="Q25" s="391" t="s">
        <v>388</v>
      </c>
      <c r="R25" s="390"/>
      <c r="W25" s="394">
        <v>300000</v>
      </c>
      <c r="X25" s="395">
        <v>441000</v>
      </c>
      <c r="Z25" s="355">
        <v>441000</v>
      </c>
      <c r="AA25" s="355">
        <v>331488.17</v>
      </c>
    </row>
    <row r="26" spans="1:27" x14ac:dyDescent="0.25">
      <c r="A26" s="359">
        <v>450997</v>
      </c>
      <c r="B26" s="342">
        <v>113952</v>
      </c>
      <c r="C26" s="386">
        <v>40289</v>
      </c>
      <c r="D26" s="343" t="s">
        <v>379</v>
      </c>
      <c r="F26" s="387" t="s">
        <v>399</v>
      </c>
      <c r="G26" s="347" t="s">
        <v>373</v>
      </c>
      <c r="H26" s="347" t="s">
        <v>410</v>
      </c>
      <c r="I26" s="347"/>
      <c r="J26" s="343" t="s">
        <v>382</v>
      </c>
      <c r="M26" s="347" t="s">
        <v>383</v>
      </c>
      <c r="N26" s="363" t="s">
        <v>401</v>
      </c>
      <c r="O26" s="388">
        <v>40350</v>
      </c>
      <c r="P26" s="388">
        <v>40354</v>
      </c>
      <c r="Q26" s="343" t="s">
        <v>388</v>
      </c>
      <c r="R26" s="347"/>
      <c r="W26" s="355">
        <v>67469</v>
      </c>
      <c r="X26" s="395">
        <v>105926.32999999999</v>
      </c>
      <c r="Z26" s="355">
        <v>105926</v>
      </c>
      <c r="AA26" s="355">
        <v>28009.599999999999</v>
      </c>
    </row>
    <row r="27" spans="1:27" x14ac:dyDescent="0.25">
      <c r="A27" s="359">
        <v>457722</v>
      </c>
      <c r="B27" s="384">
        <v>115317</v>
      </c>
      <c r="C27" s="386">
        <v>40318</v>
      </c>
      <c r="D27" s="343" t="s">
        <v>379</v>
      </c>
      <c r="F27" s="387" t="s">
        <v>399</v>
      </c>
      <c r="G27" s="347" t="s">
        <v>373</v>
      </c>
      <c r="H27" s="347" t="s">
        <v>411</v>
      </c>
      <c r="I27" s="362" t="s">
        <v>404</v>
      </c>
      <c r="J27" s="343" t="s">
        <v>382</v>
      </c>
      <c r="M27" s="347" t="s">
        <v>383</v>
      </c>
      <c r="N27" s="363" t="s">
        <v>401</v>
      </c>
      <c r="O27" s="388">
        <v>40315</v>
      </c>
      <c r="P27" s="388">
        <v>40333</v>
      </c>
      <c r="Q27" s="343" t="s">
        <v>405</v>
      </c>
      <c r="R27" s="351">
        <v>40359</v>
      </c>
      <c r="W27" s="355">
        <v>8300</v>
      </c>
      <c r="X27" s="395">
        <v>13238.5</v>
      </c>
      <c r="Z27" s="355">
        <v>13239</v>
      </c>
      <c r="AA27" s="355">
        <v>17844.72</v>
      </c>
    </row>
    <row r="28" spans="1:27" x14ac:dyDescent="0.25">
      <c r="A28" s="359">
        <v>462298</v>
      </c>
      <c r="B28" s="384">
        <v>115936</v>
      </c>
      <c r="C28" s="386">
        <v>40331</v>
      </c>
      <c r="D28" s="343" t="s">
        <v>379</v>
      </c>
      <c r="F28" s="387" t="s">
        <v>399</v>
      </c>
      <c r="G28" s="347" t="s">
        <v>373</v>
      </c>
      <c r="H28" s="347" t="s">
        <v>412</v>
      </c>
      <c r="I28" s="347"/>
      <c r="J28" s="343" t="s">
        <v>382</v>
      </c>
      <c r="M28" s="347" t="s">
        <v>383</v>
      </c>
      <c r="N28" s="363" t="s">
        <v>401</v>
      </c>
      <c r="O28" s="388">
        <v>40330</v>
      </c>
      <c r="P28" s="388">
        <v>40357</v>
      </c>
      <c r="Q28" s="343" t="s">
        <v>388</v>
      </c>
      <c r="R28" s="347"/>
      <c r="W28" s="355">
        <v>30000</v>
      </c>
      <c r="X28" s="395">
        <v>66000</v>
      </c>
      <c r="Z28" s="355">
        <v>66000</v>
      </c>
      <c r="AA28" s="355">
        <v>34355.56</v>
      </c>
    </row>
    <row r="29" spans="1:27" x14ac:dyDescent="0.25">
      <c r="A29" s="359">
        <v>465524</v>
      </c>
      <c r="B29" s="384">
        <v>117044</v>
      </c>
      <c r="C29" s="386">
        <v>40339</v>
      </c>
      <c r="D29" s="343" t="s">
        <v>371</v>
      </c>
      <c r="F29" s="387" t="s">
        <v>399</v>
      </c>
      <c r="G29" s="347" t="s">
        <v>373</v>
      </c>
      <c r="H29" s="347" t="s">
        <v>413</v>
      </c>
      <c r="I29" s="347"/>
      <c r="J29" s="343" t="s">
        <v>382</v>
      </c>
      <c r="M29" s="347" t="s">
        <v>385</v>
      </c>
      <c r="N29" s="363" t="s">
        <v>401</v>
      </c>
      <c r="O29" s="388">
        <v>40336</v>
      </c>
      <c r="P29" s="388">
        <v>40359</v>
      </c>
      <c r="Q29" s="343" t="s">
        <v>388</v>
      </c>
      <c r="R29" s="347"/>
      <c r="W29" s="355">
        <v>125000</v>
      </c>
      <c r="X29" s="395">
        <v>275000</v>
      </c>
      <c r="Z29" s="355">
        <v>275000</v>
      </c>
      <c r="AA29" s="355">
        <v>85118.76</v>
      </c>
    </row>
    <row r="30" spans="1:27" x14ac:dyDescent="0.25">
      <c r="A30" s="359">
        <v>468884</v>
      </c>
      <c r="B30" s="384">
        <v>118439</v>
      </c>
      <c r="C30" s="386">
        <v>40357</v>
      </c>
      <c r="D30" s="343" t="s">
        <v>379</v>
      </c>
      <c r="F30" s="387" t="s">
        <v>399</v>
      </c>
      <c r="G30" s="347" t="s">
        <v>373</v>
      </c>
      <c r="H30" s="390" t="s">
        <v>414</v>
      </c>
      <c r="I30" s="347"/>
      <c r="J30" s="343" t="s">
        <v>382</v>
      </c>
      <c r="M30" s="347" t="s">
        <v>383</v>
      </c>
      <c r="N30" s="363" t="s">
        <v>401</v>
      </c>
      <c r="O30" s="388">
        <v>40353</v>
      </c>
      <c r="P30" s="388">
        <v>40358</v>
      </c>
      <c r="Q30" s="343" t="s">
        <v>388</v>
      </c>
      <c r="R30" s="347"/>
      <c r="W30" s="355">
        <v>8002</v>
      </c>
      <c r="X30" s="389">
        <v>12803.2</v>
      </c>
      <c r="Z30" s="355">
        <v>12803</v>
      </c>
      <c r="AA30" s="355">
        <v>0</v>
      </c>
    </row>
    <row r="31" spans="1:27" x14ac:dyDescent="0.25">
      <c r="A31" s="359">
        <v>469083</v>
      </c>
      <c r="B31" s="384">
        <v>118474</v>
      </c>
      <c r="C31" s="386">
        <v>40357</v>
      </c>
      <c r="D31" s="343" t="s">
        <v>379</v>
      </c>
      <c r="F31" s="387" t="s">
        <v>399</v>
      </c>
      <c r="G31" s="347" t="s">
        <v>373</v>
      </c>
      <c r="H31" s="390" t="s">
        <v>415</v>
      </c>
      <c r="I31" s="347"/>
      <c r="J31" s="343" t="s">
        <v>382</v>
      </c>
      <c r="M31" s="347" t="s">
        <v>383</v>
      </c>
      <c r="N31" s="363" t="s">
        <v>401</v>
      </c>
      <c r="O31" s="388">
        <v>40327</v>
      </c>
      <c r="P31" s="388">
        <v>40332</v>
      </c>
      <c r="Q31" s="343" t="s">
        <v>388</v>
      </c>
      <c r="R31" s="347"/>
      <c r="W31" s="355">
        <v>21258</v>
      </c>
      <c r="X31" s="389">
        <v>34012.800000000003</v>
      </c>
      <c r="Z31" s="355">
        <v>34013</v>
      </c>
      <c r="AA31" s="355">
        <v>34012.800000000003</v>
      </c>
    </row>
    <row r="32" spans="1:27" x14ac:dyDescent="0.25">
      <c r="A32" s="359">
        <v>470222</v>
      </c>
      <c r="B32" s="384">
        <v>118593</v>
      </c>
      <c r="C32" s="386">
        <v>40358</v>
      </c>
      <c r="D32" s="343" t="s">
        <v>379</v>
      </c>
      <c r="F32" s="387" t="s">
        <v>399</v>
      </c>
      <c r="G32" s="347" t="s">
        <v>373</v>
      </c>
      <c r="H32" s="390" t="s">
        <v>416</v>
      </c>
      <c r="I32" s="347"/>
      <c r="J32" s="343" t="s">
        <v>382</v>
      </c>
      <c r="M32" s="347" t="s">
        <v>383</v>
      </c>
      <c r="N32" s="363" t="s">
        <v>401</v>
      </c>
      <c r="O32" s="388">
        <v>40344</v>
      </c>
      <c r="P32" s="388">
        <v>40350</v>
      </c>
      <c r="Q32" s="343" t="s">
        <v>388</v>
      </c>
      <c r="R32" s="347"/>
      <c r="W32" s="355">
        <v>3931</v>
      </c>
      <c r="X32" s="389">
        <v>6289.6</v>
      </c>
      <c r="Z32" s="355">
        <v>6290</v>
      </c>
      <c r="AA32" s="355">
        <v>6289.6</v>
      </c>
    </row>
    <row r="33" spans="1:27" x14ac:dyDescent="0.25">
      <c r="A33" s="359">
        <v>472203</v>
      </c>
      <c r="B33" s="384">
        <v>118997</v>
      </c>
      <c r="C33" s="386">
        <v>40364</v>
      </c>
      <c r="D33" s="343" t="s">
        <v>379</v>
      </c>
      <c r="F33" s="387" t="s">
        <v>399</v>
      </c>
      <c r="G33" s="347" t="s">
        <v>373</v>
      </c>
      <c r="H33" s="390" t="s">
        <v>417</v>
      </c>
      <c r="I33" s="347"/>
      <c r="J33" s="343" t="s">
        <v>382</v>
      </c>
      <c r="M33" s="347" t="s">
        <v>383</v>
      </c>
      <c r="N33" s="363" t="s">
        <v>401</v>
      </c>
      <c r="O33" s="388">
        <v>40344</v>
      </c>
      <c r="P33" s="388">
        <v>40361</v>
      </c>
      <c r="Q33" s="343" t="s">
        <v>388</v>
      </c>
      <c r="R33" s="347"/>
      <c r="W33" s="355">
        <v>16925</v>
      </c>
      <c r="X33" s="389">
        <v>24553.0975</v>
      </c>
      <c r="Z33" s="355">
        <v>24553</v>
      </c>
      <c r="AA33" s="355">
        <v>0</v>
      </c>
    </row>
    <row r="34" spans="1:27" x14ac:dyDescent="0.25">
      <c r="A34" s="359">
        <v>557398</v>
      </c>
      <c r="B34" s="384">
        <v>133031</v>
      </c>
      <c r="C34" s="386">
        <v>40625</v>
      </c>
      <c r="D34" s="343" t="s">
        <v>371</v>
      </c>
      <c r="E34" s="396"/>
      <c r="F34" s="387" t="s">
        <v>418</v>
      </c>
      <c r="G34" s="347" t="s">
        <v>419</v>
      </c>
      <c r="H34" s="390" t="s">
        <v>420</v>
      </c>
      <c r="I34" s="390"/>
      <c r="J34" s="343" t="s">
        <v>382</v>
      </c>
      <c r="K34" s="396"/>
      <c r="L34" s="397"/>
      <c r="M34" s="347" t="s">
        <v>421</v>
      </c>
      <c r="N34" s="349" t="s">
        <v>377</v>
      </c>
      <c r="O34" s="388">
        <v>40612</v>
      </c>
      <c r="P34" s="388">
        <v>40632</v>
      </c>
      <c r="Q34" s="343" t="s">
        <v>378</v>
      </c>
      <c r="R34" s="351">
        <v>41090</v>
      </c>
      <c r="S34" s="398">
        <v>26000</v>
      </c>
      <c r="T34" s="398">
        <v>41600</v>
      </c>
      <c r="U34" s="221"/>
      <c r="V34" s="221"/>
      <c r="W34" s="355">
        <v>10254</v>
      </c>
      <c r="X34" s="389">
        <v>15235.810000000001</v>
      </c>
      <c r="Y34" s="221"/>
      <c r="Z34" s="355">
        <v>41600</v>
      </c>
      <c r="AA34" s="355">
        <v>46385.95</v>
      </c>
    </row>
    <row r="35" spans="1:27" x14ac:dyDescent="0.25">
      <c r="A35" s="359">
        <v>562704</v>
      </c>
      <c r="B35" s="384">
        <v>134030</v>
      </c>
      <c r="C35" s="386">
        <v>40640</v>
      </c>
      <c r="D35" s="343" t="s">
        <v>379</v>
      </c>
      <c r="E35" s="396"/>
      <c r="F35" s="387" t="s">
        <v>418</v>
      </c>
      <c r="G35" s="347" t="s">
        <v>419</v>
      </c>
      <c r="H35" s="390" t="s">
        <v>422</v>
      </c>
      <c r="I35" s="347"/>
      <c r="J35" s="343" t="s">
        <v>382</v>
      </c>
      <c r="K35" s="396" t="s">
        <v>423</v>
      </c>
      <c r="L35" s="397"/>
      <c r="M35" s="344" t="s">
        <v>424</v>
      </c>
      <c r="N35" s="349" t="s">
        <v>377</v>
      </c>
      <c r="O35" s="388">
        <v>40666</v>
      </c>
      <c r="P35" s="388">
        <v>40676</v>
      </c>
      <c r="Q35" s="343" t="s">
        <v>378</v>
      </c>
      <c r="R35" s="351">
        <v>41152</v>
      </c>
      <c r="S35" s="398">
        <v>100000</v>
      </c>
      <c r="T35" s="398">
        <v>170000</v>
      </c>
      <c r="U35" s="398">
        <v>0</v>
      </c>
      <c r="V35" s="398">
        <v>0</v>
      </c>
      <c r="W35" s="355">
        <v>0</v>
      </c>
      <c r="X35" s="389">
        <v>0</v>
      </c>
      <c r="Y35" s="398">
        <v>100000</v>
      </c>
      <c r="Z35" s="355">
        <v>170000</v>
      </c>
      <c r="AA35" s="355">
        <v>78824.929999999993</v>
      </c>
    </row>
    <row r="36" spans="1:27" x14ac:dyDescent="0.25">
      <c r="A36" s="359">
        <v>564876</v>
      </c>
      <c r="B36" s="384">
        <v>134032</v>
      </c>
      <c r="C36" s="386">
        <v>40640</v>
      </c>
      <c r="D36" s="343" t="s">
        <v>379</v>
      </c>
      <c r="E36" s="396"/>
      <c r="F36" s="387" t="s">
        <v>418</v>
      </c>
      <c r="G36" s="347" t="s">
        <v>419</v>
      </c>
      <c r="H36" s="390" t="s">
        <v>425</v>
      </c>
      <c r="I36" s="399"/>
      <c r="J36" s="343" t="s">
        <v>382</v>
      </c>
      <c r="K36" s="396" t="s">
        <v>423</v>
      </c>
      <c r="L36" s="397"/>
      <c r="M36" s="347" t="s">
        <v>421</v>
      </c>
      <c r="N36" s="349" t="s">
        <v>377</v>
      </c>
      <c r="O36" s="388">
        <v>40642</v>
      </c>
      <c r="P36" s="388">
        <v>40694</v>
      </c>
      <c r="Q36" s="343" t="s">
        <v>378</v>
      </c>
      <c r="R36" s="351">
        <v>41029</v>
      </c>
      <c r="S36" s="398">
        <v>15000</v>
      </c>
      <c r="T36" s="398">
        <v>25500</v>
      </c>
      <c r="U36" s="221"/>
      <c r="V36" s="221"/>
      <c r="W36" s="355">
        <v>8346.9399999999987</v>
      </c>
      <c r="X36" s="389">
        <v>12210.76</v>
      </c>
      <c r="Y36" s="221"/>
      <c r="Z36" s="355">
        <v>25500</v>
      </c>
      <c r="AA36" s="355">
        <v>25407.119999999999</v>
      </c>
    </row>
    <row r="37" spans="1:27" x14ac:dyDescent="0.25">
      <c r="A37" s="359">
        <v>577551</v>
      </c>
      <c r="B37" s="384">
        <v>136656</v>
      </c>
      <c r="C37" s="386">
        <v>40694</v>
      </c>
      <c r="D37" s="343" t="s">
        <v>379</v>
      </c>
      <c r="E37" s="396"/>
      <c r="F37" s="387" t="s">
        <v>418</v>
      </c>
      <c r="G37" s="390" t="s">
        <v>419</v>
      </c>
      <c r="H37" s="390" t="s">
        <v>426</v>
      </c>
      <c r="I37" s="399"/>
      <c r="J37" s="343" t="s">
        <v>382</v>
      </c>
      <c r="K37" s="396" t="s">
        <v>423</v>
      </c>
      <c r="L37" s="397"/>
      <c r="M37" s="347" t="s">
        <v>421</v>
      </c>
      <c r="N37" s="349" t="s">
        <v>377</v>
      </c>
      <c r="O37" s="388">
        <v>40684</v>
      </c>
      <c r="P37" s="388">
        <v>40704</v>
      </c>
      <c r="Q37" s="343" t="s">
        <v>378</v>
      </c>
      <c r="R37" s="351">
        <v>40847</v>
      </c>
      <c r="S37" s="398">
        <v>13800</v>
      </c>
      <c r="T37" s="398">
        <v>20010</v>
      </c>
      <c r="U37" s="221"/>
      <c r="V37" s="221"/>
      <c r="W37" s="355">
        <v>1900</v>
      </c>
      <c r="X37" s="389">
        <v>2893.13</v>
      </c>
      <c r="Y37" s="221"/>
      <c r="Z37" s="355">
        <v>20010</v>
      </c>
      <c r="AA37" s="355">
        <v>19624.61</v>
      </c>
    </row>
    <row r="38" spans="1:27" x14ac:dyDescent="0.25">
      <c r="A38" s="359">
        <v>577529</v>
      </c>
      <c r="B38" s="384">
        <v>136659</v>
      </c>
      <c r="C38" s="386">
        <v>40694</v>
      </c>
      <c r="D38" s="343" t="s">
        <v>379</v>
      </c>
      <c r="E38" s="396"/>
      <c r="F38" s="387" t="s">
        <v>418</v>
      </c>
      <c r="G38" s="390" t="s">
        <v>419</v>
      </c>
      <c r="H38" s="390" t="s">
        <v>427</v>
      </c>
      <c r="I38" s="390"/>
      <c r="J38" s="343" t="s">
        <v>382</v>
      </c>
      <c r="K38" s="396" t="s">
        <v>423</v>
      </c>
      <c r="L38" s="397"/>
      <c r="M38" s="347" t="s">
        <v>421</v>
      </c>
      <c r="N38" s="349" t="s">
        <v>377</v>
      </c>
      <c r="O38" s="388">
        <v>40686</v>
      </c>
      <c r="P38" s="388">
        <v>40722</v>
      </c>
      <c r="Q38" s="343" t="s">
        <v>378</v>
      </c>
      <c r="R38" s="351">
        <v>41060</v>
      </c>
      <c r="S38" s="398">
        <v>10000</v>
      </c>
      <c r="T38" s="398">
        <v>14500</v>
      </c>
      <c r="U38" s="221"/>
      <c r="V38" s="221"/>
      <c r="W38" s="355">
        <v>0</v>
      </c>
      <c r="X38" s="389">
        <v>0</v>
      </c>
      <c r="Y38" s="221"/>
      <c r="Z38" s="355">
        <v>14500</v>
      </c>
      <c r="AA38" s="355">
        <v>13396.82</v>
      </c>
    </row>
    <row r="39" spans="1:27" x14ac:dyDescent="0.25">
      <c r="A39" s="359">
        <v>576989</v>
      </c>
      <c r="B39" s="384">
        <v>136668</v>
      </c>
      <c r="C39" s="386">
        <v>40694</v>
      </c>
      <c r="D39" s="343" t="s">
        <v>379</v>
      </c>
      <c r="E39" s="396"/>
      <c r="F39" s="387" t="s">
        <v>418</v>
      </c>
      <c r="G39" s="347" t="s">
        <v>419</v>
      </c>
      <c r="H39" s="390" t="s">
        <v>428</v>
      </c>
      <c r="I39" s="399"/>
      <c r="J39" s="343" t="s">
        <v>382</v>
      </c>
      <c r="K39" s="396"/>
      <c r="L39" s="397"/>
      <c r="M39" s="347" t="s">
        <v>421</v>
      </c>
      <c r="N39" s="349" t="s">
        <v>377</v>
      </c>
      <c r="O39" s="388">
        <v>40680</v>
      </c>
      <c r="P39" s="388">
        <v>40683</v>
      </c>
      <c r="Q39" s="343" t="s">
        <v>378</v>
      </c>
      <c r="R39" s="351">
        <v>41060</v>
      </c>
      <c r="S39" s="398">
        <v>35576</v>
      </c>
      <c r="T39" s="398">
        <v>51585.2</v>
      </c>
      <c r="U39" s="221"/>
      <c r="V39" s="221"/>
      <c r="W39" s="355">
        <v>0</v>
      </c>
      <c r="X39" s="389">
        <v>0</v>
      </c>
      <c r="Y39" s="221"/>
      <c r="Z39" s="355">
        <v>51585</v>
      </c>
      <c r="AA39" s="355">
        <v>71641.899999999994</v>
      </c>
    </row>
    <row r="40" spans="1:27" x14ac:dyDescent="0.25">
      <c r="A40" s="359">
        <v>579439</v>
      </c>
      <c r="B40" s="384">
        <v>136671</v>
      </c>
      <c r="C40" s="386">
        <v>40694</v>
      </c>
      <c r="D40" s="343" t="s">
        <v>379</v>
      </c>
      <c r="E40" s="396"/>
      <c r="F40" s="387" t="s">
        <v>418</v>
      </c>
      <c r="G40" s="347" t="s">
        <v>419</v>
      </c>
      <c r="H40" s="390" t="s">
        <v>429</v>
      </c>
      <c r="I40" s="390"/>
      <c r="J40" s="343" t="s">
        <v>382</v>
      </c>
      <c r="K40" s="396" t="s">
        <v>430</v>
      </c>
      <c r="L40" s="397"/>
      <c r="M40" s="347" t="s">
        <v>421</v>
      </c>
      <c r="N40" s="349" t="s">
        <v>377</v>
      </c>
      <c r="O40" s="388">
        <v>40700</v>
      </c>
      <c r="P40" s="388">
        <v>40718</v>
      </c>
      <c r="Q40" s="343" t="s">
        <v>378</v>
      </c>
      <c r="R40" s="351">
        <v>41152</v>
      </c>
      <c r="S40" s="398">
        <v>9575</v>
      </c>
      <c r="T40" s="398">
        <v>13883.75</v>
      </c>
      <c r="U40" s="398">
        <v>0</v>
      </c>
      <c r="V40" s="398">
        <v>0</v>
      </c>
      <c r="W40" s="355">
        <v>0</v>
      </c>
      <c r="X40" s="389">
        <v>0</v>
      </c>
      <c r="Y40" s="398">
        <v>9575</v>
      </c>
      <c r="Z40" s="355">
        <v>13884</v>
      </c>
      <c r="AA40" s="355">
        <v>11592</v>
      </c>
    </row>
    <row r="41" spans="1:27" x14ac:dyDescent="0.25">
      <c r="A41" s="400">
        <v>709297</v>
      </c>
      <c r="B41" s="401">
        <v>159420</v>
      </c>
      <c r="C41" s="386">
        <v>41123</v>
      </c>
      <c r="D41" s="343" t="s">
        <v>379</v>
      </c>
      <c r="E41" s="396"/>
      <c r="F41" s="387" t="s">
        <v>111</v>
      </c>
      <c r="G41" s="347" t="s">
        <v>419</v>
      </c>
      <c r="H41" s="390" t="s">
        <v>431</v>
      </c>
      <c r="I41" s="390"/>
      <c r="J41" s="343" t="s">
        <v>382</v>
      </c>
      <c r="K41" s="396"/>
      <c r="L41" s="397"/>
      <c r="M41" s="347" t="s">
        <v>432</v>
      </c>
      <c r="N41" s="349" t="s">
        <v>433</v>
      </c>
      <c r="O41" s="388">
        <v>41120</v>
      </c>
      <c r="P41" s="388">
        <v>41152</v>
      </c>
      <c r="Q41" s="343" t="s">
        <v>378</v>
      </c>
      <c r="R41" s="351">
        <v>41243</v>
      </c>
      <c r="S41" s="398">
        <v>8789</v>
      </c>
      <c r="T41" s="398">
        <v>12808</v>
      </c>
      <c r="U41" s="398">
        <v>0</v>
      </c>
      <c r="V41" s="398">
        <v>0</v>
      </c>
      <c r="W41" s="355">
        <v>5927.16</v>
      </c>
      <c r="X41" s="389">
        <v>8619.44</v>
      </c>
      <c r="Y41" s="398">
        <v>8789</v>
      </c>
      <c r="Z41" s="355">
        <v>12808</v>
      </c>
      <c r="AA41" s="355">
        <v>8619.44</v>
      </c>
    </row>
    <row r="42" spans="1:27" x14ac:dyDescent="0.25">
      <c r="A42" s="402">
        <v>740305</v>
      </c>
      <c r="B42" s="403">
        <v>168151</v>
      </c>
      <c r="C42" s="404">
        <v>41348</v>
      </c>
      <c r="D42" s="405" t="s">
        <v>379</v>
      </c>
      <c r="E42" s="406"/>
      <c r="F42" s="407" t="s">
        <v>111</v>
      </c>
      <c r="G42" s="408" t="s">
        <v>419</v>
      </c>
      <c r="H42" s="409" t="s">
        <v>434</v>
      </c>
      <c r="I42" s="410"/>
      <c r="J42" s="405" t="s">
        <v>382</v>
      </c>
      <c r="K42" s="406" t="s">
        <v>435</v>
      </c>
      <c r="L42" s="411"/>
      <c r="M42" s="408" t="s">
        <v>424</v>
      </c>
      <c r="N42" s="412" t="s">
        <v>377</v>
      </c>
      <c r="O42" s="413">
        <v>41232</v>
      </c>
      <c r="P42" s="414">
        <v>41455</v>
      </c>
      <c r="Q42" s="415" t="s">
        <v>378</v>
      </c>
      <c r="R42" s="416">
        <v>41517</v>
      </c>
      <c r="S42" s="417">
        <v>100000</v>
      </c>
      <c r="T42" s="417">
        <v>145730</v>
      </c>
      <c r="U42" s="417">
        <v>0</v>
      </c>
      <c r="V42" s="417">
        <v>0</v>
      </c>
      <c r="W42" s="418">
        <v>28476.659999999993</v>
      </c>
      <c r="X42" s="419">
        <v>42316.029999999992</v>
      </c>
      <c r="Y42" s="417">
        <v>100000</v>
      </c>
      <c r="Z42" s="418">
        <v>145730</v>
      </c>
      <c r="AA42" s="418">
        <v>162462.51</v>
      </c>
    </row>
    <row r="43" spans="1:27" x14ac:dyDescent="0.25">
      <c r="A43" s="400">
        <v>620199</v>
      </c>
      <c r="B43" s="384">
        <v>144643</v>
      </c>
      <c r="C43" s="386">
        <v>40835</v>
      </c>
      <c r="D43" s="343" t="s">
        <v>379</v>
      </c>
      <c r="E43" s="396"/>
      <c r="F43" s="387" t="s">
        <v>436</v>
      </c>
      <c r="G43" s="390" t="s">
        <v>419</v>
      </c>
      <c r="H43" s="390" t="s">
        <v>437</v>
      </c>
      <c r="I43" s="347"/>
      <c r="J43" s="343" t="s">
        <v>382</v>
      </c>
      <c r="K43" s="396" t="s">
        <v>423</v>
      </c>
      <c r="L43" s="397"/>
      <c r="M43" s="347" t="s">
        <v>421</v>
      </c>
      <c r="N43" s="349" t="s">
        <v>377</v>
      </c>
      <c r="O43" s="388">
        <v>40833</v>
      </c>
      <c r="P43" s="388">
        <v>40854</v>
      </c>
      <c r="Q43" s="343" t="s">
        <v>378</v>
      </c>
      <c r="R43" s="351">
        <v>41152</v>
      </c>
      <c r="S43" s="398">
        <v>6500</v>
      </c>
      <c r="T43" s="398">
        <v>9897.5499999999993</v>
      </c>
      <c r="U43" s="398">
        <v>0</v>
      </c>
      <c r="V43" s="398">
        <v>0</v>
      </c>
      <c r="W43" s="355">
        <v>0</v>
      </c>
      <c r="X43" s="389">
        <v>0</v>
      </c>
      <c r="Y43" s="398">
        <v>6500</v>
      </c>
      <c r="Z43" s="355">
        <v>9898</v>
      </c>
      <c r="AA43" s="355">
        <v>15073.15</v>
      </c>
    </row>
    <row r="44" spans="1:27" x14ac:dyDescent="0.25">
      <c r="A44" s="400">
        <v>640004</v>
      </c>
      <c r="B44" s="384">
        <v>147320</v>
      </c>
      <c r="C44" s="386">
        <v>40891</v>
      </c>
      <c r="D44" s="343" t="s">
        <v>379</v>
      </c>
      <c r="E44" s="396"/>
      <c r="F44" s="387" t="s">
        <v>436</v>
      </c>
      <c r="G44" s="347" t="s">
        <v>419</v>
      </c>
      <c r="H44" s="390" t="s">
        <v>438</v>
      </c>
      <c r="I44" s="390"/>
      <c r="J44" s="343" t="s">
        <v>382</v>
      </c>
      <c r="K44" s="396" t="s">
        <v>423</v>
      </c>
      <c r="L44" s="397"/>
      <c r="M44" s="347" t="s">
        <v>421</v>
      </c>
      <c r="N44" s="349" t="s">
        <v>377</v>
      </c>
      <c r="O44" s="388">
        <v>40889</v>
      </c>
      <c r="P44" s="388">
        <v>40968</v>
      </c>
      <c r="Q44" s="343" t="s">
        <v>378</v>
      </c>
      <c r="R44" s="351">
        <v>41152</v>
      </c>
      <c r="S44" s="398">
        <v>54675</v>
      </c>
      <c r="T44" s="398">
        <v>83253.622499999998</v>
      </c>
      <c r="U44" s="398">
        <v>0</v>
      </c>
      <c r="V44" s="398">
        <v>0</v>
      </c>
      <c r="W44" s="355">
        <v>0</v>
      </c>
      <c r="X44" s="389">
        <v>0</v>
      </c>
      <c r="Y44" s="398">
        <v>54675</v>
      </c>
      <c r="Z44" s="355">
        <v>83254</v>
      </c>
      <c r="AA44" s="355">
        <v>92334.05</v>
      </c>
    </row>
    <row r="45" spans="1:27" x14ac:dyDescent="0.25">
      <c r="A45" s="400">
        <v>652300</v>
      </c>
      <c r="B45" s="384">
        <v>148663</v>
      </c>
      <c r="C45" s="386">
        <v>40927</v>
      </c>
      <c r="D45" s="343" t="s">
        <v>379</v>
      </c>
      <c r="E45" s="396"/>
      <c r="F45" s="387" t="s">
        <v>436</v>
      </c>
      <c r="G45" s="390" t="s">
        <v>419</v>
      </c>
      <c r="H45" s="390" t="s">
        <v>439</v>
      </c>
      <c r="I45" s="347"/>
      <c r="J45" s="343" t="s">
        <v>382</v>
      </c>
      <c r="K45" s="396" t="s">
        <v>423</v>
      </c>
      <c r="L45" s="397"/>
      <c r="M45" s="347" t="s">
        <v>421</v>
      </c>
      <c r="N45" s="349" t="s">
        <v>377</v>
      </c>
      <c r="O45" s="388">
        <v>40928</v>
      </c>
      <c r="P45" s="388">
        <v>40998</v>
      </c>
      <c r="Q45" s="343" t="s">
        <v>378</v>
      </c>
      <c r="R45" s="351">
        <v>41152</v>
      </c>
      <c r="S45" s="398">
        <v>17906</v>
      </c>
      <c r="T45" s="398">
        <v>25784.639999999999</v>
      </c>
      <c r="U45" s="398">
        <v>0</v>
      </c>
      <c r="V45" s="398">
        <v>0</v>
      </c>
      <c r="W45" s="355">
        <v>0</v>
      </c>
      <c r="X45" s="389">
        <v>0</v>
      </c>
      <c r="Y45" s="398">
        <v>17906</v>
      </c>
      <c r="Z45" s="355">
        <v>25785</v>
      </c>
      <c r="AA45" s="355">
        <v>24637.53</v>
      </c>
    </row>
    <row r="46" spans="1:27" x14ac:dyDescent="0.25">
      <c r="A46" s="420">
        <v>673148</v>
      </c>
      <c r="B46" s="421">
        <v>151729</v>
      </c>
      <c r="C46" s="422">
        <v>40988</v>
      </c>
      <c r="D46" s="423" t="s">
        <v>371</v>
      </c>
      <c r="E46" s="424"/>
      <c r="F46" s="425" t="s">
        <v>436</v>
      </c>
      <c r="G46" s="426" t="s">
        <v>419</v>
      </c>
      <c r="H46" s="347" t="s">
        <v>440</v>
      </c>
      <c r="I46" s="426"/>
      <c r="J46" s="423" t="s">
        <v>382</v>
      </c>
      <c r="K46" s="424" t="s">
        <v>423</v>
      </c>
      <c r="L46" s="427"/>
      <c r="M46" s="426" t="s">
        <v>421</v>
      </c>
      <c r="N46" s="349" t="s">
        <v>377</v>
      </c>
      <c r="O46" s="428">
        <v>40987</v>
      </c>
      <c r="P46" s="388">
        <v>41019</v>
      </c>
      <c r="Q46" s="423" t="s">
        <v>378</v>
      </c>
      <c r="R46" s="429">
        <v>41182</v>
      </c>
      <c r="S46" s="430">
        <v>55000</v>
      </c>
      <c r="T46" s="430">
        <v>79200</v>
      </c>
      <c r="U46" s="398">
        <v>0</v>
      </c>
      <c r="V46" s="398">
        <v>0</v>
      </c>
      <c r="W46" s="355">
        <v>1297.44</v>
      </c>
      <c r="X46" s="389">
        <v>2241.6799999999998</v>
      </c>
      <c r="Y46" s="430">
        <v>55000</v>
      </c>
      <c r="Z46" s="431">
        <v>79200</v>
      </c>
      <c r="AA46" s="431">
        <v>100212.56</v>
      </c>
    </row>
    <row r="47" spans="1:27" x14ac:dyDescent="0.25">
      <c r="A47" s="420">
        <v>673018</v>
      </c>
      <c r="B47" s="384">
        <v>151846</v>
      </c>
      <c r="C47" s="386">
        <v>40989</v>
      </c>
      <c r="D47" s="343" t="s">
        <v>379</v>
      </c>
      <c r="E47" s="396"/>
      <c r="F47" s="387" t="s">
        <v>436</v>
      </c>
      <c r="G47" s="347" t="s">
        <v>419</v>
      </c>
      <c r="H47" s="432" t="s">
        <v>441</v>
      </c>
      <c r="I47" s="390"/>
      <c r="J47" s="343" t="s">
        <v>382</v>
      </c>
      <c r="K47" s="396" t="s">
        <v>423</v>
      </c>
      <c r="L47" s="397"/>
      <c r="M47" s="347" t="s">
        <v>421</v>
      </c>
      <c r="N47" s="349" t="s">
        <v>377</v>
      </c>
      <c r="O47" s="388">
        <v>40969</v>
      </c>
      <c r="P47" s="388">
        <v>41026</v>
      </c>
      <c r="Q47" s="343" t="s">
        <v>378</v>
      </c>
      <c r="R47" s="351">
        <v>41305</v>
      </c>
      <c r="S47" s="398">
        <v>45000</v>
      </c>
      <c r="T47" s="398">
        <v>64800</v>
      </c>
      <c r="U47" s="398">
        <v>0</v>
      </c>
      <c r="V47" s="398">
        <v>0</v>
      </c>
      <c r="W47" s="355">
        <v>9468.7099999999991</v>
      </c>
      <c r="X47" s="389">
        <v>13798.720000000001</v>
      </c>
      <c r="Y47" s="398">
        <v>45000</v>
      </c>
      <c r="Z47" s="355">
        <v>64800</v>
      </c>
      <c r="AA47" s="355">
        <v>17569.29</v>
      </c>
    </row>
    <row r="48" spans="1:27" x14ac:dyDescent="0.25">
      <c r="A48" s="420">
        <v>665782</v>
      </c>
      <c r="B48" s="384">
        <v>151848</v>
      </c>
      <c r="C48" s="386">
        <v>40989</v>
      </c>
      <c r="D48" s="343" t="s">
        <v>379</v>
      </c>
      <c r="E48" s="396"/>
      <c r="F48" s="387" t="s">
        <v>436</v>
      </c>
      <c r="G48" s="347" t="s">
        <v>419</v>
      </c>
      <c r="H48" s="432" t="s">
        <v>442</v>
      </c>
      <c r="I48" s="347"/>
      <c r="J48" s="343" t="s">
        <v>382</v>
      </c>
      <c r="K48" s="396"/>
      <c r="L48" s="397"/>
      <c r="M48" s="347" t="s">
        <v>421</v>
      </c>
      <c r="N48" s="363" t="s">
        <v>433</v>
      </c>
      <c r="O48" s="388">
        <v>40969</v>
      </c>
      <c r="P48" s="388">
        <v>41029</v>
      </c>
      <c r="Q48" s="343" t="s">
        <v>378</v>
      </c>
      <c r="R48" s="347"/>
      <c r="S48" s="398">
        <v>13282.5</v>
      </c>
      <c r="T48" s="398">
        <v>19126.8</v>
      </c>
      <c r="W48" s="355">
        <v>12321.62</v>
      </c>
      <c r="X48" s="389">
        <v>18467.63</v>
      </c>
      <c r="Z48" s="355">
        <v>19127</v>
      </c>
      <c r="AA48" s="355">
        <v>18467.63</v>
      </c>
    </row>
    <row r="51" spans="1:5" x14ac:dyDescent="0.25">
      <c r="A51" s="178" t="s">
        <v>443</v>
      </c>
      <c r="B51" s="178" t="s">
        <v>444</v>
      </c>
      <c r="C51"/>
      <c r="D51"/>
      <c r="E51"/>
    </row>
    <row r="52" spans="1:5" x14ac:dyDescent="0.25">
      <c r="A52" s="178" t="s">
        <v>445</v>
      </c>
      <c r="B52" s="246" t="s">
        <v>371</v>
      </c>
      <c r="C52" s="246" t="s">
        <v>379</v>
      </c>
      <c r="D52" s="246" t="s">
        <v>112</v>
      </c>
      <c r="E52"/>
    </row>
    <row r="53" spans="1:5" x14ac:dyDescent="0.25">
      <c r="A53" s="433" t="s">
        <v>561</v>
      </c>
      <c r="B53" s="434">
        <v>197538</v>
      </c>
      <c r="C53" s="434">
        <v>29938</v>
      </c>
      <c r="D53" s="434">
        <v>227476</v>
      </c>
      <c r="E53"/>
    </row>
    <row r="54" spans="1:5" x14ac:dyDescent="0.25">
      <c r="A54" s="433" t="s">
        <v>558</v>
      </c>
      <c r="B54" s="434">
        <v>2000000</v>
      </c>
      <c r="C54" s="434">
        <v>100000</v>
      </c>
      <c r="D54" s="434">
        <v>2100000</v>
      </c>
      <c r="E54"/>
    </row>
    <row r="55" spans="1:5" x14ac:dyDescent="0.25">
      <c r="A55" s="433" t="s">
        <v>372</v>
      </c>
      <c r="B55" s="434">
        <v>143690</v>
      </c>
      <c r="C55" s="434"/>
      <c r="D55" s="434">
        <v>143690</v>
      </c>
      <c r="E55"/>
    </row>
    <row r="56" spans="1:5" x14ac:dyDescent="0.25">
      <c r="A56" s="433" t="s">
        <v>380</v>
      </c>
      <c r="B56" s="434">
        <v>221850</v>
      </c>
      <c r="C56" s="434">
        <v>501448</v>
      </c>
      <c r="D56" s="434">
        <v>723298</v>
      </c>
      <c r="E56"/>
    </row>
    <row r="57" spans="1:5" x14ac:dyDescent="0.25">
      <c r="A57" s="433" t="s">
        <v>399</v>
      </c>
      <c r="B57" s="434">
        <v>1213007</v>
      </c>
      <c r="C57" s="434">
        <v>451240</v>
      </c>
      <c r="D57" s="434">
        <v>1664247</v>
      </c>
      <c r="E57"/>
    </row>
    <row r="58" spans="1:5" x14ac:dyDescent="0.25">
      <c r="A58" s="433" t="s">
        <v>418</v>
      </c>
      <c r="B58" s="434">
        <v>41600</v>
      </c>
      <c r="C58" s="434">
        <v>295479</v>
      </c>
      <c r="D58" s="434">
        <v>337079</v>
      </c>
      <c r="E58"/>
    </row>
    <row r="59" spans="1:5" x14ac:dyDescent="0.25">
      <c r="A59" s="433" t="s">
        <v>436</v>
      </c>
      <c r="B59" s="434">
        <v>79200</v>
      </c>
      <c r="C59" s="434">
        <v>202864</v>
      </c>
      <c r="D59" s="434">
        <v>282064</v>
      </c>
      <c r="E59"/>
    </row>
    <row r="60" spans="1:5" x14ac:dyDescent="0.25">
      <c r="A60" s="433" t="s">
        <v>112</v>
      </c>
      <c r="B60" s="449">
        <v>3896885</v>
      </c>
      <c r="C60" s="449">
        <v>1580969</v>
      </c>
      <c r="D60" s="449">
        <v>5477854</v>
      </c>
      <c r="E60"/>
    </row>
    <row r="61" spans="1:5" x14ac:dyDescent="0.25">
      <c r="A61"/>
      <c r="B61"/>
      <c r="C61"/>
      <c r="D61"/>
      <c r="E61"/>
    </row>
    <row r="62" spans="1:5" x14ac:dyDescent="0.25">
      <c r="A62" s="435" t="s">
        <v>446</v>
      </c>
      <c r="B62" s="436">
        <f>AVERAGE(B53:B57)</f>
        <v>755217</v>
      </c>
      <c r="C62" s="436">
        <f>AVERAGE(C56:C59)</f>
        <v>362757.75</v>
      </c>
      <c r="D62" s="436">
        <f>AVERAGE(D54:D59)</f>
        <v>875063</v>
      </c>
    </row>
    <row r="63" spans="1:5" x14ac:dyDescent="0.25">
      <c r="A63"/>
      <c r="B63"/>
      <c r="C63"/>
    </row>
    <row r="64" spans="1:5" x14ac:dyDescent="0.25">
      <c r="A64"/>
      <c r="B64"/>
      <c r="C64"/>
    </row>
    <row r="65" spans="1:3" x14ac:dyDescent="0.25">
      <c r="A65"/>
      <c r="B65"/>
      <c r="C65"/>
    </row>
  </sheetData>
  <autoFilter ref="A1:AA1">
    <sortState ref="A2:AA44">
      <sortCondition ref="F1"/>
    </sortState>
  </autoFilter>
  <pageMargins left="0.7" right="0.7" top="0.75" bottom="0.75" header="0.3" footer="0.3"/>
  <pageSetup paperSize="9" orientation="portrait"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41"/>
  <sheetViews>
    <sheetView workbookViewId="0"/>
  </sheetViews>
  <sheetFormatPr defaultRowHeight="15" x14ac:dyDescent="0.25"/>
  <cols>
    <col min="1" max="1" width="44" style="246" customWidth="1"/>
    <col min="2" max="2" width="18.7109375" style="246" customWidth="1"/>
    <col min="3" max="3" width="11" style="246" customWidth="1"/>
    <col min="4" max="16384" width="9.140625" style="246"/>
  </cols>
  <sheetData>
    <row r="1" spans="1:2" ht="30" x14ac:dyDescent="0.25">
      <c r="A1" s="18" t="s">
        <v>28</v>
      </c>
      <c r="B1" s="19" t="s">
        <v>628</v>
      </c>
    </row>
    <row r="2" spans="1:2" x14ac:dyDescent="0.25">
      <c r="A2" s="20" t="s">
        <v>30</v>
      </c>
      <c r="B2" s="21"/>
    </row>
    <row r="3" spans="1:2" x14ac:dyDescent="0.25">
      <c r="A3" s="21" t="s">
        <v>619</v>
      </c>
      <c r="B3" s="458" t="s">
        <v>626</v>
      </c>
    </row>
    <row r="4" spans="1:2" x14ac:dyDescent="0.25">
      <c r="A4" s="21" t="s">
        <v>32</v>
      </c>
      <c r="B4" s="22">
        <v>4623000</v>
      </c>
    </row>
    <row r="5" spans="1:2" x14ac:dyDescent="0.25">
      <c r="A5" s="21" t="s">
        <v>33</v>
      </c>
      <c r="B5" s="22">
        <v>1880000</v>
      </c>
    </row>
    <row r="6" spans="1:2" x14ac:dyDescent="0.25">
      <c r="A6" s="21" t="s">
        <v>34</v>
      </c>
      <c r="B6" s="459">
        <v>580000</v>
      </c>
    </row>
    <row r="7" spans="1:2" x14ac:dyDescent="0.25">
      <c r="A7" s="21" t="s">
        <v>152</v>
      </c>
      <c r="B7" s="459">
        <v>655000</v>
      </c>
    </row>
    <row r="8" spans="1:2" x14ac:dyDescent="0.25">
      <c r="A8" s="21" t="s">
        <v>620</v>
      </c>
      <c r="B8" s="459">
        <v>2149000</v>
      </c>
    </row>
    <row r="9" spans="1:2" x14ac:dyDescent="0.25">
      <c r="A9" s="21" t="s">
        <v>157</v>
      </c>
      <c r="B9" s="459">
        <v>760000</v>
      </c>
    </row>
    <row r="10" spans="1:2" x14ac:dyDescent="0.25">
      <c r="A10" s="21" t="s">
        <v>160</v>
      </c>
      <c r="B10" s="459">
        <v>756000</v>
      </c>
    </row>
    <row r="11" spans="1:2" x14ac:dyDescent="0.25">
      <c r="A11" s="21" t="s">
        <v>627</v>
      </c>
      <c r="B11" s="459">
        <v>618000</v>
      </c>
    </row>
    <row r="12" spans="1:2" x14ac:dyDescent="0.25">
      <c r="A12" s="21" t="s">
        <v>170</v>
      </c>
      <c r="B12" s="459">
        <v>164000</v>
      </c>
    </row>
    <row r="13" spans="1:2" x14ac:dyDescent="0.25">
      <c r="A13" s="21" t="s">
        <v>174</v>
      </c>
      <c r="B13" s="459">
        <v>690000</v>
      </c>
    </row>
    <row r="14" spans="1:2" x14ac:dyDescent="0.25">
      <c r="A14" s="21" t="s">
        <v>621</v>
      </c>
      <c r="B14" s="459">
        <v>140000</v>
      </c>
    </row>
    <row r="15" spans="1:2" x14ac:dyDescent="0.25">
      <c r="A15" s="21" t="s">
        <v>622</v>
      </c>
      <c r="B15" s="459">
        <v>2114000</v>
      </c>
    </row>
    <row r="16" spans="1:2" x14ac:dyDescent="0.25">
      <c r="A16" s="21" t="s">
        <v>623</v>
      </c>
      <c r="B16" s="459">
        <v>413000</v>
      </c>
    </row>
    <row r="17" spans="1:3" x14ac:dyDescent="0.25">
      <c r="A17" s="21" t="s">
        <v>624</v>
      </c>
      <c r="B17" s="459">
        <v>682000</v>
      </c>
    </row>
    <row r="18" spans="1:3" x14ac:dyDescent="0.25">
      <c r="A18" s="460" t="s">
        <v>625</v>
      </c>
      <c r="B18" s="459">
        <v>1277000</v>
      </c>
    </row>
    <row r="19" spans="1:3" ht="15.75" thickBot="1" x14ac:dyDescent="0.3">
      <c r="A19" s="23" t="s">
        <v>36</v>
      </c>
      <c r="B19" s="24">
        <f>SUM(B3:B18)</f>
        <v>17501000</v>
      </c>
    </row>
    <row r="20" spans="1:3" ht="15.75" thickBot="1" x14ac:dyDescent="0.3">
      <c r="A20" s="21" t="s">
        <v>37</v>
      </c>
      <c r="B20" s="22"/>
    </row>
    <row r="21" spans="1:3" ht="15.75" thickBot="1" x14ac:dyDescent="0.3">
      <c r="A21" s="26" t="s">
        <v>36</v>
      </c>
      <c r="B21" s="27">
        <f>SUM(B19:B20)</f>
        <v>17501000</v>
      </c>
    </row>
    <row r="22" spans="1:3" x14ac:dyDescent="0.25">
      <c r="A22" s="20" t="s">
        <v>618</v>
      </c>
      <c r="B22" s="30"/>
    </row>
    <row r="23" spans="1:3" x14ac:dyDescent="0.25">
      <c r="A23" s="21" t="s">
        <v>39</v>
      </c>
      <c r="B23" s="22">
        <v>500000</v>
      </c>
    </row>
    <row r="24" spans="1:3" x14ac:dyDescent="0.25">
      <c r="A24" s="21" t="s">
        <v>41</v>
      </c>
      <c r="B24" s="482">
        <v>100000</v>
      </c>
    </row>
    <row r="25" spans="1:3" x14ac:dyDescent="0.25">
      <c r="A25" s="21" t="s">
        <v>43</v>
      </c>
      <c r="B25" s="22">
        <v>150000</v>
      </c>
    </row>
    <row r="26" spans="1:3" x14ac:dyDescent="0.25">
      <c r="A26" s="21" t="s">
        <v>44</v>
      </c>
      <c r="B26" s="22">
        <v>250000</v>
      </c>
    </row>
    <row r="27" spans="1:3" x14ac:dyDescent="0.25">
      <c r="A27" s="21" t="s">
        <v>45</v>
      </c>
      <c r="B27" s="22">
        <v>400000</v>
      </c>
    </row>
    <row r="28" spans="1:3" ht="15.75" thickBot="1" x14ac:dyDescent="0.3">
      <c r="A28" s="21" t="s">
        <v>46</v>
      </c>
      <c r="B28" s="22">
        <v>600000</v>
      </c>
    </row>
    <row r="29" spans="1:3" ht="15.75" thickBot="1" x14ac:dyDescent="0.3">
      <c r="A29" s="26" t="s">
        <v>47</v>
      </c>
      <c r="B29" s="31">
        <f>SUM(B23:B28)</f>
        <v>2000000</v>
      </c>
    </row>
    <row r="30" spans="1:3" x14ac:dyDescent="0.25">
      <c r="A30" s="32" t="s">
        <v>214</v>
      </c>
      <c r="B30" s="33">
        <f>(B21+B29)*0.05</f>
        <v>975050</v>
      </c>
    </row>
    <row r="31" spans="1:3" ht="15.75" thickBot="1" x14ac:dyDescent="0.3">
      <c r="A31" s="34" t="s">
        <v>48</v>
      </c>
      <c r="B31" s="35">
        <f>B30+B29+B21</f>
        <v>20476050</v>
      </c>
      <c r="C31" s="247"/>
    </row>
    <row r="32" spans="1:3" ht="15.75" thickBot="1" x14ac:dyDescent="0.3">
      <c r="C32" s="247"/>
    </row>
    <row r="33" spans="1:3" x14ac:dyDescent="0.25">
      <c r="A33" s="37" t="s">
        <v>219</v>
      </c>
      <c r="B33" s="38">
        <v>1899509</v>
      </c>
    </row>
    <row r="34" spans="1:3" x14ac:dyDescent="0.25">
      <c r="A34" s="39" t="s">
        <v>49</v>
      </c>
      <c r="B34" s="40">
        <v>0</v>
      </c>
    </row>
    <row r="35" spans="1:3" ht="15.75" x14ac:dyDescent="0.25">
      <c r="A35" s="44"/>
      <c r="B35" s="45"/>
      <c r="C35" s="46"/>
    </row>
    <row r="36" spans="1:3" x14ac:dyDescent="0.25">
      <c r="A36" s="41" t="s">
        <v>62</v>
      </c>
      <c r="B36" s="42">
        <f>'OP6-Project Cost'!I37</f>
        <v>11187779.5</v>
      </c>
      <c r="C36" s="43"/>
    </row>
    <row r="37" spans="1:3" ht="15" customHeight="1" thickBot="1" x14ac:dyDescent="0.3">
      <c r="A37" s="47" t="s">
        <v>64</v>
      </c>
      <c r="B37" s="48">
        <f>'OP6-Project Cost'!I38</f>
        <v>3320419.1145967138</v>
      </c>
    </row>
    <row r="38" spans="1:3" x14ac:dyDescent="0.25">
      <c r="A38" s="49"/>
      <c r="B38" s="50"/>
    </row>
    <row r="39" spans="1:3" ht="15.75" thickBot="1" x14ac:dyDescent="0.3">
      <c r="A39" s="51" t="s">
        <v>50</v>
      </c>
      <c r="B39" s="52">
        <f>SUM(B31:B37)</f>
        <v>36883757.614596717</v>
      </c>
      <c r="C39" s="53"/>
    </row>
    <row r="40" spans="1:3" x14ac:dyDescent="0.25">
      <c r="C40" s="54"/>
    </row>
    <row r="41" spans="1:3" x14ac:dyDescent="0.25">
      <c r="C41" s="43"/>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AG91"/>
  <sheetViews>
    <sheetView workbookViewId="0">
      <selection sqref="A1:J1"/>
    </sheetView>
  </sheetViews>
  <sheetFormatPr defaultRowHeight="12.75" x14ac:dyDescent="0.2"/>
  <cols>
    <col min="1" max="1" width="4.5703125" style="58" customWidth="1"/>
    <col min="2" max="6" width="12" style="58" customWidth="1"/>
    <col min="7" max="7" width="7" style="58" customWidth="1"/>
    <col min="8" max="8" width="11.28515625" style="58" bestFit="1" customWidth="1"/>
    <col min="9" max="9" width="13.7109375" style="58" customWidth="1"/>
    <col min="10" max="10" width="3.42578125" style="58" customWidth="1"/>
    <col min="11" max="11" width="10.5703125" style="58" customWidth="1"/>
    <col min="12" max="12" width="10.5703125" style="63" customWidth="1"/>
    <col min="13" max="22" width="10.42578125" style="58" customWidth="1"/>
    <col min="23" max="23" width="11.28515625" style="58" customWidth="1"/>
    <col min="24" max="33" width="10.140625" style="58" customWidth="1"/>
    <col min="34" max="16384" width="9.140625" style="58"/>
  </cols>
  <sheetData>
    <row r="1" spans="1:33" ht="21" customHeight="1" thickBot="1" x14ac:dyDescent="0.25">
      <c r="A1" s="669" t="s">
        <v>51</v>
      </c>
      <c r="B1" s="670"/>
      <c r="C1" s="670"/>
      <c r="D1" s="670"/>
      <c r="E1" s="670"/>
      <c r="F1" s="670"/>
      <c r="G1" s="670"/>
      <c r="H1" s="670"/>
      <c r="I1" s="670"/>
      <c r="J1" s="671"/>
      <c r="K1" s="56"/>
      <c r="L1" s="57"/>
    </row>
    <row r="2" spans="1:33" x14ac:dyDescent="0.2">
      <c r="A2" s="59" t="s">
        <v>52</v>
      </c>
      <c r="J2" s="60"/>
      <c r="K2" s="61"/>
      <c r="L2" s="61"/>
      <c r="V2" s="62"/>
    </row>
    <row r="3" spans="1:33" x14ac:dyDescent="0.2">
      <c r="X3" s="64" t="s">
        <v>53</v>
      </c>
      <c r="Y3" s="65"/>
      <c r="Z3" s="65"/>
      <c r="AA3" s="65"/>
      <c r="AB3" s="65"/>
      <c r="AC3" s="65"/>
      <c r="AD3" s="65"/>
      <c r="AE3" s="66"/>
      <c r="AF3" s="67" t="s">
        <v>54</v>
      </c>
      <c r="AG3" s="68">
        <v>2</v>
      </c>
    </row>
    <row r="4" spans="1:33" x14ac:dyDescent="0.2">
      <c r="B4" s="62" t="s">
        <v>55</v>
      </c>
      <c r="X4" s="69">
        <v>1</v>
      </c>
      <c r="Y4" s="70">
        <v>2</v>
      </c>
      <c r="Z4" s="70">
        <v>3</v>
      </c>
      <c r="AA4" s="70">
        <v>4</v>
      </c>
      <c r="AB4" s="70">
        <v>5</v>
      </c>
      <c r="AC4" s="70" t="s">
        <v>56</v>
      </c>
      <c r="AD4" s="71"/>
      <c r="AE4" s="72"/>
      <c r="AF4" s="71" t="s">
        <v>57</v>
      </c>
      <c r="AG4" s="73">
        <v>3</v>
      </c>
    </row>
    <row r="5" spans="1:33" x14ac:dyDescent="0.2">
      <c r="A5" s="672">
        <v>1</v>
      </c>
      <c r="B5" s="74">
        <f>'OP6-Item Costs'!B33</f>
        <v>1899509</v>
      </c>
      <c r="C5" s="75" t="s">
        <v>58</v>
      </c>
      <c r="X5" s="69"/>
      <c r="Y5" s="70"/>
      <c r="Z5" s="70"/>
      <c r="AA5" s="70"/>
      <c r="AB5" s="70"/>
      <c r="AC5" s="70"/>
      <c r="AD5" s="71"/>
      <c r="AE5" s="72"/>
      <c r="AF5" s="71"/>
      <c r="AG5" s="73">
        <v>4</v>
      </c>
    </row>
    <row r="6" spans="1:33" x14ac:dyDescent="0.2">
      <c r="A6" s="673"/>
      <c r="B6" s="74">
        <f>'OP6-Item Costs'!B21</f>
        <v>17501000</v>
      </c>
      <c r="C6" s="76" t="s">
        <v>59</v>
      </c>
      <c r="X6" s="77">
        <f>B20*B13</f>
        <v>1420176.72973</v>
      </c>
      <c r="Y6" s="78">
        <f>C20*$B13</f>
        <v>1342533.54</v>
      </c>
      <c r="Z6" s="78">
        <f>D20*$B13</f>
        <v>10091377.109000001</v>
      </c>
      <c r="AA6" s="78">
        <f>E20*$B13</f>
        <v>9521471.6212700009</v>
      </c>
      <c r="AB6" s="78">
        <f>F20*$B13</f>
        <v>0</v>
      </c>
      <c r="AC6" s="79">
        <f>SUM(X6:AB6)</f>
        <v>22375559</v>
      </c>
      <c r="AD6" s="71"/>
      <c r="AE6" s="72"/>
      <c r="AF6" s="71"/>
      <c r="AG6" s="73">
        <v>5</v>
      </c>
    </row>
    <row r="7" spans="1:33" x14ac:dyDescent="0.2">
      <c r="A7" s="80" t="s">
        <v>60</v>
      </c>
      <c r="X7" s="81">
        <v>0</v>
      </c>
      <c r="Y7" s="82">
        <f>Y6*B28</f>
        <v>0</v>
      </c>
      <c r="Z7" s="82">
        <f>Z6*($B$28*2)</f>
        <v>0</v>
      </c>
      <c r="AA7" s="82">
        <f>AA6*($B$28*3)</f>
        <v>0</v>
      </c>
      <c r="AB7" s="82">
        <f>AB6*($B$28*3)</f>
        <v>0</v>
      </c>
      <c r="AC7" s="83">
        <f>SUM(X7:AB7)</f>
        <v>0</v>
      </c>
      <c r="AD7" s="84" t="s">
        <v>61</v>
      </c>
      <c r="AE7" s="72"/>
      <c r="AF7" s="71"/>
      <c r="AG7" s="85"/>
    </row>
    <row r="8" spans="1:33" ht="9.75" customHeight="1" x14ac:dyDescent="0.25">
      <c r="H8" s="86"/>
      <c r="I8" s="87"/>
      <c r="J8" s="87"/>
      <c r="X8" s="81">
        <f>$B25*SUM(X6:X7)</f>
        <v>710088.36486500001</v>
      </c>
      <c r="Y8" s="82">
        <f>$B25*SUM(Y6:Y7)</f>
        <v>671266.77</v>
      </c>
      <c r="Z8" s="82">
        <f>$B25*SUM(Z6:Z7)</f>
        <v>5045688.5545000006</v>
      </c>
      <c r="AA8" s="82">
        <f>$B25*SUM(AA6:AA7)</f>
        <v>4760735.8106350005</v>
      </c>
      <c r="AB8" s="82">
        <f>$B25*SUM(AB6:AB7)</f>
        <v>0</v>
      </c>
      <c r="AC8" s="83">
        <f>SUM(X8:AB8)</f>
        <v>11187779.5</v>
      </c>
      <c r="AD8" s="84" t="s">
        <v>62</v>
      </c>
      <c r="AE8" s="71"/>
      <c r="AF8" s="71"/>
      <c r="AG8" s="85"/>
    </row>
    <row r="9" spans="1:33" ht="15" x14ac:dyDescent="0.25">
      <c r="B9" s="88" t="s">
        <v>63</v>
      </c>
      <c r="H9" s="86"/>
      <c r="I9" s="87"/>
      <c r="J9" s="87"/>
      <c r="X9" s="89">
        <f>Y25</f>
        <v>83850.878305983671</v>
      </c>
      <c r="Y9" s="90">
        <f>AA25</f>
        <v>241922.99582219534</v>
      </c>
      <c r="Z9" s="90">
        <f>AC25</f>
        <v>924190.15434470179</v>
      </c>
      <c r="AA9" s="90">
        <f>AE25</f>
        <v>2070455.086123833</v>
      </c>
      <c r="AB9" s="90">
        <f>AG25</f>
        <v>0</v>
      </c>
      <c r="AC9" s="83">
        <f>SUM(X9:AB9)</f>
        <v>3320419.1145967138</v>
      </c>
      <c r="AD9" s="84" t="s">
        <v>64</v>
      </c>
      <c r="AE9" s="71"/>
      <c r="AF9" s="71"/>
      <c r="AG9" s="85"/>
    </row>
    <row r="10" spans="1:33" ht="15" x14ac:dyDescent="0.25">
      <c r="A10" s="91">
        <v>2</v>
      </c>
      <c r="B10" s="92">
        <f>'OP6-Item Costs'!B29</f>
        <v>2000000</v>
      </c>
      <c r="C10" s="75" t="s">
        <v>65</v>
      </c>
      <c r="H10" s="86"/>
      <c r="I10" s="87"/>
      <c r="J10" s="87"/>
      <c r="X10" s="93"/>
      <c r="Y10" s="71"/>
      <c r="Z10" s="71"/>
      <c r="AA10" s="71"/>
      <c r="AB10" s="71"/>
      <c r="AC10" s="94">
        <f>SUM(AC6:AC9)</f>
        <v>36883757.614596717</v>
      </c>
      <c r="AD10" s="71"/>
      <c r="AE10" s="71"/>
      <c r="AF10" s="71"/>
      <c r="AG10" s="85"/>
    </row>
    <row r="11" spans="1:33" ht="15" x14ac:dyDescent="0.25">
      <c r="A11" s="91">
        <v>3</v>
      </c>
      <c r="B11" s="92">
        <f>'OP6-Item Costs'!B30</f>
        <v>975050</v>
      </c>
      <c r="C11" s="75" t="s">
        <v>253</v>
      </c>
      <c r="H11" s="86"/>
      <c r="I11" s="87"/>
      <c r="J11" s="87"/>
      <c r="X11" s="95" t="b">
        <v>0</v>
      </c>
      <c r="Y11" s="71"/>
      <c r="Z11" s="96" t="b">
        <v>0</v>
      </c>
      <c r="AA11" s="71"/>
      <c r="AB11" s="96" t="b">
        <v>0</v>
      </c>
      <c r="AC11" s="71"/>
      <c r="AD11" s="96" t="b">
        <v>0</v>
      </c>
      <c r="AE11" s="71"/>
      <c r="AF11" s="71"/>
      <c r="AG11" s="85"/>
    </row>
    <row r="12" spans="1:33" x14ac:dyDescent="0.2">
      <c r="A12" s="91">
        <v>4</v>
      </c>
      <c r="B12" s="92"/>
      <c r="C12" s="75"/>
      <c r="H12" s="97"/>
      <c r="I12" s="98"/>
      <c r="J12" s="87"/>
      <c r="X12" s="99">
        <f>SUM(X6:X8)</f>
        <v>2130265.0945950001</v>
      </c>
      <c r="Y12" s="71"/>
      <c r="Z12" s="100">
        <f>SUM(Y6:Y8)</f>
        <v>2013800.31</v>
      </c>
      <c r="AA12" s="71"/>
      <c r="AB12" s="100">
        <f>IF(AND($B$16&gt;2,D20&gt;0),SUM(Z6:Z8),0)</f>
        <v>15137065.663500002</v>
      </c>
      <c r="AC12" s="71"/>
      <c r="AD12" s="101">
        <f>IF(AND($B$16&gt;3,E20&gt;0),SUM(AA6:AA8),0)</f>
        <v>14282207.431905001</v>
      </c>
      <c r="AE12" s="82"/>
      <c r="AF12" s="101">
        <f>IF(AND($B$16&gt;4,F20&gt;0),SUM(AB6:AB8),0)</f>
        <v>0</v>
      </c>
      <c r="AG12" s="102"/>
    </row>
    <row r="13" spans="1:33" x14ac:dyDescent="0.2">
      <c r="B13" s="103">
        <f>SUM($B$5:$B$6)+SUM($B$10:$B$12)</f>
        <v>22375559</v>
      </c>
      <c r="C13" s="104" t="s">
        <v>66</v>
      </c>
      <c r="X13" s="105">
        <f>X$12/12</f>
        <v>177522.09121625</v>
      </c>
      <c r="Y13" s="90">
        <f t="shared" ref="Y13:Y24" si="0">X13*(0.0711/12)</f>
        <v>1051.8183904562811</v>
      </c>
      <c r="Z13" s="105">
        <f>IF(X11,(Z$12/12),SUM($X$24:$Y$24)+(Z$12/12))</f>
        <v>2381932.6654009838</v>
      </c>
      <c r="AA13" s="90">
        <f t="shared" ref="AA13:AA24" si="1">Z13*(0.0711/12)</f>
        <v>14112.951042500828</v>
      </c>
      <c r="AB13" s="105">
        <f>IF(Z11,IF($B$16&gt;2,(AB$12/12),0),IF($B$16&gt;2,SUM($Z$24:$AA$24)+(AB$12/12),0))</f>
        <v>5731261.4173481781</v>
      </c>
      <c r="AC13" s="90">
        <f t="shared" ref="AC13:AC24" si="2">AB13*(0.0711/12)</f>
        <v>33957.723897787953</v>
      </c>
      <c r="AD13" s="106">
        <f>IF(AB11,IF($B$16&gt;3,(AD$12/12),0),IF($B$16&gt;3,SUM($AB$24:$AC$24)+(AD$12/12),0))</f>
        <v>21721279.049226638</v>
      </c>
      <c r="AE13" s="90">
        <f t="shared" ref="AE13:AE24" si="3">AD13*(0.0711/12)</f>
        <v>128698.57836666782</v>
      </c>
      <c r="AF13" s="105">
        <f>IF(AD11,IF($B$16&gt;4,(AF$12/12),0),IF($B$16&gt;4,SUM($AD$24:$AE$24)+(AF$12/12),0))</f>
        <v>0</v>
      </c>
      <c r="AG13" s="102">
        <f t="shared" ref="AG13:AG24" si="4">AF13*(0.0711/12)</f>
        <v>0</v>
      </c>
    </row>
    <row r="14" spans="1:33" x14ac:dyDescent="0.2">
      <c r="X14" s="81">
        <f>(X$12/12)+X13+Y13</f>
        <v>356096.00082295627</v>
      </c>
      <c r="Y14" s="90">
        <f t="shared" si="0"/>
        <v>2109.8688048760159</v>
      </c>
      <c r="Z14" s="81">
        <f>(Z$12/12)+Z13+AA13</f>
        <v>2563862.3089434844</v>
      </c>
      <c r="AA14" s="90">
        <f t="shared" si="1"/>
        <v>15190.884180490144</v>
      </c>
      <c r="AB14" s="81">
        <f>(AB$12/12)+AB13+AC13</f>
        <v>7026641.2798709655</v>
      </c>
      <c r="AC14" s="90">
        <f t="shared" si="2"/>
        <v>41632.849583235467</v>
      </c>
      <c r="AD14" s="81">
        <f>(AD$12/12)+AD13+AE13</f>
        <v>23040161.580252055</v>
      </c>
      <c r="AE14" s="90">
        <f t="shared" si="3"/>
        <v>136512.95736299342</v>
      </c>
      <c r="AF14" s="81">
        <f>(AF$12/12)+AF13+AG13</f>
        <v>0</v>
      </c>
      <c r="AG14" s="102">
        <f t="shared" si="4"/>
        <v>0</v>
      </c>
    </row>
    <row r="15" spans="1:33" x14ac:dyDescent="0.2">
      <c r="B15" s="62" t="s">
        <v>67</v>
      </c>
      <c r="X15" s="81">
        <f>(X$12/12)+X14+Y14</f>
        <v>535727.96084408229</v>
      </c>
      <c r="Y15" s="90">
        <f t="shared" si="0"/>
        <v>3174.1881680011875</v>
      </c>
      <c r="Z15" s="81">
        <f>(Z$12/12)+Z14+AA14</f>
        <v>2746869.8856239743</v>
      </c>
      <c r="AA15" s="90">
        <f t="shared" si="1"/>
        <v>16275.204072322047</v>
      </c>
      <c r="AB15" s="81">
        <f>(AB$12/12)+AB14+AC14</f>
        <v>8329696.2680792017</v>
      </c>
      <c r="AC15" s="90">
        <f t="shared" si="2"/>
        <v>49353.450388369267</v>
      </c>
      <c r="AD15" s="81">
        <f t="shared" ref="AD15:AD24" si="5">(AD$12/12)+AD14+AE14</f>
        <v>24366858.4902738</v>
      </c>
      <c r="AE15" s="90">
        <f t="shared" si="3"/>
        <v>144373.63655487227</v>
      </c>
      <c r="AF15" s="81">
        <f t="shared" ref="AF15:AF24" si="6">(AF$12/12)+AF14+AG14</f>
        <v>0</v>
      </c>
      <c r="AG15" s="102">
        <f t="shared" si="4"/>
        <v>0</v>
      </c>
    </row>
    <row r="16" spans="1:33" x14ac:dyDescent="0.2">
      <c r="A16" s="91">
        <v>5</v>
      </c>
      <c r="B16" s="107">
        <v>4</v>
      </c>
      <c r="C16" s="75" t="s">
        <v>68</v>
      </c>
      <c r="X16" s="81">
        <f t="shared" ref="X16:X24" si="7">(X$12/12)+X15+Y15</f>
        <v>716424.24022833351</v>
      </c>
      <c r="Y16" s="90">
        <f t="shared" si="0"/>
        <v>4244.8136233528758</v>
      </c>
      <c r="Z16" s="81">
        <f t="shared" ref="Z16:Z24" si="8">(Z$12/12)+Z15+AA15</f>
        <v>2930961.7821962964</v>
      </c>
      <c r="AA16" s="90">
        <f t="shared" si="1"/>
        <v>17365.948559513054</v>
      </c>
      <c r="AB16" s="81">
        <f t="shared" ref="AB16:AB24" si="9">(AB$12/12)+AB15+AC15</f>
        <v>9640471.8570925724</v>
      </c>
      <c r="AC16" s="90">
        <f t="shared" si="2"/>
        <v>57119.795753273487</v>
      </c>
      <c r="AD16" s="81">
        <f t="shared" si="5"/>
        <v>25701416.079487421</v>
      </c>
      <c r="AE16" s="90">
        <f t="shared" si="3"/>
        <v>152280.89027096296</v>
      </c>
      <c r="AF16" s="81">
        <f t="shared" si="6"/>
        <v>0</v>
      </c>
      <c r="AG16" s="102">
        <f t="shared" si="4"/>
        <v>0</v>
      </c>
    </row>
    <row r="17" spans="1:33" x14ac:dyDescent="0.2">
      <c r="H17" s="238">
        <f>1-G20</f>
        <v>0</v>
      </c>
      <c r="X17" s="81">
        <f t="shared" si="7"/>
        <v>898191.14506793639</v>
      </c>
      <c r="Y17" s="90">
        <f t="shared" si="0"/>
        <v>5321.7825345275232</v>
      </c>
      <c r="Z17" s="81">
        <f t="shared" si="8"/>
        <v>3116144.4232558091</v>
      </c>
      <c r="AA17" s="90">
        <f t="shared" si="1"/>
        <v>18463.155707790669</v>
      </c>
      <c r="AB17" s="81">
        <f t="shared" si="9"/>
        <v>10959013.791470846</v>
      </c>
      <c r="AC17" s="90">
        <f t="shared" si="2"/>
        <v>64932.156714464763</v>
      </c>
      <c r="AD17" s="81">
        <f t="shared" si="5"/>
        <v>27043880.922417134</v>
      </c>
      <c r="AE17" s="90">
        <f t="shared" si="3"/>
        <v>160234.99446532151</v>
      </c>
      <c r="AF17" s="81">
        <f t="shared" si="6"/>
        <v>0</v>
      </c>
      <c r="AG17" s="102">
        <f t="shared" si="4"/>
        <v>0</v>
      </c>
    </row>
    <row r="18" spans="1:33" x14ac:dyDescent="0.2">
      <c r="B18" s="62" t="s">
        <v>69</v>
      </c>
      <c r="G18" s="108"/>
      <c r="X18" s="81">
        <f t="shared" si="7"/>
        <v>1081035.018818714</v>
      </c>
      <c r="Y18" s="90">
        <f t="shared" si="0"/>
        <v>6405.1324865008801</v>
      </c>
      <c r="Z18" s="81">
        <f t="shared" si="8"/>
        <v>3302424.2714635995</v>
      </c>
      <c r="AA18" s="90">
        <f t="shared" si="1"/>
        <v>19566.863808421826</v>
      </c>
      <c r="AB18" s="81">
        <f t="shared" si="9"/>
        <v>12285368.086810311</v>
      </c>
      <c r="AC18" s="90">
        <f t="shared" si="2"/>
        <v>72790.805914351091</v>
      </c>
      <c r="AD18" s="81">
        <f t="shared" si="5"/>
        <v>28394299.869541205</v>
      </c>
      <c r="AE18" s="90">
        <f t="shared" si="3"/>
        <v>168236.22672703164</v>
      </c>
      <c r="AF18" s="81">
        <f t="shared" si="6"/>
        <v>0</v>
      </c>
      <c r="AG18" s="102">
        <f t="shared" si="4"/>
        <v>0</v>
      </c>
    </row>
    <row r="19" spans="1:33" x14ac:dyDescent="0.2">
      <c r="A19" s="674">
        <v>6</v>
      </c>
      <c r="B19" s="109" t="s">
        <v>70</v>
      </c>
      <c r="C19" s="110" t="s">
        <v>71</v>
      </c>
      <c r="D19" s="110" t="s">
        <v>72</v>
      </c>
      <c r="E19" s="110" t="s">
        <v>73</v>
      </c>
      <c r="F19" s="110" t="s">
        <v>74</v>
      </c>
      <c r="G19" s="111"/>
      <c r="X19" s="81">
        <f t="shared" si="7"/>
        <v>1264962.2425214648</v>
      </c>
      <c r="Y19" s="90">
        <f t="shared" si="0"/>
        <v>7494.9012869396784</v>
      </c>
      <c r="Z19" s="81">
        <f t="shared" si="8"/>
        <v>3489807.8277720213</v>
      </c>
      <c r="AA19" s="90">
        <f t="shared" si="1"/>
        <v>20677.111379549224</v>
      </c>
      <c r="AB19" s="81">
        <f t="shared" si="9"/>
        <v>13619581.031349663</v>
      </c>
      <c r="AC19" s="90">
        <f t="shared" si="2"/>
        <v>80696.017610746741</v>
      </c>
      <c r="AD19" s="81">
        <f t="shared" si="5"/>
        <v>29752720.048926987</v>
      </c>
      <c r="AE19" s="90">
        <f t="shared" si="3"/>
        <v>176284.86628989238</v>
      </c>
      <c r="AF19" s="81">
        <f t="shared" si="6"/>
        <v>0</v>
      </c>
      <c r="AG19" s="102">
        <f t="shared" si="4"/>
        <v>0</v>
      </c>
    </row>
    <row r="20" spans="1:33" ht="15" x14ac:dyDescent="0.25">
      <c r="A20" s="674"/>
      <c r="B20" s="112">
        <v>6.3469999999999999E-2</v>
      </c>
      <c r="C20" s="112">
        <v>0.06</v>
      </c>
      <c r="D20" s="112">
        <v>0.45100000000000001</v>
      </c>
      <c r="E20" s="112">
        <v>0.42553000000000002</v>
      </c>
      <c r="F20" s="113"/>
      <c r="G20" s="114">
        <f>SUM(B20:F20)</f>
        <v>1</v>
      </c>
      <c r="H20" s="80" t="s">
        <v>75</v>
      </c>
      <c r="X20" s="81">
        <f t="shared" si="7"/>
        <v>1449979.2350246545</v>
      </c>
      <c r="Y20" s="90">
        <f t="shared" si="0"/>
        <v>8591.1269675210769</v>
      </c>
      <c r="Z20" s="81">
        <f t="shared" si="8"/>
        <v>3678301.6316515706</v>
      </c>
      <c r="AA20" s="90">
        <f t="shared" si="1"/>
        <v>21793.937167535554</v>
      </c>
      <c r="AB20" s="81">
        <f t="shared" si="9"/>
        <v>14961699.18758541</v>
      </c>
      <c r="AC20" s="90">
        <f t="shared" si="2"/>
        <v>88648.067686443552</v>
      </c>
      <c r="AD20" s="81">
        <f t="shared" si="5"/>
        <v>31119188.867875628</v>
      </c>
      <c r="AE20" s="90">
        <f t="shared" si="3"/>
        <v>184381.19404216309</v>
      </c>
      <c r="AF20" s="81">
        <f t="shared" si="6"/>
        <v>0</v>
      </c>
      <c r="AG20" s="102">
        <f t="shared" si="4"/>
        <v>0</v>
      </c>
    </row>
    <row r="21" spans="1:33" ht="2.25" customHeight="1" x14ac:dyDescent="0.2">
      <c r="G21" s="115"/>
      <c r="X21" s="81">
        <f t="shared" si="7"/>
        <v>1636092.4532084258</v>
      </c>
      <c r="Y21" s="90">
        <f t="shared" si="0"/>
        <v>9693.8477852599226</v>
      </c>
      <c r="Z21" s="81">
        <f t="shared" si="8"/>
        <v>3867912.261319106</v>
      </c>
      <c r="AA21" s="90">
        <f t="shared" si="1"/>
        <v>22917.3801483157</v>
      </c>
      <c r="AB21" s="81">
        <f t="shared" si="9"/>
        <v>16311769.393896854</v>
      </c>
      <c r="AC21" s="90">
        <f t="shared" si="2"/>
        <v>96647.233658838857</v>
      </c>
      <c r="AD21" s="81">
        <f t="shared" si="5"/>
        <v>32493754.014576543</v>
      </c>
      <c r="AE21" s="90">
        <f t="shared" si="3"/>
        <v>192525.49253636601</v>
      </c>
      <c r="AF21" s="81">
        <f t="shared" si="6"/>
        <v>0</v>
      </c>
      <c r="AG21" s="102">
        <f t="shared" si="4"/>
        <v>0</v>
      </c>
    </row>
    <row r="22" spans="1:33" ht="12.75" customHeight="1" x14ac:dyDescent="0.2">
      <c r="A22" s="263">
        <v>7</v>
      </c>
      <c r="B22" s="117" t="s">
        <v>54</v>
      </c>
      <c r="C22" s="117"/>
      <c r="D22" s="117"/>
      <c r="E22" s="117"/>
      <c r="F22" s="118" t="s">
        <v>76</v>
      </c>
      <c r="G22" s="115"/>
      <c r="X22" s="81">
        <f t="shared" si="7"/>
        <v>1823308.3922099357</v>
      </c>
      <c r="Y22" s="90">
        <f t="shared" si="0"/>
        <v>10803.102223843869</v>
      </c>
      <c r="Z22" s="81">
        <f t="shared" si="8"/>
        <v>4058646.3339674217</v>
      </c>
      <c r="AA22" s="90">
        <f t="shared" si="1"/>
        <v>24047.479528756972</v>
      </c>
      <c r="AB22" s="81">
        <f t="shared" si="9"/>
        <v>17669838.766180694</v>
      </c>
      <c r="AC22" s="90">
        <f t="shared" si="2"/>
        <v>104693.79468962061</v>
      </c>
      <c r="AD22" s="81">
        <f t="shared" si="5"/>
        <v>33876463.459771663</v>
      </c>
      <c r="AE22" s="90">
        <f t="shared" si="3"/>
        <v>200718.04599914709</v>
      </c>
      <c r="AF22" s="81">
        <f t="shared" si="6"/>
        <v>0</v>
      </c>
      <c r="AG22" s="102">
        <f t="shared" si="4"/>
        <v>0</v>
      </c>
    </row>
    <row r="23" spans="1:33" ht="15" customHeight="1" x14ac:dyDescent="0.25">
      <c r="G23" s="115"/>
      <c r="M23" s="246"/>
      <c r="N23" s="246"/>
      <c r="X23" s="81">
        <f t="shared" si="7"/>
        <v>2011633.5856500296</v>
      </c>
      <c r="Y23" s="90">
        <f t="shared" si="0"/>
        <v>11918.928994976424</v>
      </c>
      <c r="Z23" s="81">
        <f t="shared" si="8"/>
        <v>4250510.5059961788</v>
      </c>
      <c r="AA23" s="90">
        <f t="shared" si="1"/>
        <v>25184.274748027357</v>
      </c>
      <c r="AB23" s="81">
        <f t="shared" si="9"/>
        <v>19035954.699495316</v>
      </c>
      <c r="AC23" s="90">
        <f t="shared" si="2"/>
        <v>112788.03159450974</v>
      </c>
      <c r="AD23" s="81">
        <f t="shared" si="5"/>
        <v>35267365.45842956</v>
      </c>
      <c r="AE23" s="90">
        <f t="shared" si="3"/>
        <v>208959.14034119513</v>
      </c>
      <c r="AF23" s="81">
        <f t="shared" si="6"/>
        <v>0</v>
      </c>
      <c r="AG23" s="102">
        <f t="shared" si="4"/>
        <v>0</v>
      </c>
    </row>
    <row r="24" spans="1:33" ht="15" customHeight="1" x14ac:dyDescent="0.3">
      <c r="B24" s="62" t="s">
        <v>77</v>
      </c>
      <c r="L24" s="248" t="s">
        <v>242</v>
      </c>
      <c r="M24" s="246"/>
      <c r="N24" s="246"/>
      <c r="X24" s="81">
        <f t="shared" si="7"/>
        <v>2201074.6058612559</v>
      </c>
      <c r="Y24" s="90">
        <f t="shared" si="0"/>
        <v>13041.36703972794</v>
      </c>
      <c r="Z24" s="81">
        <f t="shared" si="8"/>
        <v>4443511.473244206</v>
      </c>
      <c r="AA24" s="90">
        <f t="shared" si="1"/>
        <v>26327.805478971921</v>
      </c>
      <c r="AB24" s="81">
        <f t="shared" si="9"/>
        <v>20410164.869714826</v>
      </c>
      <c r="AC24" s="90">
        <f t="shared" si="2"/>
        <v>120930.22685306035</v>
      </c>
      <c r="AD24" s="81">
        <f t="shared" si="5"/>
        <v>36666508.551429503</v>
      </c>
      <c r="AE24" s="90">
        <f t="shared" si="3"/>
        <v>217249.06316721981</v>
      </c>
      <c r="AF24" s="81">
        <f t="shared" si="6"/>
        <v>0</v>
      </c>
      <c r="AG24" s="102">
        <f t="shared" si="4"/>
        <v>0</v>
      </c>
    </row>
    <row r="25" spans="1:33" ht="15" x14ac:dyDescent="0.25">
      <c r="A25" s="91">
        <v>8</v>
      </c>
      <c r="B25" s="119">
        <v>0.5</v>
      </c>
      <c r="L25" s="247" t="s">
        <v>243</v>
      </c>
      <c r="M25" s="246"/>
      <c r="N25" s="246"/>
      <c r="X25" s="120" t="s">
        <v>78</v>
      </c>
      <c r="Y25" s="121">
        <f>SUM(Y13:Y24)</f>
        <v>83850.878305983671</v>
      </c>
      <c r="Z25" s="122"/>
      <c r="AA25" s="121">
        <f>SUM(AA13:AA24)</f>
        <v>241922.99582219534</v>
      </c>
      <c r="AB25" s="122"/>
      <c r="AC25" s="121">
        <f>SUM(AC13:AC24)</f>
        <v>924190.15434470179</v>
      </c>
      <c r="AD25" s="122"/>
      <c r="AE25" s="121">
        <f>SUM(AE13:AE24)</f>
        <v>2070455.086123833</v>
      </c>
      <c r="AF25" s="122"/>
      <c r="AG25" s="123">
        <f>SUM(AG13:AG24)</f>
        <v>0</v>
      </c>
    </row>
    <row r="26" spans="1:33" ht="15" x14ac:dyDescent="0.25">
      <c r="L26" s="246"/>
      <c r="M26" s="249">
        <v>0.53559999999999997</v>
      </c>
      <c r="N26" s="250" t="s">
        <v>244</v>
      </c>
    </row>
    <row r="27" spans="1:33" ht="15" x14ac:dyDescent="0.25">
      <c r="B27" s="62" t="s">
        <v>79</v>
      </c>
      <c r="L27" s="246"/>
      <c r="M27" s="249">
        <v>0.51049999999999995</v>
      </c>
      <c r="N27" s="250" t="s">
        <v>245</v>
      </c>
    </row>
    <row r="28" spans="1:33" ht="15" x14ac:dyDescent="0.25">
      <c r="A28" s="91">
        <v>9</v>
      </c>
      <c r="B28" s="119"/>
      <c r="L28" s="246"/>
      <c r="M28" s="249">
        <v>0.51670000000000005</v>
      </c>
      <c r="N28" s="250" t="s">
        <v>246</v>
      </c>
      <c r="O28" s="124"/>
      <c r="P28" s="124"/>
      <c r="Q28" s="124"/>
      <c r="R28" s="124"/>
      <c r="S28" s="124"/>
      <c r="T28" s="124"/>
      <c r="U28" s="124"/>
      <c r="V28" s="124"/>
      <c r="W28" s="124"/>
      <c r="X28" s="124"/>
      <c r="Y28" s="124"/>
      <c r="Z28" s="124"/>
      <c r="AA28" s="124"/>
    </row>
    <row r="29" spans="1:33" ht="15" x14ac:dyDescent="0.25">
      <c r="A29" s="80" t="s">
        <v>80</v>
      </c>
      <c r="L29" s="246"/>
      <c r="M29" s="249">
        <v>0.52900000000000003</v>
      </c>
      <c r="N29" s="250" t="s">
        <v>247</v>
      </c>
      <c r="O29" s="124"/>
      <c r="P29" s="124"/>
      <c r="Q29" s="124"/>
      <c r="R29" s="124"/>
      <c r="S29" s="124"/>
      <c r="T29" s="124"/>
      <c r="U29" s="124"/>
      <c r="V29" s="124"/>
      <c r="W29" s="124"/>
      <c r="X29" s="124"/>
      <c r="Y29" s="124"/>
      <c r="Z29" s="124"/>
      <c r="AA29" s="124"/>
    </row>
    <row r="30" spans="1:33" ht="15" x14ac:dyDescent="0.25">
      <c r="L30" s="246"/>
      <c r="M30" s="249">
        <v>0.48599999999999999</v>
      </c>
      <c r="N30" s="250" t="s">
        <v>248</v>
      </c>
      <c r="O30" s="124"/>
      <c r="P30" s="124"/>
      <c r="Q30" s="124"/>
      <c r="R30" s="124"/>
      <c r="S30" s="124"/>
      <c r="T30" s="124"/>
      <c r="U30" s="124"/>
      <c r="V30" s="124"/>
      <c r="W30" s="124"/>
      <c r="X30" s="124"/>
      <c r="Y30" s="124"/>
      <c r="Z30" s="124"/>
      <c r="AA30" s="124"/>
    </row>
    <row r="31" spans="1:33" ht="15.75" thickBot="1" x14ac:dyDescent="0.3">
      <c r="L31" s="246"/>
      <c r="M31" s="254">
        <f>AVERAGE(M26:M30)</f>
        <v>0.51556000000000002</v>
      </c>
      <c r="N31" s="250" t="s">
        <v>254</v>
      </c>
      <c r="O31" s="124"/>
      <c r="P31" s="124"/>
      <c r="Q31" s="124"/>
      <c r="R31" s="124"/>
      <c r="S31" s="124"/>
      <c r="T31" s="124"/>
      <c r="U31" s="124"/>
      <c r="V31" s="124"/>
      <c r="W31" s="124"/>
      <c r="X31" s="124"/>
      <c r="Y31" s="124"/>
      <c r="Z31" s="124"/>
      <c r="AA31" s="124"/>
    </row>
    <row r="32" spans="1:33" ht="15.75" x14ac:dyDescent="0.25">
      <c r="B32" s="675" t="s">
        <v>81</v>
      </c>
      <c r="C32" s="676"/>
      <c r="D32" s="676"/>
      <c r="E32" s="676"/>
      <c r="F32" s="676"/>
      <c r="G32" s="676"/>
      <c r="H32" s="676"/>
      <c r="I32" s="676"/>
      <c r="J32" s="677"/>
      <c r="L32" s="246"/>
      <c r="M32" s="245">
        <v>0.5</v>
      </c>
      <c r="N32" s="251" t="s">
        <v>249</v>
      </c>
    </row>
    <row r="33" spans="2:21" ht="18" customHeight="1" x14ac:dyDescent="0.25">
      <c r="B33" s="678" t="s">
        <v>82</v>
      </c>
      <c r="C33" s="665"/>
      <c r="D33" s="125"/>
      <c r="E33" s="125"/>
      <c r="F33" s="125"/>
      <c r="G33" s="125"/>
      <c r="H33" s="666" t="s">
        <v>83</v>
      </c>
      <c r="I33" s="666"/>
      <c r="J33" s="126"/>
      <c r="L33" s="246"/>
    </row>
    <row r="34" spans="2:21" x14ac:dyDescent="0.2">
      <c r="B34" s="127" t="s">
        <v>111</v>
      </c>
      <c r="C34" s="128" t="s">
        <v>21</v>
      </c>
      <c r="D34" s="128" t="s">
        <v>22</v>
      </c>
      <c r="E34" s="128" t="s">
        <v>23</v>
      </c>
      <c r="F34" s="128" t="s">
        <v>24</v>
      </c>
      <c r="G34" s="125"/>
      <c r="H34" s="125"/>
      <c r="I34" s="125"/>
      <c r="J34" s="126"/>
    </row>
    <row r="35" spans="2:21" x14ac:dyDescent="0.2">
      <c r="B35" s="129">
        <f t="shared" ref="B35:F38" si="10">X6</f>
        <v>1420176.72973</v>
      </c>
      <c r="C35" s="130">
        <f>Y6</f>
        <v>1342533.54</v>
      </c>
      <c r="D35" s="130">
        <f t="shared" si="10"/>
        <v>10091377.109000001</v>
      </c>
      <c r="E35" s="130">
        <f t="shared" si="10"/>
        <v>9521471.6212700009</v>
      </c>
      <c r="F35" s="130">
        <f t="shared" si="10"/>
        <v>0</v>
      </c>
      <c r="G35" s="665" t="s">
        <v>30</v>
      </c>
      <c r="H35" s="665"/>
      <c r="I35" s="131">
        <f>AC6</f>
        <v>22375559</v>
      </c>
      <c r="J35" s="126"/>
    </row>
    <row r="36" spans="2:21" x14ac:dyDescent="0.2">
      <c r="B36" s="129">
        <f t="shared" si="10"/>
        <v>0</v>
      </c>
      <c r="C36" s="130">
        <f t="shared" si="10"/>
        <v>0</v>
      </c>
      <c r="D36" s="130">
        <f t="shared" si="10"/>
        <v>0</v>
      </c>
      <c r="E36" s="130">
        <f t="shared" si="10"/>
        <v>0</v>
      </c>
      <c r="F36" s="130">
        <f t="shared" si="10"/>
        <v>0</v>
      </c>
      <c r="G36" s="665" t="s">
        <v>61</v>
      </c>
      <c r="H36" s="665" t="s">
        <v>61</v>
      </c>
      <c r="I36" s="131">
        <f>AC7</f>
        <v>0</v>
      </c>
      <c r="J36" s="126"/>
    </row>
    <row r="37" spans="2:21" ht="15" x14ac:dyDescent="0.25">
      <c r="B37" s="129">
        <f t="shared" si="10"/>
        <v>710088.36486500001</v>
      </c>
      <c r="C37" s="130">
        <f t="shared" si="10"/>
        <v>671266.77</v>
      </c>
      <c r="D37" s="130">
        <f t="shared" si="10"/>
        <v>5045688.5545000006</v>
      </c>
      <c r="E37" s="130">
        <f t="shared" si="10"/>
        <v>4760735.8106350005</v>
      </c>
      <c r="F37" s="130">
        <f t="shared" si="10"/>
        <v>0</v>
      </c>
      <c r="G37" s="665" t="s">
        <v>62</v>
      </c>
      <c r="H37" s="665" t="s">
        <v>62</v>
      </c>
      <c r="I37" s="131">
        <f>AC8</f>
        <v>11187779.5</v>
      </c>
      <c r="J37" s="126"/>
      <c r="K37" s="132"/>
      <c r="L37" s="133"/>
      <c r="M37" s="134"/>
      <c r="N37" s="134"/>
      <c r="O37" s="134"/>
      <c r="P37" s="134"/>
      <c r="Q37" s="134"/>
      <c r="R37" s="134"/>
      <c r="S37" s="134"/>
      <c r="T37" s="134"/>
      <c r="U37" s="135"/>
    </row>
    <row r="38" spans="2:21" x14ac:dyDescent="0.2">
      <c r="B38" s="129">
        <f t="shared" si="10"/>
        <v>83850.878305983671</v>
      </c>
      <c r="C38" s="130">
        <f t="shared" si="10"/>
        <v>241922.99582219534</v>
      </c>
      <c r="D38" s="130">
        <f t="shared" si="10"/>
        <v>924190.15434470179</v>
      </c>
      <c r="E38" s="130">
        <f t="shared" si="10"/>
        <v>2070455.086123833</v>
      </c>
      <c r="F38" s="130">
        <f t="shared" si="10"/>
        <v>0</v>
      </c>
      <c r="G38" s="665" t="s">
        <v>84</v>
      </c>
      <c r="H38" s="665" t="s">
        <v>85</v>
      </c>
      <c r="I38" s="131">
        <f>AC9</f>
        <v>3320419.1145967138</v>
      </c>
      <c r="J38" s="126"/>
      <c r="L38" s="136"/>
      <c r="M38" s="87"/>
      <c r="N38" s="87"/>
      <c r="O38" s="87"/>
      <c r="P38" s="87"/>
      <c r="Q38" s="87"/>
      <c r="R38" s="87"/>
      <c r="S38" s="87"/>
      <c r="T38" s="87"/>
      <c r="U38" s="87"/>
    </row>
    <row r="39" spans="2:21" ht="6" customHeight="1" x14ac:dyDescent="0.2">
      <c r="B39" s="137"/>
      <c r="C39" s="125"/>
      <c r="D39" s="125"/>
      <c r="E39" s="125"/>
      <c r="F39" s="125"/>
      <c r="G39" s="125"/>
      <c r="H39" s="125"/>
      <c r="I39" s="125"/>
      <c r="J39" s="126"/>
      <c r="L39" s="136"/>
      <c r="M39" s="87"/>
      <c r="N39" s="87"/>
      <c r="O39" s="87"/>
      <c r="P39" s="87"/>
      <c r="Q39" s="87"/>
      <c r="R39" s="87"/>
      <c r="S39" s="87"/>
      <c r="T39" s="87"/>
      <c r="U39" s="87"/>
    </row>
    <row r="40" spans="2:21" ht="15.75" thickBot="1" x14ac:dyDescent="0.3">
      <c r="B40" s="138">
        <f>SUM(B35:B38)</f>
        <v>2214115.9729009839</v>
      </c>
      <c r="C40" s="139">
        <f>SUM(C35:C38)</f>
        <v>2255723.3058221955</v>
      </c>
      <c r="D40" s="139">
        <f>SUM(D35:D38)</f>
        <v>16061255.817844704</v>
      </c>
      <c r="E40" s="139">
        <f>SUM(E35:E38)</f>
        <v>16352662.518028835</v>
      </c>
      <c r="F40" s="139">
        <f>SUM(F35:F38)</f>
        <v>0</v>
      </c>
      <c r="G40" s="666" t="s">
        <v>56</v>
      </c>
      <c r="H40" s="666"/>
      <c r="I40" s="140">
        <f>SUM(I35:I38)</f>
        <v>36883757.614596717</v>
      </c>
      <c r="J40" s="126"/>
      <c r="L40" s="133"/>
      <c r="M40" s="134"/>
      <c r="N40" s="134"/>
      <c r="O40" s="134"/>
      <c r="P40" s="134"/>
      <c r="Q40" s="134"/>
      <c r="R40" s="134"/>
      <c r="S40" s="134"/>
      <c r="T40" s="134"/>
      <c r="U40" s="135"/>
    </row>
    <row r="41" spans="2:21" ht="16.5" thickTop="1" thickBot="1" x14ac:dyDescent="0.3">
      <c r="B41" s="141"/>
      <c r="C41" s="142"/>
      <c r="D41" s="142"/>
      <c r="E41" s="142"/>
      <c r="F41" s="142"/>
      <c r="G41" s="142"/>
      <c r="H41" s="142"/>
      <c r="I41" s="142"/>
      <c r="J41" s="143"/>
      <c r="L41" s="133"/>
      <c r="M41" s="144"/>
      <c r="N41" s="144"/>
      <c r="O41" s="144"/>
      <c r="P41" s="144"/>
      <c r="Q41" s="144"/>
      <c r="R41" s="144"/>
      <c r="S41" s="144"/>
      <c r="T41" s="144"/>
      <c r="U41" s="145"/>
    </row>
    <row r="42" spans="2:21" x14ac:dyDescent="0.2">
      <c r="B42" s="236"/>
      <c r="C42" s="236"/>
      <c r="D42" s="236"/>
      <c r="E42" s="236"/>
      <c r="F42" s="236"/>
      <c r="L42" s="133"/>
      <c r="M42" s="87"/>
      <c r="N42" s="87"/>
      <c r="O42" s="87"/>
      <c r="P42" s="87"/>
      <c r="Q42" s="87"/>
      <c r="R42" s="87"/>
      <c r="S42" s="87"/>
      <c r="T42" s="87"/>
      <c r="U42" s="135"/>
    </row>
    <row r="43" spans="2:21" x14ac:dyDescent="0.2">
      <c r="F43" s="62"/>
      <c r="L43" s="136"/>
      <c r="M43" s="87"/>
      <c r="N43" s="87"/>
      <c r="O43" s="98"/>
      <c r="P43" s="98"/>
      <c r="Q43" s="98"/>
      <c r="R43" s="98"/>
      <c r="S43" s="98"/>
      <c r="T43" s="98"/>
      <c r="U43" s="135"/>
    </row>
    <row r="44" spans="2:21" x14ac:dyDescent="0.2">
      <c r="B44" s="237">
        <v>2214401</v>
      </c>
      <c r="D44" s="239">
        <f>D35+C35+B35</f>
        <v>12854087.378730001</v>
      </c>
      <c r="F44" s="239">
        <f>E35+F35</f>
        <v>9521471.6212700009</v>
      </c>
    </row>
    <row r="66" spans="2:14" x14ac:dyDescent="0.2">
      <c r="B66" s="667" t="s">
        <v>86</v>
      </c>
      <c r="C66" s="668"/>
      <c r="D66" s="668"/>
      <c r="E66" s="146"/>
      <c r="F66" s="146"/>
      <c r="G66" s="146"/>
      <c r="H66" s="146"/>
      <c r="I66" s="146"/>
      <c r="J66" s="147"/>
      <c r="L66" s="663" t="s">
        <v>87</v>
      </c>
      <c r="M66" s="664"/>
      <c r="N66" s="147"/>
    </row>
    <row r="67" spans="2:14" x14ac:dyDescent="0.2">
      <c r="B67" s="148"/>
      <c r="C67" s="149"/>
      <c r="D67" s="149"/>
      <c r="E67" s="149"/>
      <c r="F67" s="150">
        <f>F69/$I69</f>
        <v>0.3038166462510476</v>
      </c>
      <c r="G67" s="150">
        <f>G69/$I69</f>
        <v>0.54125029548922265</v>
      </c>
      <c r="H67" s="150">
        <f>H69/$I69</f>
        <v>0.15493305825972964</v>
      </c>
      <c r="I67" s="149"/>
      <c r="J67" s="151"/>
      <c r="L67" s="152"/>
      <c r="M67" s="153"/>
      <c r="N67" s="151"/>
    </row>
    <row r="68" spans="2:14" ht="15" x14ac:dyDescent="0.25">
      <c r="B68" s="154">
        <v>41602063</v>
      </c>
      <c r="C68" s="149"/>
      <c r="D68" s="149"/>
      <c r="E68" s="149"/>
      <c r="F68" s="155">
        <v>28275000</v>
      </c>
      <c r="G68" s="155">
        <v>50372000</v>
      </c>
      <c r="H68" s="155">
        <v>14419000</v>
      </c>
      <c r="I68" s="156">
        <f>SUM(F68:H68)</f>
        <v>93066000</v>
      </c>
      <c r="J68" s="151"/>
      <c r="L68" s="148" t="s">
        <v>88</v>
      </c>
      <c r="M68" s="155">
        <v>131440</v>
      </c>
      <c r="N68" s="151"/>
    </row>
    <row r="69" spans="2:14" ht="15" x14ac:dyDescent="0.25">
      <c r="B69" s="154">
        <v>4712741</v>
      </c>
      <c r="C69" s="149"/>
      <c r="D69" s="149"/>
      <c r="E69" s="149"/>
      <c r="F69" s="155">
        <f>F68/1.5227</f>
        <v>18568989.295330662</v>
      </c>
      <c r="G69" s="155">
        <f>G68/1.5227</f>
        <v>33080711.893347345</v>
      </c>
      <c r="H69" s="155">
        <f>H68/1.5227</f>
        <v>9469363.6303933803</v>
      </c>
      <c r="I69" s="156">
        <f>SUM(F69:H69)</f>
        <v>61119064.81907139</v>
      </c>
      <c r="J69" s="151"/>
      <c r="L69" s="148" t="s">
        <v>89</v>
      </c>
      <c r="M69" s="155">
        <v>469601</v>
      </c>
      <c r="N69" s="151"/>
    </row>
    <row r="70" spans="2:14" ht="15" x14ac:dyDescent="0.25">
      <c r="B70" s="154">
        <v>2639135</v>
      </c>
      <c r="C70" s="157">
        <f>SUM(B68:B70)</f>
        <v>48953939</v>
      </c>
      <c r="D70" s="149"/>
      <c r="E70" s="149"/>
      <c r="F70" s="149"/>
      <c r="G70" s="149"/>
      <c r="H70" s="149"/>
      <c r="I70" s="158"/>
      <c r="J70" s="151"/>
      <c r="L70" s="148" t="s">
        <v>90</v>
      </c>
      <c r="M70" s="155">
        <v>312802</v>
      </c>
      <c r="N70" s="151"/>
    </row>
    <row r="71" spans="2:14" ht="15" x14ac:dyDescent="0.25">
      <c r="B71" s="154">
        <f>SUM(B68:B70)*0.07</f>
        <v>3426775.7300000004</v>
      </c>
      <c r="C71" s="159">
        <v>7.0000000000000007E-2</v>
      </c>
      <c r="D71" s="149"/>
      <c r="E71" s="149"/>
      <c r="F71" s="160">
        <f>$J71*F67</f>
        <v>25439515.334603008</v>
      </c>
      <c r="G71" s="160">
        <f>$J71*G67</f>
        <v>45320575.293885864</v>
      </c>
      <c r="H71" s="160">
        <f>$J71*H67</f>
        <v>12973028.173638931</v>
      </c>
      <c r="I71" s="161">
        <f>SUM(F71:H71)</f>
        <v>83733118.802127793</v>
      </c>
      <c r="J71" s="162">
        <f>I69*1.37</f>
        <v>83733118.802127808</v>
      </c>
      <c r="L71" s="148" t="s">
        <v>91</v>
      </c>
      <c r="M71" s="155">
        <v>281380</v>
      </c>
      <c r="N71" s="163">
        <v>0.6</v>
      </c>
    </row>
    <row r="72" spans="2:14" ht="15" x14ac:dyDescent="0.25">
      <c r="B72" s="154">
        <f>SUM(B68:B71)*0.02</f>
        <v>1047614.2946000001</v>
      </c>
      <c r="C72" s="159">
        <v>0.02</v>
      </c>
      <c r="D72" s="149"/>
      <c r="E72" s="149"/>
      <c r="F72" s="164">
        <f>F71*1.5227</f>
        <v>38736750</v>
      </c>
      <c r="G72" s="164">
        <f>G71*1.5227</f>
        <v>69009640</v>
      </c>
      <c r="H72" s="164">
        <f>H71*1.5227</f>
        <v>19754030</v>
      </c>
      <c r="I72" s="165">
        <f>I71*1.5227</f>
        <v>127500419.99999999</v>
      </c>
      <c r="J72" s="151"/>
      <c r="L72" s="148" t="s">
        <v>92</v>
      </c>
      <c r="M72" s="155">
        <v>2231569</v>
      </c>
      <c r="N72" s="163">
        <v>0.6</v>
      </c>
    </row>
    <row r="73" spans="2:14" ht="15" x14ac:dyDescent="0.25">
      <c r="B73" s="166">
        <f>SUM(B71:B72)</f>
        <v>4474390.0246000011</v>
      </c>
      <c r="C73" s="149"/>
      <c r="D73" s="149"/>
      <c r="E73" s="164"/>
      <c r="F73" s="167">
        <v>28737000</v>
      </c>
      <c r="G73" s="168">
        <v>49010000</v>
      </c>
      <c r="H73" s="168">
        <v>49753420</v>
      </c>
      <c r="I73" s="164">
        <f>I72-SUM(E73:H73)</f>
        <v>0</v>
      </c>
      <c r="J73" s="151"/>
      <c r="L73" s="148" t="s">
        <v>93</v>
      </c>
      <c r="M73" s="155">
        <v>707673</v>
      </c>
      <c r="N73" s="163">
        <v>0.8</v>
      </c>
    </row>
    <row r="74" spans="2:14" x14ac:dyDescent="0.2">
      <c r="B74" s="154">
        <f>B73*0.1</f>
        <v>447439.00246000011</v>
      </c>
      <c r="C74" s="149" t="s">
        <v>94</v>
      </c>
      <c r="D74" s="149"/>
      <c r="E74" s="149"/>
      <c r="F74" s="149"/>
      <c r="G74" s="149"/>
      <c r="H74" s="149"/>
      <c r="I74" s="149"/>
      <c r="J74" s="151"/>
      <c r="L74" s="148" t="s">
        <v>66</v>
      </c>
      <c r="M74" s="156">
        <f>SUM(M68:M70)+(M71*N71)+(M72*N72)+(M73*N73)</f>
        <v>2987750.8</v>
      </c>
      <c r="N74" s="151"/>
    </row>
    <row r="75" spans="2:14" ht="15" x14ac:dyDescent="0.25">
      <c r="B75" s="154">
        <f>SUM(B73:B74)*0.5227</f>
        <v>2572640.0324442629</v>
      </c>
      <c r="C75" s="149" t="s">
        <v>95</v>
      </c>
      <c r="D75" s="169">
        <f>B73+B74</f>
        <v>4921829.0270600012</v>
      </c>
      <c r="E75" s="155">
        <f>SUM(E77:E88)</f>
        <v>4921829.0270600021</v>
      </c>
      <c r="F75" s="149"/>
      <c r="G75" s="149"/>
      <c r="H75" s="149"/>
      <c r="I75" s="149"/>
      <c r="J75" s="151"/>
      <c r="L75" s="148" t="s">
        <v>96</v>
      </c>
      <c r="M75" s="156">
        <v>8075641</v>
      </c>
      <c r="N75" s="151"/>
    </row>
    <row r="76" spans="2:14" ht="15" x14ac:dyDescent="0.25">
      <c r="B76" s="154">
        <f>G89</f>
        <v>188054.88407558424</v>
      </c>
      <c r="C76" s="149" t="s">
        <v>97</v>
      </c>
      <c r="D76" s="149"/>
      <c r="E76" s="149"/>
      <c r="F76" s="149"/>
      <c r="G76" s="149"/>
      <c r="H76" s="149"/>
      <c r="I76" s="149"/>
      <c r="J76" s="151"/>
      <c r="L76" s="148"/>
      <c r="M76" s="155"/>
      <c r="N76" s="151"/>
    </row>
    <row r="77" spans="2:14" ht="15" x14ac:dyDescent="0.25">
      <c r="B77" s="166">
        <f>B73+B74+B75+B76</f>
        <v>7682523.9435798479</v>
      </c>
      <c r="C77" s="158" t="s">
        <v>98</v>
      </c>
      <c r="D77" s="149"/>
      <c r="E77" s="155">
        <f>$D$75*0.05</f>
        <v>246091.45135300007</v>
      </c>
      <c r="F77" s="170">
        <f>E77</f>
        <v>246091.45135300007</v>
      </c>
      <c r="G77" s="171">
        <f>(F77*0.07)/12</f>
        <v>1435.5334662258338</v>
      </c>
      <c r="H77" s="170"/>
      <c r="I77" s="170"/>
      <c r="J77" s="172"/>
      <c r="L77" s="173" t="s">
        <v>99</v>
      </c>
      <c r="M77" s="174">
        <f>M74/(M75)</f>
        <v>0.36997073049681134</v>
      </c>
      <c r="N77" s="175"/>
    </row>
    <row r="78" spans="2:14" ht="15" x14ac:dyDescent="0.25">
      <c r="B78" s="148"/>
      <c r="C78" s="149"/>
      <c r="D78" s="149"/>
      <c r="E78" s="155">
        <f>$D$75*0.05</f>
        <v>246091.45135300007</v>
      </c>
      <c r="F78" s="160">
        <f>SUM(E$77:E77)+E78</f>
        <v>492182.90270600014</v>
      </c>
      <c r="G78" s="171">
        <f>(F78*0.07)/12</f>
        <v>2871.0669324516675</v>
      </c>
      <c r="H78" s="149"/>
      <c r="I78" s="149"/>
      <c r="J78" s="151"/>
    </row>
    <row r="79" spans="2:14" ht="15" x14ac:dyDescent="0.25">
      <c r="B79" s="148"/>
      <c r="C79" s="149"/>
      <c r="D79" s="149"/>
      <c r="E79" s="155">
        <f>$D$75*0.05</f>
        <v>246091.45135300007</v>
      </c>
      <c r="F79" s="160">
        <f>SUM(E$77:E78)+E79</f>
        <v>738274.35405900027</v>
      </c>
      <c r="G79" s="171">
        <f t="shared" ref="G79:G88" si="11">(F79*0.07)/12</f>
        <v>4306.6003986775022</v>
      </c>
      <c r="H79" s="149"/>
      <c r="I79" s="149"/>
      <c r="J79" s="151"/>
    </row>
    <row r="80" spans="2:14" ht="15" x14ac:dyDescent="0.25">
      <c r="B80" s="148"/>
      <c r="C80" s="149"/>
      <c r="D80" s="149"/>
      <c r="E80" s="155">
        <f>$D$75*0.1</f>
        <v>492182.90270600014</v>
      </c>
      <c r="F80" s="160">
        <f>SUM(E$77:E79)+E80</f>
        <v>1230457.2567650005</v>
      </c>
      <c r="G80" s="171">
        <f t="shared" si="11"/>
        <v>7177.6673311291706</v>
      </c>
      <c r="H80" s="149"/>
      <c r="I80" s="149"/>
      <c r="J80" s="151"/>
    </row>
    <row r="81" spans="2:10" ht="15" x14ac:dyDescent="0.25">
      <c r="B81" s="148"/>
      <c r="C81" s="149"/>
      <c r="D81" s="149"/>
      <c r="E81" s="155">
        <f>$D$75*0.1</f>
        <v>492182.90270600014</v>
      </c>
      <c r="F81" s="160">
        <f>SUM(E$77:E80)+E81</f>
        <v>1722640.1594710005</v>
      </c>
      <c r="G81" s="171">
        <f t="shared" si="11"/>
        <v>10048.734263580836</v>
      </c>
      <c r="H81" s="149"/>
      <c r="I81" s="149"/>
      <c r="J81" s="151"/>
    </row>
    <row r="82" spans="2:10" ht="15" x14ac:dyDescent="0.25">
      <c r="B82" s="148"/>
      <c r="C82" s="149"/>
      <c r="D82" s="149"/>
      <c r="E82" s="155">
        <f>$D$75*0.15</f>
        <v>738274.35405900015</v>
      </c>
      <c r="F82" s="160">
        <f>SUM(E$77:E81)+E82</f>
        <v>2460914.5135300006</v>
      </c>
      <c r="G82" s="171">
        <f t="shared" si="11"/>
        <v>14355.334662258339</v>
      </c>
      <c r="H82" s="149"/>
      <c r="I82" s="149"/>
      <c r="J82" s="151"/>
    </row>
    <row r="83" spans="2:10" ht="15" x14ac:dyDescent="0.25">
      <c r="B83" s="148"/>
      <c r="C83" s="149"/>
      <c r="D83" s="149"/>
      <c r="E83" s="155">
        <f>$D$75*0.15</f>
        <v>738274.35405900015</v>
      </c>
      <c r="F83" s="160">
        <f>SUM(E$77:E82)+E83</f>
        <v>3199188.8675890006</v>
      </c>
      <c r="G83" s="171">
        <f t="shared" si="11"/>
        <v>18661.935060935841</v>
      </c>
      <c r="H83" s="149"/>
      <c r="I83" s="149"/>
      <c r="J83" s="151"/>
    </row>
    <row r="84" spans="2:10" ht="15" x14ac:dyDescent="0.25">
      <c r="B84" s="148"/>
      <c r="C84" s="149"/>
      <c r="D84" s="149"/>
      <c r="E84" s="155">
        <f>$D$75*0.15</f>
        <v>738274.35405900015</v>
      </c>
      <c r="F84" s="160">
        <f>SUM(E$77:E83)+E84</f>
        <v>3937463.2216480006</v>
      </c>
      <c r="G84" s="171">
        <f t="shared" si="11"/>
        <v>22968.53545961334</v>
      </c>
      <c r="H84" s="149"/>
      <c r="I84" s="149"/>
      <c r="J84" s="151"/>
    </row>
    <row r="85" spans="2:10" ht="15" x14ac:dyDescent="0.25">
      <c r="B85" s="148"/>
      <c r="C85" s="149"/>
      <c r="D85" s="149"/>
      <c r="E85" s="155">
        <f>$D$75*0.05</f>
        <v>246091.45135300007</v>
      </c>
      <c r="F85" s="160">
        <f>SUM(E$77:E84)+E85</f>
        <v>4183554.6730010007</v>
      </c>
      <c r="G85" s="171">
        <f t="shared" si="11"/>
        <v>24404.068925839176</v>
      </c>
      <c r="H85" s="149"/>
      <c r="I85" s="149"/>
      <c r="J85" s="151"/>
    </row>
    <row r="86" spans="2:10" ht="15" x14ac:dyDescent="0.25">
      <c r="B86" s="148"/>
      <c r="C86" s="149"/>
      <c r="D86" s="149"/>
      <c r="E86" s="155">
        <f>$D$75*0.05</f>
        <v>246091.45135300007</v>
      </c>
      <c r="F86" s="160">
        <f>SUM(E$77:E85)+E86</f>
        <v>4429646.1243540011</v>
      </c>
      <c r="G86" s="171">
        <f t="shared" si="11"/>
        <v>25839.602392065008</v>
      </c>
      <c r="H86" s="149"/>
      <c r="I86" s="149"/>
      <c r="J86" s="151"/>
    </row>
    <row r="87" spans="2:10" ht="15" x14ac:dyDescent="0.25">
      <c r="B87" s="148"/>
      <c r="C87" s="149"/>
      <c r="D87" s="149"/>
      <c r="E87" s="155">
        <f>$D$75*0.05</f>
        <v>246091.45135300007</v>
      </c>
      <c r="F87" s="160">
        <f>SUM(E$77:E86)+E87</f>
        <v>4675737.5757070016</v>
      </c>
      <c r="G87" s="171">
        <f t="shared" si="11"/>
        <v>27275.135858290843</v>
      </c>
      <c r="H87" s="149"/>
      <c r="I87" s="149"/>
      <c r="J87" s="151"/>
    </row>
    <row r="88" spans="2:10" ht="15" x14ac:dyDescent="0.25">
      <c r="B88" s="148"/>
      <c r="C88" s="149"/>
      <c r="D88" s="149"/>
      <c r="E88" s="155">
        <f>$D$75*0.05</f>
        <v>246091.45135300007</v>
      </c>
      <c r="F88" s="160">
        <f>SUM(E$77:E87)+E88</f>
        <v>4921829.0270600021</v>
      </c>
      <c r="G88" s="171">
        <f t="shared" si="11"/>
        <v>28710.669324516683</v>
      </c>
      <c r="H88" s="149"/>
      <c r="I88" s="149"/>
      <c r="J88" s="151"/>
    </row>
    <row r="89" spans="2:10" x14ac:dyDescent="0.2">
      <c r="B89" s="148"/>
      <c r="C89" s="149"/>
      <c r="D89" s="149"/>
      <c r="E89" s="149"/>
      <c r="F89" s="149"/>
      <c r="G89" s="156">
        <f>SUM(G77:G88)</f>
        <v>188054.88407558424</v>
      </c>
      <c r="H89" s="158" t="s">
        <v>100</v>
      </c>
      <c r="I89" s="149"/>
      <c r="J89" s="151"/>
    </row>
    <row r="90" spans="2:10" x14ac:dyDescent="0.2">
      <c r="B90" s="148"/>
      <c r="C90" s="149"/>
      <c r="D90" s="149"/>
      <c r="E90" s="149"/>
      <c r="F90" s="149"/>
      <c r="G90" s="149"/>
      <c r="H90" s="149"/>
      <c r="I90" s="149"/>
      <c r="J90" s="151"/>
    </row>
    <row r="91" spans="2:10" x14ac:dyDescent="0.2">
      <c r="B91" s="173"/>
      <c r="C91" s="176"/>
      <c r="D91" s="176"/>
      <c r="E91" s="176"/>
      <c r="F91" s="176"/>
      <c r="G91" s="176"/>
      <c r="H91" s="176"/>
      <c r="I91" s="176"/>
      <c r="J91" s="175"/>
    </row>
  </sheetData>
  <mergeCells count="13">
    <mergeCell ref="L66:M66"/>
    <mergeCell ref="G35:H35"/>
    <mergeCell ref="G36:H36"/>
    <mergeCell ref="G37:H37"/>
    <mergeCell ref="G38:H38"/>
    <mergeCell ref="G40:H40"/>
    <mergeCell ref="B66:D66"/>
    <mergeCell ref="A1:J1"/>
    <mergeCell ref="A5:A6"/>
    <mergeCell ref="A19:A20"/>
    <mergeCell ref="B32:J32"/>
    <mergeCell ref="B33:C33"/>
    <mergeCell ref="H33:I33"/>
  </mergeCells>
  <dataValidations disablePrompts="1" count="2">
    <dataValidation allowBlank="1" showErrorMessage="1" errorTitle="Enter Yes or No" error="Please enter either yes or no to reflect partial capitalisation of costs_x000a_" sqref="B22:E22"/>
    <dataValidation type="list" allowBlank="1" showInputMessage="1" showErrorMessage="1" errorTitle="Incorrect Entry" error="Please enter a number between 2 and 5" sqref="B16">
      <formula1>$AG$3:$AG$6</formula1>
    </dataValidation>
  </dataValidations>
  <pageMargins left="0.35433070866141736" right="0.35433070866141736" top="0.59055118110236227" bottom="0.59055118110236227" header="0.51181102362204722" footer="0.51181102362204722"/>
  <pageSetup paperSize="9" scale="98" orientation="portrait" r:id="rId1"/>
  <headerFooter alignWithMargins="0"/>
  <drawing r:id="rId2"/>
  <legacyDrawing r:id="rId3"/>
  <controls>
    <mc:AlternateContent xmlns:mc="http://schemas.openxmlformats.org/markup-compatibility/2006">
      <mc:Choice Requires="x14">
        <control shapeId="15364" r:id="rId4" name="CheckBox4">
          <controlPr locked="0" defaultSize="0" autoLine="0" linkedCell="AD11" r:id="rId5">
            <anchor moveWithCells="1">
              <from>
                <xdr:col>4</xdr:col>
                <xdr:colOff>333375</xdr:colOff>
                <xdr:row>21</xdr:row>
                <xdr:rowOff>19050</xdr:rowOff>
              </from>
              <to>
                <xdr:col>4</xdr:col>
                <xdr:colOff>476250</xdr:colOff>
                <xdr:row>21</xdr:row>
                <xdr:rowOff>152400</xdr:rowOff>
              </to>
            </anchor>
          </controlPr>
        </control>
      </mc:Choice>
      <mc:Fallback>
        <control shapeId="15364" r:id="rId4" name="CheckBox4"/>
      </mc:Fallback>
    </mc:AlternateContent>
    <mc:AlternateContent xmlns:mc="http://schemas.openxmlformats.org/markup-compatibility/2006">
      <mc:Choice Requires="x14">
        <control shapeId="15363" r:id="rId6" name="CheckBox3">
          <controlPr locked="0" defaultSize="0" autoLine="0" linkedCell="AB11" r:id="rId7">
            <anchor moveWithCells="1">
              <from>
                <xdr:col>3</xdr:col>
                <xdr:colOff>333375</xdr:colOff>
                <xdr:row>21</xdr:row>
                <xdr:rowOff>19050</xdr:rowOff>
              </from>
              <to>
                <xdr:col>3</xdr:col>
                <xdr:colOff>476250</xdr:colOff>
                <xdr:row>21</xdr:row>
                <xdr:rowOff>152400</xdr:rowOff>
              </to>
            </anchor>
          </controlPr>
        </control>
      </mc:Choice>
      <mc:Fallback>
        <control shapeId="15363" r:id="rId6" name="CheckBox3"/>
      </mc:Fallback>
    </mc:AlternateContent>
    <mc:AlternateContent xmlns:mc="http://schemas.openxmlformats.org/markup-compatibility/2006">
      <mc:Choice Requires="x14">
        <control shapeId="15362" r:id="rId8" name="CheckBox2">
          <controlPr locked="0" defaultSize="0" autoLine="0" linkedCell="Z11" r:id="rId9">
            <anchor moveWithCells="1">
              <from>
                <xdr:col>2</xdr:col>
                <xdr:colOff>333375</xdr:colOff>
                <xdr:row>21</xdr:row>
                <xdr:rowOff>19050</xdr:rowOff>
              </from>
              <to>
                <xdr:col>2</xdr:col>
                <xdr:colOff>476250</xdr:colOff>
                <xdr:row>21</xdr:row>
                <xdr:rowOff>152400</xdr:rowOff>
              </to>
            </anchor>
          </controlPr>
        </control>
      </mc:Choice>
      <mc:Fallback>
        <control shapeId="15362" r:id="rId8" name="CheckBox2"/>
      </mc:Fallback>
    </mc:AlternateContent>
    <mc:AlternateContent xmlns:mc="http://schemas.openxmlformats.org/markup-compatibility/2006">
      <mc:Choice Requires="x14">
        <control shapeId="15361" r:id="rId10" name="CheckBox1">
          <controlPr locked="0" defaultSize="0" autoLine="0" linkedCell="X11" r:id="rId11">
            <anchor moveWithCells="1">
              <from>
                <xdr:col>1</xdr:col>
                <xdr:colOff>333375</xdr:colOff>
                <xdr:row>21</xdr:row>
                <xdr:rowOff>19050</xdr:rowOff>
              </from>
              <to>
                <xdr:col>1</xdr:col>
                <xdr:colOff>476250</xdr:colOff>
                <xdr:row>21</xdr:row>
                <xdr:rowOff>152400</xdr:rowOff>
              </to>
            </anchor>
          </controlPr>
        </control>
      </mc:Choice>
      <mc:Fallback>
        <control shapeId="15361" r:id="rId10" name="CheckBox1"/>
      </mc:Fallback>
    </mc:AlternateContent>
  </control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39"/>
  <sheetViews>
    <sheetView workbookViewId="0"/>
  </sheetViews>
  <sheetFormatPr defaultRowHeight="15" x14ac:dyDescent="0.25"/>
  <cols>
    <col min="1" max="1" width="44" style="246" customWidth="1"/>
    <col min="2" max="2" width="18.7109375" style="246" customWidth="1"/>
    <col min="3" max="3" width="17.140625" style="246" customWidth="1"/>
    <col min="4" max="16384" width="9.140625" style="246"/>
  </cols>
  <sheetData>
    <row r="1" spans="1:3" ht="30" x14ac:dyDescent="0.25">
      <c r="A1" s="18" t="s">
        <v>28</v>
      </c>
      <c r="B1" s="19" t="s">
        <v>628</v>
      </c>
      <c r="C1" s="19" t="s">
        <v>628</v>
      </c>
    </row>
    <row r="2" spans="1:3" x14ac:dyDescent="0.25">
      <c r="A2" s="20" t="s">
        <v>30</v>
      </c>
      <c r="B2" s="453" t="s">
        <v>629</v>
      </c>
      <c r="C2" s="453" t="s">
        <v>630</v>
      </c>
    </row>
    <row r="3" spans="1:3" x14ac:dyDescent="0.25">
      <c r="A3" s="21" t="s">
        <v>619</v>
      </c>
      <c r="B3" s="458" t="s">
        <v>626</v>
      </c>
      <c r="C3" s="458" t="s">
        <v>626</v>
      </c>
    </row>
    <row r="4" spans="1:3" x14ac:dyDescent="0.25">
      <c r="A4" s="21" t="s">
        <v>32</v>
      </c>
      <c r="B4" s="22">
        <v>4623000</v>
      </c>
      <c r="C4" s="22">
        <v>6536000</v>
      </c>
    </row>
    <row r="5" spans="1:3" x14ac:dyDescent="0.25">
      <c r="A5" s="21" t="s">
        <v>33</v>
      </c>
      <c r="B5" s="22">
        <v>1880000</v>
      </c>
      <c r="C5" s="22">
        <v>2672000</v>
      </c>
    </row>
    <row r="6" spans="1:3" x14ac:dyDescent="0.25">
      <c r="A6" s="21" t="s">
        <v>34</v>
      </c>
      <c r="B6" s="459">
        <v>580000</v>
      </c>
      <c r="C6" s="459">
        <v>544000</v>
      </c>
    </row>
    <row r="7" spans="1:3" x14ac:dyDescent="0.25">
      <c r="A7" s="21" t="s">
        <v>152</v>
      </c>
      <c r="B7" s="459">
        <v>655000</v>
      </c>
      <c r="C7" s="459">
        <v>1043000</v>
      </c>
    </row>
    <row r="8" spans="1:3" x14ac:dyDescent="0.25">
      <c r="A8" s="21" t="s">
        <v>620</v>
      </c>
      <c r="B8" s="459">
        <v>2149000</v>
      </c>
      <c r="C8" s="459">
        <v>1557000</v>
      </c>
    </row>
    <row r="9" spans="1:3" x14ac:dyDescent="0.25">
      <c r="A9" s="21" t="s">
        <v>157</v>
      </c>
      <c r="B9" s="459">
        <v>760000</v>
      </c>
      <c r="C9" s="459">
        <v>393000</v>
      </c>
    </row>
    <row r="10" spans="1:3" x14ac:dyDescent="0.25">
      <c r="A10" s="21" t="s">
        <v>160</v>
      </c>
      <c r="B10" s="459">
        <v>756000</v>
      </c>
      <c r="C10" s="459">
        <v>890000</v>
      </c>
    </row>
    <row r="11" spans="1:3" x14ac:dyDescent="0.25">
      <c r="A11" s="21" t="s">
        <v>627</v>
      </c>
      <c r="B11" s="459">
        <v>618000</v>
      </c>
      <c r="C11" s="459">
        <v>564000</v>
      </c>
    </row>
    <row r="12" spans="1:3" x14ac:dyDescent="0.25">
      <c r="A12" s="21" t="s">
        <v>170</v>
      </c>
      <c r="B12" s="459">
        <v>164000</v>
      </c>
      <c r="C12" s="459">
        <v>152000</v>
      </c>
    </row>
    <row r="13" spans="1:3" x14ac:dyDescent="0.25">
      <c r="A13" s="21" t="s">
        <v>174</v>
      </c>
      <c r="B13" s="459">
        <v>690000</v>
      </c>
      <c r="C13" s="459">
        <v>410000</v>
      </c>
    </row>
    <row r="14" spans="1:3" x14ac:dyDescent="0.25">
      <c r="A14" s="21" t="s">
        <v>621</v>
      </c>
      <c r="B14" s="459">
        <v>140000</v>
      </c>
      <c r="C14" s="459">
        <v>83000</v>
      </c>
    </row>
    <row r="15" spans="1:3" x14ac:dyDescent="0.25">
      <c r="A15" s="21" t="s">
        <v>622</v>
      </c>
      <c r="B15" s="459">
        <v>2114000</v>
      </c>
      <c r="C15" s="459">
        <v>3421000</v>
      </c>
    </row>
    <row r="16" spans="1:3" x14ac:dyDescent="0.25">
      <c r="A16" s="21" t="s">
        <v>623</v>
      </c>
      <c r="B16" s="459">
        <v>413000</v>
      </c>
      <c r="C16" s="459">
        <v>138000</v>
      </c>
    </row>
    <row r="17" spans="1:3" x14ac:dyDescent="0.25">
      <c r="A17" s="21" t="s">
        <v>624</v>
      </c>
      <c r="B17" s="459">
        <v>682000</v>
      </c>
      <c r="C17" s="459">
        <v>453000</v>
      </c>
    </row>
    <row r="18" spans="1:3" x14ac:dyDescent="0.25">
      <c r="A18" s="460" t="s">
        <v>625</v>
      </c>
      <c r="B18" s="459">
        <v>1277000</v>
      </c>
      <c r="C18" s="459">
        <v>0</v>
      </c>
    </row>
    <row r="19" spans="1:3" ht="15.75" thickBot="1" x14ac:dyDescent="0.3">
      <c r="A19" s="23" t="s">
        <v>36</v>
      </c>
      <c r="B19" s="24">
        <f>SUM(B3:B18)</f>
        <v>17501000</v>
      </c>
      <c r="C19" s="24">
        <f>SUM(C3:C18)</f>
        <v>18856000</v>
      </c>
    </row>
    <row r="20" spans="1:3" ht="15.75" thickBot="1" x14ac:dyDescent="0.3">
      <c r="A20" s="21" t="s">
        <v>37</v>
      </c>
      <c r="B20" s="457"/>
      <c r="C20" s="455"/>
    </row>
    <row r="21" spans="1:3" ht="15.75" thickBot="1" x14ac:dyDescent="0.3">
      <c r="A21" s="26" t="s">
        <v>36</v>
      </c>
      <c r="B21" s="456">
        <f>SUM(B19:C20)</f>
        <v>36357000</v>
      </c>
      <c r="C21" s="454"/>
    </row>
    <row r="22" spans="1:3" x14ac:dyDescent="0.25">
      <c r="A22" s="20" t="s">
        <v>618</v>
      </c>
      <c r="B22" s="30"/>
    </row>
    <row r="23" spans="1:3" x14ac:dyDescent="0.25">
      <c r="A23" s="21" t="s">
        <v>39</v>
      </c>
      <c r="B23" s="22">
        <v>500000</v>
      </c>
    </row>
    <row r="24" spans="1:3" x14ac:dyDescent="0.25">
      <c r="A24" s="21" t="s">
        <v>41</v>
      </c>
      <c r="B24" s="482">
        <v>100000</v>
      </c>
      <c r="C24" s="247"/>
    </row>
    <row r="25" spans="1:3" x14ac:dyDescent="0.25">
      <c r="A25" s="21" t="s">
        <v>43</v>
      </c>
      <c r="B25" s="22">
        <v>150000</v>
      </c>
    </row>
    <row r="26" spans="1:3" x14ac:dyDescent="0.25">
      <c r="A26" s="21" t="s">
        <v>44</v>
      </c>
      <c r="B26" s="22">
        <v>250000</v>
      </c>
      <c r="C26" s="46"/>
    </row>
    <row r="27" spans="1:3" x14ac:dyDescent="0.25">
      <c r="A27" s="21" t="s">
        <v>45</v>
      </c>
      <c r="B27" s="22">
        <v>400000</v>
      </c>
      <c r="C27" s="43"/>
    </row>
    <row r="28" spans="1:3" ht="15" customHeight="1" thickBot="1" x14ac:dyDescent="0.3">
      <c r="A28" s="21" t="s">
        <v>46</v>
      </c>
      <c r="B28" s="22">
        <v>600000</v>
      </c>
    </row>
    <row r="29" spans="1:3" ht="15.75" thickBot="1" x14ac:dyDescent="0.3">
      <c r="A29" s="26" t="s">
        <v>47</v>
      </c>
      <c r="B29" s="31">
        <f>SUM(B23:B28)</f>
        <v>2000000</v>
      </c>
    </row>
    <row r="30" spans="1:3" x14ac:dyDescent="0.25">
      <c r="A30" s="32" t="s">
        <v>214</v>
      </c>
      <c r="B30" s="33">
        <f>(B21+B29)*0.05</f>
        <v>1917850</v>
      </c>
      <c r="C30" s="53"/>
    </row>
    <row r="31" spans="1:3" ht="15.75" thickBot="1" x14ac:dyDescent="0.3">
      <c r="A31" s="34" t="s">
        <v>48</v>
      </c>
      <c r="B31" s="35">
        <f>B30+B29+B21</f>
        <v>40274850</v>
      </c>
      <c r="C31" s="54"/>
    </row>
    <row r="32" spans="1:3" ht="15.75" thickBot="1" x14ac:dyDescent="0.3">
      <c r="C32" s="43"/>
    </row>
    <row r="33" spans="1:2" x14ac:dyDescent="0.25">
      <c r="A33" s="37" t="s">
        <v>219</v>
      </c>
      <c r="B33" s="38">
        <v>1899509</v>
      </c>
    </row>
    <row r="34" spans="1:2" x14ac:dyDescent="0.25">
      <c r="A34" s="39" t="s">
        <v>49</v>
      </c>
      <c r="B34" s="40">
        <v>0</v>
      </c>
    </row>
    <row r="35" spans="1:2" ht="15.75" x14ac:dyDescent="0.25">
      <c r="A35" s="44"/>
      <c r="B35" s="45"/>
    </row>
    <row r="36" spans="1:2" x14ac:dyDescent="0.25">
      <c r="A36" s="41" t="s">
        <v>62</v>
      </c>
      <c r="B36" s="42">
        <f>'OP7-Project Cost'!I37</f>
        <v>21027924.525605001</v>
      </c>
    </row>
    <row r="37" spans="1:2" ht="15.75" thickBot="1" x14ac:dyDescent="0.3">
      <c r="A37" s="47" t="s">
        <v>64</v>
      </c>
      <c r="B37" s="48">
        <f>'OP7-Project Cost'!I38</f>
        <v>4477005.7740819026</v>
      </c>
    </row>
    <row r="38" spans="1:2" x14ac:dyDescent="0.25">
      <c r="A38" s="49"/>
      <c r="B38" s="50"/>
    </row>
    <row r="39" spans="1:2" ht="15.75" thickBot="1" x14ac:dyDescent="0.3">
      <c r="A39" s="51" t="s">
        <v>50</v>
      </c>
      <c r="B39" s="52">
        <f>SUM(B31:B37)</f>
        <v>67679289.299686909</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G91"/>
  <sheetViews>
    <sheetView workbookViewId="0">
      <selection sqref="A1:J1"/>
    </sheetView>
  </sheetViews>
  <sheetFormatPr defaultRowHeight="12.75" x14ac:dyDescent="0.2"/>
  <cols>
    <col min="1" max="1" width="4.5703125" style="58" customWidth="1"/>
    <col min="2" max="6" width="12" style="58" customWidth="1"/>
    <col min="7" max="7" width="7" style="58" customWidth="1"/>
    <col min="8" max="8" width="11.28515625" style="58" bestFit="1" customWidth="1"/>
    <col min="9" max="9" width="13.7109375" style="58" customWidth="1"/>
    <col min="10" max="10" width="3.42578125" style="58" customWidth="1"/>
    <col min="11" max="11" width="10.5703125" style="58" customWidth="1"/>
    <col min="12" max="12" width="10.5703125" style="63" customWidth="1"/>
    <col min="13" max="22" width="10.42578125" style="58" customWidth="1"/>
    <col min="23" max="23" width="11.28515625" style="58" customWidth="1"/>
    <col min="24" max="33" width="10.140625" style="58" customWidth="1"/>
    <col min="34" max="16384" width="9.140625" style="58"/>
  </cols>
  <sheetData>
    <row r="1" spans="1:33" ht="21" customHeight="1" thickBot="1" x14ac:dyDescent="0.25">
      <c r="A1" s="669" t="s">
        <v>51</v>
      </c>
      <c r="B1" s="670"/>
      <c r="C1" s="670"/>
      <c r="D1" s="670"/>
      <c r="E1" s="670"/>
      <c r="F1" s="670"/>
      <c r="G1" s="670"/>
      <c r="H1" s="670"/>
      <c r="I1" s="670"/>
      <c r="J1" s="671"/>
      <c r="K1" s="56"/>
      <c r="L1" s="57"/>
    </row>
    <row r="2" spans="1:33" x14ac:dyDescent="0.2">
      <c r="A2" s="59" t="s">
        <v>52</v>
      </c>
      <c r="J2" s="60"/>
      <c r="K2" s="61"/>
      <c r="L2" s="61"/>
      <c r="V2" s="62"/>
    </row>
    <row r="3" spans="1:33" x14ac:dyDescent="0.2">
      <c r="X3" s="64" t="s">
        <v>53</v>
      </c>
      <c r="Y3" s="65"/>
      <c r="Z3" s="65"/>
      <c r="AA3" s="65"/>
      <c r="AB3" s="65"/>
      <c r="AC3" s="65"/>
      <c r="AD3" s="65"/>
      <c r="AE3" s="66"/>
      <c r="AF3" s="67" t="s">
        <v>54</v>
      </c>
      <c r="AG3" s="68">
        <v>2</v>
      </c>
    </row>
    <row r="4" spans="1:33" x14ac:dyDescent="0.2">
      <c r="B4" s="62" t="s">
        <v>55</v>
      </c>
      <c r="X4" s="69">
        <v>1</v>
      </c>
      <c r="Y4" s="70">
        <v>2</v>
      </c>
      <c r="Z4" s="70">
        <v>3</v>
      </c>
      <c r="AA4" s="70">
        <v>4</v>
      </c>
      <c r="AB4" s="70">
        <v>5</v>
      </c>
      <c r="AC4" s="70" t="s">
        <v>56</v>
      </c>
      <c r="AD4" s="71"/>
      <c r="AE4" s="72"/>
      <c r="AF4" s="71" t="s">
        <v>57</v>
      </c>
      <c r="AG4" s="73">
        <v>3</v>
      </c>
    </row>
    <row r="5" spans="1:33" x14ac:dyDescent="0.2">
      <c r="A5" s="672">
        <v>1</v>
      </c>
      <c r="B5" s="74">
        <f>'OP7-Item Costs'!B33</f>
        <v>1899509</v>
      </c>
      <c r="C5" s="75" t="s">
        <v>58</v>
      </c>
      <c r="X5" s="69"/>
      <c r="Y5" s="70"/>
      <c r="Z5" s="70"/>
      <c r="AA5" s="70"/>
      <c r="AB5" s="70"/>
      <c r="AC5" s="70"/>
      <c r="AD5" s="71"/>
      <c r="AE5" s="72"/>
      <c r="AF5" s="71"/>
      <c r="AG5" s="73">
        <v>4</v>
      </c>
    </row>
    <row r="6" spans="1:33" x14ac:dyDescent="0.2">
      <c r="A6" s="673"/>
      <c r="B6" s="74">
        <f>'OP7-Item Costs'!B21</f>
        <v>36357000</v>
      </c>
      <c r="C6" s="76" t="s">
        <v>59</v>
      </c>
      <c r="X6" s="77">
        <f>B20*B13</f>
        <v>1436036.92395</v>
      </c>
      <c r="Y6" s="78">
        <f>C20*$B13</f>
        <v>1357592.6162100001</v>
      </c>
      <c r="Z6" s="78">
        <f>D20*$B13</f>
        <v>13074051.289999999</v>
      </c>
      <c r="AA6" s="78">
        <f>E20*$B13</f>
        <v>13074051.289999999</v>
      </c>
      <c r="AB6" s="78">
        <f>F20*$B13</f>
        <v>13114116.931050001</v>
      </c>
      <c r="AC6" s="79">
        <f>SUM(X6:AB6)</f>
        <v>42055849.051210001</v>
      </c>
      <c r="AD6" s="71"/>
      <c r="AE6" s="72"/>
      <c r="AF6" s="71"/>
      <c r="AG6" s="73">
        <v>5</v>
      </c>
    </row>
    <row r="7" spans="1:33" x14ac:dyDescent="0.2">
      <c r="A7" s="80" t="s">
        <v>60</v>
      </c>
      <c r="X7" s="81">
        <v>0</v>
      </c>
      <c r="Y7" s="82">
        <f>Y6*B28</f>
        <v>0</v>
      </c>
      <c r="Z7" s="82">
        <f>Z6*($B$28*2)</f>
        <v>0</v>
      </c>
      <c r="AA7" s="82">
        <f>AA6*($B$28*3)</f>
        <v>0</v>
      </c>
      <c r="AB7" s="82">
        <f>AB6*($B$28*3)</f>
        <v>0</v>
      </c>
      <c r="AC7" s="83">
        <f>SUM(X7:AB7)</f>
        <v>0</v>
      </c>
      <c r="AD7" s="84" t="s">
        <v>61</v>
      </c>
      <c r="AE7" s="72"/>
      <c r="AF7" s="71"/>
      <c r="AG7" s="85"/>
    </row>
    <row r="8" spans="1:33" ht="9.75" customHeight="1" x14ac:dyDescent="0.25">
      <c r="H8" s="86"/>
      <c r="I8" s="87"/>
      <c r="J8" s="87"/>
      <c r="X8" s="81">
        <f>$B25*SUM(X6:X7)</f>
        <v>718018.46197499998</v>
      </c>
      <c r="Y8" s="82">
        <f>$B25*SUM(Y6:Y7)</f>
        <v>678796.30810500006</v>
      </c>
      <c r="Z8" s="82">
        <f>$B25*SUM(Z6:Z7)</f>
        <v>6537025.6449999996</v>
      </c>
      <c r="AA8" s="82">
        <f>$B25*SUM(AA6:AA7)</f>
        <v>6537025.6449999996</v>
      </c>
      <c r="AB8" s="82">
        <f>$B25*SUM(AB6:AB7)</f>
        <v>6557058.4655250004</v>
      </c>
      <c r="AC8" s="83">
        <f>SUM(X8:AB8)</f>
        <v>21027924.525605001</v>
      </c>
      <c r="AD8" s="84" t="s">
        <v>62</v>
      </c>
      <c r="AE8" s="71"/>
      <c r="AF8" s="71"/>
      <c r="AG8" s="85"/>
    </row>
    <row r="9" spans="1:33" ht="15" x14ac:dyDescent="0.25">
      <c r="B9" s="88" t="s">
        <v>63</v>
      </c>
      <c r="H9" s="86"/>
      <c r="I9" s="87"/>
      <c r="J9" s="87"/>
      <c r="X9" s="89">
        <f>Y25</f>
        <v>84787.304870093983</v>
      </c>
      <c r="Y9" s="90">
        <f>AA25</f>
        <v>244628.62978746591</v>
      </c>
      <c r="Z9" s="90">
        <f>AC25</f>
        <v>1103969.5991624366</v>
      </c>
      <c r="AA9" s="90">
        <f>AE25</f>
        <v>771925.53626223584</v>
      </c>
      <c r="AB9" s="90">
        <f>AG25</f>
        <v>2271694.7039996707</v>
      </c>
      <c r="AC9" s="83">
        <f>SUM(X9:AB9)</f>
        <v>4477005.7740819026</v>
      </c>
      <c r="AD9" s="84" t="s">
        <v>64</v>
      </c>
      <c r="AE9" s="71"/>
      <c r="AF9" s="71"/>
      <c r="AG9" s="85"/>
    </row>
    <row r="10" spans="1:33" ht="15" x14ac:dyDescent="0.25">
      <c r="A10" s="91">
        <v>2</v>
      </c>
      <c r="B10" s="92">
        <f>'OP7-Item Costs'!B29</f>
        <v>2000000</v>
      </c>
      <c r="C10" s="75" t="s">
        <v>65</v>
      </c>
      <c r="H10" s="86"/>
      <c r="I10" s="87"/>
      <c r="J10" s="87"/>
      <c r="X10" s="93"/>
      <c r="Y10" s="71"/>
      <c r="Z10" s="71"/>
      <c r="AA10" s="71"/>
      <c r="AB10" s="71"/>
      <c r="AC10" s="94">
        <f>SUM(AC6:AC9)</f>
        <v>67560779.35089691</v>
      </c>
      <c r="AD10" s="71"/>
      <c r="AE10" s="71"/>
      <c r="AF10" s="71"/>
      <c r="AG10" s="85"/>
    </row>
    <row r="11" spans="1:33" ht="15" x14ac:dyDescent="0.25">
      <c r="A11" s="91">
        <v>3</v>
      </c>
      <c r="B11" s="92">
        <f>'OP7-Item Costs'!B30</f>
        <v>1917850</v>
      </c>
      <c r="C11" s="75" t="s">
        <v>253</v>
      </c>
      <c r="H11" s="86"/>
      <c r="I11" s="87"/>
      <c r="J11" s="87"/>
      <c r="X11" s="95" t="b">
        <v>0</v>
      </c>
      <c r="Y11" s="71"/>
      <c r="Z11" s="96" t="b">
        <v>0</v>
      </c>
      <c r="AA11" s="71"/>
      <c r="AB11" s="96" t="b">
        <v>1</v>
      </c>
      <c r="AC11" s="71"/>
      <c r="AD11" s="96" t="b">
        <v>0</v>
      </c>
      <c r="AE11" s="71"/>
      <c r="AF11" s="71"/>
      <c r="AG11" s="85"/>
    </row>
    <row r="12" spans="1:33" x14ac:dyDescent="0.2">
      <c r="A12" s="91">
        <v>4</v>
      </c>
      <c r="B12" s="92"/>
      <c r="C12" s="75"/>
      <c r="H12" s="97"/>
      <c r="I12" s="98"/>
      <c r="J12" s="87"/>
      <c r="X12" s="99">
        <f>SUM(X6:X8)</f>
        <v>2154055.3859250001</v>
      </c>
      <c r="Y12" s="71"/>
      <c r="Z12" s="100">
        <f>SUM(Y6:Y8)</f>
        <v>2036388.9243150002</v>
      </c>
      <c r="AA12" s="71"/>
      <c r="AB12" s="100">
        <f>IF(AND($B$16&gt;2,D20&gt;0),SUM(Z6:Z8),0)</f>
        <v>19611076.934999999</v>
      </c>
      <c r="AC12" s="71"/>
      <c r="AD12" s="101">
        <f>IF(AND($B$16&gt;3,E20&gt;0),SUM(AA6:AA8),0)</f>
        <v>19611076.934999999</v>
      </c>
      <c r="AE12" s="82"/>
      <c r="AF12" s="101">
        <f>IF(AND($B$16&gt;4,F20&gt;0),SUM(AB6:AB8),0)</f>
        <v>19671175.396575</v>
      </c>
      <c r="AG12" s="102"/>
    </row>
    <row r="13" spans="1:33" x14ac:dyDescent="0.2">
      <c r="B13" s="103">
        <f>SUM($B$5:$B$6)+SUM($B$10:$B$12)</f>
        <v>42174359</v>
      </c>
      <c r="C13" s="104" t="s">
        <v>66</v>
      </c>
      <c r="X13" s="105">
        <f>X$12/12</f>
        <v>179504.61549375</v>
      </c>
      <c r="Y13" s="90">
        <f t="shared" ref="Y13:Y24" si="0">X13*(0.0711/12)</f>
        <v>1063.5648468004688</v>
      </c>
      <c r="Z13" s="105">
        <f>IF(X11,(Z$12/12),SUM($X$24:$Y$24)+(Z$12/12))</f>
        <v>2408541.7678213436</v>
      </c>
      <c r="AA13" s="90">
        <f t="shared" ref="AA13:AA24" si="1">Z13*(0.0711/12)</f>
        <v>14270.60997434146</v>
      </c>
      <c r="AB13" s="105">
        <f>IF(Z11,IF($B$16&gt;2,(AB$12/12),0),IF($B$16&gt;2,SUM($Z$24:$AA$24)+(AB$12/12),0))</f>
        <v>6154116.6561475582</v>
      </c>
      <c r="AC13" s="90">
        <f t="shared" ref="AC13:AC24" si="2">AB13*(0.0711/12)</f>
        <v>36463.141187674279</v>
      </c>
      <c r="AD13" s="106">
        <f>IF(AB11,IF($B$16&gt;3,(AD$12/12),0),IF($B$16&gt;3,SUM($AB$24:$AC$24)+(AD$12/12),0))</f>
        <v>1634256.4112499999</v>
      </c>
      <c r="AE13" s="90">
        <f t="shared" ref="AE13:AE24" si="3">AD13*(0.0711/12)</f>
        <v>9682.9692366562485</v>
      </c>
      <c r="AF13" s="105">
        <f>IF(AD11,IF($B$16&gt;4,(AF$12/12),0),IF($B$16&gt;4,SUM($AD$24:$AE$24)+(AF$12/12),0))</f>
        <v>22022267.087643482</v>
      </c>
      <c r="AG13" s="102">
        <f t="shared" ref="AG13:AG24" si="4">AF13*(0.0711/12)</f>
        <v>130481.93249428763</v>
      </c>
    </row>
    <row r="14" spans="1:33" x14ac:dyDescent="0.2">
      <c r="X14" s="81">
        <f>(X$12/12)+X13+Y13</f>
        <v>360072.79583430046</v>
      </c>
      <c r="Y14" s="90">
        <f t="shared" si="0"/>
        <v>2133.4313153182302</v>
      </c>
      <c r="Z14" s="81">
        <f>(Z$12/12)+Z13+AA13</f>
        <v>2592511.4548219349</v>
      </c>
      <c r="AA14" s="90">
        <f t="shared" si="1"/>
        <v>15360.630369819964</v>
      </c>
      <c r="AB14" s="81">
        <f>(AB$12/12)+AB13+AC13</f>
        <v>7824836.2085852325</v>
      </c>
      <c r="AC14" s="90">
        <f t="shared" si="2"/>
        <v>46362.154535867499</v>
      </c>
      <c r="AD14" s="81">
        <f>(AD$12/12)+AD13+AE13</f>
        <v>3278195.7917366559</v>
      </c>
      <c r="AE14" s="90">
        <f t="shared" si="3"/>
        <v>19423.310066039685</v>
      </c>
      <c r="AF14" s="81">
        <f>(AF$12/12)+AF13+AG13</f>
        <v>23792013.636519019</v>
      </c>
      <c r="AG14" s="102">
        <f t="shared" si="4"/>
        <v>140967.68079637518</v>
      </c>
    </row>
    <row r="15" spans="1:33" x14ac:dyDescent="0.2">
      <c r="B15" s="62" t="s">
        <v>67</v>
      </c>
      <c r="X15" s="81">
        <f>(X$12/12)+X14+Y14</f>
        <v>541710.84264336864</v>
      </c>
      <c r="Y15" s="90">
        <f t="shared" si="0"/>
        <v>3209.636742661959</v>
      </c>
      <c r="Z15" s="81">
        <f>(Z$12/12)+Z14+AA14</f>
        <v>2777571.1622180049</v>
      </c>
      <c r="AA15" s="90">
        <f t="shared" si="1"/>
        <v>16457.10913614168</v>
      </c>
      <c r="AB15" s="81">
        <f>(AB$12/12)+AB14+AC14</f>
        <v>9505454.7743710987</v>
      </c>
      <c r="AC15" s="90">
        <f t="shared" si="2"/>
        <v>56319.81953814876</v>
      </c>
      <c r="AD15" s="81">
        <f t="shared" ref="AD15:AD24" si="5">(AD$12/12)+AD14+AE14</f>
        <v>4931875.5130526954</v>
      </c>
      <c r="AE15" s="90">
        <f t="shared" si="3"/>
        <v>29221.362414837218</v>
      </c>
      <c r="AF15" s="81">
        <f t="shared" ref="AF15:AF24" si="6">(AF$12/12)+AF14+AG14</f>
        <v>25572245.933696643</v>
      </c>
      <c r="AG15" s="102">
        <f t="shared" si="4"/>
        <v>151515.55715715259</v>
      </c>
    </row>
    <row r="16" spans="1:33" x14ac:dyDescent="0.2">
      <c r="A16" s="91">
        <v>5</v>
      </c>
      <c r="B16" s="107">
        <v>5</v>
      </c>
      <c r="C16" s="75" t="s">
        <v>68</v>
      </c>
      <c r="X16" s="81">
        <f t="shared" ref="X16:X24" si="7">(X$12/12)+X15+Y15</f>
        <v>724425.09487978055</v>
      </c>
      <c r="Y16" s="90">
        <f t="shared" si="0"/>
        <v>4292.2186871626991</v>
      </c>
      <c r="Z16" s="81">
        <f t="shared" ref="Z16:Z24" si="8">(Z$12/12)+Z15+AA15</f>
        <v>2963727.3483803966</v>
      </c>
      <c r="AA16" s="90">
        <f t="shared" si="1"/>
        <v>17560.08453915385</v>
      </c>
      <c r="AB16" s="81">
        <f t="shared" ref="AB16:AB24" si="9">(AB$12/12)+AB15+AC15</f>
        <v>11196031.005159246</v>
      </c>
      <c r="AC16" s="90">
        <f t="shared" si="2"/>
        <v>66336.483705568535</v>
      </c>
      <c r="AD16" s="81">
        <f t="shared" si="5"/>
        <v>6595353.2867175322</v>
      </c>
      <c r="AE16" s="90">
        <f t="shared" si="3"/>
        <v>39077.468223801377</v>
      </c>
      <c r="AF16" s="81">
        <f t="shared" si="6"/>
        <v>27363026.107235044</v>
      </c>
      <c r="AG16" s="102">
        <f t="shared" si="4"/>
        <v>162125.92968536762</v>
      </c>
    </row>
    <row r="17" spans="1:33" x14ac:dyDescent="0.2">
      <c r="H17" s="238">
        <f>1-G20</f>
        <v>2.8099999999999792E-3</v>
      </c>
      <c r="X17" s="81">
        <f t="shared" si="7"/>
        <v>908221.92906069325</v>
      </c>
      <c r="Y17" s="90">
        <f t="shared" si="0"/>
        <v>5381.2149296846073</v>
      </c>
      <c r="Z17" s="81">
        <f t="shared" si="8"/>
        <v>3150986.5099458005</v>
      </c>
      <c r="AA17" s="90">
        <f t="shared" si="1"/>
        <v>18669.595071428867</v>
      </c>
      <c r="AB17" s="81">
        <f t="shared" si="9"/>
        <v>12896623.900114816</v>
      </c>
      <c r="AC17" s="90">
        <f t="shared" si="2"/>
        <v>76412.496608180285</v>
      </c>
      <c r="AD17" s="81">
        <f t="shared" si="5"/>
        <v>8268687.1661913339</v>
      </c>
      <c r="AE17" s="90">
        <f t="shared" si="3"/>
        <v>48991.971459683649</v>
      </c>
      <c r="AF17" s="81">
        <f t="shared" si="6"/>
        <v>29164416.653301664</v>
      </c>
      <c r="AG17" s="102">
        <f t="shared" si="4"/>
        <v>172799.16867081236</v>
      </c>
    </row>
    <row r="18" spans="1:33" x14ac:dyDescent="0.2">
      <c r="B18" s="62" t="s">
        <v>69</v>
      </c>
      <c r="G18" s="108"/>
      <c r="X18" s="81">
        <f t="shared" si="7"/>
        <v>1093107.7594841279</v>
      </c>
      <c r="Y18" s="90">
        <f t="shared" si="0"/>
        <v>6476.663474943457</v>
      </c>
      <c r="Z18" s="81">
        <f t="shared" si="8"/>
        <v>3339355.1820434793</v>
      </c>
      <c r="AA18" s="90">
        <f t="shared" si="1"/>
        <v>19785.679453607612</v>
      </c>
      <c r="AB18" s="81">
        <f t="shared" si="9"/>
        <v>14607292.807972996</v>
      </c>
      <c r="AC18" s="90">
        <f t="shared" si="2"/>
        <v>86548.209887239995</v>
      </c>
      <c r="AD18" s="81">
        <f t="shared" si="5"/>
        <v>9951935.5489010178</v>
      </c>
      <c r="AE18" s="90">
        <f t="shared" si="3"/>
        <v>58965.218127238528</v>
      </c>
      <c r="AF18" s="81">
        <f t="shared" si="6"/>
        <v>30976480.438353725</v>
      </c>
      <c r="AG18" s="102">
        <f t="shared" si="4"/>
        <v>183535.64659724582</v>
      </c>
    </row>
    <row r="19" spans="1:33" x14ac:dyDescent="0.2">
      <c r="A19" s="674">
        <v>6</v>
      </c>
      <c r="B19" s="109" t="s">
        <v>70</v>
      </c>
      <c r="C19" s="110" t="s">
        <v>71</v>
      </c>
      <c r="D19" s="110" t="s">
        <v>72</v>
      </c>
      <c r="E19" s="110" t="s">
        <v>73</v>
      </c>
      <c r="F19" s="110" t="s">
        <v>74</v>
      </c>
      <c r="G19" s="111"/>
      <c r="X19" s="81">
        <f t="shared" si="7"/>
        <v>1279089.0384528213</v>
      </c>
      <c r="Y19" s="90">
        <f t="shared" si="0"/>
        <v>7578.6025528329656</v>
      </c>
      <c r="Z19" s="81">
        <f t="shared" si="8"/>
        <v>3528839.9385233368</v>
      </c>
      <c r="AA19" s="90">
        <f t="shared" si="1"/>
        <v>20908.37663575077</v>
      </c>
      <c r="AB19" s="81">
        <f t="shared" si="9"/>
        <v>16328097.429110236</v>
      </c>
      <c r="AC19" s="90">
        <f t="shared" si="2"/>
        <v>96743.977267478142</v>
      </c>
      <c r="AD19" s="81">
        <f t="shared" si="5"/>
        <v>11645157.178278254</v>
      </c>
      <c r="AE19" s="90">
        <f t="shared" si="3"/>
        <v>68997.556281298661</v>
      </c>
      <c r="AF19" s="81">
        <f t="shared" si="6"/>
        <v>32799280.701332223</v>
      </c>
      <c r="AG19" s="102">
        <f t="shared" si="4"/>
        <v>194335.7381553934</v>
      </c>
    </row>
    <row r="20" spans="1:33" ht="15" x14ac:dyDescent="0.25">
      <c r="A20" s="674"/>
      <c r="B20" s="112">
        <v>3.4049999999999997E-2</v>
      </c>
      <c r="C20" s="112">
        <v>3.2190000000000003E-2</v>
      </c>
      <c r="D20" s="112">
        <v>0.31</v>
      </c>
      <c r="E20" s="112">
        <v>0.31</v>
      </c>
      <c r="F20" s="113">
        <v>0.31095</v>
      </c>
      <c r="G20" s="114">
        <f>SUM(B20:F20)</f>
        <v>0.99719000000000002</v>
      </c>
      <c r="H20" s="80" t="s">
        <v>75</v>
      </c>
      <c r="X20" s="81">
        <f t="shared" si="7"/>
        <v>1466172.2564994043</v>
      </c>
      <c r="Y20" s="90">
        <f t="shared" si="0"/>
        <v>8687.0706197589698</v>
      </c>
      <c r="Z20" s="81">
        <f t="shared" si="8"/>
        <v>3719447.3921853374</v>
      </c>
      <c r="AA20" s="90">
        <f t="shared" si="1"/>
        <v>22037.725798698124</v>
      </c>
      <c r="AB20" s="81">
        <f t="shared" si="9"/>
        <v>18059097.817627713</v>
      </c>
      <c r="AC20" s="90">
        <f t="shared" si="2"/>
        <v>107000.15456944419</v>
      </c>
      <c r="AD20" s="81">
        <f t="shared" si="5"/>
        <v>13348411.145809554</v>
      </c>
      <c r="AE20" s="90">
        <f t="shared" si="3"/>
        <v>79089.336038921596</v>
      </c>
      <c r="AF20" s="81">
        <f t="shared" si="6"/>
        <v>34632881.055868864</v>
      </c>
      <c r="AG20" s="102">
        <f t="shared" si="4"/>
        <v>205199.820256023</v>
      </c>
    </row>
    <row r="21" spans="1:33" ht="2.25" customHeight="1" x14ac:dyDescent="0.2">
      <c r="G21" s="115"/>
      <c r="X21" s="81">
        <f t="shared" si="7"/>
        <v>1654363.9426129132</v>
      </c>
      <c r="Y21" s="90">
        <f t="shared" si="0"/>
        <v>9802.1063599815097</v>
      </c>
      <c r="Z21" s="81">
        <f t="shared" si="8"/>
        <v>3911184.1950102854</v>
      </c>
      <c r="AA21" s="90">
        <f t="shared" si="1"/>
        <v>23173.766355435939</v>
      </c>
      <c r="AB21" s="81">
        <f t="shared" si="9"/>
        <v>19800354.383447155</v>
      </c>
      <c r="AC21" s="90">
        <f t="shared" si="2"/>
        <v>117317.09972192439</v>
      </c>
      <c r="AD21" s="81">
        <f t="shared" si="5"/>
        <v>15061756.893098474</v>
      </c>
      <c r="AE21" s="90">
        <f t="shared" si="3"/>
        <v>89240.909591608448</v>
      </c>
      <c r="AF21" s="81">
        <f t="shared" si="6"/>
        <v>36477345.492506139</v>
      </c>
      <c r="AG21" s="102">
        <f t="shared" si="4"/>
        <v>216128.27204309887</v>
      </c>
    </row>
    <row r="22" spans="1:33" ht="12.75" customHeight="1" x14ac:dyDescent="0.2">
      <c r="A22" s="263">
        <v>7</v>
      </c>
      <c r="B22" s="117" t="s">
        <v>54</v>
      </c>
      <c r="C22" s="117"/>
      <c r="D22" s="117"/>
      <c r="E22" s="117"/>
      <c r="F22" s="118" t="s">
        <v>76</v>
      </c>
      <c r="G22" s="115"/>
      <c r="X22" s="81">
        <f t="shared" si="7"/>
        <v>1843670.6644666446</v>
      </c>
      <c r="Y22" s="90">
        <f t="shared" si="0"/>
        <v>10923.748686964869</v>
      </c>
      <c r="Z22" s="81">
        <f t="shared" si="8"/>
        <v>4104057.038391971</v>
      </c>
      <c r="AA22" s="90">
        <f t="shared" si="1"/>
        <v>24316.537952472427</v>
      </c>
      <c r="AB22" s="81">
        <f t="shared" si="9"/>
        <v>21551927.894419078</v>
      </c>
      <c r="AC22" s="90">
        <f t="shared" si="2"/>
        <v>127695.17277443303</v>
      </c>
      <c r="AD22" s="81">
        <f t="shared" si="5"/>
        <v>16785254.21394008</v>
      </c>
      <c r="AE22" s="90">
        <f t="shared" si="3"/>
        <v>99452.631217594972</v>
      </c>
      <c r="AF22" s="81">
        <f t="shared" si="6"/>
        <v>38332738.380930491</v>
      </c>
      <c r="AG22" s="102">
        <f t="shared" si="4"/>
        <v>227121.47490701315</v>
      </c>
    </row>
    <row r="23" spans="1:33" ht="15" customHeight="1" x14ac:dyDescent="0.25">
      <c r="G23" s="115"/>
      <c r="M23" s="246"/>
      <c r="N23" s="246"/>
      <c r="X23" s="81">
        <f t="shared" si="7"/>
        <v>2034099.0286473595</v>
      </c>
      <c r="Y23" s="90">
        <f t="shared" si="0"/>
        <v>12052.036744735604</v>
      </c>
      <c r="Z23" s="81">
        <f t="shared" si="8"/>
        <v>4298072.6533706933</v>
      </c>
      <c r="AA23" s="90">
        <f t="shared" si="1"/>
        <v>25466.080471221358</v>
      </c>
      <c r="AB23" s="81">
        <f t="shared" si="9"/>
        <v>23313879.478443511</v>
      </c>
      <c r="AC23" s="90">
        <f t="shared" si="2"/>
        <v>138134.73590977778</v>
      </c>
      <c r="AD23" s="81">
        <f t="shared" si="5"/>
        <v>18518963.256407674</v>
      </c>
      <c r="AE23" s="90">
        <f t="shared" si="3"/>
        <v>109724.85729421547</v>
      </c>
      <c r="AF23" s="81">
        <f t="shared" si="6"/>
        <v>40199124.472218752</v>
      </c>
      <c r="AG23" s="102">
        <f t="shared" si="4"/>
        <v>238179.81249789608</v>
      </c>
    </row>
    <row r="24" spans="1:33" ht="15" customHeight="1" x14ac:dyDescent="0.3">
      <c r="B24" s="62" t="s">
        <v>77</v>
      </c>
      <c r="L24" s="248" t="s">
        <v>242</v>
      </c>
      <c r="M24" s="246"/>
      <c r="N24" s="246"/>
      <c r="X24" s="81">
        <f t="shared" si="7"/>
        <v>2225655.6808858453</v>
      </c>
      <c r="Y24" s="90">
        <f t="shared" si="0"/>
        <v>13187.009909248633</v>
      </c>
      <c r="Z24" s="81">
        <f t="shared" si="8"/>
        <v>4493237.8108681645</v>
      </c>
      <c r="AA24" s="90">
        <f t="shared" si="1"/>
        <v>26622.434029393873</v>
      </c>
      <c r="AB24" s="81">
        <f t="shared" si="9"/>
        <v>25086270.625603288</v>
      </c>
      <c r="AC24" s="90">
        <f t="shared" si="2"/>
        <v>148636.15345669948</v>
      </c>
      <c r="AD24" s="81">
        <f t="shared" si="5"/>
        <v>20262944.52495189</v>
      </c>
      <c r="AE24" s="90">
        <f t="shared" si="3"/>
        <v>120057.94631033995</v>
      </c>
      <c r="AF24" s="81">
        <f t="shared" si="6"/>
        <v>42076568.901097901</v>
      </c>
      <c r="AG24" s="102">
        <f t="shared" si="4"/>
        <v>249303.67073900506</v>
      </c>
    </row>
    <row r="25" spans="1:33" ht="15" x14ac:dyDescent="0.25">
      <c r="A25" s="91">
        <v>8</v>
      </c>
      <c r="B25" s="119">
        <v>0.5</v>
      </c>
      <c r="L25" s="247" t="s">
        <v>243</v>
      </c>
      <c r="M25" s="246"/>
      <c r="N25" s="246"/>
      <c r="X25" s="120" t="s">
        <v>78</v>
      </c>
      <c r="Y25" s="121">
        <f>SUM(Y13:Y24)</f>
        <v>84787.304870093983</v>
      </c>
      <c r="Z25" s="122"/>
      <c r="AA25" s="121">
        <f>SUM(AA13:AA24)</f>
        <v>244628.62978746591</v>
      </c>
      <c r="AB25" s="122"/>
      <c r="AC25" s="121">
        <f>SUM(AC13:AC24)</f>
        <v>1103969.5991624366</v>
      </c>
      <c r="AD25" s="122"/>
      <c r="AE25" s="121">
        <f>SUM(AE13:AE24)</f>
        <v>771925.53626223584</v>
      </c>
      <c r="AF25" s="122"/>
      <c r="AG25" s="123">
        <f>SUM(AG13:AG24)</f>
        <v>2271694.7039996707</v>
      </c>
    </row>
    <row r="26" spans="1:33" ht="15" x14ac:dyDescent="0.25">
      <c r="L26" s="246"/>
      <c r="M26" s="249">
        <v>0.53559999999999997</v>
      </c>
      <c r="N26" s="250" t="s">
        <v>244</v>
      </c>
    </row>
    <row r="27" spans="1:33" ht="15" x14ac:dyDescent="0.25">
      <c r="B27" s="62" t="s">
        <v>79</v>
      </c>
      <c r="L27" s="246"/>
      <c r="M27" s="249">
        <v>0.51049999999999995</v>
      </c>
      <c r="N27" s="250" t="s">
        <v>245</v>
      </c>
    </row>
    <row r="28" spans="1:33" ht="15" x14ac:dyDescent="0.25">
      <c r="A28" s="91">
        <v>9</v>
      </c>
      <c r="B28" s="119"/>
      <c r="L28" s="246"/>
      <c r="M28" s="249">
        <v>0.51670000000000005</v>
      </c>
      <c r="N28" s="250" t="s">
        <v>246</v>
      </c>
      <c r="O28" s="124"/>
      <c r="P28" s="124"/>
      <c r="Q28" s="124"/>
      <c r="R28" s="124"/>
      <c r="S28" s="124"/>
      <c r="T28" s="124"/>
      <c r="U28" s="124"/>
      <c r="V28" s="124"/>
      <c r="W28" s="124"/>
      <c r="X28" s="124"/>
      <c r="Y28" s="124"/>
      <c r="Z28" s="124"/>
      <c r="AA28" s="124"/>
    </row>
    <row r="29" spans="1:33" ht="15" x14ac:dyDescent="0.25">
      <c r="A29" s="80" t="s">
        <v>80</v>
      </c>
      <c r="L29" s="246"/>
      <c r="M29" s="249">
        <v>0.52900000000000003</v>
      </c>
      <c r="N29" s="250" t="s">
        <v>247</v>
      </c>
      <c r="O29" s="124"/>
      <c r="P29" s="124"/>
      <c r="Q29" s="124"/>
      <c r="R29" s="124"/>
      <c r="S29" s="124"/>
      <c r="T29" s="124"/>
      <c r="U29" s="124"/>
      <c r="V29" s="124"/>
      <c r="W29" s="124"/>
      <c r="X29" s="124"/>
      <c r="Y29" s="124"/>
      <c r="Z29" s="124"/>
      <c r="AA29" s="124"/>
    </row>
    <row r="30" spans="1:33" ht="15" x14ac:dyDescent="0.25">
      <c r="L30" s="246"/>
      <c r="M30" s="249">
        <v>0.48599999999999999</v>
      </c>
      <c r="N30" s="250" t="s">
        <v>248</v>
      </c>
      <c r="O30" s="124"/>
      <c r="P30" s="124"/>
      <c r="Q30" s="124"/>
      <c r="R30" s="124"/>
      <c r="S30" s="124"/>
      <c r="T30" s="124"/>
      <c r="U30" s="124"/>
      <c r="V30" s="124"/>
      <c r="W30" s="124"/>
      <c r="X30" s="124"/>
      <c r="Y30" s="124"/>
      <c r="Z30" s="124"/>
      <c r="AA30" s="124"/>
    </row>
    <row r="31" spans="1:33" ht="15.75" thickBot="1" x14ac:dyDescent="0.3">
      <c r="L31" s="246"/>
      <c r="M31" s="254">
        <f>AVERAGE(M26:M30)</f>
        <v>0.51556000000000002</v>
      </c>
      <c r="N31" s="250" t="s">
        <v>254</v>
      </c>
      <c r="O31" s="124"/>
      <c r="P31" s="124"/>
      <c r="Q31" s="124"/>
      <c r="R31" s="124"/>
      <c r="S31" s="124"/>
      <c r="T31" s="124"/>
      <c r="U31" s="124"/>
      <c r="V31" s="124"/>
      <c r="W31" s="124"/>
      <c r="X31" s="124"/>
      <c r="Y31" s="124"/>
      <c r="Z31" s="124"/>
      <c r="AA31" s="124"/>
    </row>
    <row r="32" spans="1:33" ht="15.75" x14ac:dyDescent="0.25">
      <c r="B32" s="675" t="s">
        <v>81</v>
      </c>
      <c r="C32" s="676"/>
      <c r="D32" s="676"/>
      <c r="E32" s="676"/>
      <c r="F32" s="676"/>
      <c r="G32" s="676"/>
      <c r="H32" s="676"/>
      <c r="I32" s="676"/>
      <c r="J32" s="677"/>
      <c r="L32" s="246"/>
      <c r="M32" s="245">
        <v>0.5</v>
      </c>
      <c r="N32" s="251" t="s">
        <v>249</v>
      </c>
    </row>
    <row r="33" spans="2:21" ht="18" customHeight="1" x14ac:dyDescent="0.25">
      <c r="B33" s="678" t="s">
        <v>82</v>
      </c>
      <c r="C33" s="665"/>
      <c r="D33" s="125"/>
      <c r="E33" s="125"/>
      <c r="F33" s="125"/>
      <c r="G33" s="125"/>
      <c r="H33" s="666" t="s">
        <v>83</v>
      </c>
      <c r="I33" s="666"/>
      <c r="J33" s="126"/>
      <c r="L33" s="246"/>
    </row>
    <row r="34" spans="2:21" x14ac:dyDescent="0.2">
      <c r="B34" s="127" t="s">
        <v>111</v>
      </c>
      <c r="C34" s="128" t="s">
        <v>21</v>
      </c>
      <c r="D34" s="128" t="s">
        <v>22</v>
      </c>
      <c r="E34" s="128" t="s">
        <v>23</v>
      </c>
      <c r="F34" s="128" t="s">
        <v>24</v>
      </c>
      <c r="G34" s="125"/>
      <c r="H34" s="125"/>
      <c r="I34" s="125"/>
      <c r="J34" s="126"/>
    </row>
    <row r="35" spans="2:21" x14ac:dyDescent="0.2">
      <c r="B35" s="129">
        <f t="shared" ref="B35:F38" si="10">X6</f>
        <v>1436036.92395</v>
      </c>
      <c r="C35" s="130">
        <f>Y6</f>
        <v>1357592.6162100001</v>
      </c>
      <c r="D35" s="130">
        <f t="shared" si="10"/>
        <v>13074051.289999999</v>
      </c>
      <c r="E35" s="130">
        <f t="shared" si="10"/>
        <v>13074051.289999999</v>
      </c>
      <c r="F35" s="130">
        <f t="shared" si="10"/>
        <v>13114116.931050001</v>
      </c>
      <c r="G35" s="665" t="s">
        <v>30</v>
      </c>
      <c r="H35" s="665"/>
      <c r="I35" s="131">
        <f>AC6</f>
        <v>42055849.051210001</v>
      </c>
      <c r="J35" s="126"/>
    </row>
    <row r="36" spans="2:21" x14ac:dyDescent="0.2">
      <c r="B36" s="129">
        <f t="shared" si="10"/>
        <v>0</v>
      </c>
      <c r="C36" s="130">
        <f t="shared" si="10"/>
        <v>0</v>
      </c>
      <c r="D36" s="130">
        <f t="shared" si="10"/>
        <v>0</v>
      </c>
      <c r="E36" s="130">
        <f t="shared" si="10"/>
        <v>0</v>
      </c>
      <c r="F36" s="130">
        <f t="shared" si="10"/>
        <v>0</v>
      </c>
      <c r="G36" s="665" t="s">
        <v>61</v>
      </c>
      <c r="H36" s="665" t="s">
        <v>61</v>
      </c>
      <c r="I36" s="131">
        <f>AC7</f>
        <v>0</v>
      </c>
      <c r="J36" s="126"/>
    </row>
    <row r="37" spans="2:21" ht="15" x14ac:dyDescent="0.25">
      <c r="B37" s="129">
        <f t="shared" si="10"/>
        <v>718018.46197499998</v>
      </c>
      <c r="C37" s="130">
        <f t="shared" si="10"/>
        <v>678796.30810500006</v>
      </c>
      <c r="D37" s="130">
        <f t="shared" si="10"/>
        <v>6537025.6449999996</v>
      </c>
      <c r="E37" s="130">
        <f t="shared" si="10"/>
        <v>6537025.6449999996</v>
      </c>
      <c r="F37" s="130">
        <f t="shared" si="10"/>
        <v>6557058.4655250004</v>
      </c>
      <c r="G37" s="665" t="s">
        <v>62</v>
      </c>
      <c r="H37" s="665" t="s">
        <v>62</v>
      </c>
      <c r="I37" s="131">
        <f>AC8</f>
        <v>21027924.525605001</v>
      </c>
      <c r="J37" s="126"/>
      <c r="K37" s="132"/>
      <c r="L37" s="133"/>
      <c r="M37" s="134"/>
      <c r="N37" s="134"/>
      <c r="O37" s="134"/>
      <c r="P37" s="134"/>
      <c r="Q37" s="134"/>
      <c r="R37" s="134"/>
      <c r="S37" s="134"/>
      <c r="T37" s="134"/>
      <c r="U37" s="135"/>
    </row>
    <row r="38" spans="2:21" x14ac:dyDescent="0.2">
      <c r="B38" s="129">
        <f t="shared" si="10"/>
        <v>84787.304870093983</v>
      </c>
      <c r="C38" s="130">
        <f t="shared" si="10"/>
        <v>244628.62978746591</v>
      </c>
      <c r="D38" s="130">
        <f t="shared" si="10"/>
        <v>1103969.5991624366</v>
      </c>
      <c r="E38" s="130">
        <f t="shared" si="10"/>
        <v>771925.53626223584</v>
      </c>
      <c r="F38" s="130">
        <f t="shared" si="10"/>
        <v>2271694.7039996707</v>
      </c>
      <c r="G38" s="665" t="s">
        <v>84</v>
      </c>
      <c r="H38" s="665" t="s">
        <v>85</v>
      </c>
      <c r="I38" s="131">
        <f>AC9</f>
        <v>4477005.7740819026</v>
      </c>
      <c r="J38" s="126"/>
      <c r="L38" s="136"/>
      <c r="M38" s="87"/>
      <c r="N38" s="87"/>
      <c r="O38" s="87"/>
      <c r="P38" s="87"/>
      <c r="Q38" s="87"/>
      <c r="R38" s="87"/>
      <c r="S38" s="87"/>
      <c r="T38" s="87"/>
      <c r="U38" s="87"/>
    </row>
    <row r="39" spans="2:21" ht="6" customHeight="1" x14ac:dyDescent="0.2">
      <c r="B39" s="137"/>
      <c r="C39" s="125"/>
      <c r="D39" s="125"/>
      <c r="E39" s="125"/>
      <c r="F39" s="125"/>
      <c r="G39" s="125"/>
      <c r="H39" s="125"/>
      <c r="I39" s="125"/>
      <c r="J39" s="126"/>
      <c r="L39" s="136"/>
      <c r="M39" s="87"/>
      <c r="N39" s="87"/>
      <c r="O39" s="87"/>
      <c r="P39" s="87"/>
      <c r="Q39" s="87"/>
      <c r="R39" s="87"/>
      <c r="S39" s="87"/>
      <c r="T39" s="87"/>
      <c r="U39" s="87"/>
    </row>
    <row r="40" spans="2:21" ht="15.75" thickBot="1" x14ac:dyDescent="0.3">
      <c r="B40" s="138">
        <f>SUM(B35:B38)</f>
        <v>2238842.6907950942</v>
      </c>
      <c r="C40" s="139">
        <f>SUM(C35:C38)</f>
        <v>2281017.554102466</v>
      </c>
      <c r="D40" s="139">
        <f>SUM(D35:D38)</f>
        <v>20715046.534162436</v>
      </c>
      <c r="E40" s="139">
        <f>SUM(E35:E38)</f>
        <v>20383002.471262235</v>
      </c>
      <c r="F40" s="139">
        <f>SUM(F35:F38)</f>
        <v>21942870.100574672</v>
      </c>
      <c r="G40" s="666" t="s">
        <v>56</v>
      </c>
      <c r="H40" s="666"/>
      <c r="I40" s="140">
        <f>SUM(I35:I38)</f>
        <v>67560779.35089691</v>
      </c>
      <c r="J40" s="126"/>
      <c r="L40" s="133"/>
      <c r="M40" s="134"/>
      <c r="N40" s="134"/>
      <c r="O40" s="134"/>
      <c r="P40" s="134"/>
      <c r="Q40" s="134"/>
      <c r="R40" s="134"/>
      <c r="S40" s="134"/>
      <c r="T40" s="134"/>
      <c r="U40" s="135"/>
    </row>
    <row r="41" spans="2:21" ht="16.5" thickTop="1" thickBot="1" x14ac:dyDescent="0.3">
      <c r="B41" s="141"/>
      <c r="C41" s="142"/>
      <c r="D41" s="142"/>
      <c r="E41" s="142"/>
      <c r="F41" s="142"/>
      <c r="G41" s="142"/>
      <c r="H41" s="142"/>
      <c r="I41" s="142"/>
      <c r="J41" s="143"/>
      <c r="L41" s="133"/>
      <c r="M41" s="144"/>
      <c r="N41" s="144"/>
      <c r="O41" s="144"/>
      <c r="P41" s="144"/>
      <c r="Q41" s="144"/>
      <c r="R41" s="144"/>
      <c r="S41" s="144"/>
      <c r="T41" s="144"/>
      <c r="U41" s="145"/>
    </row>
    <row r="42" spans="2:21" x14ac:dyDescent="0.2">
      <c r="B42" s="236"/>
      <c r="C42" s="236"/>
      <c r="D42" s="236"/>
      <c r="E42" s="236"/>
      <c r="F42" s="236"/>
      <c r="L42" s="133"/>
      <c r="M42" s="87"/>
      <c r="N42" s="87"/>
      <c r="O42" s="87"/>
      <c r="P42" s="87"/>
      <c r="Q42" s="87"/>
      <c r="R42" s="87"/>
      <c r="S42" s="87"/>
      <c r="T42" s="87"/>
      <c r="U42" s="135"/>
    </row>
    <row r="43" spans="2:21" x14ac:dyDescent="0.2">
      <c r="F43" s="62"/>
      <c r="L43" s="136"/>
      <c r="M43" s="87"/>
      <c r="N43" s="87"/>
      <c r="O43" s="98"/>
      <c r="P43" s="98"/>
      <c r="Q43" s="98"/>
      <c r="R43" s="98"/>
      <c r="S43" s="98"/>
      <c r="T43" s="98"/>
      <c r="U43" s="135"/>
    </row>
    <row r="44" spans="2:21" x14ac:dyDescent="0.2">
      <c r="B44" s="237">
        <v>2214401</v>
      </c>
      <c r="D44" s="239">
        <f>D35+C35+B35</f>
        <v>15867680.830159999</v>
      </c>
      <c r="F44" s="239">
        <f>E35+F35</f>
        <v>26188168.221050002</v>
      </c>
    </row>
    <row r="66" spans="2:14" x14ac:dyDescent="0.2">
      <c r="B66" s="667" t="s">
        <v>86</v>
      </c>
      <c r="C66" s="668"/>
      <c r="D66" s="668"/>
      <c r="E66" s="146"/>
      <c r="F66" s="146"/>
      <c r="G66" s="146"/>
      <c r="H66" s="146"/>
      <c r="I66" s="146"/>
      <c r="J66" s="147"/>
      <c r="L66" s="663" t="s">
        <v>87</v>
      </c>
      <c r="M66" s="664"/>
      <c r="N66" s="147"/>
    </row>
    <row r="67" spans="2:14" x14ac:dyDescent="0.2">
      <c r="B67" s="148"/>
      <c r="C67" s="149"/>
      <c r="D67" s="149"/>
      <c r="E67" s="149"/>
      <c r="F67" s="150">
        <f>F69/$I69</f>
        <v>0.3038166462510476</v>
      </c>
      <c r="G67" s="150">
        <f>G69/$I69</f>
        <v>0.54125029548922265</v>
      </c>
      <c r="H67" s="150">
        <f>H69/$I69</f>
        <v>0.15493305825972964</v>
      </c>
      <c r="I67" s="149"/>
      <c r="J67" s="151"/>
      <c r="L67" s="152"/>
      <c r="M67" s="153"/>
      <c r="N67" s="151"/>
    </row>
    <row r="68" spans="2:14" ht="15" x14ac:dyDescent="0.25">
      <c r="B68" s="154">
        <v>41602063</v>
      </c>
      <c r="C68" s="149"/>
      <c r="D68" s="149"/>
      <c r="E68" s="149"/>
      <c r="F68" s="155">
        <v>28275000</v>
      </c>
      <c r="G68" s="155">
        <v>50372000</v>
      </c>
      <c r="H68" s="155">
        <v>14419000</v>
      </c>
      <c r="I68" s="156">
        <f>SUM(F68:H68)</f>
        <v>93066000</v>
      </c>
      <c r="J68" s="151"/>
      <c r="L68" s="148" t="s">
        <v>88</v>
      </c>
      <c r="M68" s="155">
        <v>131440</v>
      </c>
      <c r="N68" s="151"/>
    </row>
    <row r="69" spans="2:14" ht="15" x14ac:dyDescent="0.25">
      <c r="B69" s="154">
        <v>4712741</v>
      </c>
      <c r="C69" s="149"/>
      <c r="D69" s="149"/>
      <c r="E69" s="149"/>
      <c r="F69" s="155">
        <f>F68/1.5227</f>
        <v>18568989.295330662</v>
      </c>
      <c r="G69" s="155">
        <f>G68/1.5227</f>
        <v>33080711.893347345</v>
      </c>
      <c r="H69" s="155">
        <f>H68/1.5227</f>
        <v>9469363.6303933803</v>
      </c>
      <c r="I69" s="156">
        <f>SUM(F69:H69)</f>
        <v>61119064.81907139</v>
      </c>
      <c r="J69" s="151"/>
      <c r="L69" s="148" t="s">
        <v>89</v>
      </c>
      <c r="M69" s="155">
        <v>469601</v>
      </c>
      <c r="N69" s="151"/>
    </row>
    <row r="70" spans="2:14" ht="15" x14ac:dyDescent="0.25">
      <c r="B70" s="154">
        <v>2639135</v>
      </c>
      <c r="C70" s="157">
        <f>SUM(B68:B70)</f>
        <v>48953939</v>
      </c>
      <c r="D70" s="149"/>
      <c r="E70" s="149"/>
      <c r="F70" s="149"/>
      <c r="G70" s="149"/>
      <c r="H70" s="149"/>
      <c r="I70" s="158"/>
      <c r="J70" s="151"/>
      <c r="L70" s="148" t="s">
        <v>90</v>
      </c>
      <c r="M70" s="155">
        <v>312802</v>
      </c>
      <c r="N70" s="151"/>
    </row>
    <row r="71" spans="2:14" ht="15" x14ac:dyDescent="0.25">
      <c r="B71" s="154">
        <f>SUM(B68:B70)*0.07</f>
        <v>3426775.7300000004</v>
      </c>
      <c r="C71" s="159">
        <v>7.0000000000000007E-2</v>
      </c>
      <c r="D71" s="149"/>
      <c r="E71" s="149"/>
      <c r="F71" s="160">
        <f>$J71*F67</f>
        <v>25439515.334603008</v>
      </c>
      <c r="G71" s="160">
        <f>$J71*G67</f>
        <v>45320575.293885864</v>
      </c>
      <c r="H71" s="160">
        <f>$J71*H67</f>
        <v>12973028.173638931</v>
      </c>
      <c r="I71" s="161">
        <f>SUM(F71:H71)</f>
        <v>83733118.802127793</v>
      </c>
      <c r="J71" s="162">
        <f>I69*1.37</f>
        <v>83733118.802127808</v>
      </c>
      <c r="L71" s="148" t="s">
        <v>91</v>
      </c>
      <c r="M71" s="155">
        <v>281380</v>
      </c>
      <c r="N71" s="163">
        <v>0.6</v>
      </c>
    </row>
    <row r="72" spans="2:14" ht="15" x14ac:dyDescent="0.25">
      <c r="B72" s="154">
        <f>SUM(B68:B71)*0.02</f>
        <v>1047614.2946000001</v>
      </c>
      <c r="C72" s="159">
        <v>0.02</v>
      </c>
      <c r="D72" s="149"/>
      <c r="E72" s="149"/>
      <c r="F72" s="164">
        <f>F71*1.5227</f>
        <v>38736750</v>
      </c>
      <c r="G72" s="164">
        <f>G71*1.5227</f>
        <v>69009640</v>
      </c>
      <c r="H72" s="164">
        <f>H71*1.5227</f>
        <v>19754030</v>
      </c>
      <c r="I72" s="165">
        <f>I71*1.5227</f>
        <v>127500419.99999999</v>
      </c>
      <c r="J72" s="151"/>
      <c r="L72" s="148" t="s">
        <v>92</v>
      </c>
      <c r="M72" s="155">
        <v>2231569</v>
      </c>
      <c r="N72" s="163">
        <v>0.6</v>
      </c>
    </row>
    <row r="73" spans="2:14" ht="15" x14ac:dyDescent="0.25">
      <c r="B73" s="166">
        <f>SUM(B71:B72)</f>
        <v>4474390.0246000011</v>
      </c>
      <c r="C73" s="149"/>
      <c r="D73" s="149"/>
      <c r="E73" s="164"/>
      <c r="F73" s="167">
        <v>28737000</v>
      </c>
      <c r="G73" s="168">
        <v>49010000</v>
      </c>
      <c r="H73" s="168">
        <v>49753420</v>
      </c>
      <c r="I73" s="164">
        <f>I72-SUM(E73:H73)</f>
        <v>0</v>
      </c>
      <c r="J73" s="151"/>
      <c r="L73" s="148" t="s">
        <v>93</v>
      </c>
      <c r="M73" s="155">
        <v>707673</v>
      </c>
      <c r="N73" s="163">
        <v>0.8</v>
      </c>
    </row>
    <row r="74" spans="2:14" x14ac:dyDescent="0.2">
      <c r="B74" s="154">
        <f>B73*0.1</f>
        <v>447439.00246000011</v>
      </c>
      <c r="C74" s="149" t="s">
        <v>94</v>
      </c>
      <c r="D74" s="149"/>
      <c r="E74" s="149"/>
      <c r="F74" s="149"/>
      <c r="G74" s="149"/>
      <c r="H74" s="149"/>
      <c r="I74" s="149"/>
      <c r="J74" s="151"/>
      <c r="L74" s="148" t="s">
        <v>66</v>
      </c>
      <c r="M74" s="156">
        <f>SUM(M68:M70)+(M71*N71)+(M72*N72)+(M73*N73)</f>
        <v>2987750.8</v>
      </c>
      <c r="N74" s="151"/>
    </row>
    <row r="75" spans="2:14" ht="15" x14ac:dyDescent="0.25">
      <c r="B75" s="154">
        <f>SUM(B73:B74)*0.5227</f>
        <v>2572640.0324442629</v>
      </c>
      <c r="C75" s="149" t="s">
        <v>95</v>
      </c>
      <c r="D75" s="169">
        <f>B73+B74</f>
        <v>4921829.0270600012</v>
      </c>
      <c r="E75" s="155">
        <f>SUM(E77:E88)</f>
        <v>4921829.0270600021</v>
      </c>
      <c r="F75" s="149"/>
      <c r="G75" s="149"/>
      <c r="H75" s="149"/>
      <c r="I75" s="149"/>
      <c r="J75" s="151"/>
      <c r="L75" s="148" t="s">
        <v>96</v>
      </c>
      <c r="M75" s="156">
        <v>8075641</v>
      </c>
      <c r="N75" s="151"/>
    </row>
    <row r="76" spans="2:14" ht="15" x14ac:dyDescent="0.25">
      <c r="B76" s="154">
        <f>G89</f>
        <v>188054.88407558424</v>
      </c>
      <c r="C76" s="149" t="s">
        <v>97</v>
      </c>
      <c r="D76" s="149"/>
      <c r="E76" s="149"/>
      <c r="F76" s="149"/>
      <c r="G76" s="149"/>
      <c r="H76" s="149"/>
      <c r="I76" s="149"/>
      <c r="J76" s="151"/>
      <c r="L76" s="148"/>
      <c r="M76" s="155"/>
      <c r="N76" s="151"/>
    </row>
    <row r="77" spans="2:14" ht="15" x14ac:dyDescent="0.25">
      <c r="B77" s="166">
        <f>B73+B74+B75+B76</f>
        <v>7682523.9435798479</v>
      </c>
      <c r="C77" s="158" t="s">
        <v>98</v>
      </c>
      <c r="D77" s="149"/>
      <c r="E77" s="155">
        <f>$D$75*0.05</f>
        <v>246091.45135300007</v>
      </c>
      <c r="F77" s="170">
        <f>E77</f>
        <v>246091.45135300007</v>
      </c>
      <c r="G77" s="171">
        <f>(F77*0.07)/12</f>
        <v>1435.5334662258338</v>
      </c>
      <c r="H77" s="170"/>
      <c r="I77" s="170"/>
      <c r="J77" s="172"/>
      <c r="L77" s="173" t="s">
        <v>99</v>
      </c>
      <c r="M77" s="174">
        <f>M74/(M75)</f>
        <v>0.36997073049681134</v>
      </c>
      <c r="N77" s="175"/>
    </row>
    <row r="78" spans="2:14" ht="15" x14ac:dyDescent="0.25">
      <c r="B78" s="148"/>
      <c r="C78" s="149"/>
      <c r="D78" s="149"/>
      <c r="E78" s="155">
        <f>$D$75*0.05</f>
        <v>246091.45135300007</v>
      </c>
      <c r="F78" s="160">
        <f>SUM(E$77:E77)+E78</f>
        <v>492182.90270600014</v>
      </c>
      <c r="G78" s="171">
        <f>(F78*0.07)/12</f>
        <v>2871.0669324516675</v>
      </c>
      <c r="H78" s="149"/>
      <c r="I78" s="149"/>
      <c r="J78" s="151"/>
    </row>
    <row r="79" spans="2:14" ht="15" x14ac:dyDescent="0.25">
      <c r="B79" s="148"/>
      <c r="C79" s="149"/>
      <c r="D79" s="149"/>
      <c r="E79" s="155">
        <f>$D$75*0.05</f>
        <v>246091.45135300007</v>
      </c>
      <c r="F79" s="160">
        <f>SUM(E$77:E78)+E79</f>
        <v>738274.35405900027</v>
      </c>
      <c r="G79" s="171">
        <f t="shared" ref="G79:G88" si="11">(F79*0.07)/12</f>
        <v>4306.6003986775022</v>
      </c>
      <c r="H79" s="149"/>
      <c r="I79" s="149"/>
      <c r="J79" s="151"/>
    </row>
    <row r="80" spans="2:14" ht="15" x14ac:dyDescent="0.25">
      <c r="B80" s="148"/>
      <c r="C80" s="149"/>
      <c r="D80" s="149"/>
      <c r="E80" s="155">
        <f>$D$75*0.1</f>
        <v>492182.90270600014</v>
      </c>
      <c r="F80" s="160">
        <f>SUM(E$77:E79)+E80</f>
        <v>1230457.2567650005</v>
      </c>
      <c r="G80" s="171">
        <f t="shared" si="11"/>
        <v>7177.6673311291706</v>
      </c>
      <c r="H80" s="149"/>
      <c r="I80" s="149"/>
      <c r="J80" s="151"/>
    </row>
    <row r="81" spans="2:10" ht="15" x14ac:dyDescent="0.25">
      <c r="B81" s="148"/>
      <c r="C81" s="149"/>
      <c r="D81" s="149"/>
      <c r="E81" s="155">
        <f>$D$75*0.1</f>
        <v>492182.90270600014</v>
      </c>
      <c r="F81" s="160">
        <f>SUM(E$77:E80)+E81</f>
        <v>1722640.1594710005</v>
      </c>
      <c r="G81" s="171">
        <f t="shared" si="11"/>
        <v>10048.734263580836</v>
      </c>
      <c r="H81" s="149"/>
      <c r="I81" s="149"/>
      <c r="J81" s="151"/>
    </row>
    <row r="82" spans="2:10" ht="15" x14ac:dyDescent="0.25">
      <c r="B82" s="148"/>
      <c r="C82" s="149"/>
      <c r="D82" s="149"/>
      <c r="E82" s="155">
        <f>$D$75*0.15</f>
        <v>738274.35405900015</v>
      </c>
      <c r="F82" s="160">
        <f>SUM(E$77:E81)+E82</f>
        <v>2460914.5135300006</v>
      </c>
      <c r="G82" s="171">
        <f t="shared" si="11"/>
        <v>14355.334662258339</v>
      </c>
      <c r="H82" s="149"/>
      <c r="I82" s="149"/>
      <c r="J82" s="151"/>
    </row>
    <row r="83" spans="2:10" ht="15" x14ac:dyDescent="0.25">
      <c r="B83" s="148"/>
      <c r="C83" s="149"/>
      <c r="D83" s="149"/>
      <c r="E83" s="155">
        <f>$D$75*0.15</f>
        <v>738274.35405900015</v>
      </c>
      <c r="F83" s="160">
        <f>SUM(E$77:E82)+E83</f>
        <v>3199188.8675890006</v>
      </c>
      <c r="G83" s="171">
        <f t="shared" si="11"/>
        <v>18661.935060935841</v>
      </c>
      <c r="H83" s="149"/>
      <c r="I83" s="149"/>
      <c r="J83" s="151"/>
    </row>
    <row r="84" spans="2:10" ht="15" x14ac:dyDescent="0.25">
      <c r="B84" s="148"/>
      <c r="C84" s="149"/>
      <c r="D84" s="149"/>
      <c r="E84" s="155">
        <f>$D$75*0.15</f>
        <v>738274.35405900015</v>
      </c>
      <c r="F84" s="160">
        <f>SUM(E$77:E83)+E84</f>
        <v>3937463.2216480006</v>
      </c>
      <c r="G84" s="171">
        <f t="shared" si="11"/>
        <v>22968.53545961334</v>
      </c>
      <c r="H84" s="149"/>
      <c r="I84" s="149"/>
      <c r="J84" s="151"/>
    </row>
    <row r="85" spans="2:10" ht="15" x14ac:dyDescent="0.25">
      <c r="B85" s="148"/>
      <c r="C85" s="149"/>
      <c r="D85" s="149"/>
      <c r="E85" s="155">
        <f>$D$75*0.05</f>
        <v>246091.45135300007</v>
      </c>
      <c r="F85" s="160">
        <f>SUM(E$77:E84)+E85</f>
        <v>4183554.6730010007</v>
      </c>
      <c r="G85" s="171">
        <f t="shared" si="11"/>
        <v>24404.068925839176</v>
      </c>
      <c r="H85" s="149"/>
      <c r="I85" s="149"/>
      <c r="J85" s="151"/>
    </row>
    <row r="86" spans="2:10" ht="15" x14ac:dyDescent="0.25">
      <c r="B86" s="148"/>
      <c r="C86" s="149"/>
      <c r="D86" s="149"/>
      <c r="E86" s="155">
        <f>$D$75*0.05</f>
        <v>246091.45135300007</v>
      </c>
      <c r="F86" s="160">
        <f>SUM(E$77:E85)+E86</f>
        <v>4429646.1243540011</v>
      </c>
      <c r="G86" s="171">
        <f t="shared" si="11"/>
        <v>25839.602392065008</v>
      </c>
      <c r="H86" s="149"/>
      <c r="I86" s="149"/>
      <c r="J86" s="151"/>
    </row>
    <row r="87" spans="2:10" ht="15" x14ac:dyDescent="0.25">
      <c r="B87" s="148"/>
      <c r="C87" s="149"/>
      <c r="D87" s="149"/>
      <c r="E87" s="155">
        <f>$D$75*0.05</f>
        <v>246091.45135300007</v>
      </c>
      <c r="F87" s="160">
        <f>SUM(E$77:E86)+E87</f>
        <v>4675737.5757070016</v>
      </c>
      <c r="G87" s="171">
        <f t="shared" si="11"/>
        <v>27275.135858290843</v>
      </c>
      <c r="H87" s="149"/>
      <c r="I87" s="149"/>
      <c r="J87" s="151"/>
    </row>
    <row r="88" spans="2:10" ht="15" x14ac:dyDescent="0.25">
      <c r="B88" s="148"/>
      <c r="C88" s="149"/>
      <c r="D88" s="149"/>
      <c r="E88" s="155">
        <f>$D$75*0.05</f>
        <v>246091.45135300007</v>
      </c>
      <c r="F88" s="160">
        <f>SUM(E$77:E87)+E88</f>
        <v>4921829.0270600021</v>
      </c>
      <c r="G88" s="171">
        <f t="shared" si="11"/>
        <v>28710.669324516683</v>
      </c>
      <c r="H88" s="149"/>
      <c r="I88" s="149"/>
      <c r="J88" s="151"/>
    </row>
    <row r="89" spans="2:10" x14ac:dyDescent="0.2">
      <c r="B89" s="148"/>
      <c r="C89" s="149"/>
      <c r="D89" s="149"/>
      <c r="E89" s="149"/>
      <c r="F89" s="149"/>
      <c r="G89" s="156">
        <f>SUM(G77:G88)</f>
        <v>188054.88407558424</v>
      </c>
      <c r="H89" s="158" t="s">
        <v>100</v>
      </c>
      <c r="I89" s="149"/>
      <c r="J89" s="151"/>
    </row>
    <row r="90" spans="2:10" x14ac:dyDescent="0.2">
      <c r="B90" s="148"/>
      <c r="C90" s="149"/>
      <c r="D90" s="149"/>
      <c r="E90" s="149"/>
      <c r="F90" s="149"/>
      <c r="G90" s="149"/>
      <c r="H90" s="149"/>
      <c r="I90" s="149"/>
      <c r="J90" s="151"/>
    </row>
    <row r="91" spans="2:10" x14ac:dyDescent="0.2">
      <c r="B91" s="173"/>
      <c r="C91" s="176"/>
      <c r="D91" s="176"/>
      <c r="E91" s="176"/>
      <c r="F91" s="176"/>
      <c r="G91" s="176"/>
      <c r="H91" s="176"/>
      <c r="I91" s="176"/>
      <c r="J91" s="175"/>
    </row>
  </sheetData>
  <mergeCells count="13">
    <mergeCell ref="L66:M66"/>
    <mergeCell ref="G35:H35"/>
    <mergeCell ref="G36:H36"/>
    <mergeCell ref="G37:H37"/>
    <mergeCell ref="G38:H38"/>
    <mergeCell ref="G40:H40"/>
    <mergeCell ref="B66:D66"/>
    <mergeCell ref="A1:J1"/>
    <mergeCell ref="A5:A6"/>
    <mergeCell ref="A19:A20"/>
    <mergeCell ref="B32:J32"/>
    <mergeCell ref="B33:C33"/>
    <mergeCell ref="H33:I33"/>
  </mergeCells>
  <dataValidations count="2">
    <dataValidation type="list" allowBlank="1" showInputMessage="1" showErrorMessage="1" errorTitle="Incorrect Entry" error="Please enter a number between 2 and 5" sqref="B16">
      <formula1>$AG$3:$AG$6</formula1>
    </dataValidation>
    <dataValidation allowBlank="1" showErrorMessage="1" errorTitle="Enter Yes or No" error="Please enter either yes or no to reflect partial capitalisation of costs_x000a_" sqref="B22:E22"/>
  </dataValidations>
  <pageMargins left="0.35433070866141736" right="0.35433070866141736" top="0.59055118110236227" bottom="0.59055118110236227" header="0.51181102362204722" footer="0.51181102362204722"/>
  <pageSetup paperSize="9" scale="98" orientation="portrait" r:id="rId1"/>
  <headerFooter alignWithMargins="0"/>
  <drawing r:id="rId2"/>
  <legacyDrawing r:id="rId3"/>
  <controls>
    <mc:AlternateContent xmlns:mc="http://schemas.openxmlformats.org/markup-compatibility/2006">
      <mc:Choice Requires="x14">
        <control shapeId="17412" r:id="rId4" name="CheckBox4">
          <controlPr locked="0" defaultSize="0" autoLine="0" linkedCell="AD11" r:id="rId5">
            <anchor moveWithCells="1">
              <from>
                <xdr:col>4</xdr:col>
                <xdr:colOff>333375</xdr:colOff>
                <xdr:row>21</xdr:row>
                <xdr:rowOff>19050</xdr:rowOff>
              </from>
              <to>
                <xdr:col>4</xdr:col>
                <xdr:colOff>476250</xdr:colOff>
                <xdr:row>21</xdr:row>
                <xdr:rowOff>152400</xdr:rowOff>
              </to>
            </anchor>
          </controlPr>
        </control>
      </mc:Choice>
      <mc:Fallback>
        <control shapeId="17412" r:id="rId4" name="CheckBox4"/>
      </mc:Fallback>
    </mc:AlternateContent>
    <mc:AlternateContent xmlns:mc="http://schemas.openxmlformats.org/markup-compatibility/2006">
      <mc:Choice Requires="x14">
        <control shapeId="17411" r:id="rId6" name="CheckBox3">
          <controlPr locked="0" defaultSize="0" autoLine="0" linkedCell="AB11" r:id="rId7">
            <anchor moveWithCells="1">
              <from>
                <xdr:col>3</xdr:col>
                <xdr:colOff>333375</xdr:colOff>
                <xdr:row>21</xdr:row>
                <xdr:rowOff>19050</xdr:rowOff>
              </from>
              <to>
                <xdr:col>3</xdr:col>
                <xdr:colOff>476250</xdr:colOff>
                <xdr:row>21</xdr:row>
                <xdr:rowOff>152400</xdr:rowOff>
              </to>
            </anchor>
          </controlPr>
        </control>
      </mc:Choice>
      <mc:Fallback>
        <control shapeId="17411" r:id="rId6" name="CheckBox3"/>
      </mc:Fallback>
    </mc:AlternateContent>
    <mc:AlternateContent xmlns:mc="http://schemas.openxmlformats.org/markup-compatibility/2006">
      <mc:Choice Requires="x14">
        <control shapeId="17410" r:id="rId8" name="CheckBox2">
          <controlPr locked="0" defaultSize="0" autoLine="0" linkedCell="Z11" r:id="rId9">
            <anchor moveWithCells="1">
              <from>
                <xdr:col>2</xdr:col>
                <xdr:colOff>333375</xdr:colOff>
                <xdr:row>21</xdr:row>
                <xdr:rowOff>19050</xdr:rowOff>
              </from>
              <to>
                <xdr:col>2</xdr:col>
                <xdr:colOff>476250</xdr:colOff>
                <xdr:row>21</xdr:row>
                <xdr:rowOff>152400</xdr:rowOff>
              </to>
            </anchor>
          </controlPr>
        </control>
      </mc:Choice>
      <mc:Fallback>
        <control shapeId="17410" r:id="rId8" name="CheckBox2"/>
      </mc:Fallback>
    </mc:AlternateContent>
    <mc:AlternateContent xmlns:mc="http://schemas.openxmlformats.org/markup-compatibility/2006">
      <mc:Choice Requires="x14">
        <control shapeId="17409" r:id="rId10" name="CheckBox1">
          <controlPr locked="0" defaultSize="0" autoLine="0" linkedCell="X11" r:id="rId11">
            <anchor moveWithCells="1">
              <from>
                <xdr:col>1</xdr:col>
                <xdr:colOff>333375</xdr:colOff>
                <xdr:row>21</xdr:row>
                <xdr:rowOff>19050</xdr:rowOff>
              </from>
              <to>
                <xdr:col>1</xdr:col>
                <xdr:colOff>476250</xdr:colOff>
                <xdr:row>21</xdr:row>
                <xdr:rowOff>152400</xdr:rowOff>
              </to>
            </anchor>
          </controlPr>
        </control>
      </mc:Choice>
      <mc:Fallback>
        <control shapeId="17409" r:id="rId10" name="CheckBox1"/>
      </mc:Fallback>
    </mc:AlternateContent>
  </control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H138"/>
  <sheetViews>
    <sheetView topLeftCell="S1" zoomScale="85" zoomScaleNormal="85" workbookViewId="0">
      <pane ySplit="3" topLeftCell="A4" activePane="bottomLeft" state="frozen"/>
      <selection pane="bottomLeft" activeCell="AC12" sqref="AC12"/>
    </sheetView>
  </sheetViews>
  <sheetFormatPr defaultRowHeight="15" x14ac:dyDescent="0.25"/>
  <cols>
    <col min="1" max="1" width="11.28515625" customWidth="1"/>
    <col min="2" max="2" width="16.28515625" bestFit="1" customWidth="1"/>
    <col min="3" max="3" width="9.140625" style="201"/>
    <col min="4" max="23" width="12.5703125" bestFit="1" customWidth="1"/>
    <col min="24" max="33" width="12.5703125" style="246" customWidth="1"/>
  </cols>
  <sheetData>
    <row r="1" spans="1:34" s="246" customFormat="1" x14ac:dyDescent="0.25">
      <c r="B1" s="477" t="s">
        <v>590</v>
      </c>
      <c r="C1" s="513">
        <v>30</v>
      </c>
      <c r="D1" s="476">
        <v>0</v>
      </c>
      <c r="E1" s="476">
        <v>1</v>
      </c>
      <c r="F1" s="476">
        <v>2</v>
      </c>
      <c r="G1" s="476">
        <v>3</v>
      </c>
      <c r="H1" s="476">
        <v>4</v>
      </c>
      <c r="I1" s="476">
        <v>5</v>
      </c>
      <c r="J1" s="476">
        <v>6</v>
      </c>
      <c r="K1" s="476">
        <v>7</v>
      </c>
      <c r="L1" s="476">
        <v>8</v>
      </c>
      <c r="M1" s="476">
        <v>9</v>
      </c>
      <c r="N1" s="476">
        <v>10</v>
      </c>
      <c r="O1" s="476">
        <v>11</v>
      </c>
      <c r="P1" s="476">
        <v>12</v>
      </c>
      <c r="Q1" s="476">
        <v>13</v>
      </c>
      <c r="R1" s="476">
        <v>14</v>
      </c>
      <c r="S1" s="476">
        <v>15</v>
      </c>
      <c r="T1" s="476">
        <v>16</v>
      </c>
      <c r="U1" s="476">
        <v>17</v>
      </c>
      <c r="V1" s="476">
        <v>18</v>
      </c>
      <c r="W1" s="476">
        <v>19</v>
      </c>
      <c r="X1" s="680">
        <v>20</v>
      </c>
      <c r="Y1" s="680">
        <v>21</v>
      </c>
      <c r="Z1" s="680">
        <v>22</v>
      </c>
      <c r="AA1" s="680">
        <v>23</v>
      </c>
      <c r="AB1" s="680">
        <v>24</v>
      </c>
      <c r="AC1" s="680">
        <v>25</v>
      </c>
      <c r="AD1" s="680">
        <v>26</v>
      </c>
      <c r="AE1" s="680">
        <v>27</v>
      </c>
      <c r="AF1" s="680">
        <v>28</v>
      </c>
      <c r="AG1" s="680">
        <v>29</v>
      </c>
    </row>
    <row r="2" spans="1:34" s="246" customFormat="1" x14ac:dyDescent="0.25">
      <c r="A2" s="550" t="s">
        <v>681</v>
      </c>
      <c r="B2" s="477" t="s">
        <v>589</v>
      </c>
      <c r="C2" s="476"/>
      <c r="D2" s="475">
        <f>1/(1+Assumptions!$F$3)^D1</f>
        <v>1</v>
      </c>
      <c r="E2" s="475">
        <f>1/(1+Assumptions!$F$3)^E1</f>
        <v>0.91141086401749916</v>
      </c>
      <c r="F2" s="475">
        <f>1/(1+Assumptions!$F$3)^F1</f>
        <v>0.83066976304912432</v>
      </c>
      <c r="G2" s="475">
        <f>1/(1+Assumptions!$F$3)^G1</f>
        <v>0.75708144645381359</v>
      </c>
      <c r="H2" s="475">
        <f>1/(1+Assumptions!$F$3)^H1</f>
        <v>0.69001225524408827</v>
      </c>
      <c r="I2" s="475">
        <f>1/(1+Assumptions!$F$3)^I1</f>
        <v>0.62888466573467772</v>
      </c>
      <c r="J2" s="475">
        <f>1/(1+Assumptions!$F$3)^J1</f>
        <v>0.57317231656459866</v>
      </c>
      <c r="K2" s="475">
        <f>1/(1+Assumptions!$F$3)^K1</f>
        <v>0.52239547627105243</v>
      </c>
      <c r="L2" s="475">
        <f>1/(1+Assumptions!$F$3)^L1</f>
        <v>0.47611691238703285</v>
      </c>
      <c r="M2" s="475">
        <f>1/(1+Assumptions!$F$3)^M1</f>
        <v>0.43393812649200952</v>
      </c>
      <c r="N2" s="475">
        <f>1/(1+Assumptions!$F$3)^N1</f>
        <v>0.39549592279621726</v>
      </c>
      <c r="O2" s="475">
        <f>1/(1+Assumptions!$F$3)^O1</f>
        <v>0.36045928071109851</v>
      </c>
      <c r="P2" s="475">
        <f>1/(1+Assumptions!$F$3)^P1</f>
        <v>0.32852650447602855</v>
      </c>
      <c r="Q2" s="475">
        <f>1/(1+Assumptions!$F$3)^Q1</f>
        <v>0.29942262529714597</v>
      </c>
      <c r="R2" s="475">
        <f>1/(1+Assumptions!$F$3)^R1</f>
        <v>0.27289703362845968</v>
      </c>
      <c r="S2" s="475">
        <f>1/(1+Assumptions!$F$3)^S1</f>
        <v>0.24872132120712698</v>
      </c>
      <c r="T2" s="475">
        <f>1/(1+Assumptions!$F$3)^T1</f>
        <v>0.22668731426096153</v>
      </c>
      <c r="U2" s="475">
        <f>1/(1+Assumptions!$F$3)^U1</f>
        <v>0.20660528095238928</v>
      </c>
      <c r="V2" s="475">
        <f>1/(1+Assumptions!$F$3)^V1</f>
        <v>0.18830229762339529</v>
      </c>
      <c r="W2" s="475">
        <f>1/(1+Assumptions!$F$3)^W1</f>
        <v>0.17162075977341895</v>
      </c>
      <c r="X2" s="681">
        <f>1/(1+Assumptions!$F$3)^X1</f>
        <v>0.15641702494843143</v>
      </c>
      <c r="Y2" s="681">
        <f>1/(1+Assumptions!$F$3)^Y1</f>
        <v>0.14256017585529659</v>
      </c>
      <c r="Z2" s="681">
        <f>1/(1+Assumptions!$F$3)^Z1</f>
        <v>0.1299308930507625</v>
      </c>
      <c r="AA2" s="681">
        <f>1/(1+Assumptions!$F$3)^AA1</f>
        <v>0.11842042749796074</v>
      </c>
      <c r="AB2" s="681">
        <f>1/(1+Assumptions!$F$3)^AB1</f>
        <v>0.10792966414323801</v>
      </c>
      <c r="AC2" s="681">
        <f>1/(1+Assumptions!$F$3)^AC1</f>
        <v>9.8368268449907037E-2</v>
      </c>
      <c r="AD2" s="681">
        <f>1/(1+Assumptions!$F$3)^AD1</f>
        <v>8.9653908539835084E-2</v>
      </c>
      <c r="AE2" s="681">
        <f>1/(1+Assumptions!$F$3)^AE1</f>
        <v>8.1711546244836938E-2</v>
      </c>
      <c r="AF2" s="681">
        <f>1/(1+Assumptions!$F$3)^AF1</f>
        <v>7.4472790963212659E-2</v>
      </c>
      <c r="AG2" s="681">
        <f>1/(1+Assumptions!$F$3)^AG1</f>
        <v>6.787531075757626E-2</v>
      </c>
    </row>
    <row r="3" spans="1:34" s="246" customFormat="1" x14ac:dyDescent="0.25">
      <c r="A3" s="550">
        <v>17</v>
      </c>
      <c r="B3" s="183"/>
      <c r="C3" s="509"/>
      <c r="D3" s="474" t="s">
        <v>21</v>
      </c>
      <c r="E3" s="474" t="s">
        <v>22</v>
      </c>
      <c r="F3" s="474" t="s">
        <v>23</v>
      </c>
      <c r="G3" s="474" t="s">
        <v>24</v>
      </c>
      <c r="H3" s="474" t="s">
        <v>109</v>
      </c>
      <c r="I3" s="474" t="s">
        <v>299</v>
      </c>
      <c r="J3" s="474" t="s">
        <v>457</v>
      </c>
      <c r="K3" s="474" t="s">
        <v>455</v>
      </c>
      <c r="L3" s="474" t="s">
        <v>605</v>
      </c>
      <c r="M3" s="474" t="s">
        <v>606</v>
      </c>
      <c r="N3" s="474" t="s">
        <v>607</v>
      </c>
      <c r="O3" s="474" t="s">
        <v>608</v>
      </c>
      <c r="P3" s="474" t="s">
        <v>609</v>
      </c>
      <c r="Q3" s="474" t="s">
        <v>610</v>
      </c>
      <c r="R3" s="474" t="s">
        <v>611</v>
      </c>
      <c r="S3" s="474" t="s">
        <v>612</v>
      </c>
      <c r="T3" s="474" t="s">
        <v>613</v>
      </c>
      <c r="U3" s="474" t="s">
        <v>614</v>
      </c>
      <c r="V3" s="474" t="s">
        <v>615</v>
      </c>
      <c r="W3" s="474" t="s">
        <v>616</v>
      </c>
      <c r="X3" s="682" t="s">
        <v>720</v>
      </c>
      <c r="Y3" s="682" t="s">
        <v>721</v>
      </c>
      <c r="Z3" s="682" t="s">
        <v>722</v>
      </c>
      <c r="AA3" s="682" t="s">
        <v>723</v>
      </c>
      <c r="AB3" s="682" t="s">
        <v>724</v>
      </c>
      <c r="AC3" s="682" t="s">
        <v>725</v>
      </c>
      <c r="AD3" s="682" t="s">
        <v>726</v>
      </c>
      <c r="AE3" s="682" t="s">
        <v>727</v>
      </c>
      <c r="AF3" s="682" t="s">
        <v>728</v>
      </c>
      <c r="AG3" s="682" t="s">
        <v>729</v>
      </c>
    </row>
    <row r="4" spans="1:34" x14ac:dyDescent="0.25">
      <c r="A4" s="465" t="s">
        <v>584</v>
      </c>
      <c r="D4" s="481"/>
      <c r="E4" s="481"/>
      <c r="F4" s="481"/>
      <c r="G4" s="481"/>
      <c r="H4" s="481"/>
      <c r="I4" s="481"/>
      <c r="J4" s="481"/>
      <c r="K4" s="481"/>
      <c r="L4" s="481"/>
      <c r="M4" s="481"/>
      <c r="N4" s="481"/>
      <c r="O4" s="481"/>
      <c r="P4" s="481"/>
      <c r="Q4" s="481"/>
      <c r="R4" s="481"/>
      <c r="S4" s="481"/>
      <c r="T4" s="481"/>
      <c r="U4" s="481"/>
      <c r="V4" s="481"/>
      <c r="W4" s="481"/>
      <c r="X4" s="688" t="s">
        <v>730</v>
      </c>
      <c r="Y4" s="689"/>
      <c r="Z4" s="689"/>
      <c r="AA4" s="689"/>
      <c r="AB4" s="689"/>
      <c r="AC4" s="689"/>
      <c r="AD4" s="689"/>
      <c r="AE4" s="689"/>
      <c r="AF4" s="689"/>
      <c r="AG4" s="690"/>
    </row>
    <row r="5" spans="1:34" x14ac:dyDescent="0.25">
      <c r="A5" s="472" t="s">
        <v>594</v>
      </c>
      <c r="B5" s="470" t="s">
        <v>586</v>
      </c>
      <c r="C5" s="510">
        <v>25</v>
      </c>
      <c r="D5" s="471">
        <f>SUM('[1]Option Implementation Cost'!I$6:I$53)</f>
        <v>2.6761749999999997</v>
      </c>
      <c r="E5" s="471">
        <f>SUM('[1]Option Implementation Cost'!J$6:J$53)</f>
        <v>18.155660000000001</v>
      </c>
      <c r="F5" s="471">
        <f>SUM('[1]Option Implementation Cost'!K$6:K$53)</f>
        <v>21.799333000000001</v>
      </c>
      <c r="G5" s="471">
        <f>SUM('[1]Option Implementation Cost'!L$6:L$53)</f>
        <v>6.3560980000000002</v>
      </c>
      <c r="H5" s="471">
        <f>SUM('[1]Option Implementation Cost'!M$6:M$53)</f>
        <v>0</v>
      </c>
      <c r="I5" s="471">
        <f>SUM('[1]Option Implementation Cost'!N$6:N$53)</f>
        <v>0</v>
      </c>
      <c r="J5" s="471">
        <f>SUM('[1]Option Implementation Cost'!O$6:O$53)</f>
        <v>0</v>
      </c>
      <c r="K5" s="471">
        <f>SUM('[1]Option Implementation Cost'!P$6:P$53)</f>
        <v>0</v>
      </c>
      <c r="L5" s="471">
        <f>SUM('[1]Option Implementation Cost'!Q$6:Q$53)</f>
        <v>0</v>
      </c>
      <c r="M5" s="471">
        <f>SUM('[1]Option Implementation Cost'!R$6:R$53)</f>
        <v>0</v>
      </c>
      <c r="N5" s="471">
        <f>SUM('[1]Option Implementation Cost'!S$6:S$53)</f>
        <v>0</v>
      </c>
      <c r="O5" s="471">
        <f>SUM('[1]Option Implementation Cost'!T$6:T$53)</f>
        <v>0</v>
      </c>
      <c r="P5" s="471">
        <f>SUM('[1]Option Implementation Cost'!U$6:U$53)</f>
        <v>0</v>
      </c>
      <c r="Q5" s="471">
        <f>SUM('[1]Option Implementation Cost'!V$6:V$53)</f>
        <v>0</v>
      </c>
      <c r="R5" s="471">
        <f>SUM('[1]Option Implementation Cost'!W$6:W$53)</f>
        <v>0</v>
      </c>
      <c r="S5" s="471">
        <f>SUM('[1]Option Implementation Cost'!X$6:X$53)</f>
        <v>0</v>
      </c>
      <c r="T5" s="471">
        <f>SUM('[1]Option Implementation Cost'!Y$6:Y$53)</f>
        <v>0</v>
      </c>
      <c r="U5" s="471">
        <f>SUM('[1]Option Implementation Cost'!Z$6:Z$53)</f>
        <v>0</v>
      </c>
      <c r="V5" s="471">
        <f>SUM('[1]Option Implementation Cost'!AA$6:AA$53)</f>
        <v>0</v>
      </c>
      <c r="W5" s="467">
        <f>SUM('[1]Option Implementation Cost'!AB$6:AB$53)</f>
        <v>0</v>
      </c>
      <c r="X5" s="683">
        <v>0</v>
      </c>
      <c r="Y5" s="679">
        <v>0</v>
      </c>
      <c r="Z5" s="679">
        <v>0</v>
      </c>
      <c r="AA5" s="679">
        <v>0</v>
      </c>
      <c r="AB5" s="679">
        <v>0</v>
      </c>
      <c r="AC5" s="679">
        <v>0</v>
      </c>
      <c r="AD5" s="679">
        <v>0</v>
      </c>
      <c r="AE5" s="679">
        <v>0</v>
      </c>
      <c r="AF5" s="679">
        <v>0</v>
      </c>
      <c r="AG5" s="684">
        <v>0</v>
      </c>
      <c r="AH5" s="479">
        <f>SUM(D5:AG5)</f>
        <v>48.987266000000005</v>
      </c>
    </row>
    <row r="6" spans="1:34" x14ac:dyDescent="0.25">
      <c r="A6" s="473">
        <f>$A$3-'[1]Preferred Option'!$H$6</f>
        <v>0</v>
      </c>
      <c r="B6" s="470" t="s">
        <v>585</v>
      </c>
      <c r="C6" s="510"/>
      <c r="D6" s="471">
        <f>SUM('[1]Option Lifecycle Cost'!G$6:G$53)</f>
        <v>2.4526080000000001</v>
      </c>
      <c r="E6" s="471">
        <f>SUM('[1]Option Lifecycle Cost'!H$6:H$53)</f>
        <v>1.6714342299999998</v>
      </c>
      <c r="F6" s="471">
        <f>SUM('[1]Option Lifecycle Cost'!I$6:I$53)</f>
        <v>0.86355562559999999</v>
      </c>
      <c r="G6" s="471">
        <f>SUM('[1]Option Lifecycle Cost'!J$6:J$53)</f>
        <v>0.90359070811450004</v>
      </c>
      <c r="H6" s="471">
        <f>SUM('[1]Option Lifecycle Cost'!K$6:K$53)</f>
        <v>1.08825221737138</v>
      </c>
      <c r="I6" s="471">
        <f>SUM('[1]Option Lifecycle Cost'!L$6:L$53)</f>
        <v>1.1208997838925214</v>
      </c>
      <c r="J6" s="471">
        <f>SUM('[1]Option Lifecycle Cost'!M$6:M$53)</f>
        <v>1.1545267774092971</v>
      </c>
      <c r="K6" s="471">
        <f>SUM('[1]Option Lifecycle Cost'!N$6:N$53)</f>
        <v>1.189162580731576</v>
      </c>
      <c r="L6" s="471">
        <f>SUM('[1]Option Lifecycle Cost'!O$6:O$53)</f>
        <v>1.2248374581535233</v>
      </c>
      <c r="M6" s="471">
        <f>SUM('[1]Option Lifecycle Cost'!P$6:P$53)</f>
        <v>1.2615825818981292</v>
      </c>
      <c r="N6" s="471">
        <f>SUM('[1]Option Lifecycle Cost'!Q$6:Q$53)</f>
        <v>1.2994300593550729</v>
      </c>
      <c r="O6" s="471">
        <f>SUM('[1]Option Lifecycle Cost'!R$6:R$53)</f>
        <v>1.3384129611357252</v>
      </c>
      <c r="P6" s="471">
        <f>SUM('[1]Option Lifecycle Cost'!S$6:S$53)</f>
        <v>1.378565349969797</v>
      </c>
      <c r="Q6" s="471">
        <f>SUM('[1]Option Lifecycle Cost'!T$6:T$53)</f>
        <v>1.4199223104688907</v>
      </c>
      <c r="R6" s="471">
        <f>SUM('[1]Option Lifecycle Cost'!U$6:U$53)</f>
        <v>1.4625199797829578</v>
      </c>
      <c r="S6" s="471">
        <f>SUM('[1]Option Lifecycle Cost'!V$6:V$53)</f>
        <v>1.5063955791764467</v>
      </c>
      <c r="T6" s="471">
        <f>SUM('[1]Option Lifecycle Cost'!W$6:W$53)</f>
        <v>1.5515874465517403</v>
      </c>
      <c r="U6" s="471">
        <f>SUM('[1]Option Lifecycle Cost'!X$6:X$53)</f>
        <v>1.5981350699482921</v>
      </c>
      <c r="V6" s="471">
        <f>SUM('[1]Option Lifecycle Cost'!Y$6:Y$53)</f>
        <v>1.646079122046741</v>
      </c>
      <c r="W6" s="467">
        <f>SUM('[1]Option Lifecycle Cost'!Z$6:Z$53)</f>
        <v>1.6954614957081433</v>
      </c>
      <c r="X6" s="683">
        <f>W6*1.03</f>
        <v>1.7463253405793877</v>
      </c>
      <c r="Y6" s="679">
        <f t="shared" ref="Y6:AG6" si="0">X6*1.03</f>
        <v>1.7987151007967694</v>
      </c>
      <c r="Z6" s="679">
        <f t="shared" si="0"/>
        <v>1.8526765538206726</v>
      </c>
      <c r="AA6" s="679">
        <f t="shared" si="0"/>
        <v>1.9082568504352928</v>
      </c>
      <c r="AB6" s="679">
        <f t="shared" si="0"/>
        <v>1.9655045559483517</v>
      </c>
      <c r="AC6" s="679">
        <f t="shared" si="0"/>
        <v>2.0244696926268024</v>
      </c>
      <c r="AD6" s="679">
        <f t="shared" si="0"/>
        <v>2.0852037834056065</v>
      </c>
      <c r="AE6" s="679">
        <f t="shared" si="0"/>
        <v>2.1477598969077749</v>
      </c>
      <c r="AF6" s="679">
        <f t="shared" si="0"/>
        <v>2.212192693815008</v>
      </c>
      <c r="AG6" s="684">
        <f t="shared" si="0"/>
        <v>2.2785584746294583</v>
      </c>
      <c r="AH6" s="479">
        <f>SUM(D6:AG6)</f>
        <v>47.846622280279846</v>
      </c>
    </row>
    <row r="7" spans="1:34" x14ac:dyDescent="0.25">
      <c r="B7" s="469" t="s">
        <v>587</v>
      </c>
      <c r="C7" s="511"/>
      <c r="D7" s="468">
        <f>SUM('[1]Option Lifecycle Benefits'!J$6:J$53)</f>
        <v>0</v>
      </c>
      <c r="E7" s="468">
        <f>SUM('[1]Option Lifecycle Benefits'!K$6:K$53)</f>
        <v>0</v>
      </c>
      <c r="F7" s="468">
        <f>SUM('[1]Option Lifecycle Benefits'!L$6:L$53)</f>
        <v>0</v>
      </c>
      <c r="G7" s="468">
        <f>SUM('[1]Option Lifecycle Benefits'!M$6:M$53)</f>
        <v>0</v>
      </c>
      <c r="H7" s="468">
        <f>SUM('[1]Option Lifecycle Benefits'!N$6:N$53)</f>
        <v>5.2929633705408001</v>
      </c>
      <c r="I7" s="468">
        <f>SUM('[1]Option Lifecycle Benefits'!O$6:O$53)</f>
        <v>0</v>
      </c>
      <c r="J7" s="468">
        <f>SUM('[1]Option Lifecycle Benefits'!P$6:P$53)</f>
        <v>0</v>
      </c>
      <c r="K7" s="468">
        <f>SUM('[1]Option Lifecycle Benefits'!Q$6:Q$53)</f>
        <v>0</v>
      </c>
      <c r="L7" s="468">
        <f>SUM('[1]Option Lifecycle Benefits'!R$6:R$53)</f>
        <v>0</v>
      </c>
      <c r="M7" s="468">
        <f>SUM('[1]Option Lifecycle Benefits'!S$6:S$53)</f>
        <v>0</v>
      </c>
      <c r="N7" s="468">
        <f>SUM('[1]Option Lifecycle Benefits'!T$6:T$53)</f>
        <v>0</v>
      </c>
      <c r="O7" s="468">
        <f>SUM('[1]Option Lifecycle Benefits'!U$6:U$53)</f>
        <v>0</v>
      </c>
      <c r="P7" s="468">
        <f>SUM('[1]Option Lifecycle Benefits'!V$6:V$53)</f>
        <v>0</v>
      </c>
      <c r="Q7" s="468">
        <f>SUM('[1]Option Lifecycle Benefits'!W$6:W$53)</f>
        <v>0</v>
      </c>
      <c r="R7" s="468">
        <f>SUM('[1]Option Lifecycle Benefits'!X$6:X$53)</f>
        <v>0</v>
      </c>
      <c r="S7" s="468">
        <f>SUM('[1]Option Lifecycle Benefits'!Y$6:Y$53)</f>
        <v>0</v>
      </c>
      <c r="T7" s="468">
        <f>SUM('[1]Option Lifecycle Benefits'!Z$6:Z$53)</f>
        <v>0</v>
      </c>
      <c r="U7" s="468">
        <f>SUM('[1]Option Lifecycle Benefits'!AA$6:AA$53)</f>
        <v>0</v>
      </c>
      <c r="V7" s="468">
        <f>SUM('[1]Option Lifecycle Benefits'!AB$6:AB$53)</f>
        <v>0</v>
      </c>
      <c r="W7" s="466">
        <f>SUM('[1]Option Lifecycle Benefits'!AC$6:AC$53)</f>
        <v>0</v>
      </c>
      <c r="X7" s="685">
        <v>0</v>
      </c>
      <c r="Y7" s="686">
        <v>0</v>
      </c>
      <c r="Z7" s="686">
        <v>0</v>
      </c>
      <c r="AA7" s="686">
        <v>0</v>
      </c>
      <c r="AB7" s="686">
        <v>0</v>
      </c>
      <c r="AC7" s="686">
        <v>0</v>
      </c>
      <c r="AD7" s="686">
        <v>0</v>
      </c>
      <c r="AE7" s="686">
        <v>0</v>
      </c>
      <c r="AF7" s="686">
        <v>0</v>
      </c>
      <c r="AG7" s="687">
        <f>AH8</f>
        <v>0</v>
      </c>
      <c r="AH7" s="479">
        <f>SUM(D7:AG7)</f>
        <v>5.2929633705408001</v>
      </c>
    </row>
    <row r="8" spans="1:34" s="246" customFormat="1" x14ac:dyDescent="0.25">
      <c r="B8" s="435" t="s">
        <v>676</v>
      </c>
      <c r="C8" s="510"/>
      <c r="D8" s="471">
        <f>IF(D5-((D5/$C5)*($C$1-D$1))&gt;0,D5-((D5/$C5)*($C$1-D$1)),0)</f>
        <v>0</v>
      </c>
      <c r="E8" s="471">
        <f t="shared" ref="E8:W8" si="1">IF(E5-((E5/$C5)*($C$1-E$1))&gt;0,E5-((E5/$C5)*($C$1-E$1)),0)</f>
        <v>0</v>
      </c>
      <c r="F8" s="471">
        <f t="shared" si="1"/>
        <v>0</v>
      </c>
      <c r="G8" s="471">
        <f t="shared" si="1"/>
        <v>0</v>
      </c>
      <c r="H8" s="471">
        <f t="shared" si="1"/>
        <v>0</v>
      </c>
      <c r="I8" s="471">
        <f t="shared" si="1"/>
        <v>0</v>
      </c>
      <c r="J8" s="471">
        <f t="shared" si="1"/>
        <v>0</v>
      </c>
      <c r="K8" s="471">
        <f t="shared" si="1"/>
        <v>0</v>
      </c>
      <c r="L8" s="471">
        <f t="shared" si="1"/>
        <v>0</v>
      </c>
      <c r="M8" s="471">
        <f t="shared" si="1"/>
        <v>0</v>
      </c>
      <c r="N8" s="471">
        <f t="shared" si="1"/>
        <v>0</v>
      </c>
      <c r="O8" s="471">
        <f t="shared" si="1"/>
        <v>0</v>
      </c>
      <c r="P8" s="471">
        <f t="shared" si="1"/>
        <v>0</v>
      </c>
      <c r="Q8" s="471">
        <f t="shared" si="1"/>
        <v>0</v>
      </c>
      <c r="R8" s="471">
        <f t="shared" si="1"/>
        <v>0</v>
      </c>
      <c r="S8" s="471">
        <f t="shared" si="1"/>
        <v>0</v>
      </c>
      <c r="T8" s="471">
        <f t="shared" si="1"/>
        <v>0</v>
      </c>
      <c r="U8" s="471">
        <f t="shared" si="1"/>
        <v>0</v>
      </c>
      <c r="V8" s="471">
        <f t="shared" si="1"/>
        <v>0</v>
      </c>
      <c r="W8" s="471">
        <f t="shared" si="1"/>
        <v>0</v>
      </c>
      <c r="X8" s="679">
        <f t="shared" ref="X8:AG8" si="2">IF(X5-((X5/$C5)*($C$1-X$1))&gt;0,X5-((X5/$C5)*($C$1-X$1)),0)</f>
        <v>0</v>
      </c>
      <c r="Y8" s="679">
        <f t="shared" si="2"/>
        <v>0</v>
      </c>
      <c r="Z8" s="679">
        <f t="shared" si="2"/>
        <v>0</v>
      </c>
      <c r="AA8" s="679">
        <f t="shared" si="2"/>
        <v>0</v>
      </c>
      <c r="AB8" s="679">
        <f t="shared" si="2"/>
        <v>0</v>
      </c>
      <c r="AC8" s="679">
        <f t="shared" si="2"/>
        <v>0</v>
      </c>
      <c r="AD8" s="679">
        <f t="shared" si="2"/>
        <v>0</v>
      </c>
      <c r="AE8" s="679">
        <f t="shared" si="2"/>
        <v>0</v>
      </c>
      <c r="AF8" s="679">
        <f t="shared" si="2"/>
        <v>0</v>
      </c>
      <c r="AG8" s="679">
        <f t="shared" si="2"/>
        <v>0</v>
      </c>
      <c r="AH8" s="548">
        <f>SUM(D8:AG8)</f>
        <v>0</v>
      </c>
    </row>
    <row r="9" spans="1:34" x14ac:dyDescent="0.25">
      <c r="B9" s="435" t="s">
        <v>588</v>
      </c>
      <c r="D9" s="479">
        <f>D7-SUM(D5:D6)</f>
        <v>-5.1287830000000003</v>
      </c>
      <c r="E9" s="479">
        <f t="shared" ref="E9:W9" si="3">E7-SUM(E5:E6)</f>
        <v>-19.82709423</v>
      </c>
      <c r="F9" s="479">
        <f t="shared" si="3"/>
        <v>-22.662888625600001</v>
      </c>
      <c r="G9" s="479">
        <f t="shared" si="3"/>
        <v>-7.2596887081145001</v>
      </c>
      <c r="H9" s="479">
        <f t="shared" si="3"/>
        <v>4.2047111531694199</v>
      </c>
      <c r="I9" s="479">
        <f t="shared" si="3"/>
        <v>-1.1208997838925214</v>
      </c>
      <c r="J9" s="479">
        <f t="shared" si="3"/>
        <v>-1.1545267774092971</v>
      </c>
      <c r="K9" s="479">
        <f t="shared" si="3"/>
        <v>-1.189162580731576</v>
      </c>
      <c r="L9" s="479">
        <f t="shared" si="3"/>
        <v>-1.2248374581535233</v>
      </c>
      <c r="M9" s="479">
        <f t="shared" si="3"/>
        <v>-1.2615825818981292</v>
      </c>
      <c r="N9" s="479">
        <f t="shared" si="3"/>
        <v>-1.2994300593550729</v>
      </c>
      <c r="O9" s="479">
        <f t="shared" si="3"/>
        <v>-1.3384129611357252</v>
      </c>
      <c r="P9" s="479">
        <f t="shared" si="3"/>
        <v>-1.378565349969797</v>
      </c>
      <c r="Q9" s="479">
        <f t="shared" si="3"/>
        <v>-1.4199223104688907</v>
      </c>
      <c r="R9" s="479">
        <f t="shared" si="3"/>
        <v>-1.4625199797829578</v>
      </c>
      <c r="S9" s="479">
        <f t="shared" si="3"/>
        <v>-1.5063955791764467</v>
      </c>
      <c r="T9" s="479">
        <f t="shared" si="3"/>
        <v>-1.5515874465517403</v>
      </c>
      <c r="U9" s="479">
        <f t="shared" si="3"/>
        <v>-1.5981350699482921</v>
      </c>
      <c r="V9" s="479">
        <f t="shared" si="3"/>
        <v>-1.646079122046741</v>
      </c>
      <c r="W9" s="479">
        <f t="shared" si="3"/>
        <v>-1.6954614957081433</v>
      </c>
      <c r="X9" s="479">
        <f t="shared" ref="X9:AG9" si="4">X7-SUM(X5:X6)</f>
        <v>-1.7463253405793877</v>
      </c>
      <c r="Y9" s="479">
        <f t="shared" si="4"/>
        <v>-1.7987151007967694</v>
      </c>
      <c r="Z9" s="479">
        <f t="shared" si="4"/>
        <v>-1.8526765538206726</v>
      </c>
      <c r="AA9" s="479">
        <f t="shared" si="4"/>
        <v>-1.9082568504352928</v>
      </c>
      <c r="AB9" s="479">
        <f t="shared" si="4"/>
        <v>-1.9655045559483517</v>
      </c>
      <c r="AC9" s="479">
        <f t="shared" si="4"/>
        <v>-2.0244696926268024</v>
      </c>
      <c r="AD9" s="479">
        <f t="shared" si="4"/>
        <v>-2.0852037834056065</v>
      </c>
      <c r="AE9" s="479">
        <f t="shared" si="4"/>
        <v>-2.1477598969077749</v>
      </c>
      <c r="AF9" s="479">
        <f t="shared" si="4"/>
        <v>-2.212192693815008</v>
      </c>
      <c r="AG9" s="479">
        <f t="shared" si="4"/>
        <v>-2.2785584746294583</v>
      </c>
      <c r="AH9" s="479">
        <f t="shared" ref="AH9" si="5">SUM(AH5:AH6)-AH7</f>
        <v>91.540924909739047</v>
      </c>
    </row>
    <row r="10" spans="1:34" x14ac:dyDescent="0.25">
      <c r="B10" s="435" t="s">
        <v>592</v>
      </c>
      <c r="D10" s="480">
        <f>D9</f>
        <v>-5.1287830000000003</v>
      </c>
      <c r="E10" s="480">
        <f>E9+D10</f>
        <v>-24.955877229999999</v>
      </c>
      <c r="F10" s="480">
        <f t="shared" ref="F10" si="6">F9+E10</f>
        <v>-47.618765855600003</v>
      </c>
      <c r="G10" s="480">
        <f t="shared" ref="G10" si="7">G9+F10</f>
        <v>-54.878454563714506</v>
      </c>
      <c r="H10" s="480">
        <f t="shared" ref="H10" si="8">H9+G10</f>
        <v>-50.673743410545086</v>
      </c>
      <c r="I10" s="480">
        <f t="shared" ref="I10" si="9">I9+H10</f>
        <v>-51.794643194437604</v>
      </c>
      <c r="J10" s="480">
        <f t="shared" ref="J10" si="10">J9+I10</f>
        <v>-52.949169971846899</v>
      </c>
      <c r="K10" s="480">
        <f t="shared" ref="K10" si="11">K9+J10</f>
        <v>-54.138332552578476</v>
      </c>
      <c r="L10" s="480">
        <f t="shared" ref="L10" si="12">L9+K10</f>
        <v>-55.363170010731999</v>
      </c>
      <c r="M10" s="480">
        <f t="shared" ref="M10" si="13">M9+L10</f>
        <v>-56.624752592630131</v>
      </c>
      <c r="N10" s="480">
        <f t="shared" ref="N10" si="14">N9+M10</f>
        <v>-57.924182651985205</v>
      </c>
      <c r="O10" s="480">
        <f t="shared" ref="O10" si="15">O9+N10</f>
        <v>-59.262595613120929</v>
      </c>
      <c r="P10" s="480">
        <f t="shared" ref="P10" si="16">P9+O10</f>
        <v>-60.641160963090726</v>
      </c>
      <c r="Q10" s="480">
        <f t="shared" ref="Q10" si="17">Q9+P10</f>
        <v>-62.061083273559618</v>
      </c>
      <c r="R10" s="480">
        <f t="shared" ref="R10" si="18">R9+Q10</f>
        <v>-63.523603253342579</v>
      </c>
      <c r="S10" s="480">
        <f t="shared" ref="S10" si="19">S9+R10</f>
        <v>-65.029998832519027</v>
      </c>
      <c r="T10" s="480">
        <f t="shared" ref="T10" si="20">T9+S10</f>
        <v>-66.581586279070763</v>
      </c>
      <c r="U10" s="480">
        <f t="shared" ref="U10" si="21">U9+T10</f>
        <v>-68.179721349019061</v>
      </c>
      <c r="V10" s="480">
        <f t="shared" ref="V10" si="22">V9+U10</f>
        <v>-69.825800471065804</v>
      </c>
      <c r="W10" s="480">
        <f t="shared" ref="W10" si="23">W9+V10</f>
        <v>-71.521261966773949</v>
      </c>
      <c r="X10" s="480">
        <f t="shared" ref="X10" si="24">X9+W10</f>
        <v>-73.267587307353338</v>
      </c>
      <c r="Y10" s="480">
        <f t="shared" ref="Y10" si="25">Y9+X10</f>
        <v>-75.066302408150108</v>
      </c>
      <c r="Z10" s="480">
        <f t="shared" ref="Z10" si="26">Z9+Y10</f>
        <v>-76.91897896197078</v>
      </c>
      <c r="AA10" s="480">
        <f t="shared" ref="AA10" si="27">AA9+Z10</f>
        <v>-78.827235812406073</v>
      </c>
      <c r="AB10" s="480">
        <f t="shared" ref="AB10" si="28">AB9+AA10</f>
        <v>-80.79274036835443</v>
      </c>
      <c r="AC10" s="480">
        <f t="shared" ref="AC10" si="29">AC9+AB10</f>
        <v>-82.817210060981239</v>
      </c>
      <c r="AD10" s="480">
        <f t="shared" ref="AD10" si="30">AD9+AC10</f>
        <v>-84.902413844386842</v>
      </c>
      <c r="AE10" s="480">
        <f t="shared" ref="AE10" si="31">AE9+AD10</f>
        <v>-87.050173741294614</v>
      </c>
      <c r="AF10" s="480">
        <f t="shared" ref="AF10" si="32">AF9+AE10</f>
        <v>-89.262366435109627</v>
      </c>
      <c r="AG10" s="480">
        <f t="shared" ref="AG10" si="33">AG9+AF10</f>
        <v>-91.54092490973909</v>
      </c>
    </row>
    <row r="11" spans="1:34" x14ac:dyDescent="0.25">
      <c r="B11" s="435" t="s">
        <v>591</v>
      </c>
      <c r="D11" s="478">
        <f t="shared" ref="D11:W11" si="34">D9*D$2</f>
        <v>-5.1287830000000003</v>
      </c>
      <c r="E11" s="478">
        <f t="shared" si="34"/>
        <v>-18.070629083120672</v>
      </c>
      <c r="F11" s="478">
        <f t="shared" si="34"/>
        <v>-18.825376324635847</v>
      </c>
      <c r="G11" s="478">
        <f t="shared" si="34"/>
        <v>-5.4961756279437433</v>
      </c>
      <c r="H11" s="478">
        <f t="shared" si="34"/>
        <v>2.9013022254484024</v>
      </c>
      <c r="I11" s="478">
        <f t="shared" si="34"/>
        <v>-0.70491668591532086</v>
      </c>
      <c r="J11" s="478">
        <f t="shared" si="34"/>
        <v>-0.66174278754354754</v>
      </c>
      <c r="K11" s="478">
        <f t="shared" si="34"/>
        <v>-0.62121315272498545</v>
      </c>
      <c r="L11" s="478">
        <f t="shared" si="34"/>
        <v>-0.58316582875203704</v>
      </c>
      <c r="M11" s="478">
        <f t="shared" si="34"/>
        <v>-0.54744878200382641</v>
      </c>
      <c r="N11" s="478">
        <f t="shared" si="34"/>
        <v>-0.51391929043377793</v>
      </c>
      <c r="O11" s="478">
        <f t="shared" si="34"/>
        <v>-0.48244337326539494</v>
      </c>
      <c r="P11" s="478">
        <f t="shared" si="34"/>
        <v>-0.45289525561735033</v>
      </c>
      <c r="Q11" s="478">
        <f t="shared" si="34"/>
        <v>-0.42515686591858443</v>
      </c>
      <c r="R11" s="478">
        <f t="shared" si="34"/>
        <v>-0.399117364105124</v>
      </c>
      <c r="S11" s="478">
        <f t="shared" si="34"/>
        <v>-0.37467269871334108</v>
      </c>
      <c r="T11" s="478">
        <f t="shared" si="34"/>
        <v>-0.35172519109983719</v>
      </c>
      <c r="U11" s="478">
        <f t="shared" si="34"/>
        <v>-0.33018314512653318</v>
      </c>
      <c r="V11" s="478">
        <f t="shared" si="34"/>
        <v>-0.30996048075130261</v>
      </c>
      <c r="W11" s="478">
        <f t="shared" si="34"/>
        <v>-0.29097639006000886</v>
      </c>
      <c r="X11" s="478">
        <f t="shared" ref="X11:AG11" si="35">X9*X$2</f>
        <v>-0.27315501436548412</v>
      </c>
      <c r="Y11" s="478">
        <f t="shared" si="35"/>
        <v>-0.256425141083165</v>
      </c>
      <c r="Z11" s="478">
        <f t="shared" si="35"/>
        <v>-0.24071991917212904</v>
      </c>
      <c r="AA11" s="478">
        <f t="shared" si="35"/>
        <v>-0.22597659200445949</v>
      </c>
      <c r="AB11" s="478">
        <f t="shared" si="35"/>
        <v>-0.21213624659550978</v>
      </c>
      <c r="AC11" s="478">
        <f t="shared" si="35"/>
        <v>-0.19914357819301409</v>
      </c>
      <c r="AD11" s="478">
        <f t="shared" si="35"/>
        <v>-0.18694666928436432</v>
      </c>
      <c r="AE11" s="478">
        <f t="shared" si="35"/>
        <v>-0.17549678213898587</v>
      </c>
      <c r="AF11" s="478">
        <f t="shared" si="35"/>
        <v>-0.1647481640568314</v>
      </c>
      <c r="AG11" s="478">
        <f t="shared" si="35"/>
        <v>-0.15465786454478342</v>
      </c>
    </row>
    <row r="12" spans="1:34" x14ac:dyDescent="0.25">
      <c r="B12" s="435" t="s">
        <v>593</v>
      </c>
      <c r="D12" s="480">
        <f>D11</f>
        <v>-5.1287830000000003</v>
      </c>
      <c r="E12" s="480">
        <f>D12+E11</f>
        <v>-23.19941208312067</v>
      </c>
      <c r="F12" s="480">
        <f t="shared" ref="F12:J12" si="36">E12+F11</f>
        <v>-42.024788407756517</v>
      </c>
      <c r="G12" s="480">
        <f t="shared" si="36"/>
        <v>-47.52096403570026</v>
      </c>
      <c r="H12" s="480">
        <f t="shared" si="36"/>
        <v>-44.619661810251856</v>
      </c>
      <c r="I12" s="480">
        <f t="shared" si="36"/>
        <v>-45.324578496167177</v>
      </c>
      <c r="J12" s="480">
        <f t="shared" si="36"/>
        <v>-45.986321283710723</v>
      </c>
      <c r="K12" s="480">
        <f t="shared" ref="K12" si="37">J12+K11</f>
        <v>-46.607534436435706</v>
      </c>
      <c r="L12" s="480">
        <f t="shared" ref="L12" si="38">K12+L11</f>
        <v>-47.190700265187743</v>
      </c>
      <c r="M12" s="480">
        <f>L12+M11</f>
        <v>-47.73814904719157</v>
      </c>
      <c r="N12" s="480">
        <f t="shared" ref="N12" si="39">M12+N11</f>
        <v>-48.252068337625346</v>
      </c>
      <c r="O12" s="480">
        <f t="shared" ref="O12" si="40">N12+O11</f>
        <v>-48.734511710890743</v>
      </c>
      <c r="P12" s="480">
        <f t="shared" ref="P12" si="41">O12+P11</f>
        <v>-49.187406966508092</v>
      </c>
      <c r="Q12" s="480">
        <f t="shared" ref="Q12" si="42">P12+Q11</f>
        <v>-49.61256383242668</v>
      </c>
      <c r="R12" s="480">
        <f t="shared" ref="R12" si="43">Q12+R11</f>
        <v>-50.011681196531804</v>
      </c>
      <c r="S12" s="480">
        <f t="shared" ref="S12" si="44">R12+S11</f>
        <v>-50.386353895245144</v>
      </c>
      <c r="T12" s="480">
        <f t="shared" ref="T12" si="45">S12+T11</f>
        <v>-50.738079086344982</v>
      </c>
      <c r="U12" s="480">
        <f t="shared" ref="U12" si="46">T12+U11</f>
        <v>-51.068262231471515</v>
      </c>
      <c r="V12" s="480">
        <f t="shared" ref="V12" si="47">U12+V11</f>
        <v>-51.378222712222815</v>
      </c>
      <c r="W12" s="480">
        <f t="shared" ref="W12" si="48">V12+W11</f>
        <v>-51.669199102282825</v>
      </c>
      <c r="X12" s="694">
        <f t="shared" ref="X12" si="49">W12+X11</f>
        <v>-51.94235411664831</v>
      </c>
      <c r="Y12" s="694">
        <f t="shared" ref="Y12" si="50">X12+Y11</f>
        <v>-52.198779257731474</v>
      </c>
      <c r="Z12" s="694">
        <f t="shared" ref="Z12" si="51">Y12+Z11</f>
        <v>-52.439499176903603</v>
      </c>
      <c r="AA12" s="694">
        <f t="shared" ref="AA12" si="52">Z12+AA11</f>
        <v>-52.66547576890806</v>
      </c>
      <c r="AB12" s="694">
        <f t="shared" ref="AB12" si="53">AA12+AB11</f>
        <v>-52.877612015503573</v>
      </c>
      <c r="AC12" s="695">
        <f t="shared" ref="AC12" si="54">AB12+AC11</f>
        <v>-53.076755593696589</v>
      </c>
      <c r="AD12" s="694">
        <f t="shared" ref="AD12" si="55">AC12+AD11</f>
        <v>-53.263702262980956</v>
      </c>
      <c r="AE12" s="694">
        <f t="shared" ref="AE12" si="56">AD12+AE11</f>
        <v>-53.439199045119942</v>
      </c>
      <c r="AF12" s="694">
        <f t="shared" ref="AF12" si="57">AE12+AF11</f>
        <v>-53.603947209176773</v>
      </c>
      <c r="AG12" s="694">
        <f t="shared" ref="AG12" si="58">AF12+AG11</f>
        <v>-53.758605073721554</v>
      </c>
    </row>
    <row r="13" spans="1:34" x14ac:dyDescent="0.25">
      <c r="B13" s="435" t="s">
        <v>604</v>
      </c>
      <c r="D13" s="480">
        <f>SUM(D5:D6)-D7</f>
        <v>5.1287830000000003</v>
      </c>
      <c r="E13" s="480">
        <f>(SUM(E5:E6)-E7)+D13</f>
        <v>24.955877229999999</v>
      </c>
      <c r="F13" s="480">
        <f t="shared" ref="F13:W13" si="59">(SUM(F5:F6)-F7)+E13</f>
        <v>47.618765855600003</v>
      </c>
      <c r="G13" s="480">
        <f t="shared" si="59"/>
        <v>54.878454563714506</v>
      </c>
      <c r="H13" s="480">
        <f t="shared" si="59"/>
        <v>50.673743410545086</v>
      </c>
      <c r="I13" s="480">
        <f t="shared" si="59"/>
        <v>51.794643194437604</v>
      </c>
      <c r="J13" s="480">
        <f t="shared" si="59"/>
        <v>52.949169971846899</v>
      </c>
      <c r="K13" s="480">
        <f t="shared" si="59"/>
        <v>54.138332552578476</v>
      </c>
      <c r="L13" s="480">
        <f t="shared" si="59"/>
        <v>55.363170010731999</v>
      </c>
      <c r="M13" s="480">
        <f t="shared" si="59"/>
        <v>56.624752592630131</v>
      </c>
      <c r="N13" s="480">
        <f t="shared" si="59"/>
        <v>57.924182651985205</v>
      </c>
      <c r="O13" s="480">
        <f t="shared" si="59"/>
        <v>59.262595613120929</v>
      </c>
      <c r="P13" s="480">
        <f t="shared" si="59"/>
        <v>60.641160963090726</v>
      </c>
      <c r="Q13" s="480">
        <f t="shared" si="59"/>
        <v>62.061083273559618</v>
      </c>
      <c r="R13" s="480">
        <f t="shared" si="59"/>
        <v>63.523603253342579</v>
      </c>
      <c r="S13" s="480">
        <f t="shared" si="59"/>
        <v>65.029998832519027</v>
      </c>
      <c r="T13" s="480">
        <f t="shared" si="59"/>
        <v>66.581586279070763</v>
      </c>
      <c r="U13" s="480">
        <f t="shared" si="59"/>
        <v>68.179721349019061</v>
      </c>
      <c r="V13" s="480">
        <f t="shared" si="59"/>
        <v>69.825800471065804</v>
      </c>
      <c r="W13" s="480">
        <f t="shared" si="59"/>
        <v>71.521261966773949</v>
      </c>
      <c r="X13" s="480">
        <f t="shared" ref="X13" si="60">(SUM(X5:X6)-X7)+W13</f>
        <v>73.267587307353338</v>
      </c>
      <c r="Y13" s="480">
        <f t="shared" ref="Y13" si="61">(SUM(Y5:Y6)-Y7)+X13</f>
        <v>75.066302408150108</v>
      </c>
      <c r="Z13" s="480">
        <f t="shared" ref="Z13" si="62">(SUM(Z5:Z6)-Z7)+Y13</f>
        <v>76.91897896197078</v>
      </c>
      <c r="AA13" s="480">
        <f t="shared" ref="AA13" si="63">(SUM(AA5:AA6)-AA7)+Z13</f>
        <v>78.827235812406073</v>
      </c>
      <c r="AB13" s="480">
        <f t="shared" ref="AB13" si="64">(SUM(AB5:AB6)-AB7)+AA13</f>
        <v>80.79274036835443</v>
      </c>
      <c r="AC13" s="480">
        <f t="shared" ref="AC13" si="65">(SUM(AC5:AC6)-AC7)+AB13</f>
        <v>82.817210060981239</v>
      </c>
      <c r="AD13" s="480">
        <f t="shared" ref="AD13" si="66">(SUM(AD5:AD6)-AD7)+AC13</f>
        <v>84.902413844386842</v>
      </c>
      <c r="AE13" s="480">
        <f t="shared" ref="AE13" si="67">(SUM(AE5:AE6)-AE7)+AD13</f>
        <v>87.050173741294614</v>
      </c>
      <c r="AF13" s="480">
        <f t="shared" ref="AF13" si="68">(SUM(AF5:AF6)-AF7)+AE13</f>
        <v>89.262366435109627</v>
      </c>
      <c r="AG13" s="480">
        <f t="shared" ref="AG13" si="69">(SUM(AG5:AG6)-AG7)+AF13</f>
        <v>91.54092490973909</v>
      </c>
    </row>
    <row r="14" spans="1:34" x14ac:dyDescent="0.25">
      <c r="B14" s="435" t="s">
        <v>595</v>
      </c>
      <c r="D14" s="480">
        <f>D5</f>
        <v>2.6761749999999997</v>
      </c>
      <c r="E14" s="480">
        <f t="shared" ref="E14:W14" si="70">E5+D14</f>
        <v>20.831835000000002</v>
      </c>
      <c r="F14" s="480">
        <f t="shared" si="70"/>
        <v>42.631168000000002</v>
      </c>
      <c r="G14" s="480">
        <f t="shared" si="70"/>
        <v>48.987266000000005</v>
      </c>
      <c r="H14" s="480">
        <f t="shared" si="70"/>
        <v>48.987266000000005</v>
      </c>
      <c r="I14" s="480">
        <f t="shared" si="70"/>
        <v>48.987266000000005</v>
      </c>
      <c r="J14" s="480">
        <f t="shared" si="70"/>
        <v>48.987266000000005</v>
      </c>
      <c r="K14" s="480">
        <f t="shared" si="70"/>
        <v>48.987266000000005</v>
      </c>
      <c r="L14" s="480">
        <f t="shared" si="70"/>
        <v>48.987266000000005</v>
      </c>
      <c r="M14" s="480">
        <f t="shared" si="70"/>
        <v>48.987266000000005</v>
      </c>
      <c r="N14" s="480">
        <f t="shared" si="70"/>
        <v>48.987266000000005</v>
      </c>
      <c r="O14" s="480">
        <f t="shared" si="70"/>
        <v>48.987266000000005</v>
      </c>
      <c r="P14" s="480">
        <f t="shared" si="70"/>
        <v>48.987266000000005</v>
      </c>
      <c r="Q14" s="480">
        <f t="shared" si="70"/>
        <v>48.987266000000005</v>
      </c>
      <c r="R14" s="480">
        <f t="shared" si="70"/>
        <v>48.987266000000005</v>
      </c>
      <c r="S14" s="480">
        <f t="shared" si="70"/>
        <v>48.987266000000005</v>
      </c>
      <c r="T14" s="480">
        <f t="shared" si="70"/>
        <v>48.987266000000005</v>
      </c>
      <c r="U14" s="480">
        <f t="shared" si="70"/>
        <v>48.987266000000005</v>
      </c>
      <c r="V14" s="480">
        <f t="shared" si="70"/>
        <v>48.987266000000005</v>
      </c>
      <c r="W14" s="480">
        <f t="shared" si="70"/>
        <v>48.987266000000005</v>
      </c>
      <c r="X14" s="480">
        <f t="shared" ref="X14:X16" si="71">X5+W14</f>
        <v>48.987266000000005</v>
      </c>
      <c r="Y14" s="480">
        <f t="shared" ref="Y14:Y16" si="72">Y5+X14</f>
        <v>48.987266000000005</v>
      </c>
      <c r="Z14" s="480">
        <f t="shared" ref="Z14:Z16" si="73">Z5+Y14</f>
        <v>48.987266000000005</v>
      </c>
      <c r="AA14" s="480">
        <f t="shared" ref="AA14:AA16" si="74">AA5+Z14</f>
        <v>48.987266000000005</v>
      </c>
      <c r="AB14" s="480">
        <f t="shared" ref="AB14:AB16" si="75">AB5+AA14</f>
        <v>48.987266000000005</v>
      </c>
      <c r="AC14" s="480">
        <f t="shared" ref="AC14:AC16" si="76">AC5+AB14</f>
        <v>48.987266000000005</v>
      </c>
      <c r="AD14" s="480">
        <f t="shared" ref="AD14:AD16" si="77">AD5+AC14</f>
        <v>48.987266000000005</v>
      </c>
      <c r="AE14" s="480">
        <f t="shared" ref="AE14:AE16" si="78">AE5+AD14</f>
        <v>48.987266000000005</v>
      </c>
      <c r="AF14" s="480">
        <f t="shared" ref="AF14:AF16" si="79">AF5+AE14</f>
        <v>48.987266000000005</v>
      </c>
      <c r="AG14" s="480">
        <f t="shared" ref="AG14:AG16" si="80">AG5+AF14</f>
        <v>48.987266000000005</v>
      </c>
    </row>
    <row r="15" spans="1:34" x14ac:dyDescent="0.25">
      <c r="B15" s="435" t="s">
        <v>596</v>
      </c>
      <c r="D15" s="480">
        <f>D6</f>
        <v>2.4526080000000001</v>
      </c>
      <c r="E15" s="480">
        <f t="shared" ref="E15:W15" si="81">E6+D15</f>
        <v>4.1240422299999997</v>
      </c>
      <c r="F15" s="480">
        <f t="shared" si="81"/>
        <v>4.9875978555999998</v>
      </c>
      <c r="G15" s="480">
        <f t="shared" si="81"/>
        <v>5.8911885637144996</v>
      </c>
      <c r="H15" s="480">
        <f t="shared" si="81"/>
        <v>6.9794407810858798</v>
      </c>
      <c r="I15" s="480">
        <f t="shared" si="81"/>
        <v>8.100340564978401</v>
      </c>
      <c r="J15" s="480">
        <f t="shared" si="81"/>
        <v>9.2548673423876977</v>
      </c>
      <c r="K15" s="480">
        <f t="shared" si="81"/>
        <v>10.444029923119274</v>
      </c>
      <c r="L15" s="480">
        <f t="shared" si="81"/>
        <v>11.668867381272797</v>
      </c>
      <c r="M15" s="480">
        <f t="shared" si="81"/>
        <v>12.930449963170926</v>
      </c>
      <c r="N15" s="480">
        <f t="shared" si="81"/>
        <v>14.229880022525998</v>
      </c>
      <c r="O15" s="480">
        <f t="shared" si="81"/>
        <v>15.568292983661724</v>
      </c>
      <c r="P15" s="480">
        <f t="shared" si="81"/>
        <v>16.946858333631521</v>
      </c>
      <c r="Q15" s="480">
        <f t="shared" si="81"/>
        <v>18.366780644100412</v>
      </c>
      <c r="R15" s="480">
        <f t="shared" si="81"/>
        <v>19.82930062388337</v>
      </c>
      <c r="S15" s="480">
        <f t="shared" si="81"/>
        <v>21.335696203059818</v>
      </c>
      <c r="T15" s="480">
        <f t="shared" si="81"/>
        <v>22.887283649611557</v>
      </c>
      <c r="U15" s="480">
        <f t="shared" si="81"/>
        <v>24.485418719559849</v>
      </c>
      <c r="V15" s="480">
        <f t="shared" si="81"/>
        <v>26.131497841606588</v>
      </c>
      <c r="W15" s="480">
        <f t="shared" si="81"/>
        <v>27.826959337314733</v>
      </c>
      <c r="X15" s="480">
        <f t="shared" si="71"/>
        <v>29.573284677894122</v>
      </c>
      <c r="Y15" s="480">
        <f t="shared" si="72"/>
        <v>31.371999778690892</v>
      </c>
      <c r="Z15" s="480">
        <f t="shared" si="73"/>
        <v>33.224676332511564</v>
      </c>
      <c r="AA15" s="480">
        <f t="shared" si="74"/>
        <v>35.132933182946857</v>
      </c>
      <c r="AB15" s="480">
        <f t="shared" si="75"/>
        <v>37.098437738895207</v>
      </c>
      <c r="AC15" s="480">
        <f t="shared" si="76"/>
        <v>39.122907431522009</v>
      </c>
      <c r="AD15" s="480">
        <f t="shared" si="77"/>
        <v>41.208111214927612</v>
      </c>
      <c r="AE15" s="480">
        <f t="shared" si="78"/>
        <v>43.355871111835384</v>
      </c>
      <c r="AF15" s="480">
        <f t="shared" si="79"/>
        <v>45.568063805650389</v>
      </c>
      <c r="AG15" s="480">
        <f t="shared" si="80"/>
        <v>47.846622280279846</v>
      </c>
    </row>
    <row r="16" spans="1:34" x14ac:dyDescent="0.25">
      <c r="B16" s="435" t="s">
        <v>597</v>
      </c>
      <c r="D16" s="480">
        <f>D7</f>
        <v>0</v>
      </c>
      <c r="E16" s="480">
        <f t="shared" ref="E16:W16" si="82">E7+D16</f>
        <v>0</v>
      </c>
      <c r="F16" s="480">
        <f t="shared" si="82"/>
        <v>0</v>
      </c>
      <c r="G16" s="480">
        <f t="shared" si="82"/>
        <v>0</v>
      </c>
      <c r="H16" s="480">
        <f t="shared" si="82"/>
        <v>5.2929633705408001</v>
      </c>
      <c r="I16" s="480">
        <f t="shared" si="82"/>
        <v>5.2929633705408001</v>
      </c>
      <c r="J16" s="480">
        <f t="shared" si="82"/>
        <v>5.2929633705408001</v>
      </c>
      <c r="K16" s="480">
        <f t="shared" si="82"/>
        <v>5.2929633705408001</v>
      </c>
      <c r="L16" s="480">
        <f t="shared" si="82"/>
        <v>5.2929633705408001</v>
      </c>
      <c r="M16" s="480">
        <f t="shared" si="82"/>
        <v>5.2929633705408001</v>
      </c>
      <c r="N16" s="480">
        <f t="shared" si="82"/>
        <v>5.2929633705408001</v>
      </c>
      <c r="O16" s="480">
        <f t="shared" si="82"/>
        <v>5.2929633705408001</v>
      </c>
      <c r="P16" s="480">
        <f t="shared" si="82"/>
        <v>5.2929633705408001</v>
      </c>
      <c r="Q16" s="480">
        <f t="shared" si="82"/>
        <v>5.2929633705408001</v>
      </c>
      <c r="R16" s="480">
        <f t="shared" si="82"/>
        <v>5.2929633705408001</v>
      </c>
      <c r="S16" s="480">
        <f t="shared" si="82"/>
        <v>5.2929633705408001</v>
      </c>
      <c r="T16" s="480">
        <f t="shared" si="82"/>
        <v>5.2929633705408001</v>
      </c>
      <c r="U16" s="480">
        <f t="shared" si="82"/>
        <v>5.2929633705408001</v>
      </c>
      <c r="V16" s="480">
        <f t="shared" si="82"/>
        <v>5.2929633705408001</v>
      </c>
      <c r="W16" s="480">
        <f t="shared" si="82"/>
        <v>5.2929633705408001</v>
      </c>
      <c r="X16" s="480">
        <f t="shared" si="71"/>
        <v>5.2929633705408001</v>
      </c>
      <c r="Y16" s="480">
        <f t="shared" si="72"/>
        <v>5.2929633705408001</v>
      </c>
      <c r="Z16" s="480">
        <f t="shared" si="73"/>
        <v>5.2929633705408001</v>
      </c>
      <c r="AA16" s="480">
        <f t="shared" si="74"/>
        <v>5.2929633705408001</v>
      </c>
      <c r="AB16" s="480">
        <f t="shared" si="75"/>
        <v>5.2929633705408001</v>
      </c>
      <c r="AC16" s="480">
        <f t="shared" si="76"/>
        <v>5.2929633705408001</v>
      </c>
      <c r="AD16" s="480">
        <f t="shared" si="77"/>
        <v>5.2929633705408001</v>
      </c>
      <c r="AE16" s="480">
        <f t="shared" si="78"/>
        <v>5.2929633705408001</v>
      </c>
      <c r="AF16" s="480">
        <f t="shared" si="79"/>
        <v>5.2929633705408001</v>
      </c>
      <c r="AG16" s="480">
        <f t="shared" si="80"/>
        <v>5.2929633705408001</v>
      </c>
    </row>
    <row r="17" spans="1:34" s="246" customFormat="1" x14ac:dyDescent="0.25">
      <c r="B17" s="435" t="s">
        <v>673</v>
      </c>
      <c r="C17" s="201"/>
      <c r="D17" s="480">
        <f>D5</f>
        <v>2.6761749999999997</v>
      </c>
      <c r="E17" s="480">
        <f t="shared" ref="E17:W17" si="83">E5/(1.1^E$1)</f>
        <v>16.505145454545453</v>
      </c>
      <c r="F17" s="480">
        <f t="shared" si="83"/>
        <v>18.015977685950411</v>
      </c>
      <c r="G17" s="480">
        <f t="shared" si="83"/>
        <v>4.7754305033809157</v>
      </c>
      <c r="H17" s="480">
        <f t="shared" si="83"/>
        <v>0</v>
      </c>
      <c r="I17" s="480">
        <f t="shared" si="83"/>
        <v>0</v>
      </c>
      <c r="J17" s="480">
        <f t="shared" si="83"/>
        <v>0</v>
      </c>
      <c r="K17" s="480">
        <f t="shared" si="83"/>
        <v>0</v>
      </c>
      <c r="L17" s="480">
        <f t="shared" si="83"/>
        <v>0</v>
      </c>
      <c r="M17" s="480">
        <f t="shared" si="83"/>
        <v>0</v>
      </c>
      <c r="N17" s="480">
        <f t="shared" si="83"/>
        <v>0</v>
      </c>
      <c r="O17" s="480">
        <f t="shared" si="83"/>
        <v>0</v>
      </c>
      <c r="P17" s="480">
        <f t="shared" si="83"/>
        <v>0</v>
      </c>
      <c r="Q17" s="480">
        <f t="shared" si="83"/>
        <v>0</v>
      </c>
      <c r="R17" s="480">
        <f t="shared" si="83"/>
        <v>0</v>
      </c>
      <c r="S17" s="480">
        <f t="shared" si="83"/>
        <v>0</v>
      </c>
      <c r="T17" s="480">
        <f t="shared" si="83"/>
        <v>0</v>
      </c>
      <c r="U17" s="480">
        <f t="shared" si="83"/>
        <v>0</v>
      </c>
      <c r="V17" s="480">
        <f t="shared" si="83"/>
        <v>0</v>
      </c>
      <c r="W17" s="480">
        <f t="shared" si="83"/>
        <v>0</v>
      </c>
      <c r="X17" s="480">
        <f t="shared" ref="X17:AG17" si="84">X5/(1.1^X$1)</f>
        <v>0</v>
      </c>
      <c r="Y17" s="480">
        <f t="shared" si="84"/>
        <v>0</v>
      </c>
      <c r="Z17" s="480">
        <f t="shared" si="84"/>
        <v>0</v>
      </c>
      <c r="AA17" s="480">
        <f t="shared" si="84"/>
        <v>0</v>
      </c>
      <c r="AB17" s="480">
        <f t="shared" si="84"/>
        <v>0</v>
      </c>
      <c r="AC17" s="480">
        <f t="shared" si="84"/>
        <v>0</v>
      </c>
      <c r="AD17" s="480">
        <f t="shared" si="84"/>
        <v>0</v>
      </c>
      <c r="AE17" s="480">
        <f t="shared" si="84"/>
        <v>0</v>
      </c>
      <c r="AF17" s="480">
        <f t="shared" si="84"/>
        <v>0</v>
      </c>
      <c r="AG17" s="480">
        <f t="shared" si="84"/>
        <v>0</v>
      </c>
      <c r="AH17" s="479">
        <f>-SUM(D17:AG17)</f>
        <v>-41.972728643876778</v>
      </c>
    </row>
    <row r="18" spans="1:34" s="246" customFormat="1" x14ac:dyDescent="0.25">
      <c r="B18" s="435" t="s">
        <v>675</v>
      </c>
      <c r="C18" s="201"/>
      <c r="D18" s="480">
        <f>D6</f>
        <v>2.4526080000000001</v>
      </c>
      <c r="E18" s="480">
        <f t="shared" ref="E18:W18" si="85">E6/(1.1^E$1)</f>
        <v>1.5194856636363634</v>
      </c>
      <c r="F18" s="480">
        <f t="shared" si="85"/>
        <v>0.7136823352066114</v>
      </c>
      <c r="G18" s="480">
        <f t="shared" si="85"/>
        <v>0.67888107296356104</v>
      </c>
      <c r="H18" s="480">
        <f t="shared" si="85"/>
        <v>0.74329090729552605</v>
      </c>
      <c r="I18" s="480">
        <f t="shared" si="85"/>
        <v>0.69599057683126531</v>
      </c>
      <c r="J18" s="480">
        <f t="shared" si="85"/>
        <v>0.65170026739654829</v>
      </c>
      <c r="K18" s="480">
        <f t="shared" si="85"/>
        <v>0.61022843219858602</v>
      </c>
      <c r="L18" s="480">
        <f t="shared" si="85"/>
        <v>0.57139571378594889</v>
      </c>
      <c r="M18" s="480">
        <f t="shared" si="85"/>
        <v>0.53503416836320672</v>
      </c>
      <c r="N18" s="480">
        <f t="shared" si="85"/>
        <v>0.50098653946736615</v>
      </c>
      <c r="O18" s="480">
        <f t="shared" si="85"/>
        <v>0.46910557786489732</v>
      </c>
      <c r="P18" s="480">
        <f t="shared" si="85"/>
        <v>0.43925340472804025</v>
      </c>
      <c r="Q18" s="480">
        <f t="shared" si="85"/>
        <v>0.41130091533625585</v>
      </c>
      <c r="R18" s="480">
        <f t="shared" si="85"/>
        <v>0.38512722072394867</v>
      </c>
      <c r="S18" s="480">
        <f t="shared" si="85"/>
        <v>0.36061912485969744</v>
      </c>
      <c r="T18" s="480">
        <f t="shared" si="85"/>
        <v>0.33767063509589851</v>
      </c>
      <c r="U18" s="480">
        <f t="shared" si="85"/>
        <v>0.316182503771614</v>
      </c>
      <c r="V18" s="480">
        <f t="shared" si="85"/>
        <v>0.29606179898614765</v>
      </c>
      <c r="W18" s="480">
        <f t="shared" si="85"/>
        <v>0.27722150268702911</v>
      </c>
      <c r="X18" s="480">
        <f t="shared" ref="X18:AG18" si="86">X6/(1.1^X$1)</f>
        <v>0.25958013433421817</v>
      </c>
      <c r="Y18" s="480">
        <f t="shared" si="86"/>
        <v>0.24306139851294975</v>
      </c>
      <c r="Z18" s="480">
        <f t="shared" si="86"/>
        <v>0.22759385497121656</v>
      </c>
      <c r="AA18" s="480">
        <f t="shared" si="86"/>
        <v>0.21311060965486639</v>
      </c>
      <c r="AB18" s="480">
        <f t="shared" si="86"/>
        <v>0.19954902540410221</v>
      </c>
      <c r="AC18" s="480">
        <f t="shared" si="86"/>
        <v>0.18685045106020479</v>
      </c>
      <c r="AD18" s="480">
        <f t="shared" si="86"/>
        <v>0.17495996781091902</v>
      </c>
      <c r="AE18" s="480">
        <f t="shared" si="86"/>
        <v>0.1638261516774969</v>
      </c>
      <c r="AF18" s="480">
        <f t="shared" si="86"/>
        <v>0.15340085111620164</v>
      </c>
      <c r="AG18" s="480">
        <f t="shared" si="86"/>
        <v>0.14363897877244333</v>
      </c>
      <c r="AH18" s="479">
        <f>-SUM(D18:AG18)</f>
        <v>-14.93139778451313</v>
      </c>
    </row>
    <row r="19" spans="1:34" s="246" customFormat="1" x14ac:dyDescent="0.25">
      <c r="B19" s="435" t="s">
        <v>674</v>
      </c>
      <c r="C19" s="201"/>
      <c r="D19" s="480">
        <f>D7</f>
        <v>0</v>
      </c>
      <c r="E19" s="480">
        <f t="shared" ref="E19:W19" si="87">E7/(1.1^E$1)</f>
        <v>0</v>
      </c>
      <c r="F19" s="480">
        <f t="shared" si="87"/>
        <v>0</v>
      </c>
      <c r="G19" s="480">
        <f t="shared" si="87"/>
        <v>0</v>
      </c>
      <c r="H19" s="480">
        <f t="shared" si="87"/>
        <v>3.6151652008338218</v>
      </c>
      <c r="I19" s="480">
        <f t="shared" si="87"/>
        <v>0</v>
      </c>
      <c r="J19" s="480">
        <f t="shared" si="87"/>
        <v>0</v>
      </c>
      <c r="K19" s="480">
        <f t="shared" si="87"/>
        <v>0</v>
      </c>
      <c r="L19" s="480">
        <f t="shared" si="87"/>
        <v>0</v>
      </c>
      <c r="M19" s="480">
        <f t="shared" si="87"/>
        <v>0</v>
      </c>
      <c r="N19" s="480">
        <f t="shared" si="87"/>
        <v>0</v>
      </c>
      <c r="O19" s="480">
        <f t="shared" si="87"/>
        <v>0</v>
      </c>
      <c r="P19" s="480">
        <f t="shared" si="87"/>
        <v>0</v>
      </c>
      <c r="Q19" s="480">
        <f t="shared" si="87"/>
        <v>0</v>
      </c>
      <c r="R19" s="480">
        <f t="shared" si="87"/>
        <v>0</v>
      </c>
      <c r="S19" s="480">
        <f t="shared" si="87"/>
        <v>0</v>
      </c>
      <c r="T19" s="480">
        <f t="shared" si="87"/>
        <v>0</v>
      </c>
      <c r="U19" s="480">
        <f t="shared" si="87"/>
        <v>0</v>
      </c>
      <c r="V19" s="480">
        <f t="shared" si="87"/>
        <v>0</v>
      </c>
      <c r="W19" s="480">
        <f t="shared" si="87"/>
        <v>0</v>
      </c>
      <c r="X19" s="480">
        <f t="shared" ref="X19:AG19" si="88">X7/(1.1^X$1)</f>
        <v>0</v>
      </c>
      <c r="Y19" s="480">
        <f t="shared" si="88"/>
        <v>0</v>
      </c>
      <c r="Z19" s="480">
        <f t="shared" si="88"/>
        <v>0</v>
      </c>
      <c r="AA19" s="480">
        <f t="shared" si="88"/>
        <v>0</v>
      </c>
      <c r="AB19" s="480">
        <f t="shared" si="88"/>
        <v>0</v>
      </c>
      <c r="AC19" s="480">
        <f t="shared" si="88"/>
        <v>0</v>
      </c>
      <c r="AD19" s="480">
        <f t="shared" si="88"/>
        <v>0</v>
      </c>
      <c r="AE19" s="480">
        <f t="shared" si="88"/>
        <v>0</v>
      </c>
      <c r="AF19" s="480">
        <f t="shared" si="88"/>
        <v>0</v>
      </c>
      <c r="AG19" s="480">
        <f t="shared" si="88"/>
        <v>0</v>
      </c>
      <c r="AH19" s="479">
        <f>SUM(D19:AG19)</f>
        <v>3.6151652008338218</v>
      </c>
    </row>
    <row r="21" spans="1:34" x14ac:dyDescent="0.25">
      <c r="A21" s="465" t="s">
        <v>598</v>
      </c>
      <c r="B21" s="464"/>
      <c r="C21" s="512"/>
      <c r="D21" s="463"/>
      <c r="E21" s="463"/>
      <c r="F21" s="463"/>
      <c r="G21" s="463"/>
      <c r="H21" s="463"/>
      <c r="I21" s="463"/>
      <c r="J21" s="463"/>
      <c r="K21" s="463"/>
      <c r="L21" s="463"/>
      <c r="M21" s="463"/>
      <c r="N21" s="463"/>
      <c r="O21" s="463"/>
      <c r="P21" s="463"/>
      <c r="Q21" s="463"/>
      <c r="R21" s="463"/>
      <c r="S21" s="463"/>
      <c r="T21" s="463"/>
      <c r="U21" s="463"/>
      <c r="V21" s="463"/>
      <c r="W21" s="463"/>
      <c r="X21" s="481"/>
      <c r="Y21" s="481"/>
      <c r="Z21" s="481"/>
      <c r="AA21" s="481"/>
      <c r="AB21" s="481"/>
      <c r="AC21" s="481"/>
      <c r="AD21" s="481"/>
      <c r="AE21" s="481"/>
      <c r="AF21" s="481"/>
      <c r="AG21" s="481"/>
      <c r="AH21" s="246"/>
    </row>
    <row r="22" spans="1:34" x14ac:dyDescent="0.25">
      <c r="A22" s="472" t="s">
        <v>594</v>
      </c>
      <c r="B22" s="470" t="s">
        <v>586</v>
      </c>
      <c r="C22" s="510">
        <v>25</v>
      </c>
      <c r="D22" s="471">
        <f>SUM('[1]Option Implementation Cost'!I$60:I$107)</f>
        <v>5.0918930000000007</v>
      </c>
      <c r="E22" s="471">
        <f>SUM('[1]Option Implementation Cost'!J$60:J$107)</f>
        <v>21.286252999999999</v>
      </c>
      <c r="F22" s="471">
        <f>SUM('[1]Option Implementation Cost'!K$60:K$107)</f>
        <v>19.618666999999999</v>
      </c>
      <c r="G22" s="471">
        <f>SUM('[1]Option Implementation Cost'!L$60:L$107)</f>
        <v>13.939063000000001</v>
      </c>
      <c r="H22" s="471">
        <f>SUM('[1]Option Implementation Cost'!M$60:M$107)</f>
        <v>0</v>
      </c>
      <c r="I22" s="471">
        <f>SUM('[1]Option Implementation Cost'!N$60:N$107)</f>
        <v>0</v>
      </c>
      <c r="J22" s="471">
        <f>SUM('[1]Option Implementation Cost'!O$60:O$107)</f>
        <v>0</v>
      </c>
      <c r="K22" s="471">
        <f>SUM('[1]Option Implementation Cost'!P$60:P$107)</f>
        <v>0</v>
      </c>
      <c r="L22" s="471">
        <f>SUM('[1]Option Implementation Cost'!Q$60:Q$107)</f>
        <v>0</v>
      </c>
      <c r="M22" s="471">
        <f>SUM('[1]Option Implementation Cost'!R$60:R$107)</f>
        <v>0</v>
      </c>
      <c r="N22" s="471">
        <f>SUM('[1]Option Implementation Cost'!S$60:S$107)</f>
        <v>0</v>
      </c>
      <c r="O22" s="471">
        <f>SUM('[1]Option Implementation Cost'!T$60:T$107)</f>
        <v>0</v>
      </c>
      <c r="P22" s="471">
        <f>SUM('[1]Option Implementation Cost'!U$60:U$107)</f>
        <v>0</v>
      </c>
      <c r="Q22" s="471">
        <f>SUM('[1]Option Implementation Cost'!V$60:V$107)</f>
        <v>0</v>
      </c>
      <c r="R22" s="471">
        <f>SUM('[1]Option Implementation Cost'!W$60:W$107)</f>
        <v>0</v>
      </c>
      <c r="S22" s="471">
        <f>SUM('[1]Option Implementation Cost'!X$60:X$107)</f>
        <v>0</v>
      </c>
      <c r="T22" s="471">
        <f>SUM('[1]Option Implementation Cost'!Y$60:Y$107)</f>
        <v>0</v>
      </c>
      <c r="U22" s="471">
        <f>SUM('[1]Option Implementation Cost'!Z$60:Z$107)</f>
        <v>0</v>
      </c>
      <c r="V22" s="471">
        <f>SUM('[1]Option Implementation Cost'!AA$60:AA$107)</f>
        <v>0</v>
      </c>
      <c r="W22" s="467">
        <f>SUM('[1]Option Implementation Cost'!AB$60:AB$107)</f>
        <v>0</v>
      </c>
      <c r="X22" s="683">
        <v>0</v>
      </c>
      <c r="Y22" s="679">
        <v>0</v>
      </c>
      <c r="Z22" s="679">
        <v>0</v>
      </c>
      <c r="AA22" s="679">
        <v>0</v>
      </c>
      <c r="AB22" s="679">
        <v>0</v>
      </c>
      <c r="AC22" s="679">
        <v>0</v>
      </c>
      <c r="AD22" s="679">
        <v>0</v>
      </c>
      <c r="AE22" s="679">
        <v>0</v>
      </c>
      <c r="AF22" s="679">
        <v>0</v>
      </c>
      <c r="AG22" s="684">
        <v>0</v>
      </c>
      <c r="AH22" s="479">
        <f>SUM(D22:AG22)</f>
        <v>59.935876000000007</v>
      </c>
    </row>
    <row r="23" spans="1:34" x14ac:dyDescent="0.25">
      <c r="A23" s="473">
        <f>$A$3-'[1]Preferred Option'!$H$7</f>
        <v>0</v>
      </c>
      <c r="B23" s="470" t="s">
        <v>585</v>
      </c>
      <c r="C23" s="510"/>
      <c r="D23" s="471">
        <f>SUM('[1]Option Lifecycle Cost'!G$60:G$107)</f>
        <v>2.4526080000000001</v>
      </c>
      <c r="E23" s="471">
        <f>SUM('[1]Option Lifecycle Cost'!H$60:H$107)</f>
        <v>1.6714342299999998</v>
      </c>
      <c r="F23" s="471">
        <f>SUM('[1]Option Lifecycle Cost'!I$60:I$107)</f>
        <v>0.8853764435</v>
      </c>
      <c r="G23" s="471">
        <f>SUM('[1]Option Lifecycle Cost'!J$60:J$107)</f>
        <v>1.3469297211005</v>
      </c>
      <c r="H23" s="471">
        <f>SUM('[1]Option Lifecycle Cost'!K$60:K$107)</f>
        <v>1.5164171533627702</v>
      </c>
      <c r="I23" s="471">
        <f>SUM('[1]Option Lifecycle Cost'!L$60:L$107)</f>
        <v>1.5619096679636533</v>
      </c>
      <c r="J23" s="471">
        <f>SUM('[1]Option Lifecycle Cost'!M$60:M$107)</f>
        <v>1.6087669580025628</v>
      </c>
      <c r="K23" s="471">
        <f>SUM('[1]Option Lifecycle Cost'!N$60:N$107)</f>
        <v>1.6570299667426398</v>
      </c>
      <c r="L23" s="471">
        <f>SUM('[1]Option Lifecycle Cost'!O$60:O$107)</f>
        <v>1.7067408657449192</v>
      </c>
      <c r="M23" s="471">
        <f>SUM('[1]Option Lifecycle Cost'!P$60:P$107)</f>
        <v>1.7579430917172667</v>
      </c>
      <c r="N23" s="471">
        <f>SUM('[1]Option Lifecycle Cost'!Q$60:Q$107)</f>
        <v>1.8106813844687846</v>
      </c>
      <c r="O23" s="471">
        <f>SUM('[1]Option Lifecycle Cost'!R$60:R$107)</f>
        <v>1.8650018260028483</v>
      </c>
      <c r="P23" s="471">
        <f>SUM('[1]Option Lifecycle Cost'!S$60:S$107)</f>
        <v>1.9209518807829338</v>
      </c>
      <c r="Q23" s="471">
        <f>SUM('[1]Option Lifecycle Cost'!T$60:T$107)</f>
        <v>1.9785804372064217</v>
      </c>
      <c r="R23" s="471">
        <f>SUM('[1]Option Lifecycle Cost'!U$60:U$107)</f>
        <v>2.0379378503226149</v>
      </c>
      <c r="S23" s="471">
        <f>SUM('[1]Option Lifecycle Cost'!V$60:V$107)</f>
        <v>2.0990759858322932</v>
      </c>
      <c r="T23" s="471">
        <f>SUM('[1]Option Lifecycle Cost'!W$60:W$107)</f>
        <v>2.1620482654072619</v>
      </c>
      <c r="U23" s="471">
        <f>SUM('[1]Option Lifecycle Cost'!X$60:X$107)</f>
        <v>2.22690971336948</v>
      </c>
      <c r="V23" s="471">
        <f>SUM('[1]Option Lifecycle Cost'!Y$60:Y$107)</f>
        <v>2.2937170047705644</v>
      </c>
      <c r="W23" s="467">
        <f>SUM('[1]Option Lifecycle Cost'!Z$60:Z$107)</f>
        <v>2.3625285149136812</v>
      </c>
      <c r="X23" s="683">
        <f>W23*1.03</f>
        <v>2.4334043703610919</v>
      </c>
      <c r="Y23" s="679">
        <f t="shared" ref="Y23:AG23" si="89">X23*1.03</f>
        <v>2.5064065014719246</v>
      </c>
      <c r="Z23" s="679">
        <f t="shared" si="89"/>
        <v>2.5815986965160822</v>
      </c>
      <c r="AA23" s="679">
        <f t="shared" si="89"/>
        <v>2.6590466574115648</v>
      </c>
      <c r="AB23" s="679">
        <f t="shared" si="89"/>
        <v>2.7388180571339116</v>
      </c>
      <c r="AC23" s="679">
        <f t="shared" si="89"/>
        <v>2.8209825988479289</v>
      </c>
      <c r="AD23" s="679">
        <f t="shared" si="89"/>
        <v>2.9056120768133669</v>
      </c>
      <c r="AE23" s="679">
        <f t="shared" si="89"/>
        <v>2.9927804391177681</v>
      </c>
      <c r="AF23" s="679">
        <f t="shared" si="89"/>
        <v>3.0825638522913015</v>
      </c>
      <c r="AG23" s="684">
        <f t="shared" si="89"/>
        <v>3.1750407678600405</v>
      </c>
      <c r="AH23" s="479">
        <f>SUM(D23:AG23)</f>
        <v>64.818842979036177</v>
      </c>
    </row>
    <row r="24" spans="1:34" x14ac:dyDescent="0.25">
      <c r="A24" s="246"/>
      <c r="B24" s="469" t="s">
        <v>587</v>
      </c>
      <c r="C24" s="511"/>
      <c r="D24" s="468">
        <f>SUM('[1]Option Lifecycle Benefits'!J$60:J$107)</f>
        <v>0</v>
      </c>
      <c r="E24" s="468">
        <f>SUM('[1]Option Lifecycle Benefits'!K$60:K$107)</f>
        <v>0</v>
      </c>
      <c r="F24" s="468">
        <f>SUM('[1]Option Lifecycle Benefits'!L$60:L$107)</f>
        <v>0</v>
      </c>
      <c r="G24" s="468">
        <f>SUM('[1]Option Lifecycle Benefits'!M$60:M$107)</f>
        <v>0</v>
      </c>
      <c r="H24" s="468">
        <f>SUM('[1]Option Lifecycle Benefits'!N$60:N$107)</f>
        <v>5.2929633705408001</v>
      </c>
      <c r="I24" s="468">
        <f>SUM('[1]Option Lifecycle Benefits'!O$60:O$107)</f>
        <v>0</v>
      </c>
      <c r="J24" s="468">
        <f>SUM('[1]Option Lifecycle Benefits'!P$60:P$107)</f>
        <v>0</v>
      </c>
      <c r="K24" s="468">
        <f>SUM('[1]Option Lifecycle Benefits'!Q$60:Q$107)</f>
        <v>0</v>
      </c>
      <c r="L24" s="468">
        <f>SUM('[1]Option Lifecycle Benefits'!R$60:R$107)</f>
        <v>0</v>
      </c>
      <c r="M24" s="468">
        <f>SUM('[1]Option Lifecycle Benefits'!S$60:S$107)</f>
        <v>0</v>
      </c>
      <c r="N24" s="468">
        <f>SUM('[1]Option Lifecycle Benefits'!T$60:T$107)</f>
        <v>0</v>
      </c>
      <c r="O24" s="468">
        <f>SUM('[1]Option Lifecycle Benefits'!U$60:U$107)</f>
        <v>0</v>
      </c>
      <c r="P24" s="468">
        <f>SUM('[1]Option Lifecycle Benefits'!V$60:V$107)</f>
        <v>0</v>
      </c>
      <c r="Q24" s="468">
        <f>SUM('[1]Option Lifecycle Benefits'!W$60:W$107)</f>
        <v>0</v>
      </c>
      <c r="R24" s="468">
        <f>SUM('[1]Option Lifecycle Benefits'!X$60:X$107)</f>
        <v>0</v>
      </c>
      <c r="S24" s="468">
        <f>SUM('[1]Option Lifecycle Benefits'!Y$60:Y$107)</f>
        <v>0</v>
      </c>
      <c r="T24" s="468">
        <f>SUM('[1]Option Lifecycle Benefits'!Z$60:Z$107)</f>
        <v>0</v>
      </c>
      <c r="U24" s="468">
        <f>SUM('[1]Option Lifecycle Benefits'!AA$60:AA$107)</f>
        <v>0</v>
      </c>
      <c r="V24" s="468">
        <f>SUM('[1]Option Lifecycle Benefits'!AB$60:AB$107)</f>
        <v>0</v>
      </c>
      <c r="W24" s="466">
        <f>SUM('[1]Option Lifecycle Benefits'!AC$60:AC$107)</f>
        <v>0</v>
      </c>
      <c r="X24" s="685">
        <v>0</v>
      </c>
      <c r="Y24" s="686">
        <v>0</v>
      </c>
      <c r="Z24" s="686">
        <v>0</v>
      </c>
      <c r="AA24" s="686">
        <v>0</v>
      </c>
      <c r="AB24" s="686">
        <v>0</v>
      </c>
      <c r="AC24" s="686">
        <v>0</v>
      </c>
      <c r="AD24" s="686">
        <v>0</v>
      </c>
      <c r="AE24" s="686">
        <v>0</v>
      </c>
      <c r="AF24" s="686">
        <v>0</v>
      </c>
      <c r="AG24" s="687">
        <f>AH25</f>
        <v>0</v>
      </c>
      <c r="AH24" s="479">
        <f>SUM(D24:AG24)</f>
        <v>5.2929633705408001</v>
      </c>
    </row>
    <row r="25" spans="1:34" s="246" customFormat="1" x14ac:dyDescent="0.25">
      <c r="B25" s="435" t="s">
        <v>676</v>
      </c>
      <c r="C25" s="510"/>
      <c r="D25" s="471">
        <f>IF(D22-((D22/$C22)*($C$1-D$1))&gt;0,D22-((D22/$C22)*($C$1-D$1)),0)</f>
        <v>0</v>
      </c>
      <c r="E25" s="471">
        <f t="shared" ref="E25:W25" si="90">IF(E22-((E22/$C22)*($C$1-E$1))&gt;0,E22-((E22/$C22)*($C$1-E$1)),0)</f>
        <v>0</v>
      </c>
      <c r="F25" s="471">
        <f t="shared" si="90"/>
        <v>0</v>
      </c>
      <c r="G25" s="471">
        <f t="shared" si="90"/>
        <v>0</v>
      </c>
      <c r="H25" s="471">
        <f t="shared" si="90"/>
        <v>0</v>
      </c>
      <c r="I25" s="471">
        <f t="shared" si="90"/>
        <v>0</v>
      </c>
      <c r="J25" s="471">
        <f t="shared" si="90"/>
        <v>0</v>
      </c>
      <c r="K25" s="471">
        <f t="shared" si="90"/>
        <v>0</v>
      </c>
      <c r="L25" s="471">
        <f t="shared" si="90"/>
        <v>0</v>
      </c>
      <c r="M25" s="471">
        <f t="shared" si="90"/>
        <v>0</v>
      </c>
      <c r="N25" s="471">
        <f t="shared" si="90"/>
        <v>0</v>
      </c>
      <c r="O25" s="471">
        <f t="shared" si="90"/>
        <v>0</v>
      </c>
      <c r="P25" s="471">
        <f t="shared" si="90"/>
        <v>0</v>
      </c>
      <c r="Q25" s="471">
        <f t="shared" si="90"/>
        <v>0</v>
      </c>
      <c r="R25" s="471">
        <f t="shared" si="90"/>
        <v>0</v>
      </c>
      <c r="S25" s="471">
        <f t="shared" si="90"/>
        <v>0</v>
      </c>
      <c r="T25" s="471">
        <f t="shared" si="90"/>
        <v>0</v>
      </c>
      <c r="U25" s="471">
        <f t="shared" si="90"/>
        <v>0</v>
      </c>
      <c r="V25" s="471">
        <f t="shared" si="90"/>
        <v>0</v>
      </c>
      <c r="W25" s="471">
        <f t="shared" si="90"/>
        <v>0</v>
      </c>
      <c r="X25" s="679">
        <f t="shared" ref="X25:AG25" si="91">IF(X22-((X22/$C22)*($C$1-X$1))&gt;0,X22-((X22/$C22)*($C$1-X$1)),0)</f>
        <v>0</v>
      </c>
      <c r="Y25" s="679">
        <f t="shared" si="91"/>
        <v>0</v>
      </c>
      <c r="Z25" s="679">
        <f t="shared" si="91"/>
        <v>0</v>
      </c>
      <c r="AA25" s="679">
        <f t="shared" si="91"/>
        <v>0</v>
      </c>
      <c r="AB25" s="679">
        <f t="shared" si="91"/>
        <v>0</v>
      </c>
      <c r="AC25" s="679">
        <f t="shared" si="91"/>
        <v>0</v>
      </c>
      <c r="AD25" s="679">
        <f t="shared" si="91"/>
        <v>0</v>
      </c>
      <c r="AE25" s="679">
        <f t="shared" si="91"/>
        <v>0</v>
      </c>
      <c r="AF25" s="679">
        <f t="shared" si="91"/>
        <v>0</v>
      </c>
      <c r="AG25" s="679">
        <f t="shared" si="91"/>
        <v>0</v>
      </c>
      <c r="AH25" s="548">
        <f>SUM(D25:AG25)</f>
        <v>0</v>
      </c>
    </row>
    <row r="26" spans="1:34" x14ac:dyDescent="0.25">
      <c r="A26" s="246"/>
      <c r="B26" s="435" t="s">
        <v>588</v>
      </c>
      <c r="D26" s="479">
        <f>D24-SUM(D22:D23)</f>
        <v>-7.5445010000000003</v>
      </c>
      <c r="E26" s="479">
        <f t="shared" ref="E26" si="92">E24-SUM(E22:E23)</f>
        <v>-22.957687229999998</v>
      </c>
      <c r="F26" s="479">
        <f t="shared" ref="F26" si="93">F24-SUM(F22:F23)</f>
        <v>-20.504043443499999</v>
      </c>
      <c r="G26" s="479">
        <f t="shared" ref="G26" si="94">G24-SUM(G22:G23)</f>
        <v>-15.2859927211005</v>
      </c>
      <c r="H26" s="479">
        <f t="shared" ref="H26" si="95">H24-SUM(H22:H23)</f>
        <v>3.77654621717803</v>
      </c>
      <c r="I26" s="479">
        <f t="shared" ref="I26" si="96">I24-SUM(I22:I23)</f>
        <v>-1.5619096679636533</v>
      </c>
      <c r="J26" s="479">
        <f t="shared" ref="J26" si="97">J24-SUM(J22:J23)</f>
        <v>-1.6087669580025628</v>
      </c>
      <c r="K26" s="479">
        <f t="shared" ref="K26" si="98">K24-SUM(K22:K23)</f>
        <v>-1.6570299667426398</v>
      </c>
      <c r="L26" s="479">
        <f t="shared" ref="L26" si="99">L24-SUM(L22:L23)</f>
        <v>-1.7067408657449192</v>
      </c>
      <c r="M26" s="479">
        <f t="shared" ref="M26" si="100">M24-SUM(M22:M23)</f>
        <v>-1.7579430917172667</v>
      </c>
      <c r="N26" s="479">
        <f t="shared" ref="N26" si="101">N24-SUM(N22:N23)</f>
        <v>-1.8106813844687846</v>
      </c>
      <c r="O26" s="479">
        <f t="shared" ref="O26" si="102">O24-SUM(O22:O23)</f>
        <v>-1.8650018260028483</v>
      </c>
      <c r="P26" s="479">
        <f t="shared" ref="P26" si="103">P24-SUM(P22:P23)</f>
        <v>-1.9209518807829338</v>
      </c>
      <c r="Q26" s="479">
        <f t="shared" ref="Q26" si="104">Q24-SUM(Q22:Q23)</f>
        <v>-1.9785804372064217</v>
      </c>
      <c r="R26" s="479">
        <f t="shared" ref="R26" si="105">R24-SUM(R22:R23)</f>
        <v>-2.0379378503226149</v>
      </c>
      <c r="S26" s="479">
        <f t="shared" ref="S26" si="106">S24-SUM(S22:S23)</f>
        <v>-2.0990759858322932</v>
      </c>
      <c r="T26" s="479">
        <f t="shared" ref="T26" si="107">T24-SUM(T22:T23)</f>
        <v>-2.1620482654072619</v>
      </c>
      <c r="U26" s="479">
        <f t="shared" ref="U26" si="108">U24-SUM(U22:U23)</f>
        <v>-2.22690971336948</v>
      </c>
      <c r="V26" s="479">
        <f t="shared" ref="V26" si="109">V24-SUM(V22:V23)</f>
        <v>-2.2937170047705644</v>
      </c>
      <c r="W26" s="479">
        <f t="shared" ref="W26:AG26" si="110">W24-SUM(W22:W23)</f>
        <v>-2.3625285149136812</v>
      </c>
      <c r="X26" s="479">
        <f t="shared" si="110"/>
        <v>-2.4334043703610919</v>
      </c>
      <c r="Y26" s="479">
        <f t="shared" si="110"/>
        <v>-2.5064065014719246</v>
      </c>
      <c r="Z26" s="479">
        <f t="shared" ref="Z26:AG26" si="111">Z24-SUM(Z22:Z23)</f>
        <v>-2.5815986965160822</v>
      </c>
      <c r="AA26" s="479">
        <f t="shared" si="110"/>
        <v>-2.6590466574115648</v>
      </c>
      <c r="AB26" s="479">
        <f t="shared" si="110"/>
        <v>-2.7388180571339116</v>
      </c>
      <c r="AC26" s="479">
        <f t="shared" ref="AC26:AG26" si="112">AC24-SUM(AC22:AC23)</f>
        <v>-2.8209825988479289</v>
      </c>
      <c r="AD26" s="479">
        <f t="shared" si="110"/>
        <v>-2.9056120768133669</v>
      </c>
      <c r="AE26" s="479">
        <f t="shared" si="110"/>
        <v>-2.9927804391177681</v>
      </c>
      <c r="AF26" s="479">
        <f t="shared" ref="AF26:AG26" si="113">AF24-SUM(AF22:AF23)</f>
        <v>-3.0825638522913015</v>
      </c>
      <c r="AG26" s="479">
        <f t="shared" si="110"/>
        <v>-3.1750407678600405</v>
      </c>
      <c r="AH26" s="479">
        <f t="shared" ref="AH26" si="114">SUM(AH22:AH23)-AH24</f>
        <v>119.46175560849538</v>
      </c>
    </row>
    <row r="27" spans="1:34" x14ac:dyDescent="0.25">
      <c r="A27" s="246"/>
      <c r="B27" s="435" t="s">
        <v>592</v>
      </c>
      <c r="D27" s="480">
        <f>D26</f>
        <v>-7.5445010000000003</v>
      </c>
      <c r="E27" s="480">
        <f>E26+D27</f>
        <v>-30.502188229999998</v>
      </c>
      <c r="F27" s="480">
        <f t="shared" ref="F27" si="115">F26+E27</f>
        <v>-51.006231673499997</v>
      </c>
      <c r="G27" s="480">
        <f t="shared" ref="G27" si="116">G26+F27</f>
        <v>-66.292224394600495</v>
      </c>
      <c r="H27" s="480">
        <f t="shared" ref="H27" si="117">H26+G27</f>
        <v>-62.515678177422465</v>
      </c>
      <c r="I27" s="480">
        <f t="shared" ref="I27" si="118">I26+H27</f>
        <v>-64.07758784538612</v>
      </c>
      <c r="J27" s="480">
        <f t="shared" ref="J27" si="119">J26+I27</f>
        <v>-65.686354803388681</v>
      </c>
      <c r="K27" s="480">
        <f t="shared" ref="K27" si="120">K26+J27</f>
        <v>-67.343384770131323</v>
      </c>
      <c r="L27" s="480">
        <f t="shared" ref="L27" si="121">L26+K27</f>
        <v>-69.050125635876242</v>
      </c>
      <c r="M27" s="480">
        <f t="shared" ref="M27" si="122">M26+L27</f>
        <v>-70.808068727593508</v>
      </c>
      <c r="N27" s="480">
        <f t="shared" ref="N27" si="123">N26+M27</f>
        <v>-72.618750112062287</v>
      </c>
      <c r="O27" s="480">
        <f t="shared" ref="O27" si="124">O26+N27</f>
        <v>-74.48375193806514</v>
      </c>
      <c r="P27" s="480">
        <f t="shared" ref="P27" si="125">P26+O27</f>
        <v>-76.404703818848077</v>
      </c>
      <c r="Q27" s="480">
        <f t="shared" ref="Q27" si="126">Q26+P27</f>
        <v>-78.383284256054495</v>
      </c>
      <c r="R27" s="480">
        <f t="shared" ref="R27" si="127">R26+Q27</f>
        <v>-80.421222106377115</v>
      </c>
      <c r="S27" s="480">
        <f t="shared" ref="S27" si="128">S26+R27</f>
        <v>-82.520298092209401</v>
      </c>
      <c r="T27" s="480">
        <f t="shared" ref="T27" si="129">T26+S27</f>
        <v>-84.682346357616666</v>
      </c>
      <c r="U27" s="480">
        <f t="shared" ref="U27" si="130">U26+T27</f>
        <v>-86.909256070986146</v>
      </c>
      <c r="V27" s="480">
        <f t="shared" ref="V27" si="131">V26+U27</f>
        <v>-89.202973075756717</v>
      </c>
      <c r="W27" s="480">
        <f t="shared" ref="W27" si="132">W26+V27</f>
        <v>-91.565501590670394</v>
      </c>
      <c r="X27" s="480">
        <f t="shared" ref="X27" si="133">X26+W27</f>
        <v>-93.998905961031483</v>
      </c>
      <c r="Y27" s="480">
        <f t="shared" ref="Y27" si="134">Y26+X27</f>
        <v>-96.505312462503412</v>
      </c>
      <c r="Z27" s="480">
        <f t="shared" ref="Z27" si="135">Z26+Y27</f>
        <v>-99.086911159019493</v>
      </c>
      <c r="AA27" s="480">
        <f t="shared" ref="AA27" si="136">AA26+Z27</f>
        <v>-101.74595781643106</v>
      </c>
      <c r="AB27" s="480">
        <f t="shared" ref="AB27" si="137">AB26+AA27</f>
        <v>-104.48477587356497</v>
      </c>
      <c r="AC27" s="480">
        <f t="shared" ref="AC27" si="138">AC26+AB27</f>
        <v>-107.3057584724129</v>
      </c>
      <c r="AD27" s="480">
        <f t="shared" ref="AD27" si="139">AD26+AC27</f>
        <v>-110.21137054922627</v>
      </c>
      <c r="AE27" s="480">
        <f t="shared" ref="AE27" si="140">AE26+AD27</f>
        <v>-113.20415098834404</v>
      </c>
      <c r="AF27" s="480">
        <f t="shared" ref="AF27" si="141">AF26+AE27</f>
        <v>-116.28671484063534</v>
      </c>
      <c r="AG27" s="480">
        <f t="shared" ref="AG27" si="142">AG26+AF27</f>
        <v>-119.46175560849538</v>
      </c>
      <c r="AH27" s="246"/>
    </row>
    <row r="28" spans="1:34" x14ac:dyDescent="0.25">
      <c r="A28" s="246"/>
      <c r="B28" s="435" t="s">
        <v>591</v>
      </c>
      <c r="D28" s="478">
        <f t="shared" ref="D28:W28" si="143">D26*D$2</f>
        <v>-7.5445010000000003</v>
      </c>
      <c r="E28" s="478">
        <f t="shared" si="143"/>
        <v>-20.923885554137804</v>
      </c>
      <c r="F28" s="478">
        <f t="shared" si="143"/>
        <v>-17.032088908761096</v>
      </c>
      <c r="G28" s="478">
        <f t="shared" si="143"/>
        <v>-11.572741479773233</v>
      </c>
      <c r="H28" s="478">
        <f t="shared" si="143"/>
        <v>2.6058631723485428</v>
      </c>
      <c r="I28" s="478">
        <f t="shared" si="143"/>
        <v>-0.98226103944508358</v>
      </c>
      <c r="J28" s="478">
        <f t="shared" si="143"/>
        <v>-0.92210068413091129</v>
      </c>
      <c r="K28" s="478">
        <f t="shared" si="143"/>
        <v>-0.86562495867192746</v>
      </c>
      <c r="L28" s="478">
        <f t="shared" si="143"/>
        <v>-0.81260819124324235</v>
      </c>
      <c r="M28" s="478">
        <f t="shared" si="143"/>
        <v>-0.76283853169936156</v>
      </c>
      <c r="N28" s="478">
        <f t="shared" si="143"/>
        <v>-0.71611710504041415</v>
      </c>
      <c r="O28" s="478">
        <f t="shared" si="143"/>
        <v>-0.67225721672587202</v>
      </c>
      <c r="P28" s="478">
        <f t="shared" si="143"/>
        <v>-0.63108360666026997</v>
      </c>
      <c r="Q28" s="478">
        <f t="shared" si="143"/>
        <v>-0.59243174886992167</v>
      </c>
      <c r="R28" s="478">
        <f t="shared" si="143"/>
        <v>-0.55614719407220148</v>
      </c>
      <c r="S28" s="478">
        <f t="shared" si="143"/>
        <v>-0.52208495251036047</v>
      </c>
      <c r="T28" s="478">
        <f t="shared" si="143"/>
        <v>-0.49010891458774275</v>
      </c>
      <c r="U28" s="478">
        <f t="shared" si="143"/>
        <v>-0.46009130698630607</v>
      </c>
      <c r="V28" s="478">
        <f t="shared" si="143"/>
        <v>-0.43191218209614962</v>
      </c>
      <c r="W28" s="478">
        <f t="shared" si="143"/>
        <v>-0.40545893871585309</v>
      </c>
      <c r="X28" s="478">
        <f t="shared" ref="X28:AG28" si="144">X26*X$2</f>
        <v>-0.38062587210839299</v>
      </c>
      <c r="Y28" s="478">
        <f t="shared" si="144"/>
        <v>-0.35731375161469625</v>
      </c>
      <c r="Z28" s="478">
        <f t="shared" si="144"/>
        <v>-0.33542942413701893</v>
      </c>
      <c r="AA28" s="478">
        <f t="shared" si="144"/>
        <v>-0.31488544190770107</v>
      </c>
      <c r="AB28" s="478">
        <f t="shared" si="144"/>
        <v>-0.29559971305589872</v>
      </c>
      <c r="AC28" s="478">
        <f t="shared" si="144"/>
        <v>-0.27749517357598946</v>
      </c>
      <c r="AD28" s="478">
        <f t="shared" si="144"/>
        <v>-0.26049947938686585</v>
      </c>
      <c r="AE28" s="478">
        <f t="shared" si="144"/>
        <v>-0.24454471725161492</v>
      </c>
      <c r="AF28" s="478">
        <f t="shared" si="144"/>
        <v>-0.22956713340244564</v>
      </c>
      <c r="AG28" s="478">
        <f t="shared" si="144"/>
        <v>-0.21550687878647379</v>
      </c>
      <c r="AH28" s="246"/>
    </row>
    <row r="29" spans="1:34" x14ac:dyDescent="0.25">
      <c r="A29" s="246"/>
      <c r="B29" s="435" t="s">
        <v>593</v>
      </c>
      <c r="D29" s="480">
        <f>D28</f>
        <v>-7.5445010000000003</v>
      </c>
      <c r="E29" s="480">
        <f>D29+E28</f>
        <v>-28.468386554137805</v>
      </c>
      <c r="F29" s="480">
        <f t="shared" ref="F29" si="145">E29+F28</f>
        <v>-45.500475462898905</v>
      </c>
      <c r="G29" s="480">
        <f t="shared" ref="G29" si="146">F29+G28</f>
        <v>-57.07321694267214</v>
      </c>
      <c r="H29" s="480">
        <f t="shared" ref="H29" si="147">G29+H28</f>
        <v>-54.467353770323598</v>
      </c>
      <c r="I29" s="480">
        <f t="shared" ref="I29" si="148">H29+I28</f>
        <v>-55.449614809768683</v>
      </c>
      <c r="J29" s="480">
        <f t="shared" ref="J29" si="149">I29+J28</f>
        <v>-56.371715493899593</v>
      </c>
      <c r="K29" s="480">
        <f t="shared" ref="K29" si="150">J29+K28</f>
        <v>-57.237340452571523</v>
      </c>
      <c r="L29" s="480">
        <f t="shared" ref="L29" si="151">K29+L28</f>
        <v>-58.049948643814766</v>
      </c>
      <c r="M29" s="480">
        <f>L29+M28</f>
        <v>-58.812787175514124</v>
      </c>
      <c r="N29" s="480">
        <f t="shared" ref="N29" si="152">M29+N28</f>
        <v>-59.528904280554535</v>
      </c>
      <c r="O29" s="480">
        <f t="shared" ref="O29" si="153">N29+O28</f>
        <v>-60.20116149728041</v>
      </c>
      <c r="P29" s="480">
        <f t="shared" ref="P29" si="154">O29+P28</f>
        <v>-60.832245103940679</v>
      </c>
      <c r="Q29" s="480">
        <f t="shared" ref="Q29" si="155">P29+Q28</f>
        <v>-61.424676852810599</v>
      </c>
      <c r="R29" s="480">
        <f t="shared" ref="R29" si="156">Q29+R28</f>
        <v>-61.980824046882802</v>
      </c>
      <c r="S29" s="480">
        <f t="shared" ref="S29" si="157">R29+S28</f>
        <v>-62.502908999393163</v>
      </c>
      <c r="T29" s="480">
        <f t="shared" ref="T29" si="158">S29+T28</f>
        <v>-62.993017913980907</v>
      </c>
      <c r="U29" s="480">
        <f t="shared" ref="U29" si="159">T29+U28</f>
        <v>-63.453109220967214</v>
      </c>
      <c r="V29" s="480">
        <f t="shared" ref="V29" si="160">U29+V28</f>
        <v>-63.885021403063362</v>
      </c>
      <c r="W29" s="480">
        <f t="shared" ref="W29" si="161">V29+W28</f>
        <v>-64.290480341779215</v>
      </c>
      <c r="X29" s="480">
        <f t="shared" ref="X29" si="162">W29+X28</f>
        <v>-64.671106213887612</v>
      </c>
      <c r="Y29" s="480">
        <f t="shared" ref="Y29" si="163">X29+Y28</f>
        <v>-65.028419965502309</v>
      </c>
      <c r="Z29" s="480">
        <f t="shared" ref="Z29" si="164">Y29+Z28</f>
        <v>-65.363849389639327</v>
      </c>
      <c r="AA29" s="480">
        <f t="shared" ref="AA29" si="165">Z29+AA28</f>
        <v>-65.678734831547033</v>
      </c>
      <c r="AB29" s="480">
        <f t="shared" ref="AB29" si="166">AA29+AB28</f>
        <v>-65.974334544602925</v>
      </c>
      <c r="AC29" s="480">
        <f t="shared" ref="AC29" si="167">AB29+AC28</f>
        <v>-66.251829718178911</v>
      </c>
      <c r="AD29" s="480">
        <f t="shared" ref="AD29" si="168">AC29+AD28</f>
        <v>-66.512329197565776</v>
      </c>
      <c r="AE29" s="480">
        <f t="shared" ref="AE29" si="169">AD29+AE28</f>
        <v>-66.75687391481739</v>
      </c>
      <c r="AF29" s="480">
        <f t="shared" ref="AF29" si="170">AE29+AF28</f>
        <v>-66.986441048219831</v>
      </c>
      <c r="AG29" s="480">
        <f t="shared" ref="AG29" si="171">AF29+AG28</f>
        <v>-67.201947927006302</v>
      </c>
      <c r="AH29" s="246"/>
    </row>
    <row r="30" spans="1:34" x14ac:dyDescent="0.25">
      <c r="A30" s="246"/>
      <c r="B30" s="435" t="s">
        <v>604</v>
      </c>
      <c r="D30" s="480">
        <f>SUM(D22:D23)-D24</f>
        <v>7.5445010000000003</v>
      </c>
      <c r="E30" s="480">
        <f>(SUM(E22:E23)-E24)+D30</f>
        <v>30.502188229999998</v>
      </c>
      <c r="F30" s="480">
        <f t="shared" ref="F30:W30" si="172">(SUM(F22:F23)-F24)+E30</f>
        <v>51.006231673499997</v>
      </c>
      <c r="G30" s="480">
        <f t="shared" si="172"/>
        <v>66.292224394600495</v>
      </c>
      <c r="H30" s="480">
        <f t="shared" si="172"/>
        <v>62.515678177422465</v>
      </c>
      <c r="I30" s="480">
        <f t="shared" si="172"/>
        <v>64.07758784538612</v>
      </c>
      <c r="J30" s="480">
        <f t="shared" si="172"/>
        <v>65.686354803388681</v>
      </c>
      <c r="K30" s="480">
        <f t="shared" si="172"/>
        <v>67.343384770131323</v>
      </c>
      <c r="L30" s="480">
        <f t="shared" si="172"/>
        <v>69.050125635876242</v>
      </c>
      <c r="M30" s="480">
        <f t="shared" si="172"/>
        <v>70.808068727593508</v>
      </c>
      <c r="N30" s="480">
        <f t="shared" si="172"/>
        <v>72.618750112062287</v>
      </c>
      <c r="O30" s="480">
        <f t="shared" si="172"/>
        <v>74.48375193806514</v>
      </c>
      <c r="P30" s="480">
        <f t="shared" si="172"/>
        <v>76.404703818848077</v>
      </c>
      <c r="Q30" s="480">
        <f t="shared" si="172"/>
        <v>78.383284256054495</v>
      </c>
      <c r="R30" s="480">
        <f t="shared" si="172"/>
        <v>80.421222106377115</v>
      </c>
      <c r="S30" s="480">
        <f t="shared" si="172"/>
        <v>82.520298092209401</v>
      </c>
      <c r="T30" s="480">
        <f t="shared" si="172"/>
        <v>84.682346357616666</v>
      </c>
      <c r="U30" s="480">
        <f t="shared" si="172"/>
        <v>86.909256070986146</v>
      </c>
      <c r="V30" s="480">
        <f t="shared" si="172"/>
        <v>89.202973075756717</v>
      </c>
      <c r="W30" s="480">
        <f t="shared" si="172"/>
        <v>91.565501590670394</v>
      </c>
      <c r="X30" s="480">
        <f t="shared" ref="X30" si="173">(SUM(X22:X23)-X24)+W30</f>
        <v>93.998905961031483</v>
      </c>
      <c r="Y30" s="480">
        <f t="shared" ref="Y30" si="174">(SUM(Y22:Y23)-Y24)+X30</f>
        <v>96.505312462503412</v>
      </c>
      <c r="Z30" s="480">
        <f t="shared" ref="Z30" si="175">(SUM(Z22:Z23)-Z24)+Y30</f>
        <v>99.086911159019493</v>
      </c>
      <c r="AA30" s="480">
        <f t="shared" ref="AA30" si="176">(SUM(AA22:AA23)-AA24)+Z30</f>
        <v>101.74595781643106</v>
      </c>
      <c r="AB30" s="480">
        <f t="shared" ref="AB30" si="177">(SUM(AB22:AB23)-AB24)+AA30</f>
        <v>104.48477587356497</v>
      </c>
      <c r="AC30" s="480">
        <f t="shared" ref="AC30" si="178">(SUM(AC22:AC23)-AC24)+AB30</f>
        <v>107.3057584724129</v>
      </c>
      <c r="AD30" s="480">
        <f t="shared" ref="AD30" si="179">(SUM(AD22:AD23)-AD24)+AC30</f>
        <v>110.21137054922627</v>
      </c>
      <c r="AE30" s="480">
        <f t="shared" ref="AE30" si="180">(SUM(AE22:AE23)-AE24)+AD30</f>
        <v>113.20415098834404</v>
      </c>
      <c r="AF30" s="480">
        <f t="shared" ref="AF30" si="181">(SUM(AF22:AF23)-AF24)+AE30</f>
        <v>116.28671484063534</v>
      </c>
      <c r="AG30" s="480">
        <f t="shared" ref="AG30" si="182">(SUM(AG22:AG23)-AG24)+AF30</f>
        <v>119.46175560849538</v>
      </c>
      <c r="AH30" s="246"/>
    </row>
    <row r="31" spans="1:34" x14ac:dyDescent="0.25">
      <c r="A31" s="246"/>
      <c r="B31" s="435" t="s">
        <v>595</v>
      </c>
      <c r="D31" s="480">
        <f>D22</f>
        <v>5.0918930000000007</v>
      </c>
      <c r="E31" s="480">
        <f>E22+D31</f>
        <v>26.378146000000001</v>
      </c>
      <c r="F31" s="480">
        <f t="shared" ref="F31:W31" si="183">F22+E31</f>
        <v>45.996813000000003</v>
      </c>
      <c r="G31" s="480">
        <f t="shared" si="183"/>
        <v>59.935876000000007</v>
      </c>
      <c r="H31" s="480">
        <f t="shared" si="183"/>
        <v>59.935876000000007</v>
      </c>
      <c r="I31" s="480">
        <f t="shared" si="183"/>
        <v>59.935876000000007</v>
      </c>
      <c r="J31" s="480">
        <f t="shared" si="183"/>
        <v>59.935876000000007</v>
      </c>
      <c r="K31" s="480">
        <f t="shared" si="183"/>
        <v>59.935876000000007</v>
      </c>
      <c r="L31" s="480">
        <f t="shared" si="183"/>
        <v>59.935876000000007</v>
      </c>
      <c r="M31" s="480">
        <f t="shared" si="183"/>
        <v>59.935876000000007</v>
      </c>
      <c r="N31" s="480">
        <f t="shared" si="183"/>
        <v>59.935876000000007</v>
      </c>
      <c r="O31" s="480">
        <f t="shared" si="183"/>
        <v>59.935876000000007</v>
      </c>
      <c r="P31" s="480">
        <f t="shared" si="183"/>
        <v>59.935876000000007</v>
      </c>
      <c r="Q31" s="480">
        <f t="shared" si="183"/>
        <v>59.935876000000007</v>
      </c>
      <c r="R31" s="480">
        <f t="shared" si="183"/>
        <v>59.935876000000007</v>
      </c>
      <c r="S31" s="480">
        <f t="shared" si="183"/>
        <v>59.935876000000007</v>
      </c>
      <c r="T31" s="480">
        <f t="shared" si="183"/>
        <v>59.935876000000007</v>
      </c>
      <c r="U31" s="480">
        <f t="shared" si="183"/>
        <v>59.935876000000007</v>
      </c>
      <c r="V31" s="480">
        <f t="shared" si="183"/>
        <v>59.935876000000007</v>
      </c>
      <c r="W31" s="480">
        <f t="shared" si="183"/>
        <v>59.935876000000007</v>
      </c>
      <c r="X31" s="480">
        <f t="shared" ref="X31:X33" si="184">X22+W31</f>
        <v>59.935876000000007</v>
      </c>
      <c r="Y31" s="480">
        <f t="shared" ref="Y31:Y33" si="185">Y22+X31</f>
        <v>59.935876000000007</v>
      </c>
      <c r="Z31" s="480">
        <f t="shared" ref="Z31:Z33" si="186">Z22+Y31</f>
        <v>59.935876000000007</v>
      </c>
      <c r="AA31" s="480">
        <f t="shared" ref="AA31:AA33" si="187">AA22+Z31</f>
        <v>59.935876000000007</v>
      </c>
      <c r="AB31" s="480">
        <f t="shared" ref="AB31:AB33" si="188">AB22+AA31</f>
        <v>59.935876000000007</v>
      </c>
      <c r="AC31" s="480">
        <f t="shared" ref="AC31:AC33" si="189">AC22+AB31</f>
        <v>59.935876000000007</v>
      </c>
      <c r="AD31" s="480">
        <f t="shared" ref="AD31:AD33" si="190">AD22+AC31</f>
        <v>59.935876000000007</v>
      </c>
      <c r="AE31" s="480">
        <f t="shared" ref="AE31:AE33" si="191">AE22+AD31</f>
        <v>59.935876000000007</v>
      </c>
      <c r="AF31" s="480">
        <f t="shared" ref="AF31:AF33" si="192">AF22+AE31</f>
        <v>59.935876000000007</v>
      </c>
      <c r="AG31" s="480">
        <f t="shared" ref="AG31:AG33" si="193">AG22+AF31</f>
        <v>59.935876000000007</v>
      </c>
      <c r="AH31" s="246"/>
    </row>
    <row r="32" spans="1:34" x14ac:dyDescent="0.25">
      <c r="A32" s="246"/>
      <c r="B32" s="435" t="s">
        <v>596</v>
      </c>
      <c r="D32" s="480">
        <f>D23</f>
        <v>2.4526080000000001</v>
      </c>
      <c r="E32" s="480">
        <f t="shared" ref="E32:W32" si="194">E23+D32</f>
        <v>4.1240422299999997</v>
      </c>
      <c r="F32" s="480">
        <f t="shared" si="194"/>
        <v>5.0094186734999999</v>
      </c>
      <c r="G32" s="480">
        <f t="shared" si="194"/>
        <v>6.3563483946005004</v>
      </c>
      <c r="H32" s="480">
        <f t="shared" si="194"/>
        <v>7.8727655479632705</v>
      </c>
      <c r="I32" s="480">
        <f t="shared" si="194"/>
        <v>9.4346752159269229</v>
      </c>
      <c r="J32" s="480">
        <f t="shared" si="194"/>
        <v>11.043442173929485</v>
      </c>
      <c r="K32" s="480">
        <f t="shared" si="194"/>
        <v>12.700472140672124</v>
      </c>
      <c r="L32" s="480">
        <f t="shared" si="194"/>
        <v>14.407213006417043</v>
      </c>
      <c r="M32" s="480">
        <f t="shared" si="194"/>
        <v>16.165156098134311</v>
      </c>
      <c r="N32" s="480">
        <f t="shared" si="194"/>
        <v>17.975837482603097</v>
      </c>
      <c r="O32" s="480">
        <f t="shared" si="194"/>
        <v>19.840839308605947</v>
      </c>
      <c r="P32" s="480">
        <f t="shared" si="194"/>
        <v>21.76179118938888</v>
      </c>
      <c r="Q32" s="480">
        <f t="shared" si="194"/>
        <v>23.740371626595302</v>
      </c>
      <c r="R32" s="480">
        <f t="shared" si="194"/>
        <v>25.778309476917915</v>
      </c>
      <c r="S32" s="480">
        <f t="shared" si="194"/>
        <v>27.877385462750208</v>
      </c>
      <c r="T32" s="480">
        <f t="shared" si="194"/>
        <v>30.039433728157469</v>
      </c>
      <c r="U32" s="480">
        <f t="shared" si="194"/>
        <v>32.266343441526949</v>
      </c>
      <c r="V32" s="480">
        <f t="shared" si="194"/>
        <v>34.560060446297513</v>
      </c>
      <c r="W32" s="480">
        <f t="shared" si="194"/>
        <v>36.922588961211197</v>
      </c>
      <c r="X32" s="480">
        <f t="shared" si="184"/>
        <v>39.355993331572286</v>
      </c>
      <c r="Y32" s="480">
        <f t="shared" si="185"/>
        <v>41.862399833044208</v>
      </c>
      <c r="Z32" s="480">
        <f t="shared" si="186"/>
        <v>44.44399852956029</v>
      </c>
      <c r="AA32" s="480">
        <f t="shared" si="187"/>
        <v>47.103045186971855</v>
      </c>
      <c r="AB32" s="480">
        <f t="shared" si="188"/>
        <v>49.841863244105767</v>
      </c>
      <c r="AC32" s="480">
        <f t="shared" si="189"/>
        <v>52.662845842953693</v>
      </c>
      <c r="AD32" s="480">
        <f t="shared" si="190"/>
        <v>55.568457919767063</v>
      </c>
      <c r="AE32" s="480">
        <f t="shared" si="191"/>
        <v>58.561238358884829</v>
      </c>
      <c r="AF32" s="480">
        <f t="shared" si="192"/>
        <v>61.64380221117613</v>
      </c>
      <c r="AG32" s="480">
        <f t="shared" si="193"/>
        <v>64.818842979036177</v>
      </c>
      <c r="AH32" s="246"/>
    </row>
    <row r="33" spans="1:34" x14ac:dyDescent="0.25">
      <c r="A33" s="246"/>
      <c r="B33" s="435" t="s">
        <v>597</v>
      </c>
      <c r="D33" s="480">
        <f>D24</f>
        <v>0</v>
      </c>
      <c r="E33" s="480">
        <f t="shared" ref="E33:W33" si="195">E24+D33</f>
        <v>0</v>
      </c>
      <c r="F33" s="480">
        <f t="shared" si="195"/>
        <v>0</v>
      </c>
      <c r="G33" s="480">
        <f t="shared" si="195"/>
        <v>0</v>
      </c>
      <c r="H33" s="480">
        <f t="shared" si="195"/>
        <v>5.2929633705408001</v>
      </c>
      <c r="I33" s="480">
        <f t="shared" si="195"/>
        <v>5.2929633705408001</v>
      </c>
      <c r="J33" s="480">
        <f t="shared" si="195"/>
        <v>5.2929633705408001</v>
      </c>
      <c r="K33" s="480">
        <f t="shared" si="195"/>
        <v>5.2929633705408001</v>
      </c>
      <c r="L33" s="480">
        <f t="shared" si="195"/>
        <v>5.2929633705408001</v>
      </c>
      <c r="M33" s="480">
        <f t="shared" si="195"/>
        <v>5.2929633705408001</v>
      </c>
      <c r="N33" s="480">
        <f t="shared" si="195"/>
        <v>5.2929633705408001</v>
      </c>
      <c r="O33" s="480">
        <f t="shared" si="195"/>
        <v>5.2929633705408001</v>
      </c>
      <c r="P33" s="480">
        <f t="shared" si="195"/>
        <v>5.2929633705408001</v>
      </c>
      <c r="Q33" s="480">
        <f t="shared" si="195"/>
        <v>5.2929633705408001</v>
      </c>
      <c r="R33" s="480">
        <f t="shared" si="195"/>
        <v>5.2929633705408001</v>
      </c>
      <c r="S33" s="480">
        <f t="shared" si="195"/>
        <v>5.2929633705408001</v>
      </c>
      <c r="T33" s="480">
        <f t="shared" si="195"/>
        <v>5.2929633705408001</v>
      </c>
      <c r="U33" s="480">
        <f t="shared" si="195"/>
        <v>5.2929633705408001</v>
      </c>
      <c r="V33" s="480">
        <f t="shared" si="195"/>
        <v>5.2929633705408001</v>
      </c>
      <c r="W33" s="480">
        <f t="shared" si="195"/>
        <v>5.2929633705408001</v>
      </c>
      <c r="X33" s="480">
        <f t="shared" si="184"/>
        <v>5.2929633705408001</v>
      </c>
      <c r="Y33" s="480">
        <f t="shared" si="185"/>
        <v>5.2929633705408001</v>
      </c>
      <c r="Z33" s="480">
        <f t="shared" si="186"/>
        <v>5.2929633705408001</v>
      </c>
      <c r="AA33" s="480">
        <f t="shared" si="187"/>
        <v>5.2929633705408001</v>
      </c>
      <c r="AB33" s="480">
        <f t="shared" si="188"/>
        <v>5.2929633705408001</v>
      </c>
      <c r="AC33" s="480">
        <f t="shared" si="189"/>
        <v>5.2929633705408001</v>
      </c>
      <c r="AD33" s="480">
        <f t="shared" si="190"/>
        <v>5.2929633705408001</v>
      </c>
      <c r="AE33" s="480">
        <f t="shared" si="191"/>
        <v>5.2929633705408001</v>
      </c>
      <c r="AF33" s="480">
        <f t="shared" si="192"/>
        <v>5.2929633705408001</v>
      </c>
      <c r="AG33" s="480">
        <f t="shared" si="193"/>
        <v>5.2929633705408001</v>
      </c>
      <c r="AH33" s="246"/>
    </row>
    <row r="34" spans="1:34" s="246" customFormat="1" x14ac:dyDescent="0.25">
      <c r="B34" s="435" t="s">
        <v>673</v>
      </c>
      <c r="C34" s="201"/>
      <c r="D34" s="480">
        <f>D22</f>
        <v>5.0918930000000007</v>
      </c>
      <c r="E34" s="480">
        <f>E22/(1.1^E$1)</f>
        <v>19.351139090909086</v>
      </c>
      <c r="F34" s="480">
        <f t="shared" ref="F34:W34" si="196">F22/(1.1^F$1)</f>
        <v>16.213774380165287</v>
      </c>
      <c r="G34" s="480">
        <f t="shared" si="196"/>
        <v>10.472624342599547</v>
      </c>
      <c r="H34" s="480">
        <f t="shared" si="196"/>
        <v>0</v>
      </c>
      <c r="I34" s="480">
        <f t="shared" si="196"/>
        <v>0</v>
      </c>
      <c r="J34" s="480">
        <f t="shared" si="196"/>
        <v>0</v>
      </c>
      <c r="K34" s="480">
        <f t="shared" si="196"/>
        <v>0</v>
      </c>
      <c r="L34" s="480">
        <f t="shared" si="196"/>
        <v>0</v>
      </c>
      <c r="M34" s="480">
        <f t="shared" si="196"/>
        <v>0</v>
      </c>
      <c r="N34" s="480">
        <f t="shared" si="196"/>
        <v>0</v>
      </c>
      <c r="O34" s="480">
        <f t="shared" si="196"/>
        <v>0</v>
      </c>
      <c r="P34" s="480">
        <f t="shared" si="196"/>
        <v>0</v>
      </c>
      <c r="Q34" s="480">
        <f t="shared" si="196"/>
        <v>0</v>
      </c>
      <c r="R34" s="480">
        <f t="shared" si="196"/>
        <v>0</v>
      </c>
      <c r="S34" s="480">
        <f t="shared" si="196"/>
        <v>0</v>
      </c>
      <c r="T34" s="480">
        <f t="shared" si="196"/>
        <v>0</v>
      </c>
      <c r="U34" s="480">
        <f t="shared" si="196"/>
        <v>0</v>
      </c>
      <c r="V34" s="480">
        <f t="shared" si="196"/>
        <v>0</v>
      </c>
      <c r="W34" s="480">
        <f t="shared" si="196"/>
        <v>0</v>
      </c>
      <c r="X34" s="480">
        <f t="shared" ref="X34:AG34" si="197">X22/(1.1^X$1)</f>
        <v>0</v>
      </c>
      <c r="Y34" s="480">
        <f t="shared" si="197"/>
        <v>0</v>
      </c>
      <c r="Z34" s="480">
        <f t="shared" si="197"/>
        <v>0</v>
      </c>
      <c r="AA34" s="480">
        <f t="shared" si="197"/>
        <v>0</v>
      </c>
      <c r="AB34" s="480">
        <f t="shared" si="197"/>
        <v>0</v>
      </c>
      <c r="AC34" s="480">
        <f t="shared" si="197"/>
        <v>0</v>
      </c>
      <c r="AD34" s="480">
        <f t="shared" si="197"/>
        <v>0</v>
      </c>
      <c r="AE34" s="480">
        <f t="shared" si="197"/>
        <v>0</v>
      </c>
      <c r="AF34" s="480">
        <f t="shared" si="197"/>
        <v>0</v>
      </c>
      <c r="AG34" s="480">
        <f t="shared" si="197"/>
        <v>0</v>
      </c>
      <c r="AH34" s="479">
        <f>-SUM(D34:AG34)</f>
        <v>-51.12943081367392</v>
      </c>
    </row>
    <row r="35" spans="1:34" s="246" customFormat="1" x14ac:dyDescent="0.25">
      <c r="B35" s="435" t="s">
        <v>675</v>
      </c>
      <c r="C35" s="201"/>
      <c r="D35" s="480">
        <f>D23</f>
        <v>2.4526080000000001</v>
      </c>
      <c r="E35" s="480">
        <f>E23/(1.1^E$1)</f>
        <v>1.5194856636363634</v>
      </c>
      <c r="F35" s="480">
        <f t="shared" ref="F35:W35" si="198">F23/(1.1^F$1)</f>
        <v>0.73171606900826436</v>
      </c>
      <c r="G35" s="480">
        <f t="shared" si="198"/>
        <v>1.0119682352370396</v>
      </c>
      <c r="H35" s="480">
        <f t="shared" si="198"/>
        <v>1.0357333196931697</v>
      </c>
      <c r="I35" s="480">
        <f t="shared" si="198"/>
        <v>0.96982301753087696</v>
      </c>
      <c r="J35" s="480">
        <f t="shared" si="198"/>
        <v>0.90810700732436644</v>
      </c>
      <c r="K35" s="480">
        <f t="shared" si="198"/>
        <v>0.85031837958554313</v>
      </c>
      <c r="L35" s="480">
        <f t="shared" si="198"/>
        <v>0.79620720997555416</v>
      </c>
      <c r="M35" s="480">
        <f t="shared" si="198"/>
        <v>0.74553947843165513</v>
      </c>
      <c r="N35" s="480">
        <f t="shared" si="198"/>
        <v>0.69809605707691336</v>
      </c>
      <c r="O35" s="480">
        <f t="shared" si="198"/>
        <v>0.65367176253565518</v>
      </c>
      <c r="P35" s="480">
        <f t="shared" si="198"/>
        <v>0.61207446855611358</v>
      </c>
      <c r="Q35" s="480">
        <f t="shared" si="198"/>
        <v>0.57312427510254271</v>
      </c>
      <c r="R35" s="480">
        <f t="shared" si="198"/>
        <v>0.53665273032328997</v>
      </c>
      <c r="S35" s="480">
        <f t="shared" si="198"/>
        <v>0.50250210202998968</v>
      </c>
      <c r="T35" s="480">
        <f t="shared" si="198"/>
        <v>0.47052469553717208</v>
      </c>
      <c r="U35" s="480">
        <f t="shared" si="198"/>
        <v>0.44058221491207938</v>
      </c>
      <c r="V35" s="480">
        <f t="shared" si="198"/>
        <v>0.41254516487221976</v>
      </c>
      <c r="W35" s="480">
        <f t="shared" si="198"/>
        <v>0.38629229074398747</v>
      </c>
      <c r="X35" s="480">
        <f t="shared" ref="X35:AG35" si="199">X23/(1.1^X$1)</f>
        <v>0.36171005406027923</v>
      </c>
      <c r="Y35" s="480">
        <f t="shared" si="199"/>
        <v>0.33869214152917049</v>
      </c>
      <c r="Z35" s="480">
        <f t="shared" si="199"/>
        <v>0.31713900525004141</v>
      </c>
      <c r="AA35" s="480">
        <f t="shared" si="199"/>
        <v>0.29695743218867515</v>
      </c>
      <c r="AB35" s="480">
        <f t="shared" si="199"/>
        <v>0.27806014104939586</v>
      </c>
      <c r="AC35" s="480">
        <f t="shared" si="199"/>
        <v>0.26036540480079784</v>
      </c>
      <c r="AD35" s="480">
        <f t="shared" si="199"/>
        <v>0.24379669722256528</v>
      </c>
      <c r="AE35" s="480">
        <f t="shared" si="199"/>
        <v>0.22828236194476564</v>
      </c>
      <c r="AF35" s="480">
        <f t="shared" si="199"/>
        <v>0.21375530254828057</v>
      </c>
      <c r="AG35" s="480">
        <f t="shared" si="199"/>
        <v>0.20015269238611727</v>
      </c>
      <c r="AH35" s="479">
        <f>-SUM(D35:AG35)</f>
        <v>-19.04648337509288</v>
      </c>
    </row>
    <row r="36" spans="1:34" s="246" customFormat="1" x14ac:dyDescent="0.25">
      <c r="B36" s="435" t="s">
        <v>674</v>
      </c>
      <c r="C36" s="201"/>
      <c r="D36" s="480">
        <f>D24</f>
        <v>0</v>
      </c>
      <c r="E36" s="480">
        <f>E24/(1.1^E$1)</f>
        <v>0</v>
      </c>
      <c r="F36" s="480">
        <f t="shared" ref="F36:W36" si="200">F24/(1.1^F$1)</f>
        <v>0</v>
      </c>
      <c r="G36" s="480">
        <f t="shared" si="200"/>
        <v>0</v>
      </c>
      <c r="H36" s="480">
        <f t="shared" si="200"/>
        <v>3.6151652008338218</v>
      </c>
      <c r="I36" s="480">
        <f t="shared" si="200"/>
        <v>0</v>
      </c>
      <c r="J36" s="480">
        <f t="shared" si="200"/>
        <v>0</v>
      </c>
      <c r="K36" s="480">
        <f t="shared" si="200"/>
        <v>0</v>
      </c>
      <c r="L36" s="480">
        <f t="shared" si="200"/>
        <v>0</v>
      </c>
      <c r="M36" s="480">
        <f t="shared" si="200"/>
        <v>0</v>
      </c>
      <c r="N36" s="480">
        <f t="shared" si="200"/>
        <v>0</v>
      </c>
      <c r="O36" s="480">
        <f t="shared" si="200"/>
        <v>0</v>
      </c>
      <c r="P36" s="480">
        <f t="shared" si="200"/>
        <v>0</v>
      </c>
      <c r="Q36" s="480">
        <f t="shared" si="200"/>
        <v>0</v>
      </c>
      <c r="R36" s="480">
        <f t="shared" si="200"/>
        <v>0</v>
      </c>
      <c r="S36" s="480">
        <f t="shared" si="200"/>
        <v>0</v>
      </c>
      <c r="T36" s="480">
        <f t="shared" si="200"/>
        <v>0</v>
      </c>
      <c r="U36" s="480">
        <f t="shared" si="200"/>
        <v>0</v>
      </c>
      <c r="V36" s="480">
        <f t="shared" si="200"/>
        <v>0</v>
      </c>
      <c r="W36" s="480">
        <f t="shared" si="200"/>
        <v>0</v>
      </c>
      <c r="X36" s="480">
        <f t="shared" ref="X36:AG36" si="201">X24/(1.1^X$1)</f>
        <v>0</v>
      </c>
      <c r="Y36" s="480">
        <f t="shared" si="201"/>
        <v>0</v>
      </c>
      <c r="Z36" s="480">
        <f t="shared" si="201"/>
        <v>0</v>
      </c>
      <c r="AA36" s="480">
        <f t="shared" si="201"/>
        <v>0</v>
      </c>
      <c r="AB36" s="480">
        <f t="shared" si="201"/>
        <v>0</v>
      </c>
      <c r="AC36" s="480">
        <f t="shared" si="201"/>
        <v>0</v>
      </c>
      <c r="AD36" s="480">
        <f t="shared" si="201"/>
        <v>0</v>
      </c>
      <c r="AE36" s="480">
        <f t="shared" si="201"/>
        <v>0</v>
      </c>
      <c r="AF36" s="480">
        <f t="shared" si="201"/>
        <v>0</v>
      </c>
      <c r="AG36" s="480">
        <f t="shared" si="201"/>
        <v>0</v>
      </c>
      <c r="AH36" s="479">
        <f>SUM(D36:AG36)</f>
        <v>3.6151652008338218</v>
      </c>
    </row>
    <row r="38" spans="1:34" x14ac:dyDescent="0.25">
      <c r="A38" s="465" t="s">
        <v>599</v>
      </c>
      <c r="B38" s="464"/>
      <c r="C38" s="512"/>
      <c r="D38" s="463"/>
      <c r="E38" s="463"/>
      <c r="F38" s="463"/>
      <c r="G38" s="463"/>
      <c r="H38" s="463"/>
      <c r="I38" s="463"/>
      <c r="J38" s="463"/>
      <c r="K38" s="463"/>
      <c r="L38" s="463"/>
      <c r="M38" s="463"/>
      <c r="N38" s="463"/>
      <c r="O38" s="463"/>
      <c r="P38" s="463"/>
      <c r="Q38" s="463"/>
      <c r="R38" s="463"/>
      <c r="S38" s="463"/>
      <c r="T38" s="463"/>
      <c r="U38" s="463"/>
      <c r="V38" s="463"/>
      <c r="W38" s="463"/>
      <c r="X38" s="481"/>
      <c r="Y38" s="481"/>
      <c r="Z38" s="481"/>
      <c r="AA38" s="481"/>
      <c r="AB38" s="481"/>
      <c r="AC38" s="481"/>
      <c r="AD38" s="481"/>
      <c r="AE38" s="481"/>
      <c r="AF38" s="481"/>
      <c r="AG38" s="481"/>
      <c r="AH38" s="246"/>
    </row>
    <row r="39" spans="1:34" x14ac:dyDescent="0.25">
      <c r="A39" s="472" t="s">
        <v>594</v>
      </c>
      <c r="B39" s="470" t="s">
        <v>586</v>
      </c>
      <c r="C39" s="510">
        <v>25</v>
      </c>
      <c r="D39" s="471">
        <f>SUM('[1]Option Implementation Cost'!I$114:I$161)</f>
        <v>3.1094994999999996</v>
      </c>
      <c r="E39" s="471">
        <f>SUM('[1]Option Implementation Cost'!J$114:J$161)</f>
        <v>4.9852392350000008</v>
      </c>
      <c r="F39" s="471">
        <f>SUM('[1]Option Implementation Cost'!K$114:K$161)</f>
        <v>19.270829425000002</v>
      </c>
      <c r="G39" s="471">
        <f>SUM('[1]Option Implementation Cost'!L$114:L$161)</f>
        <v>18.183766746249997</v>
      </c>
      <c r="H39" s="471">
        <f>SUM('[1]Option Implementation Cost'!M$114:M$161)</f>
        <v>4.8385796025000003</v>
      </c>
      <c r="I39" s="471">
        <f>SUM('[1]Option Implementation Cost'!N$114:N$161)</f>
        <v>0</v>
      </c>
      <c r="J39" s="471">
        <f>SUM('[1]Option Implementation Cost'!O$114:O$161)</f>
        <v>0</v>
      </c>
      <c r="K39" s="471">
        <f>SUM('[1]Option Implementation Cost'!P$114:P$161)</f>
        <v>0</v>
      </c>
      <c r="L39" s="471">
        <f>SUM('[1]Option Implementation Cost'!Q$114:Q$161)</f>
        <v>0</v>
      </c>
      <c r="M39" s="471">
        <f>SUM('[1]Option Implementation Cost'!R$114:R$161)</f>
        <v>0</v>
      </c>
      <c r="N39" s="471">
        <f>SUM('[1]Option Implementation Cost'!S$114:S$161)</f>
        <v>0</v>
      </c>
      <c r="O39" s="471">
        <f>SUM('[1]Option Implementation Cost'!T$114:T$161)</f>
        <v>0</v>
      </c>
      <c r="P39" s="471">
        <f>SUM('[1]Option Implementation Cost'!U$114:U$161)</f>
        <v>0</v>
      </c>
      <c r="Q39" s="471">
        <f>SUM('[1]Option Implementation Cost'!V$114:V$161)</f>
        <v>0</v>
      </c>
      <c r="R39" s="471">
        <f>SUM('[1]Option Implementation Cost'!W$114:W$161)</f>
        <v>0</v>
      </c>
      <c r="S39" s="471">
        <f>SUM('[1]Option Implementation Cost'!X$114:X$161)</f>
        <v>0</v>
      </c>
      <c r="T39" s="471">
        <f>SUM('[1]Option Implementation Cost'!Y$114:Y$161)</f>
        <v>0</v>
      </c>
      <c r="U39" s="471">
        <f>SUM('[1]Option Implementation Cost'!Z$114:Z$161)</f>
        <v>0</v>
      </c>
      <c r="V39" s="471">
        <f>SUM('[1]Option Implementation Cost'!AA$114:AA$161)</f>
        <v>0</v>
      </c>
      <c r="W39" s="467">
        <f>SUM('[1]Option Implementation Cost'!AB$114:AB$161)</f>
        <v>0</v>
      </c>
      <c r="X39" s="683">
        <v>0</v>
      </c>
      <c r="Y39" s="679">
        <v>0</v>
      </c>
      <c r="Z39" s="679">
        <v>0</v>
      </c>
      <c r="AA39" s="679">
        <v>0</v>
      </c>
      <c r="AB39" s="679">
        <v>0</v>
      </c>
      <c r="AC39" s="679">
        <v>0</v>
      </c>
      <c r="AD39" s="679">
        <v>0</v>
      </c>
      <c r="AE39" s="679">
        <v>0</v>
      </c>
      <c r="AF39" s="679">
        <v>0</v>
      </c>
      <c r="AG39" s="684">
        <v>0</v>
      </c>
      <c r="AH39" s="479">
        <f>SUM(D39:AG39)</f>
        <v>50.387914508749994</v>
      </c>
    </row>
    <row r="40" spans="1:34" x14ac:dyDescent="0.25">
      <c r="A40" s="473">
        <f>$A$3-'[1]Preferred Option'!$H$8</f>
        <v>0</v>
      </c>
      <c r="B40" s="470" t="s">
        <v>585</v>
      </c>
      <c r="C40" s="510"/>
      <c r="D40" s="471">
        <f>SUM('[1]Option Lifecycle Cost'!G$114:G$161)</f>
        <v>2.6686330000000003</v>
      </c>
      <c r="E40" s="471">
        <f>SUM('[1]Option Lifecycle Cost'!H$114:H$161)</f>
        <v>2.7584890099999999</v>
      </c>
      <c r="F40" s="471">
        <f>SUM('[1]Option Lifecycle Cost'!I$114:I$161)</f>
        <v>1.7215772568999999</v>
      </c>
      <c r="G40" s="471">
        <f>SUM('[1]Option Lifecycle Cost'!J$114:J$161)</f>
        <v>0.88541851488300005</v>
      </c>
      <c r="H40" s="471">
        <f>SUM('[1]Option Lifecycle Cost'!K$114:K$161)</f>
        <v>1.08825221737138</v>
      </c>
      <c r="I40" s="471">
        <f>SUM('[1]Option Lifecycle Cost'!L$114:L$161)</f>
        <v>1.1208997838925214</v>
      </c>
      <c r="J40" s="471">
        <f>SUM('[1]Option Lifecycle Cost'!M$114:M$161)</f>
        <v>1.1545267774092971</v>
      </c>
      <c r="K40" s="471">
        <f>SUM('[1]Option Lifecycle Cost'!N$114:N$161)</f>
        <v>1.189162580731576</v>
      </c>
      <c r="L40" s="471">
        <f>SUM('[1]Option Lifecycle Cost'!O$114:O$161)</f>
        <v>1.2248374581535233</v>
      </c>
      <c r="M40" s="471">
        <f>SUM('[1]Option Lifecycle Cost'!P$114:P$161)</f>
        <v>1.2615825818981292</v>
      </c>
      <c r="N40" s="471">
        <f>SUM('[1]Option Lifecycle Cost'!Q$114:Q$161)</f>
        <v>1.2994300593550729</v>
      </c>
      <c r="O40" s="471">
        <f>SUM('[1]Option Lifecycle Cost'!R$114:R$161)</f>
        <v>1.3384129611357252</v>
      </c>
      <c r="P40" s="471">
        <f>SUM('[1]Option Lifecycle Cost'!S$114:S$161)</f>
        <v>1.378565349969797</v>
      </c>
      <c r="Q40" s="471">
        <f>SUM('[1]Option Lifecycle Cost'!T$114:T$161)</f>
        <v>1.4199223104688907</v>
      </c>
      <c r="R40" s="471">
        <f>SUM('[1]Option Lifecycle Cost'!U$114:U$161)</f>
        <v>1.4625199797829578</v>
      </c>
      <c r="S40" s="471">
        <f>SUM('[1]Option Lifecycle Cost'!V$114:V$161)</f>
        <v>1.5063955791764467</v>
      </c>
      <c r="T40" s="471">
        <f>SUM('[1]Option Lifecycle Cost'!W$114:W$161)</f>
        <v>1.5515874465517403</v>
      </c>
      <c r="U40" s="471">
        <f>SUM('[1]Option Lifecycle Cost'!X$114:X$161)</f>
        <v>1.5981350699482921</v>
      </c>
      <c r="V40" s="471">
        <f>SUM('[1]Option Lifecycle Cost'!Y$114:Y$161)</f>
        <v>1.646079122046741</v>
      </c>
      <c r="W40" s="467">
        <f>SUM('[1]Option Lifecycle Cost'!Z$114:Z$161)</f>
        <v>1.6954614957081433</v>
      </c>
      <c r="X40" s="683">
        <f>W40*1.03</f>
        <v>1.7463253405793877</v>
      </c>
      <c r="Y40" s="679">
        <f t="shared" ref="Y40:AG40" si="202">X40*1.03</f>
        <v>1.7987151007967694</v>
      </c>
      <c r="Z40" s="679">
        <f t="shared" si="202"/>
        <v>1.8526765538206726</v>
      </c>
      <c r="AA40" s="679">
        <f t="shared" si="202"/>
        <v>1.9082568504352928</v>
      </c>
      <c r="AB40" s="679">
        <f t="shared" si="202"/>
        <v>1.9655045559483517</v>
      </c>
      <c r="AC40" s="679">
        <f t="shared" si="202"/>
        <v>2.0244696926268024</v>
      </c>
      <c r="AD40" s="679">
        <f t="shared" si="202"/>
        <v>2.0852037834056065</v>
      </c>
      <c r="AE40" s="679">
        <f t="shared" si="202"/>
        <v>2.1477598969077749</v>
      </c>
      <c r="AF40" s="679">
        <f t="shared" si="202"/>
        <v>2.212192693815008</v>
      </c>
      <c r="AG40" s="684">
        <f t="shared" si="202"/>
        <v>2.2785584746294583</v>
      </c>
      <c r="AH40" s="479">
        <f>SUM(D40:AG40)</f>
        <v>49.989551498348341</v>
      </c>
    </row>
    <row r="41" spans="1:34" x14ac:dyDescent="0.25">
      <c r="A41" s="246"/>
      <c r="B41" s="469" t="s">
        <v>587</v>
      </c>
      <c r="C41" s="511"/>
      <c r="D41" s="468">
        <f>SUM('[1]Option Lifecycle Benefits'!J$114:J$161)</f>
        <v>0</v>
      </c>
      <c r="E41" s="468">
        <f>SUM('[1]Option Lifecycle Benefits'!K$114:K$161)</f>
        <v>0</v>
      </c>
      <c r="F41" s="468">
        <f>SUM('[1]Option Lifecycle Benefits'!L$114:L$161)</f>
        <v>0</v>
      </c>
      <c r="G41" s="468">
        <f>SUM('[1]Option Lifecycle Benefits'!M$114:M$161)</f>
        <v>0</v>
      </c>
      <c r="H41" s="468">
        <f>SUM('[1]Option Lifecycle Benefits'!N$114:N$161)</f>
        <v>5.2929633705408001</v>
      </c>
      <c r="I41" s="468">
        <f>SUM('[1]Option Lifecycle Benefits'!O$114:O$161)</f>
        <v>0</v>
      </c>
      <c r="J41" s="468">
        <f>SUM('[1]Option Lifecycle Benefits'!P$114:P$161)</f>
        <v>0</v>
      </c>
      <c r="K41" s="468">
        <f>SUM('[1]Option Lifecycle Benefits'!Q$114:Q$161)</f>
        <v>0</v>
      </c>
      <c r="L41" s="468">
        <f>SUM('[1]Option Lifecycle Benefits'!R$114:R$161)</f>
        <v>0</v>
      </c>
      <c r="M41" s="468">
        <f>SUM('[1]Option Lifecycle Benefits'!S$114:S$161)</f>
        <v>0</v>
      </c>
      <c r="N41" s="468">
        <f>SUM('[1]Option Lifecycle Benefits'!T$114:T$161)</f>
        <v>0</v>
      </c>
      <c r="O41" s="468">
        <f>SUM('[1]Option Lifecycle Benefits'!U$114:U$161)</f>
        <v>0</v>
      </c>
      <c r="P41" s="468">
        <f>SUM('[1]Option Lifecycle Benefits'!V$114:V$161)</f>
        <v>0</v>
      </c>
      <c r="Q41" s="468">
        <f>SUM('[1]Option Lifecycle Benefits'!W$114:W$161)</f>
        <v>0</v>
      </c>
      <c r="R41" s="468">
        <f>SUM('[1]Option Lifecycle Benefits'!X$114:X$161)</f>
        <v>0</v>
      </c>
      <c r="S41" s="468">
        <f>SUM('[1]Option Lifecycle Benefits'!Y$114:Y$161)</f>
        <v>0</v>
      </c>
      <c r="T41" s="468">
        <f>SUM('[1]Option Lifecycle Benefits'!Z$114:Z$161)</f>
        <v>0</v>
      </c>
      <c r="U41" s="468">
        <f>SUM('[1]Option Lifecycle Benefits'!AA$114:AA$161)</f>
        <v>0</v>
      </c>
      <c r="V41" s="468">
        <f>SUM('[1]Option Lifecycle Benefits'!AB$114:AB$161)</f>
        <v>0</v>
      </c>
      <c r="W41" s="466">
        <f>SUM('[1]Option Lifecycle Benefits'!AC$114:AC$161)</f>
        <v>0</v>
      </c>
      <c r="X41" s="685">
        <v>0</v>
      </c>
      <c r="Y41" s="686">
        <v>0</v>
      </c>
      <c r="Z41" s="686">
        <v>0</v>
      </c>
      <c r="AA41" s="686">
        <v>0</v>
      </c>
      <c r="AB41" s="686">
        <v>0</v>
      </c>
      <c r="AC41" s="686">
        <v>0</v>
      </c>
      <c r="AD41" s="686">
        <v>0</v>
      </c>
      <c r="AE41" s="686">
        <v>0</v>
      </c>
      <c r="AF41" s="686">
        <v>0</v>
      </c>
      <c r="AG41" s="687">
        <f>AH42</f>
        <v>0</v>
      </c>
      <c r="AH41" s="479">
        <f>SUM(D41:AG41)</f>
        <v>5.2929633705408001</v>
      </c>
    </row>
    <row r="42" spans="1:34" s="246" customFormat="1" x14ac:dyDescent="0.25">
      <c r="B42" s="435" t="s">
        <v>676</v>
      </c>
      <c r="C42" s="510"/>
      <c r="D42" s="471">
        <f>IF(D39-((D39/$C39)*($C$1-D$1))&gt;0,D39-((D39/$C39)*($C$1-D$1)),0)</f>
        <v>0</v>
      </c>
      <c r="E42" s="471">
        <f t="shared" ref="E42:W42" si="203">IF(E39-((E39/$C39)*($C$1-E$1))&gt;0,E39-((E39/$C39)*($C$1-E$1)),0)</f>
        <v>0</v>
      </c>
      <c r="F42" s="471">
        <f t="shared" si="203"/>
        <v>0</v>
      </c>
      <c r="G42" s="471">
        <f t="shared" si="203"/>
        <v>0</v>
      </c>
      <c r="H42" s="471">
        <f t="shared" si="203"/>
        <v>0</v>
      </c>
      <c r="I42" s="471">
        <f t="shared" si="203"/>
        <v>0</v>
      </c>
      <c r="J42" s="471">
        <f t="shared" si="203"/>
        <v>0</v>
      </c>
      <c r="K42" s="471">
        <f t="shared" si="203"/>
        <v>0</v>
      </c>
      <c r="L42" s="471">
        <f t="shared" si="203"/>
        <v>0</v>
      </c>
      <c r="M42" s="471">
        <f t="shared" si="203"/>
        <v>0</v>
      </c>
      <c r="N42" s="471">
        <f t="shared" si="203"/>
        <v>0</v>
      </c>
      <c r="O42" s="471">
        <f t="shared" si="203"/>
        <v>0</v>
      </c>
      <c r="P42" s="471">
        <f t="shared" si="203"/>
        <v>0</v>
      </c>
      <c r="Q42" s="471">
        <f t="shared" si="203"/>
        <v>0</v>
      </c>
      <c r="R42" s="471">
        <f t="shared" si="203"/>
        <v>0</v>
      </c>
      <c r="S42" s="471">
        <f t="shared" si="203"/>
        <v>0</v>
      </c>
      <c r="T42" s="471">
        <f t="shared" si="203"/>
        <v>0</v>
      </c>
      <c r="U42" s="471">
        <f t="shared" si="203"/>
        <v>0</v>
      </c>
      <c r="V42" s="471">
        <f t="shared" si="203"/>
        <v>0</v>
      </c>
      <c r="W42" s="471">
        <f t="shared" si="203"/>
        <v>0</v>
      </c>
      <c r="X42" s="679">
        <f t="shared" ref="X42:AG42" si="204">IF(X39-((X39/$C39)*($C$1-X$1))&gt;0,X39-((X39/$C39)*($C$1-X$1)),0)</f>
        <v>0</v>
      </c>
      <c r="Y42" s="679">
        <f t="shared" si="204"/>
        <v>0</v>
      </c>
      <c r="Z42" s="679">
        <f t="shared" si="204"/>
        <v>0</v>
      </c>
      <c r="AA42" s="679">
        <f t="shared" si="204"/>
        <v>0</v>
      </c>
      <c r="AB42" s="679">
        <f t="shared" si="204"/>
        <v>0</v>
      </c>
      <c r="AC42" s="679">
        <f t="shared" si="204"/>
        <v>0</v>
      </c>
      <c r="AD42" s="679">
        <f t="shared" si="204"/>
        <v>0</v>
      </c>
      <c r="AE42" s="679">
        <f t="shared" si="204"/>
        <v>0</v>
      </c>
      <c r="AF42" s="679">
        <f t="shared" si="204"/>
        <v>0</v>
      </c>
      <c r="AG42" s="679">
        <f t="shared" si="204"/>
        <v>0</v>
      </c>
      <c r="AH42" s="548">
        <f>SUM(D42:AG42)</f>
        <v>0</v>
      </c>
    </row>
    <row r="43" spans="1:34" x14ac:dyDescent="0.25">
      <c r="A43" s="246"/>
      <c r="B43" s="435" t="s">
        <v>588</v>
      </c>
      <c r="D43" s="479">
        <f>D41-SUM(D39:D40)</f>
        <v>-5.7781324999999999</v>
      </c>
      <c r="E43" s="479">
        <f t="shared" ref="E43" si="205">E41-SUM(E39:E40)</f>
        <v>-7.7437282450000007</v>
      </c>
      <c r="F43" s="479">
        <f t="shared" ref="F43" si="206">F41-SUM(F39:F40)</f>
        <v>-20.9924066819</v>
      </c>
      <c r="G43" s="479">
        <f t="shared" ref="G43" si="207">G41-SUM(G39:G40)</f>
        <v>-19.069185261132997</v>
      </c>
      <c r="H43" s="479">
        <f t="shared" ref="H43" si="208">H41-SUM(H39:H40)</f>
        <v>-0.6338684493305804</v>
      </c>
      <c r="I43" s="479">
        <f t="shared" ref="I43" si="209">I41-SUM(I39:I40)</f>
        <v>-1.1208997838925214</v>
      </c>
      <c r="J43" s="479">
        <f t="shared" ref="J43" si="210">J41-SUM(J39:J40)</f>
        <v>-1.1545267774092971</v>
      </c>
      <c r="K43" s="479">
        <f t="shared" ref="K43" si="211">K41-SUM(K39:K40)</f>
        <v>-1.189162580731576</v>
      </c>
      <c r="L43" s="479">
        <f t="shared" ref="L43" si="212">L41-SUM(L39:L40)</f>
        <v>-1.2248374581535233</v>
      </c>
      <c r="M43" s="479">
        <f t="shared" ref="M43" si="213">M41-SUM(M39:M40)</f>
        <v>-1.2615825818981292</v>
      </c>
      <c r="N43" s="479">
        <f t="shared" ref="N43" si="214">N41-SUM(N39:N40)</f>
        <v>-1.2994300593550729</v>
      </c>
      <c r="O43" s="479">
        <f t="shared" ref="O43" si="215">O41-SUM(O39:O40)</f>
        <v>-1.3384129611357252</v>
      </c>
      <c r="P43" s="479">
        <f t="shared" ref="P43" si="216">P41-SUM(P39:P40)</f>
        <v>-1.378565349969797</v>
      </c>
      <c r="Q43" s="479">
        <f t="shared" ref="Q43" si="217">Q41-SUM(Q39:Q40)</f>
        <v>-1.4199223104688907</v>
      </c>
      <c r="R43" s="479">
        <f t="shared" ref="R43" si="218">R41-SUM(R39:R40)</f>
        <v>-1.4625199797829578</v>
      </c>
      <c r="S43" s="479">
        <f t="shared" ref="S43" si="219">S41-SUM(S39:S40)</f>
        <v>-1.5063955791764467</v>
      </c>
      <c r="T43" s="479">
        <f t="shared" ref="T43" si="220">T41-SUM(T39:T40)</f>
        <v>-1.5515874465517403</v>
      </c>
      <c r="U43" s="479">
        <f t="shared" ref="U43" si="221">U41-SUM(U39:U40)</f>
        <v>-1.5981350699482921</v>
      </c>
      <c r="V43" s="479">
        <f t="shared" ref="V43" si="222">V41-SUM(V39:V40)</f>
        <v>-1.646079122046741</v>
      </c>
      <c r="W43" s="479">
        <f t="shared" ref="W43:AG43" si="223">W41-SUM(W39:W40)</f>
        <v>-1.6954614957081433</v>
      </c>
      <c r="X43" s="479">
        <f t="shared" si="223"/>
        <v>-1.7463253405793877</v>
      </c>
      <c r="Y43" s="479">
        <f t="shared" si="223"/>
        <v>-1.7987151007967694</v>
      </c>
      <c r="Z43" s="479">
        <f t="shared" ref="Z43:AG43" si="224">Z41-SUM(Z39:Z40)</f>
        <v>-1.8526765538206726</v>
      </c>
      <c r="AA43" s="479">
        <f t="shared" si="223"/>
        <v>-1.9082568504352928</v>
      </c>
      <c r="AB43" s="479">
        <f t="shared" si="223"/>
        <v>-1.9655045559483517</v>
      </c>
      <c r="AC43" s="479">
        <f t="shared" ref="AC43:AG43" si="225">AC41-SUM(AC39:AC40)</f>
        <v>-2.0244696926268024</v>
      </c>
      <c r="AD43" s="479">
        <f t="shared" si="223"/>
        <v>-2.0852037834056065</v>
      </c>
      <c r="AE43" s="479">
        <f t="shared" si="223"/>
        <v>-2.1477598969077749</v>
      </c>
      <c r="AF43" s="479">
        <f t="shared" ref="AF43:AG43" si="226">AF41-SUM(AF39:AF40)</f>
        <v>-2.212192693815008</v>
      </c>
      <c r="AG43" s="479">
        <f t="shared" si="223"/>
        <v>-2.2785584746294583</v>
      </c>
      <c r="AH43" s="479">
        <f t="shared" ref="AH43" si="227">SUM(AH39:AH40)-AH41</f>
        <v>95.084502636557531</v>
      </c>
    </row>
    <row r="44" spans="1:34" x14ac:dyDescent="0.25">
      <c r="A44" s="246"/>
      <c r="B44" s="435" t="s">
        <v>592</v>
      </c>
      <c r="D44" s="480">
        <f>D43</f>
        <v>-5.7781324999999999</v>
      </c>
      <c r="E44" s="480">
        <f>E43+D44</f>
        <v>-13.521860745000001</v>
      </c>
      <c r="F44" s="480">
        <f t="shared" ref="F44" si="228">F43+E44</f>
        <v>-34.514267426900005</v>
      </c>
      <c r="G44" s="480">
        <f t="shared" ref="G44" si="229">G43+F44</f>
        <v>-53.583452688033006</v>
      </c>
      <c r="H44" s="480">
        <f t="shared" ref="H44" si="230">H43+G44</f>
        <v>-54.217321137363584</v>
      </c>
      <c r="I44" s="480">
        <f t="shared" ref="I44" si="231">I43+H44</f>
        <v>-55.338220921256102</v>
      </c>
      <c r="J44" s="480">
        <f t="shared" ref="J44" si="232">J43+I44</f>
        <v>-56.492747698665397</v>
      </c>
      <c r="K44" s="480">
        <f t="shared" ref="K44" si="233">K43+J44</f>
        <v>-57.681910279396973</v>
      </c>
      <c r="L44" s="480">
        <f t="shared" ref="L44" si="234">L43+K44</f>
        <v>-58.906747737550496</v>
      </c>
      <c r="M44" s="480">
        <f t="shared" ref="M44" si="235">M43+L44</f>
        <v>-60.168330319448629</v>
      </c>
      <c r="N44" s="480">
        <f t="shared" ref="N44" si="236">N43+M44</f>
        <v>-61.467760378803703</v>
      </c>
      <c r="O44" s="480">
        <f t="shared" ref="O44" si="237">O43+N44</f>
        <v>-62.806173339939427</v>
      </c>
      <c r="P44" s="480">
        <f t="shared" ref="P44" si="238">P43+O44</f>
        <v>-64.184738689909224</v>
      </c>
      <c r="Q44" s="480">
        <f t="shared" ref="Q44" si="239">Q43+P44</f>
        <v>-65.604661000378115</v>
      </c>
      <c r="R44" s="480">
        <f t="shared" ref="R44" si="240">R43+Q44</f>
        <v>-67.067180980161069</v>
      </c>
      <c r="S44" s="480">
        <f t="shared" ref="S44" si="241">S43+R44</f>
        <v>-68.573576559337511</v>
      </c>
      <c r="T44" s="480">
        <f t="shared" ref="T44" si="242">T43+S44</f>
        <v>-70.125164005889246</v>
      </c>
      <c r="U44" s="480">
        <f t="shared" ref="U44" si="243">U43+T44</f>
        <v>-71.723299075837545</v>
      </c>
      <c r="V44" s="480">
        <f t="shared" ref="V44" si="244">V43+U44</f>
        <v>-73.369378197884288</v>
      </c>
      <c r="W44" s="480">
        <f t="shared" ref="W44" si="245">W43+V44</f>
        <v>-75.064839693592432</v>
      </c>
      <c r="X44" s="480">
        <f t="shared" ref="X44" si="246">X43+W44</f>
        <v>-76.811165034171822</v>
      </c>
      <c r="Y44" s="480">
        <f t="shared" ref="Y44" si="247">Y43+X44</f>
        <v>-78.609880134968591</v>
      </c>
      <c r="Z44" s="480">
        <f t="shared" ref="Z44" si="248">Z43+Y44</f>
        <v>-80.462556688789263</v>
      </c>
      <c r="AA44" s="480">
        <f t="shared" ref="AA44" si="249">AA43+Z44</f>
        <v>-82.370813539224557</v>
      </c>
      <c r="AB44" s="480">
        <f t="shared" ref="AB44" si="250">AB43+AA44</f>
        <v>-84.336318095172913</v>
      </c>
      <c r="AC44" s="480">
        <f t="shared" ref="AC44" si="251">AC43+AB44</f>
        <v>-86.360787787799723</v>
      </c>
      <c r="AD44" s="480">
        <f t="shared" ref="AD44" si="252">AD43+AC44</f>
        <v>-88.445991571205326</v>
      </c>
      <c r="AE44" s="480">
        <f t="shared" ref="AE44" si="253">AE43+AD44</f>
        <v>-90.593751468113098</v>
      </c>
      <c r="AF44" s="480">
        <f t="shared" ref="AF44" si="254">AF43+AE44</f>
        <v>-92.80594416192811</v>
      </c>
      <c r="AG44" s="480">
        <f t="shared" ref="AG44" si="255">AG43+AF44</f>
        <v>-95.084502636557573</v>
      </c>
      <c r="AH44" s="246"/>
    </row>
    <row r="45" spans="1:34" x14ac:dyDescent="0.25">
      <c r="A45" s="246"/>
      <c r="B45" s="435" t="s">
        <v>591</v>
      </c>
      <c r="D45" s="478">
        <f t="shared" ref="D45:W45" si="256">D43*D$2</f>
        <v>-5.7781324999999999</v>
      </c>
      <c r="E45" s="478">
        <f t="shared" si="256"/>
        <v>-7.0577180504921628</v>
      </c>
      <c r="F45" s="478">
        <f t="shared" si="256"/>
        <v>-17.437757484284727</v>
      </c>
      <c r="G45" s="478">
        <f t="shared" si="256"/>
        <v>-14.436926360194313</v>
      </c>
      <c r="H45" s="478">
        <f t="shared" si="256"/>
        <v>-0.43737699825066689</v>
      </c>
      <c r="I45" s="478">
        <f t="shared" si="256"/>
        <v>-0.70491668591532086</v>
      </c>
      <c r="J45" s="478">
        <f t="shared" si="256"/>
        <v>-0.66174278754354754</v>
      </c>
      <c r="K45" s="478">
        <f t="shared" si="256"/>
        <v>-0.62121315272498545</v>
      </c>
      <c r="L45" s="478">
        <f t="shared" si="256"/>
        <v>-0.58316582875203704</v>
      </c>
      <c r="M45" s="478">
        <f t="shared" si="256"/>
        <v>-0.54744878200382641</v>
      </c>
      <c r="N45" s="478">
        <f t="shared" si="256"/>
        <v>-0.51391929043377793</v>
      </c>
      <c r="O45" s="478">
        <f t="shared" si="256"/>
        <v>-0.48244337326539494</v>
      </c>
      <c r="P45" s="478">
        <f t="shared" si="256"/>
        <v>-0.45289525561735033</v>
      </c>
      <c r="Q45" s="478">
        <f t="shared" si="256"/>
        <v>-0.42515686591858443</v>
      </c>
      <c r="R45" s="478">
        <f t="shared" si="256"/>
        <v>-0.399117364105124</v>
      </c>
      <c r="S45" s="478">
        <f t="shared" si="256"/>
        <v>-0.37467269871334108</v>
      </c>
      <c r="T45" s="478">
        <f t="shared" si="256"/>
        <v>-0.35172519109983719</v>
      </c>
      <c r="U45" s="478">
        <f t="shared" si="256"/>
        <v>-0.33018314512653318</v>
      </c>
      <c r="V45" s="478">
        <f t="shared" si="256"/>
        <v>-0.30996048075130261</v>
      </c>
      <c r="W45" s="478">
        <f t="shared" si="256"/>
        <v>-0.29097639006000886</v>
      </c>
      <c r="X45" s="478">
        <f t="shared" ref="X45:AG45" si="257">X43*X$2</f>
        <v>-0.27315501436548412</v>
      </c>
      <c r="Y45" s="478">
        <f t="shared" si="257"/>
        <v>-0.256425141083165</v>
      </c>
      <c r="Z45" s="478">
        <f t="shared" si="257"/>
        <v>-0.24071991917212904</v>
      </c>
      <c r="AA45" s="478">
        <f t="shared" si="257"/>
        <v>-0.22597659200445949</v>
      </c>
      <c r="AB45" s="478">
        <f t="shared" si="257"/>
        <v>-0.21213624659550978</v>
      </c>
      <c r="AC45" s="478">
        <f t="shared" si="257"/>
        <v>-0.19914357819301409</v>
      </c>
      <c r="AD45" s="478">
        <f t="shared" si="257"/>
        <v>-0.18694666928436432</v>
      </c>
      <c r="AE45" s="478">
        <f t="shared" si="257"/>
        <v>-0.17549678213898587</v>
      </c>
      <c r="AF45" s="478">
        <f t="shared" si="257"/>
        <v>-0.1647481640568314</v>
      </c>
      <c r="AG45" s="478">
        <f t="shared" si="257"/>
        <v>-0.15465786454478342</v>
      </c>
      <c r="AH45" s="246"/>
    </row>
    <row r="46" spans="1:34" x14ac:dyDescent="0.25">
      <c r="A46" s="246"/>
      <c r="B46" s="435" t="s">
        <v>593</v>
      </c>
      <c r="D46" s="480">
        <f>D45</f>
        <v>-5.7781324999999999</v>
      </c>
      <c r="E46" s="480">
        <f>D46+E45</f>
        <v>-12.835850550492163</v>
      </c>
      <c r="F46" s="480">
        <f t="shared" ref="F46" si="258">E46+F45</f>
        <v>-30.273608034776892</v>
      </c>
      <c r="G46" s="480">
        <f t="shared" ref="G46" si="259">F46+G45</f>
        <v>-44.710534394971205</v>
      </c>
      <c r="H46" s="480">
        <f t="shared" ref="H46" si="260">G46+H45</f>
        <v>-45.147911393221875</v>
      </c>
      <c r="I46" s="480">
        <f t="shared" ref="I46" si="261">H46+I45</f>
        <v>-45.852828079137197</v>
      </c>
      <c r="J46" s="480">
        <f t="shared" ref="J46" si="262">I46+J45</f>
        <v>-46.514570866680742</v>
      </c>
      <c r="K46" s="480">
        <f t="shared" ref="K46" si="263">J46+K45</f>
        <v>-47.135784019405726</v>
      </c>
      <c r="L46" s="480">
        <f t="shared" ref="L46" si="264">K46+L45</f>
        <v>-47.718949848157763</v>
      </c>
      <c r="M46" s="480">
        <f>L46+M45</f>
        <v>-48.266398630161589</v>
      </c>
      <c r="N46" s="480">
        <f t="shared" ref="N46" si="265">M46+N45</f>
        <v>-48.780317920595365</v>
      </c>
      <c r="O46" s="480">
        <f t="shared" ref="O46" si="266">N46+O45</f>
        <v>-49.262761293860763</v>
      </c>
      <c r="P46" s="480">
        <f t="shared" ref="P46" si="267">O46+P45</f>
        <v>-49.715656549478112</v>
      </c>
      <c r="Q46" s="480">
        <f t="shared" ref="Q46" si="268">P46+Q45</f>
        <v>-50.1408134153967</v>
      </c>
      <c r="R46" s="480">
        <f t="shared" ref="R46" si="269">Q46+R45</f>
        <v>-50.539930779501823</v>
      </c>
      <c r="S46" s="480">
        <f t="shared" ref="S46" si="270">R46+S45</f>
        <v>-50.914603478215163</v>
      </c>
      <c r="T46" s="480">
        <f t="shared" ref="T46" si="271">S46+T45</f>
        <v>-51.266328669315001</v>
      </c>
      <c r="U46" s="480">
        <f t="shared" ref="U46" si="272">T46+U45</f>
        <v>-51.596511814441534</v>
      </c>
      <c r="V46" s="480">
        <f t="shared" ref="V46" si="273">U46+V45</f>
        <v>-51.906472295192835</v>
      </c>
      <c r="W46" s="480">
        <f t="shared" ref="W46" si="274">V46+W45</f>
        <v>-52.197448685252844</v>
      </c>
      <c r="X46" s="480">
        <f t="shared" ref="X46" si="275">W46+X45</f>
        <v>-52.47060369961833</v>
      </c>
      <c r="Y46" s="480">
        <f t="shared" ref="Y46" si="276">X46+Y45</f>
        <v>-52.727028840701493</v>
      </c>
      <c r="Z46" s="480">
        <f t="shared" ref="Z46" si="277">Y46+Z45</f>
        <v>-52.967748759873622</v>
      </c>
      <c r="AA46" s="480">
        <f t="shared" ref="AA46" si="278">Z46+AA45</f>
        <v>-53.193725351878079</v>
      </c>
      <c r="AB46" s="480">
        <f t="shared" ref="AB46" si="279">AA46+AB45</f>
        <v>-53.405861598473592</v>
      </c>
      <c r="AC46" s="480">
        <f t="shared" ref="AC46" si="280">AB46+AC45</f>
        <v>-53.605005176666609</v>
      </c>
      <c r="AD46" s="480">
        <f t="shared" ref="AD46" si="281">AC46+AD45</f>
        <v>-53.791951845950976</v>
      </c>
      <c r="AE46" s="480">
        <f t="shared" ref="AE46" si="282">AD46+AE45</f>
        <v>-53.967448628089961</v>
      </c>
      <c r="AF46" s="480">
        <f t="shared" ref="AF46" si="283">AE46+AF45</f>
        <v>-54.132196792146793</v>
      </c>
      <c r="AG46" s="480">
        <f t="shared" ref="AG46" si="284">AF46+AG45</f>
        <v>-54.286854656691574</v>
      </c>
      <c r="AH46" s="246"/>
    </row>
    <row r="47" spans="1:34" x14ac:dyDescent="0.25">
      <c r="A47" s="246"/>
      <c r="B47" s="435" t="s">
        <v>604</v>
      </c>
      <c r="D47" s="480">
        <f>SUM(D39:D40)-D41</f>
        <v>5.7781324999999999</v>
      </c>
      <c r="E47" s="480">
        <f>(SUM(E39:E40)-E41)+D47</f>
        <v>13.521860745000001</v>
      </c>
      <c r="F47" s="480">
        <f t="shared" ref="F47:W47" si="285">(SUM(F39:F40)-F41)+E47</f>
        <v>34.514267426900005</v>
      </c>
      <c r="G47" s="480">
        <f t="shared" si="285"/>
        <v>53.583452688033006</v>
      </c>
      <c r="H47" s="480">
        <f t="shared" si="285"/>
        <v>54.217321137363584</v>
      </c>
      <c r="I47" s="480">
        <f t="shared" si="285"/>
        <v>55.338220921256102</v>
      </c>
      <c r="J47" s="480">
        <f t="shared" si="285"/>
        <v>56.492747698665397</v>
      </c>
      <c r="K47" s="480">
        <f t="shared" si="285"/>
        <v>57.681910279396973</v>
      </c>
      <c r="L47" s="480">
        <f t="shared" si="285"/>
        <v>58.906747737550496</v>
      </c>
      <c r="M47" s="480">
        <f t="shared" si="285"/>
        <v>60.168330319448629</v>
      </c>
      <c r="N47" s="480">
        <f t="shared" si="285"/>
        <v>61.467760378803703</v>
      </c>
      <c r="O47" s="480">
        <f t="shared" si="285"/>
        <v>62.806173339939427</v>
      </c>
      <c r="P47" s="480">
        <f t="shared" si="285"/>
        <v>64.184738689909224</v>
      </c>
      <c r="Q47" s="480">
        <f t="shared" si="285"/>
        <v>65.604661000378115</v>
      </c>
      <c r="R47" s="480">
        <f t="shared" si="285"/>
        <v>67.067180980161069</v>
      </c>
      <c r="S47" s="480">
        <f t="shared" si="285"/>
        <v>68.573576559337511</v>
      </c>
      <c r="T47" s="480">
        <f t="shared" si="285"/>
        <v>70.125164005889246</v>
      </c>
      <c r="U47" s="480">
        <f t="shared" si="285"/>
        <v>71.723299075837545</v>
      </c>
      <c r="V47" s="480">
        <f t="shared" si="285"/>
        <v>73.369378197884288</v>
      </c>
      <c r="W47" s="480">
        <f t="shared" si="285"/>
        <v>75.064839693592432</v>
      </c>
      <c r="X47" s="480">
        <f t="shared" ref="X47" si="286">(SUM(X39:X40)-X41)+W47</f>
        <v>76.811165034171822</v>
      </c>
      <c r="Y47" s="480">
        <f t="shared" ref="Y47" si="287">(SUM(Y39:Y40)-Y41)+X47</f>
        <v>78.609880134968591</v>
      </c>
      <c r="Z47" s="480">
        <f t="shared" ref="Z47" si="288">(SUM(Z39:Z40)-Z41)+Y47</f>
        <v>80.462556688789263</v>
      </c>
      <c r="AA47" s="480">
        <f t="shared" ref="AA47" si="289">(SUM(AA39:AA40)-AA41)+Z47</f>
        <v>82.370813539224557</v>
      </c>
      <c r="AB47" s="480">
        <f t="shared" ref="AB47" si="290">(SUM(AB39:AB40)-AB41)+AA47</f>
        <v>84.336318095172913</v>
      </c>
      <c r="AC47" s="480">
        <f t="shared" ref="AC47" si="291">(SUM(AC39:AC40)-AC41)+AB47</f>
        <v>86.360787787799723</v>
      </c>
      <c r="AD47" s="480">
        <f t="shared" ref="AD47" si="292">(SUM(AD39:AD40)-AD41)+AC47</f>
        <v>88.445991571205326</v>
      </c>
      <c r="AE47" s="480">
        <f t="shared" ref="AE47" si="293">(SUM(AE39:AE40)-AE41)+AD47</f>
        <v>90.593751468113098</v>
      </c>
      <c r="AF47" s="480">
        <f t="shared" ref="AF47" si="294">(SUM(AF39:AF40)-AF41)+AE47</f>
        <v>92.80594416192811</v>
      </c>
      <c r="AG47" s="480">
        <f t="shared" ref="AG47" si="295">(SUM(AG39:AG40)-AG41)+AF47</f>
        <v>95.084502636557573</v>
      </c>
      <c r="AH47" s="246"/>
    </row>
    <row r="48" spans="1:34" x14ac:dyDescent="0.25">
      <c r="A48" s="246"/>
      <c r="B48" s="435" t="s">
        <v>595</v>
      </c>
      <c r="D48" s="480">
        <f>D39</f>
        <v>3.1094994999999996</v>
      </c>
      <c r="E48" s="480">
        <f>E39+D48</f>
        <v>8.094738735</v>
      </c>
      <c r="F48" s="480">
        <f t="shared" ref="F48:W48" si="296">F39+E48</f>
        <v>27.365568160000002</v>
      </c>
      <c r="G48" s="480">
        <f t="shared" si="296"/>
        <v>45.549334906249996</v>
      </c>
      <c r="H48" s="480">
        <f t="shared" si="296"/>
        <v>50.387914508749994</v>
      </c>
      <c r="I48" s="480">
        <f t="shared" si="296"/>
        <v>50.387914508749994</v>
      </c>
      <c r="J48" s="480">
        <f t="shared" si="296"/>
        <v>50.387914508749994</v>
      </c>
      <c r="K48" s="480">
        <f t="shared" si="296"/>
        <v>50.387914508749994</v>
      </c>
      <c r="L48" s="480">
        <f t="shared" si="296"/>
        <v>50.387914508749994</v>
      </c>
      <c r="M48" s="480">
        <f t="shared" si="296"/>
        <v>50.387914508749994</v>
      </c>
      <c r="N48" s="480">
        <f t="shared" si="296"/>
        <v>50.387914508749994</v>
      </c>
      <c r="O48" s="480">
        <f t="shared" si="296"/>
        <v>50.387914508749994</v>
      </c>
      <c r="P48" s="480">
        <f t="shared" si="296"/>
        <v>50.387914508749994</v>
      </c>
      <c r="Q48" s="480">
        <f t="shared" si="296"/>
        <v>50.387914508749994</v>
      </c>
      <c r="R48" s="480">
        <f t="shared" si="296"/>
        <v>50.387914508749994</v>
      </c>
      <c r="S48" s="480">
        <f t="shared" si="296"/>
        <v>50.387914508749994</v>
      </c>
      <c r="T48" s="480">
        <f t="shared" si="296"/>
        <v>50.387914508749994</v>
      </c>
      <c r="U48" s="480">
        <f t="shared" si="296"/>
        <v>50.387914508749994</v>
      </c>
      <c r="V48" s="480">
        <f t="shared" si="296"/>
        <v>50.387914508749994</v>
      </c>
      <c r="W48" s="480">
        <f t="shared" si="296"/>
        <v>50.387914508749994</v>
      </c>
      <c r="X48" s="480">
        <f t="shared" ref="X48:X50" si="297">X39+W48</f>
        <v>50.387914508749994</v>
      </c>
      <c r="Y48" s="480">
        <f t="shared" ref="Y48:Y50" si="298">Y39+X48</f>
        <v>50.387914508749994</v>
      </c>
      <c r="Z48" s="480">
        <f t="shared" ref="Z48:Z50" si="299">Z39+Y48</f>
        <v>50.387914508749994</v>
      </c>
      <c r="AA48" s="480">
        <f t="shared" ref="AA48:AA50" si="300">AA39+Z48</f>
        <v>50.387914508749994</v>
      </c>
      <c r="AB48" s="480">
        <f t="shared" ref="AB48:AB50" si="301">AB39+AA48</f>
        <v>50.387914508749994</v>
      </c>
      <c r="AC48" s="480">
        <f t="shared" ref="AC48:AC50" si="302">AC39+AB48</f>
        <v>50.387914508749994</v>
      </c>
      <c r="AD48" s="480">
        <f t="shared" ref="AD48:AD50" si="303">AD39+AC48</f>
        <v>50.387914508749994</v>
      </c>
      <c r="AE48" s="480">
        <f t="shared" ref="AE48:AE50" si="304">AE39+AD48</f>
        <v>50.387914508749994</v>
      </c>
      <c r="AF48" s="480">
        <f t="shared" ref="AF48:AF50" si="305">AF39+AE48</f>
        <v>50.387914508749994</v>
      </c>
      <c r="AG48" s="480">
        <f t="shared" ref="AG48:AG50" si="306">AG39+AF48</f>
        <v>50.387914508749994</v>
      </c>
      <c r="AH48" s="246"/>
    </row>
    <row r="49" spans="1:34" x14ac:dyDescent="0.25">
      <c r="A49" s="246"/>
      <c r="B49" s="435" t="s">
        <v>596</v>
      </c>
      <c r="D49" s="480">
        <f>D40</f>
        <v>2.6686330000000003</v>
      </c>
      <c r="E49" s="480">
        <f t="shared" ref="E49:W49" si="307">E40+D49</f>
        <v>5.4271220099999997</v>
      </c>
      <c r="F49" s="480">
        <f t="shared" si="307"/>
        <v>7.1486992668999996</v>
      </c>
      <c r="G49" s="480">
        <f t="shared" si="307"/>
        <v>8.0341177817829994</v>
      </c>
      <c r="H49" s="480">
        <f t="shared" si="307"/>
        <v>9.1223699991543796</v>
      </c>
      <c r="I49" s="480">
        <f t="shared" si="307"/>
        <v>10.243269783046902</v>
      </c>
      <c r="J49" s="480">
        <f t="shared" si="307"/>
        <v>11.397796560456198</v>
      </c>
      <c r="K49" s="480">
        <f t="shared" si="307"/>
        <v>12.586959141187775</v>
      </c>
      <c r="L49" s="480">
        <f t="shared" si="307"/>
        <v>13.811796599341298</v>
      </c>
      <c r="M49" s="480">
        <f t="shared" si="307"/>
        <v>15.073379181239426</v>
      </c>
      <c r="N49" s="480">
        <f t="shared" si="307"/>
        <v>16.372809240594499</v>
      </c>
      <c r="O49" s="480">
        <f t="shared" si="307"/>
        <v>17.711222201730223</v>
      </c>
      <c r="P49" s="480">
        <f t="shared" si="307"/>
        <v>19.08978755170002</v>
      </c>
      <c r="Q49" s="480">
        <f t="shared" si="307"/>
        <v>20.509709862168911</v>
      </c>
      <c r="R49" s="480">
        <f t="shared" si="307"/>
        <v>21.972229841951869</v>
      </c>
      <c r="S49" s="480">
        <f t="shared" si="307"/>
        <v>23.478625421128314</v>
      </c>
      <c r="T49" s="480">
        <f t="shared" si="307"/>
        <v>25.030212867680053</v>
      </c>
      <c r="U49" s="480">
        <f t="shared" si="307"/>
        <v>26.628347937628345</v>
      </c>
      <c r="V49" s="480">
        <f t="shared" si="307"/>
        <v>28.274427059675084</v>
      </c>
      <c r="W49" s="480">
        <f t="shared" si="307"/>
        <v>29.969888555383228</v>
      </c>
      <c r="X49" s="480">
        <f t="shared" si="297"/>
        <v>31.716213895962618</v>
      </c>
      <c r="Y49" s="480">
        <f t="shared" si="298"/>
        <v>33.514928996759387</v>
      </c>
      <c r="Z49" s="480">
        <f t="shared" si="299"/>
        <v>35.367605550580059</v>
      </c>
      <c r="AA49" s="480">
        <f t="shared" si="300"/>
        <v>37.275862401015353</v>
      </c>
      <c r="AB49" s="480">
        <f t="shared" si="301"/>
        <v>39.241366956963702</v>
      </c>
      <c r="AC49" s="480">
        <f t="shared" si="302"/>
        <v>41.265836649590504</v>
      </c>
      <c r="AD49" s="480">
        <f t="shared" si="303"/>
        <v>43.351040432996108</v>
      </c>
      <c r="AE49" s="480">
        <f t="shared" si="304"/>
        <v>45.498800329903879</v>
      </c>
      <c r="AF49" s="480">
        <f t="shared" si="305"/>
        <v>47.710993023718885</v>
      </c>
      <c r="AG49" s="480">
        <f t="shared" si="306"/>
        <v>49.989551498348341</v>
      </c>
      <c r="AH49" s="246"/>
    </row>
    <row r="50" spans="1:34" x14ac:dyDescent="0.25">
      <c r="A50" s="246"/>
      <c r="B50" s="435" t="s">
        <v>597</v>
      </c>
      <c r="D50" s="480">
        <f>D41</f>
        <v>0</v>
      </c>
      <c r="E50" s="480">
        <f t="shared" ref="E50:W50" si="308">E41+D50</f>
        <v>0</v>
      </c>
      <c r="F50" s="480">
        <f t="shared" si="308"/>
        <v>0</v>
      </c>
      <c r="G50" s="480">
        <f t="shared" si="308"/>
        <v>0</v>
      </c>
      <c r="H50" s="480">
        <f t="shared" si="308"/>
        <v>5.2929633705408001</v>
      </c>
      <c r="I50" s="480">
        <f t="shared" si="308"/>
        <v>5.2929633705408001</v>
      </c>
      <c r="J50" s="480">
        <f t="shared" si="308"/>
        <v>5.2929633705408001</v>
      </c>
      <c r="K50" s="480">
        <f t="shared" si="308"/>
        <v>5.2929633705408001</v>
      </c>
      <c r="L50" s="480">
        <f t="shared" si="308"/>
        <v>5.2929633705408001</v>
      </c>
      <c r="M50" s="480">
        <f t="shared" si="308"/>
        <v>5.2929633705408001</v>
      </c>
      <c r="N50" s="480">
        <f t="shared" si="308"/>
        <v>5.2929633705408001</v>
      </c>
      <c r="O50" s="480">
        <f t="shared" si="308"/>
        <v>5.2929633705408001</v>
      </c>
      <c r="P50" s="480">
        <f t="shared" si="308"/>
        <v>5.2929633705408001</v>
      </c>
      <c r="Q50" s="480">
        <f t="shared" si="308"/>
        <v>5.2929633705408001</v>
      </c>
      <c r="R50" s="480">
        <f t="shared" si="308"/>
        <v>5.2929633705408001</v>
      </c>
      <c r="S50" s="480">
        <f t="shared" si="308"/>
        <v>5.2929633705408001</v>
      </c>
      <c r="T50" s="480">
        <f t="shared" si="308"/>
        <v>5.2929633705408001</v>
      </c>
      <c r="U50" s="480">
        <f t="shared" si="308"/>
        <v>5.2929633705408001</v>
      </c>
      <c r="V50" s="480">
        <f t="shared" si="308"/>
        <v>5.2929633705408001</v>
      </c>
      <c r="W50" s="480">
        <f t="shared" si="308"/>
        <v>5.2929633705408001</v>
      </c>
      <c r="X50" s="480">
        <f t="shared" si="297"/>
        <v>5.2929633705408001</v>
      </c>
      <c r="Y50" s="480">
        <f t="shared" si="298"/>
        <v>5.2929633705408001</v>
      </c>
      <c r="Z50" s="480">
        <f t="shared" si="299"/>
        <v>5.2929633705408001</v>
      </c>
      <c r="AA50" s="480">
        <f t="shared" si="300"/>
        <v>5.2929633705408001</v>
      </c>
      <c r="AB50" s="480">
        <f t="shared" si="301"/>
        <v>5.2929633705408001</v>
      </c>
      <c r="AC50" s="480">
        <f t="shared" si="302"/>
        <v>5.2929633705408001</v>
      </c>
      <c r="AD50" s="480">
        <f t="shared" si="303"/>
        <v>5.2929633705408001</v>
      </c>
      <c r="AE50" s="480">
        <f t="shared" si="304"/>
        <v>5.2929633705408001</v>
      </c>
      <c r="AF50" s="480">
        <f t="shared" si="305"/>
        <v>5.2929633705408001</v>
      </c>
      <c r="AG50" s="480">
        <f t="shared" si="306"/>
        <v>5.2929633705408001</v>
      </c>
      <c r="AH50" s="246"/>
    </row>
    <row r="51" spans="1:34" s="246" customFormat="1" x14ac:dyDescent="0.25">
      <c r="B51" s="435" t="s">
        <v>673</v>
      </c>
      <c r="C51" s="201"/>
      <c r="D51" s="480">
        <f>D39</f>
        <v>3.1094994999999996</v>
      </c>
      <c r="E51" s="480">
        <f>E39/(1.1^E$1)</f>
        <v>4.5320356681818188</v>
      </c>
      <c r="F51" s="480">
        <f t="shared" ref="F51:W51" si="309">F39/(1.1^F$1)</f>
        <v>15.926305309917355</v>
      </c>
      <c r="G51" s="480">
        <f t="shared" si="309"/>
        <v>13.661733092599542</v>
      </c>
      <c r="H51" s="480">
        <f t="shared" si="309"/>
        <v>3.3048149733624745</v>
      </c>
      <c r="I51" s="480">
        <f t="shared" si="309"/>
        <v>0</v>
      </c>
      <c r="J51" s="480">
        <f t="shared" si="309"/>
        <v>0</v>
      </c>
      <c r="K51" s="480">
        <f t="shared" si="309"/>
        <v>0</v>
      </c>
      <c r="L51" s="480">
        <f t="shared" si="309"/>
        <v>0</v>
      </c>
      <c r="M51" s="480">
        <f t="shared" si="309"/>
        <v>0</v>
      </c>
      <c r="N51" s="480">
        <f t="shared" si="309"/>
        <v>0</v>
      </c>
      <c r="O51" s="480">
        <f t="shared" si="309"/>
        <v>0</v>
      </c>
      <c r="P51" s="480">
        <f t="shared" si="309"/>
        <v>0</v>
      </c>
      <c r="Q51" s="480">
        <f t="shared" si="309"/>
        <v>0</v>
      </c>
      <c r="R51" s="480">
        <f t="shared" si="309"/>
        <v>0</v>
      </c>
      <c r="S51" s="480">
        <f t="shared" si="309"/>
        <v>0</v>
      </c>
      <c r="T51" s="480">
        <f t="shared" si="309"/>
        <v>0</v>
      </c>
      <c r="U51" s="480">
        <f t="shared" si="309"/>
        <v>0</v>
      </c>
      <c r="V51" s="480">
        <f t="shared" si="309"/>
        <v>0</v>
      </c>
      <c r="W51" s="480">
        <f t="shared" si="309"/>
        <v>0</v>
      </c>
      <c r="X51" s="480">
        <f t="shared" ref="X51:AG51" si="310">X39/(1.1^X$1)</f>
        <v>0</v>
      </c>
      <c r="Y51" s="480">
        <f t="shared" si="310"/>
        <v>0</v>
      </c>
      <c r="Z51" s="480">
        <f t="shared" si="310"/>
        <v>0</v>
      </c>
      <c r="AA51" s="480">
        <f t="shared" si="310"/>
        <v>0</v>
      </c>
      <c r="AB51" s="480">
        <f t="shared" si="310"/>
        <v>0</v>
      </c>
      <c r="AC51" s="480">
        <f t="shared" si="310"/>
        <v>0</v>
      </c>
      <c r="AD51" s="480">
        <f t="shared" si="310"/>
        <v>0</v>
      </c>
      <c r="AE51" s="480">
        <f t="shared" si="310"/>
        <v>0</v>
      </c>
      <c r="AF51" s="480">
        <f t="shared" si="310"/>
        <v>0</v>
      </c>
      <c r="AG51" s="480">
        <f t="shared" si="310"/>
        <v>0</v>
      </c>
      <c r="AH51" s="479">
        <f>-SUM(D51:AG51)</f>
        <v>-40.534388544061187</v>
      </c>
    </row>
    <row r="52" spans="1:34" s="246" customFormat="1" x14ac:dyDescent="0.25">
      <c r="B52" s="435" t="s">
        <v>675</v>
      </c>
      <c r="C52" s="201"/>
      <c r="D52" s="480">
        <f>D40</f>
        <v>2.6686330000000003</v>
      </c>
      <c r="E52" s="480">
        <f>E40/(1.1^E$1)</f>
        <v>2.5077172818181817</v>
      </c>
      <c r="F52" s="480">
        <f t="shared" ref="F52:W52" si="311">F40/(1.1^F$1)</f>
        <v>1.4227911214049582</v>
      </c>
      <c r="G52" s="480">
        <f t="shared" si="311"/>
        <v>0.66522803522389162</v>
      </c>
      <c r="H52" s="480">
        <f t="shared" si="311"/>
        <v>0.74329090729552605</v>
      </c>
      <c r="I52" s="480">
        <f t="shared" si="311"/>
        <v>0.69599057683126531</v>
      </c>
      <c r="J52" s="480">
        <f t="shared" si="311"/>
        <v>0.65170026739654829</v>
      </c>
      <c r="K52" s="480">
        <f t="shared" si="311"/>
        <v>0.61022843219858602</v>
      </c>
      <c r="L52" s="480">
        <f t="shared" si="311"/>
        <v>0.57139571378594889</v>
      </c>
      <c r="M52" s="480">
        <f t="shared" si="311"/>
        <v>0.53503416836320672</v>
      </c>
      <c r="N52" s="480">
        <f t="shared" si="311"/>
        <v>0.50098653946736615</v>
      </c>
      <c r="O52" s="480">
        <f t="shared" si="311"/>
        <v>0.46910557786489732</v>
      </c>
      <c r="P52" s="480">
        <f t="shared" si="311"/>
        <v>0.43925340472804025</v>
      </c>
      <c r="Q52" s="480">
        <f t="shared" si="311"/>
        <v>0.41130091533625585</v>
      </c>
      <c r="R52" s="480">
        <f t="shared" si="311"/>
        <v>0.38512722072394867</v>
      </c>
      <c r="S52" s="480">
        <f t="shared" si="311"/>
        <v>0.36061912485969744</v>
      </c>
      <c r="T52" s="480">
        <f t="shared" si="311"/>
        <v>0.33767063509589851</v>
      </c>
      <c r="U52" s="480">
        <f t="shared" si="311"/>
        <v>0.316182503771614</v>
      </c>
      <c r="V52" s="480">
        <f t="shared" si="311"/>
        <v>0.29606179898614765</v>
      </c>
      <c r="W52" s="480">
        <f t="shared" si="311"/>
        <v>0.27722150268702911</v>
      </c>
      <c r="X52" s="480">
        <f t="shared" ref="X52:AG52" si="312">X40/(1.1^X$1)</f>
        <v>0.25958013433421817</v>
      </c>
      <c r="Y52" s="480">
        <f t="shared" si="312"/>
        <v>0.24306139851294975</v>
      </c>
      <c r="Z52" s="480">
        <f t="shared" si="312"/>
        <v>0.22759385497121656</v>
      </c>
      <c r="AA52" s="480">
        <f t="shared" si="312"/>
        <v>0.21311060965486639</v>
      </c>
      <c r="AB52" s="480">
        <f t="shared" si="312"/>
        <v>0.19954902540410221</v>
      </c>
      <c r="AC52" s="480">
        <f t="shared" si="312"/>
        <v>0.18685045106020479</v>
      </c>
      <c r="AD52" s="480">
        <f t="shared" si="312"/>
        <v>0.17495996781091902</v>
      </c>
      <c r="AE52" s="480">
        <f t="shared" si="312"/>
        <v>0.1638261516774969</v>
      </c>
      <c r="AF52" s="480">
        <f t="shared" si="312"/>
        <v>0.15340085111620164</v>
      </c>
      <c r="AG52" s="480">
        <f t="shared" si="312"/>
        <v>0.14363897877244333</v>
      </c>
      <c r="AH52" s="479">
        <f>-SUM(D52:AG52)</f>
        <v>-16.831110151153631</v>
      </c>
    </row>
    <row r="53" spans="1:34" s="246" customFormat="1" x14ac:dyDescent="0.25">
      <c r="B53" s="435" t="s">
        <v>674</v>
      </c>
      <c r="C53" s="201"/>
      <c r="D53" s="480">
        <f>D41</f>
        <v>0</v>
      </c>
      <c r="E53" s="480">
        <f>E41/(1.1^E$1)</f>
        <v>0</v>
      </c>
      <c r="F53" s="480">
        <f t="shared" ref="F53:W53" si="313">F41/(1.1^F$1)</f>
        <v>0</v>
      </c>
      <c r="G53" s="480">
        <f t="shared" si="313"/>
        <v>0</v>
      </c>
      <c r="H53" s="480">
        <f t="shared" si="313"/>
        <v>3.6151652008338218</v>
      </c>
      <c r="I53" s="480">
        <f t="shared" si="313"/>
        <v>0</v>
      </c>
      <c r="J53" s="480">
        <f t="shared" si="313"/>
        <v>0</v>
      </c>
      <c r="K53" s="480">
        <f t="shared" si="313"/>
        <v>0</v>
      </c>
      <c r="L53" s="480">
        <f t="shared" si="313"/>
        <v>0</v>
      </c>
      <c r="M53" s="480">
        <f t="shared" si="313"/>
        <v>0</v>
      </c>
      <c r="N53" s="480">
        <f t="shared" si="313"/>
        <v>0</v>
      </c>
      <c r="O53" s="480">
        <f t="shared" si="313"/>
        <v>0</v>
      </c>
      <c r="P53" s="480">
        <f t="shared" si="313"/>
        <v>0</v>
      </c>
      <c r="Q53" s="480">
        <f t="shared" si="313"/>
        <v>0</v>
      </c>
      <c r="R53" s="480">
        <f t="shared" si="313"/>
        <v>0</v>
      </c>
      <c r="S53" s="480">
        <f t="shared" si="313"/>
        <v>0</v>
      </c>
      <c r="T53" s="480">
        <f t="shared" si="313"/>
        <v>0</v>
      </c>
      <c r="U53" s="480">
        <f t="shared" si="313"/>
        <v>0</v>
      </c>
      <c r="V53" s="480">
        <f t="shared" si="313"/>
        <v>0</v>
      </c>
      <c r="W53" s="480">
        <f t="shared" si="313"/>
        <v>0</v>
      </c>
      <c r="X53" s="480">
        <f t="shared" ref="X53:AG53" si="314">X41/(1.1^X$1)</f>
        <v>0</v>
      </c>
      <c r="Y53" s="480">
        <f t="shared" si="314"/>
        <v>0</v>
      </c>
      <c r="Z53" s="480">
        <f t="shared" si="314"/>
        <v>0</v>
      </c>
      <c r="AA53" s="480">
        <f t="shared" si="314"/>
        <v>0</v>
      </c>
      <c r="AB53" s="480">
        <f t="shared" si="314"/>
        <v>0</v>
      </c>
      <c r="AC53" s="480">
        <f t="shared" si="314"/>
        <v>0</v>
      </c>
      <c r="AD53" s="480">
        <f t="shared" si="314"/>
        <v>0</v>
      </c>
      <c r="AE53" s="480">
        <f t="shared" si="314"/>
        <v>0</v>
      </c>
      <c r="AF53" s="480">
        <f t="shared" si="314"/>
        <v>0</v>
      </c>
      <c r="AG53" s="480">
        <f t="shared" si="314"/>
        <v>0</v>
      </c>
      <c r="AH53" s="479">
        <f>SUM(D53:AG53)</f>
        <v>3.6151652008338218</v>
      </c>
    </row>
    <row r="55" spans="1:34" x14ac:dyDescent="0.25">
      <c r="A55" s="465" t="s">
        <v>600</v>
      </c>
      <c r="B55" s="464"/>
      <c r="C55" s="512"/>
      <c r="D55" s="463"/>
      <c r="E55" s="463"/>
      <c r="F55" s="463"/>
      <c r="G55" s="463"/>
      <c r="H55" s="463"/>
      <c r="I55" s="463"/>
      <c r="J55" s="463"/>
      <c r="K55" s="463"/>
      <c r="L55" s="463"/>
      <c r="M55" s="463"/>
      <c r="N55" s="463"/>
      <c r="O55" s="463"/>
      <c r="P55" s="463"/>
      <c r="Q55" s="463"/>
      <c r="R55" s="463"/>
      <c r="S55" s="463"/>
      <c r="T55" s="463"/>
      <c r="U55" s="463"/>
      <c r="V55" s="463"/>
      <c r="W55" s="463"/>
      <c r="X55" s="481"/>
      <c r="Y55" s="481"/>
      <c r="Z55" s="481"/>
      <c r="AA55" s="481"/>
      <c r="AB55" s="481"/>
      <c r="AC55" s="481"/>
      <c r="AD55" s="481"/>
      <c r="AE55" s="481"/>
      <c r="AF55" s="481"/>
      <c r="AG55" s="481"/>
      <c r="AH55" s="246"/>
    </row>
    <row r="56" spans="1:34" x14ac:dyDescent="0.25">
      <c r="A56" s="472" t="s">
        <v>594</v>
      </c>
      <c r="B56" s="470" t="s">
        <v>586</v>
      </c>
      <c r="C56" s="510">
        <v>40</v>
      </c>
      <c r="D56" s="471">
        <f>SUM('[1]Option Implementation Cost'!I$168:I$215)</f>
        <v>2.5947619999999998</v>
      </c>
      <c r="E56" s="471">
        <f>SUM('[1]Option Implementation Cost'!J$168:J$215)</f>
        <v>2.4293770000000001</v>
      </c>
      <c r="F56" s="471">
        <f>SUM('[1]Option Implementation Cost'!K$168:K$215)</f>
        <v>29.983498000000001</v>
      </c>
      <c r="G56" s="471">
        <f>SUM('[1]Option Implementation Cost'!L$168:L$215)</f>
        <v>32.743882999999997</v>
      </c>
      <c r="H56" s="471">
        <f>SUM('[1]Option Implementation Cost'!M$168:M$215)</f>
        <v>33.546107999999997</v>
      </c>
      <c r="I56" s="471">
        <f>SUM('[1]Option Implementation Cost'!N$168:N$215)</f>
        <v>0</v>
      </c>
      <c r="J56" s="471">
        <f>SUM('[1]Option Implementation Cost'!O$168:O$215)</f>
        <v>0</v>
      </c>
      <c r="K56" s="471">
        <f>SUM('[1]Option Implementation Cost'!P$168:P$215)</f>
        <v>0</v>
      </c>
      <c r="L56" s="471">
        <f>SUM('[1]Option Implementation Cost'!Q$168:Q$215)</f>
        <v>0</v>
      </c>
      <c r="M56" s="471">
        <f>SUM('[1]Option Implementation Cost'!R$168:R$215)</f>
        <v>0</v>
      </c>
      <c r="N56" s="471">
        <f>SUM('[1]Option Implementation Cost'!S$168:S$215)</f>
        <v>0</v>
      </c>
      <c r="O56" s="471">
        <f>SUM('[1]Option Implementation Cost'!T$168:T$215)</f>
        <v>0</v>
      </c>
      <c r="P56" s="471">
        <f>SUM('[1]Option Implementation Cost'!U$168:U$215)</f>
        <v>0</v>
      </c>
      <c r="Q56" s="471">
        <f>SUM('[1]Option Implementation Cost'!V$168:V$215)</f>
        <v>0</v>
      </c>
      <c r="R56" s="471">
        <f>SUM('[1]Option Implementation Cost'!W$168:W$215)</f>
        <v>0</v>
      </c>
      <c r="S56" s="471">
        <f>SUM('[1]Option Implementation Cost'!X$168:X$215)</f>
        <v>0</v>
      </c>
      <c r="T56" s="471">
        <f>SUM('[1]Option Implementation Cost'!Y$168:Y$215)</f>
        <v>0</v>
      </c>
      <c r="U56" s="471">
        <f>SUM('[1]Option Implementation Cost'!Z$168:Z$215)</f>
        <v>0</v>
      </c>
      <c r="V56" s="471">
        <f>SUM('[1]Option Implementation Cost'!AA$168:AA$215)</f>
        <v>0</v>
      </c>
      <c r="W56" s="467">
        <f>SUM('[1]Option Implementation Cost'!AB$168:AB$215)</f>
        <v>0</v>
      </c>
      <c r="X56" s="683">
        <v>0</v>
      </c>
      <c r="Y56" s="679">
        <v>0</v>
      </c>
      <c r="Z56" s="679">
        <v>0</v>
      </c>
      <c r="AA56" s="679">
        <v>0</v>
      </c>
      <c r="AB56" s="679">
        <v>0</v>
      </c>
      <c r="AC56" s="679">
        <v>0</v>
      </c>
      <c r="AD56" s="679">
        <v>0</v>
      </c>
      <c r="AE56" s="679">
        <v>0</v>
      </c>
      <c r="AF56" s="679">
        <v>0</v>
      </c>
      <c r="AG56" s="684">
        <v>0</v>
      </c>
      <c r="AH56" s="479">
        <f>SUM(D56:AG56)</f>
        <v>101.297628</v>
      </c>
    </row>
    <row r="57" spans="1:34" x14ac:dyDescent="0.25">
      <c r="A57" s="473">
        <f>$A$3-'[1]Preferred Option'!$H$9</f>
        <v>-9</v>
      </c>
      <c r="B57" s="470" t="s">
        <v>585</v>
      </c>
      <c r="C57" s="510"/>
      <c r="D57" s="471">
        <f>SUM('[1]Option Lifecycle Cost'!G$168:G$215)</f>
        <v>2.4526080000000001</v>
      </c>
      <c r="E57" s="471">
        <f>SUM('[1]Option Lifecycle Cost'!H$168:H$215)</f>
        <v>2.5295025099999999</v>
      </c>
      <c r="F57" s="471">
        <f>SUM('[1]Option Lifecycle Cost'!I$168:I$215)</f>
        <v>2.2501487429</v>
      </c>
      <c r="G57" s="471">
        <f>SUM('[1]Option Lifecycle Cost'!J$168:J$215)</f>
        <v>2.7911094133835008</v>
      </c>
      <c r="H57" s="471">
        <f>SUM('[1]Option Lifecycle Cost'!K$168:K$215)</f>
        <v>1.5754849812203799</v>
      </c>
      <c r="I57" s="471">
        <f>SUM('[1]Option Lifecycle Cost'!L$168:L$215)</f>
        <v>1.2218969005196119</v>
      </c>
      <c r="J57" s="471">
        <f>SUM('[1]Option Lifecycle Cost'!M$168:M$215)</f>
        <v>1.2585538075352001</v>
      </c>
      <c r="K57" s="471">
        <f>SUM('[1]Option Lifecycle Cost'!N$168:N$215)</f>
        <v>1.2963104217612562</v>
      </c>
      <c r="L57" s="471">
        <f>SUM('[1]Option Lifecycle Cost'!O$168:O$215)</f>
        <v>1.335199734414094</v>
      </c>
      <c r="M57" s="471">
        <f>SUM('[1]Option Lifecycle Cost'!P$168:P$215)</f>
        <v>1.3752557264465168</v>
      </c>
      <c r="N57" s="471">
        <f>SUM('[1]Option Lifecycle Cost'!Q$168:Q$215)</f>
        <v>1.4165133982399123</v>
      </c>
      <c r="O57" s="471">
        <f>SUM('[1]Option Lifecycle Cost'!R$168:R$215)</f>
        <v>1.4590088001871098</v>
      </c>
      <c r="P57" s="471">
        <f>SUM('[1]Option Lifecycle Cost'!S$168:S$215)</f>
        <v>1.502779064192723</v>
      </c>
      <c r="Q57" s="471">
        <f>SUM('[1]Option Lifecycle Cost'!T$168:T$215)</f>
        <v>1.5478624361185047</v>
      </c>
      <c r="R57" s="471">
        <f>SUM('[1]Option Lifecycle Cost'!U$168:U$215)</f>
        <v>1.5942983092020602</v>
      </c>
      <c r="S57" s="471">
        <f>SUM('[1]Option Lifecycle Cost'!V$168:V$215)</f>
        <v>1.6421272584781219</v>
      </c>
      <c r="T57" s="471">
        <f>SUM('[1]Option Lifecycle Cost'!W$168:W$215)</f>
        <v>1.6913910762324655</v>
      </c>
      <c r="U57" s="471">
        <f>SUM('[1]Option Lifecycle Cost'!X$168:X$215)</f>
        <v>1.7421328085194394</v>
      </c>
      <c r="V57" s="471">
        <f>SUM('[1]Option Lifecycle Cost'!Y$168:Y$215)</f>
        <v>1.7943967927750228</v>
      </c>
      <c r="W57" s="467">
        <f>SUM('[1]Option Lifecycle Cost'!Z$168:Z$215)</f>
        <v>1.8482286965582735</v>
      </c>
      <c r="X57" s="683">
        <f>W57*1.03</f>
        <v>1.9036755574550217</v>
      </c>
      <c r="Y57" s="679">
        <f t="shared" ref="Y57:AG57" si="315">X57*1.03</f>
        <v>1.9607858241786724</v>
      </c>
      <c r="Z57" s="679">
        <f t="shared" si="315"/>
        <v>2.0196093989040325</v>
      </c>
      <c r="AA57" s="679">
        <f t="shared" si="315"/>
        <v>2.0801976808711533</v>
      </c>
      <c r="AB57" s="679">
        <f t="shared" si="315"/>
        <v>2.1426036112972882</v>
      </c>
      <c r="AC57" s="679">
        <f t="shared" si="315"/>
        <v>2.2068817196362067</v>
      </c>
      <c r="AD57" s="679">
        <f t="shared" si="315"/>
        <v>2.2730881712252931</v>
      </c>
      <c r="AE57" s="679">
        <f t="shared" si="315"/>
        <v>2.341280816362052</v>
      </c>
      <c r="AF57" s="679">
        <f t="shared" si="315"/>
        <v>2.4115192408529138</v>
      </c>
      <c r="AG57" s="684">
        <f t="shared" si="315"/>
        <v>2.4838648180785015</v>
      </c>
      <c r="AH57" s="479">
        <f>SUM(D57:AG57)</f>
        <v>56.148315717545323</v>
      </c>
    </row>
    <row r="58" spans="1:34" x14ac:dyDescent="0.25">
      <c r="A58" s="246"/>
      <c r="B58" s="469" t="s">
        <v>587</v>
      </c>
      <c r="C58" s="511"/>
      <c r="D58" s="468">
        <f>SUM('[1]Option Lifecycle Benefits'!J$168:J$215)</f>
        <v>0</v>
      </c>
      <c r="E58" s="468">
        <f>SUM('[1]Option Lifecycle Benefits'!K$168:K$215)</f>
        <v>0</v>
      </c>
      <c r="F58" s="468">
        <f>SUM('[1]Option Lifecycle Benefits'!L$168:L$215)</f>
        <v>0</v>
      </c>
      <c r="G58" s="468">
        <f>SUM('[1]Option Lifecycle Benefits'!M$168:M$215)</f>
        <v>0</v>
      </c>
      <c r="H58" s="468">
        <f>SUM('[1]Option Lifecycle Benefits'!N$168:N$215)</f>
        <v>0</v>
      </c>
      <c r="I58" s="468">
        <f>SUM('[1]Option Lifecycle Benefits'!O$168:O$215)</f>
        <v>0</v>
      </c>
      <c r="J58" s="468">
        <f>SUM('[1]Option Lifecycle Benefits'!P$168:P$215)</f>
        <v>0</v>
      </c>
      <c r="K58" s="468">
        <f>SUM('[1]Option Lifecycle Benefits'!Q$168:Q$215)</f>
        <v>0</v>
      </c>
      <c r="L58" s="468">
        <f>SUM('[1]Option Lifecycle Benefits'!R$168:R$215)</f>
        <v>42.564688688205024</v>
      </c>
      <c r="M58" s="468">
        <f>SUM('[1]Option Lifecycle Benefits'!S$168:S$215)</f>
        <v>0</v>
      </c>
      <c r="N58" s="468">
        <f>SUM('[1]Option Lifecycle Benefits'!T$168:T$215)</f>
        <v>0</v>
      </c>
      <c r="O58" s="468">
        <f>SUM('[1]Option Lifecycle Benefits'!U$168:U$215)</f>
        <v>0</v>
      </c>
      <c r="P58" s="468">
        <f>SUM('[1]Option Lifecycle Benefits'!V$168:V$215)</f>
        <v>0</v>
      </c>
      <c r="Q58" s="468">
        <f>SUM('[1]Option Lifecycle Benefits'!W$168:W$215)</f>
        <v>0</v>
      </c>
      <c r="R58" s="468">
        <f>SUM('[1]Option Lifecycle Benefits'!X$168:X$215)</f>
        <v>0</v>
      </c>
      <c r="S58" s="468">
        <f>SUM('[1]Option Lifecycle Benefits'!Y$168:Y$215)</f>
        <v>0</v>
      </c>
      <c r="T58" s="468">
        <f>SUM('[1]Option Lifecycle Benefits'!Z$168:Z$215)</f>
        <v>0</v>
      </c>
      <c r="U58" s="468">
        <f>SUM('[1]Option Lifecycle Benefits'!AA$168:AA$215)</f>
        <v>0</v>
      </c>
      <c r="V58" s="468">
        <f>SUM('[1]Option Lifecycle Benefits'!AB$168:AB$215)</f>
        <v>0</v>
      </c>
      <c r="W58" s="466">
        <f>SUM('[1]Option Lifecycle Benefits'!AC$168:AC$215)</f>
        <v>0</v>
      </c>
      <c r="X58" s="685">
        <v>0</v>
      </c>
      <c r="Y58" s="686">
        <v>0</v>
      </c>
      <c r="Z58" s="686">
        <v>0</v>
      </c>
      <c r="AA58" s="686">
        <v>0</v>
      </c>
      <c r="AB58" s="686">
        <v>0</v>
      </c>
      <c r="AC58" s="686">
        <v>0</v>
      </c>
      <c r="AD58" s="686">
        <v>0</v>
      </c>
      <c r="AE58" s="686">
        <v>0</v>
      </c>
      <c r="AF58" s="686">
        <v>0</v>
      </c>
      <c r="AG58" s="687">
        <f>AH59</f>
        <v>32.694718349999995</v>
      </c>
      <c r="AH58" s="479">
        <f>SUM(D58:AG58)</f>
        <v>75.259407038205012</v>
      </c>
    </row>
    <row r="59" spans="1:34" s="246" customFormat="1" x14ac:dyDescent="0.25">
      <c r="B59" s="435" t="s">
        <v>676</v>
      </c>
      <c r="C59" s="510"/>
      <c r="D59" s="471">
        <f>IF(D56-((D56/$C56)*($C$1-D$1))&gt;0,D56-((D56/$C56)*($C$1-D$1)),0)</f>
        <v>0.64869049999999984</v>
      </c>
      <c r="E59" s="471">
        <f t="shared" ref="E59:W59" si="316">IF(E56-((E56/$C56)*($C$1-E$1))&gt;0,E56-((E56/$C56)*($C$1-E$1)),0)</f>
        <v>0.66807867500000007</v>
      </c>
      <c r="F59" s="471">
        <f t="shared" si="316"/>
        <v>8.9950493999999992</v>
      </c>
      <c r="G59" s="471">
        <f t="shared" si="316"/>
        <v>10.641761974999998</v>
      </c>
      <c r="H59" s="471">
        <f t="shared" si="316"/>
        <v>11.741137799999997</v>
      </c>
      <c r="I59" s="471">
        <f t="shared" si="316"/>
        <v>0</v>
      </c>
      <c r="J59" s="471">
        <f t="shared" si="316"/>
        <v>0</v>
      </c>
      <c r="K59" s="471">
        <f t="shared" si="316"/>
        <v>0</v>
      </c>
      <c r="L59" s="471">
        <f t="shared" si="316"/>
        <v>0</v>
      </c>
      <c r="M59" s="471">
        <f t="shared" si="316"/>
        <v>0</v>
      </c>
      <c r="N59" s="471">
        <f t="shared" si="316"/>
        <v>0</v>
      </c>
      <c r="O59" s="471">
        <f t="shared" si="316"/>
        <v>0</v>
      </c>
      <c r="P59" s="471">
        <f t="shared" si="316"/>
        <v>0</v>
      </c>
      <c r="Q59" s="471">
        <f t="shared" si="316"/>
        <v>0</v>
      </c>
      <c r="R59" s="471">
        <f t="shared" si="316"/>
        <v>0</v>
      </c>
      <c r="S59" s="471">
        <f t="shared" si="316"/>
        <v>0</v>
      </c>
      <c r="T59" s="471">
        <f t="shared" si="316"/>
        <v>0</v>
      </c>
      <c r="U59" s="471">
        <f t="shared" si="316"/>
        <v>0</v>
      </c>
      <c r="V59" s="471">
        <f t="shared" si="316"/>
        <v>0</v>
      </c>
      <c r="W59" s="471">
        <f t="shared" si="316"/>
        <v>0</v>
      </c>
      <c r="X59" s="679">
        <f t="shared" ref="X59:AG59" si="317">IF(X56-((X56/$C56)*($C$1-X$1))&gt;0,X56-((X56/$C56)*($C$1-X$1)),0)</f>
        <v>0</v>
      </c>
      <c r="Y59" s="679">
        <f t="shared" si="317"/>
        <v>0</v>
      </c>
      <c r="Z59" s="679">
        <f t="shared" si="317"/>
        <v>0</v>
      </c>
      <c r="AA59" s="679">
        <f t="shared" si="317"/>
        <v>0</v>
      </c>
      <c r="AB59" s="679">
        <f t="shared" si="317"/>
        <v>0</v>
      </c>
      <c r="AC59" s="679">
        <f t="shared" si="317"/>
        <v>0</v>
      </c>
      <c r="AD59" s="679">
        <f t="shared" si="317"/>
        <v>0</v>
      </c>
      <c r="AE59" s="679">
        <f t="shared" si="317"/>
        <v>0</v>
      </c>
      <c r="AF59" s="679">
        <f t="shared" si="317"/>
        <v>0</v>
      </c>
      <c r="AG59" s="679">
        <f t="shared" si="317"/>
        <v>0</v>
      </c>
      <c r="AH59" s="548">
        <f>SUM(D59:AG59)</f>
        <v>32.694718349999995</v>
      </c>
    </row>
    <row r="60" spans="1:34" x14ac:dyDescent="0.25">
      <c r="A60" s="246"/>
      <c r="B60" s="435" t="s">
        <v>588</v>
      </c>
      <c r="D60" s="479">
        <f>D58-SUM(D56:D57)</f>
        <v>-5.0473699999999999</v>
      </c>
      <c r="E60" s="479">
        <f t="shared" ref="E60" si="318">E58-SUM(E56:E57)</f>
        <v>-4.95887951</v>
      </c>
      <c r="F60" s="479">
        <f t="shared" ref="F60" si="319">F58-SUM(F56:F57)</f>
        <v>-32.2336467429</v>
      </c>
      <c r="G60" s="479">
        <f t="shared" ref="G60" si="320">G58-SUM(G56:G57)</f>
        <v>-35.534992413383499</v>
      </c>
      <c r="H60" s="479">
        <f t="shared" ref="H60" si="321">H58-SUM(H56:H57)</f>
        <v>-35.121592981220374</v>
      </c>
      <c r="I60" s="479">
        <f t="shared" ref="I60" si="322">I58-SUM(I56:I57)</f>
        <v>-1.2218969005196119</v>
      </c>
      <c r="J60" s="479">
        <f t="shared" ref="J60" si="323">J58-SUM(J56:J57)</f>
        <v>-1.2585538075352001</v>
      </c>
      <c r="K60" s="479">
        <f t="shared" ref="K60" si="324">K58-SUM(K56:K57)</f>
        <v>-1.2963104217612562</v>
      </c>
      <c r="L60" s="479">
        <f t="shared" ref="L60" si="325">L58-SUM(L56:L57)</f>
        <v>41.229488953790927</v>
      </c>
      <c r="M60" s="479">
        <f t="shared" ref="M60" si="326">M58-SUM(M56:M57)</f>
        <v>-1.3752557264465168</v>
      </c>
      <c r="N60" s="479">
        <f t="shared" ref="N60" si="327">N58-SUM(N56:N57)</f>
        <v>-1.4165133982399123</v>
      </c>
      <c r="O60" s="479">
        <f t="shared" ref="O60" si="328">O58-SUM(O56:O57)</f>
        <v>-1.4590088001871098</v>
      </c>
      <c r="P60" s="479">
        <f t="shared" ref="P60" si="329">P58-SUM(P56:P57)</f>
        <v>-1.502779064192723</v>
      </c>
      <c r="Q60" s="479">
        <f t="shared" ref="Q60" si="330">Q58-SUM(Q56:Q57)</f>
        <v>-1.5478624361185047</v>
      </c>
      <c r="R60" s="479">
        <f t="shared" ref="R60" si="331">R58-SUM(R56:R57)</f>
        <v>-1.5942983092020602</v>
      </c>
      <c r="S60" s="479">
        <f t="shared" ref="S60" si="332">S58-SUM(S56:S57)</f>
        <v>-1.6421272584781219</v>
      </c>
      <c r="T60" s="479">
        <f t="shared" ref="T60" si="333">T58-SUM(T56:T57)</f>
        <v>-1.6913910762324655</v>
      </c>
      <c r="U60" s="479">
        <f t="shared" ref="U60" si="334">U58-SUM(U56:U57)</f>
        <v>-1.7421328085194394</v>
      </c>
      <c r="V60" s="479">
        <f t="shared" ref="V60" si="335">V58-SUM(V56:V57)</f>
        <v>-1.7943967927750228</v>
      </c>
      <c r="W60" s="479">
        <f t="shared" ref="W60:AG60" si="336">W58-SUM(W56:W57)</f>
        <v>-1.8482286965582735</v>
      </c>
      <c r="X60" s="479">
        <f t="shared" si="336"/>
        <v>-1.9036755574550217</v>
      </c>
      <c r="Y60" s="479">
        <f t="shared" si="336"/>
        <v>-1.9607858241786724</v>
      </c>
      <c r="Z60" s="479">
        <f t="shared" ref="Z60:AG60" si="337">Z58-SUM(Z56:Z57)</f>
        <v>-2.0196093989040325</v>
      </c>
      <c r="AA60" s="479">
        <f t="shared" si="336"/>
        <v>-2.0801976808711533</v>
      </c>
      <c r="AB60" s="479">
        <f t="shared" si="336"/>
        <v>-2.1426036112972882</v>
      </c>
      <c r="AC60" s="479">
        <f t="shared" ref="AC60:AG60" si="338">AC58-SUM(AC56:AC57)</f>
        <v>-2.2068817196362067</v>
      </c>
      <c r="AD60" s="479">
        <f t="shared" si="336"/>
        <v>-2.2730881712252931</v>
      </c>
      <c r="AE60" s="479">
        <f t="shared" si="336"/>
        <v>-2.341280816362052</v>
      </c>
      <c r="AF60" s="479">
        <f t="shared" ref="AF60:AG60" si="339">AF58-SUM(AF56:AF57)</f>
        <v>-2.4115192408529138</v>
      </c>
      <c r="AG60" s="479">
        <f t="shared" si="336"/>
        <v>30.210853531921494</v>
      </c>
      <c r="AH60" s="479">
        <f t="shared" ref="AH60" si="340">SUM(AH56:AH57)-AH58</f>
        <v>82.186536679340321</v>
      </c>
    </row>
    <row r="61" spans="1:34" x14ac:dyDescent="0.25">
      <c r="A61" s="246"/>
      <c r="B61" s="435" t="s">
        <v>592</v>
      </c>
      <c r="D61" s="480">
        <f>D60</f>
        <v>-5.0473699999999999</v>
      </c>
      <c r="E61" s="480">
        <f>E60+D61</f>
        <v>-10.00624951</v>
      </c>
      <c r="F61" s="480">
        <f t="shared" ref="F61" si="341">F60+E61</f>
        <v>-42.239896252899996</v>
      </c>
      <c r="G61" s="480">
        <f t="shared" ref="G61" si="342">G60+F61</f>
        <v>-77.774888666283488</v>
      </c>
      <c r="H61" s="480">
        <f t="shared" ref="H61" si="343">H60+G61</f>
        <v>-112.89648164750386</v>
      </c>
      <c r="I61" s="480">
        <f t="shared" ref="I61" si="344">I60+H61</f>
        <v>-114.11837854802347</v>
      </c>
      <c r="J61" s="480">
        <f t="shared" ref="J61" si="345">J60+I61</f>
        <v>-115.37693235555867</v>
      </c>
      <c r="K61" s="480">
        <f t="shared" ref="K61" si="346">K60+J61</f>
        <v>-116.67324277731993</v>
      </c>
      <c r="L61" s="480">
        <f t="shared" ref="L61" si="347">L60+K61</f>
        <v>-75.443753823528994</v>
      </c>
      <c r="M61" s="480">
        <f t="shared" ref="M61" si="348">M60+L61</f>
        <v>-76.819009549975505</v>
      </c>
      <c r="N61" s="480">
        <f t="shared" ref="N61" si="349">N60+M61</f>
        <v>-78.235522948215419</v>
      </c>
      <c r="O61" s="480">
        <f t="shared" ref="O61" si="350">O60+N61</f>
        <v>-79.694531748402525</v>
      </c>
      <c r="P61" s="480">
        <f t="shared" ref="P61" si="351">P60+O61</f>
        <v>-81.197310812595248</v>
      </c>
      <c r="Q61" s="480">
        <f t="shared" ref="Q61" si="352">Q60+P61</f>
        <v>-82.745173248713755</v>
      </c>
      <c r="R61" s="480">
        <f t="shared" ref="R61" si="353">R60+Q61</f>
        <v>-84.339471557915815</v>
      </c>
      <c r="S61" s="480">
        <f t="shared" ref="S61" si="354">S60+R61</f>
        <v>-85.981598816393941</v>
      </c>
      <c r="T61" s="480">
        <f t="shared" ref="T61" si="355">T60+S61</f>
        <v>-87.672989892626404</v>
      </c>
      <c r="U61" s="480">
        <f t="shared" ref="U61" si="356">U60+T61</f>
        <v>-89.415122701145847</v>
      </c>
      <c r="V61" s="480">
        <f t="shared" ref="V61" si="357">V60+U61</f>
        <v>-91.209519493920865</v>
      </c>
      <c r="W61" s="480">
        <f t="shared" ref="W61" si="358">W60+V61</f>
        <v>-93.057748190479145</v>
      </c>
      <c r="X61" s="480">
        <f t="shared" ref="X61" si="359">X60+W61</f>
        <v>-94.961423747934163</v>
      </c>
      <c r="Y61" s="480">
        <f t="shared" ref="Y61" si="360">Y60+X61</f>
        <v>-96.922209572112834</v>
      </c>
      <c r="Z61" s="480">
        <f t="shared" ref="Z61" si="361">Z60+Y61</f>
        <v>-98.941818971016872</v>
      </c>
      <c r="AA61" s="480">
        <f t="shared" ref="AA61" si="362">AA60+Z61</f>
        <v>-101.02201665188802</v>
      </c>
      <c r="AB61" s="480">
        <f t="shared" ref="AB61" si="363">AB60+AA61</f>
        <v>-103.16462026318531</v>
      </c>
      <c r="AC61" s="480">
        <f t="shared" ref="AC61" si="364">AC60+AB61</f>
        <v>-105.37150198282151</v>
      </c>
      <c r="AD61" s="480">
        <f t="shared" ref="AD61" si="365">AD60+AC61</f>
        <v>-107.64459015404681</v>
      </c>
      <c r="AE61" s="480">
        <f t="shared" ref="AE61" si="366">AE60+AD61</f>
        <v>-109.98587097040887</v>
      </c>
      <c r="AF61" s="480">
        <f t="shared" ref="AF61" si="367">AF60+AE61</f>
        <v>-112.39739021126178</v>
      </c>
      <c r="AG61" s="480">
        <f t="shared" ref="AG61" si="368">AG60+AF61</f>
        <v>-82.186536679340293</v>
      </c>
      <c r="AH61" s="246"/>
    </row>
    <row r="62" spans="1:34" x14ac:dyDescent="0.25">
      <c r="A62" s="246"/>
      <c r="B62" s="435" t="s">
        <v>591</v>
      </c>
      <c r="D62" s="478">
        <f t="shared" ref="D62:W62" si="369">D60*D$2</f>
        <v>-5.0473699999999999</v>
      </c>
      <c r="E62" s="478">
        <f t="shared" si="369"/>
        <v>-4.5195766587677726</v>
      </c>
      <c r="F62" s="478">
        <f t="shared" si="369"/>
        <v>-26.775515702133919</v>
      </c>
      <c r="G62" s="478">
        <f t="shared" si="369"/>
        <v>-26.902883456049672</v>
      </c>
      <c r="H62" s="478">
        <f t="shared" si="369"/>
        <v>-24.234329580736812</v>
      </c>
      <c r="I62" s="478">
        <f t="shared" si="369"/>
        <v>-0.76843222384551491</v>
      </c>
      <c r="J62" s="478">
        <f t="shared" si="369"/>
        <v>-0.72136820138614666</v>
      </c>
      <c r="K62" s="478">
        <f t="shared" si="369"/>
        <v>-0.67718670017110028</v>
      </c>
      <c r="L62" s="478">
        <f t="shared" si="369"/>
        <v>19.630056979974214</v>
      </c>
      <c r="M62" s="478">
        <f t="shared" si="369"/>
        <v>-0.59677589338160908</v>
      </c>
      <c r="N62" s="478">
        <f t="shared" si="369"/>
        <v>-0.56022527359009966</v>
      </c>
      <c r="O62" s="478">
        <f t="shared" si="369"/>
        <v>-0.52591326266660843</v>
      </c>
      <c r="P62" s="478">
        <f t="shared" si="369"/>
        <v>-0.49370275295899263</v>
      </c>
      <c r="Q62" s="478">
        <f t="shared" si="369"/>
        <v>-0.46346503422143859</v>
      </c>
      <c r="R62" s="478">
        <f t="shared" si="369"/>
        <v>-0.43507927930011103</v>
      </c>
      <c r="S62" s="478">
        <f t="shared" si="369"/>
        <v>-0.4084320613189158</v>
      </c>
      <c r="T62" s="478">
        <f t="shared" si="369"/>
        <v>-0.38341690043609483</v>
      </c>
      <c r="U62" s="478">
        <f t="shared" si="369"/>
        <v>-0.35993383836053378</v>
      </c>
      <c r="V62" s="478">
        <f t="shared" si="369"/>
        <v>-0.33788903892758831</v>
      </c>
      <c r="W62" s="478">
        <f t="shared" si="369"/>
        <v>-0.31719441313836666</v>
      </c>
      <c r="X62" s="478">
        <f t="shared" ref="X62:AG62" si="370">X60*X$2</f>
        <v>-0.29776726716416124</v>
      </c>
      <c r="Y62" s="478">
        <f t="shared" si="370"/>
        <v>-0.2795299719094842</v>
      </c>
      <c r="Z62" s="478">
        <f t="shared" si="370"/>
        <v>-0.26240965281331458</v>
      </c>
      <c r="AA62" s="478">
        <f t="shared" si="370"/>
        <v>-0.24633789864902847</v>
      </c>
      <c r="AB62" s="478">
        <f t="shared" si="370"/>
        <v>-0.23125048815940519</v>
      </c>
      <c r="AC62" s="478">
        <f t="shared" si="370"/>
        <v>-0.21708713343436686</v>
      </c>
      <c r="AD62" s="478">
        <f t="shared" si="370"/>
        <v>-0.20379123900601342</v>
      </c>
      <c r="AE62" s="478">
        <f t="shared" si="370"/>
        <v>-0.19130967569831739</v>
      </c>
      <c r="AF62" s="478">
        <f t="shared" si="370"/>
        <v>-0.17959256832780432</v>
      </c>
      <c r="AG62" s="478">
        <f t="shared" si="370"/>
        <v>2.0505710717307917</v>
      </c>
      <c r="AH62" s="246"/>
    </row>
    <row r="63" spans="1:34" x14ac:dyDescent="0.25">
      <c r="A63" s="246"/>
      <c r="B63" s="435" t="s">
        <v>593</v>
      </c>
      <c r="D63" s="480">
        <f>D62</f>
        <v>-5.0473699999999999</v>
      </c>
      <c r="E63" s="480">
        <f>D63+E62</f>
        <v>-9.5669466587677725</v>
      </c>
      <c r="F63" s="480">
        <f t="shared" ref="F63" si="371">E63+F62</f>
        <v>-36.342462360901692</v>
      </c>
      <c r="G63" s="480">
        <f t="shared" ref="G63" si="372">F63+G62</f>
        <v>-63.245345816951364</v>
      </c>
      <c r="H63" s="480">
        <f t="shared" ref="H63" si="373">G63+H62</f>
        <v>-87.479675397688169</v>
      </c>
      <c r="I63" s="480">
        <f t="shared" ref="I63" si="374">H63+I62</f>
        <v>-88.248107621533677</v>
      </c>
      <c r="J63" s="480">
        <f t="shared" ref="J63" si="375">I63+J62</f>
        <v>-88.969475822919819</v>
      </c>
      <c r="K63" s="480">
        <f t="shared" ref="K63" si="376">J63+K62</f>
        <v>-89.646662523090924</v>
      </c>
      <c r="L63" s="480">
        <f t="shared" ref="L63" si="377">K63+L62</f>
        <v>-70.016605543116711</v>
      </c>
      <c r="M63" s="480">
        <f>L63+M62</f>
        <v>-70.613381436498315</v>
      </c>
      <c r="N63" s="480">
        <f t="shared" ref="N63" si="378">M63+N62</f>
        <v>-71.173606710088421</v>
      </c>
      <c r="O63" s="480">
        <f t="shared" ref="O63" si="379">N63+O62</f>
        <v>-71.699519972755027</v>
      </c>
      <c r="P63" s="480">
        <f t="shared" ref="P63" si="380">O63+P62</f>
        <v>-72.193222725714023</v>
      </c>
      <c r="Q63" s="480">
        <f t="shared" ref="Q63" si="381">P63+Q62</f>
        <v>-72.656687759935465</v>
      </c>
      <c r="R63" s="480">
        <f t="shared" ref="R63" si="382">Q63+R62</f>
        <v>-73.091767039235577</v>
      </c>
      <c r="S63" s="480">
        <f t="shared" ref="S63" si="383">R63+S62</f>
        <v>-73.500199100554497</v>
      </c>
      <c r="T63" s="480">
        <f t="shared" ref="T63" si="384">S63+T62</f>
        <v>-73.883616000990585</v>
      </c>
      <c r="U63" s="480">
        <f t="shared" ref="U63" si="385">T63+U62</f>
        <v>-74.243549839351118</v>
      </c>
      <c r="V63" s="480">
        <f t="shared" ref="V63" si="386">U63+V62</f>
        <v>-74.581438878278703</v>
      </c>
      <c r="W63" s="480">
        <f t="shared" ref="W63" si="387">V63+W62</f>
        <v>-74.89863329141707</v>
      </c>
      <c r="X63" s="480">
        <f t="shared" ref="X63" si="388">W63+X62</f>
        <v>-75.196400558581232</v>
      </c>
      <c r="Y63" s="480">
        <f t="shared" ref="Y63" si="389">X63+Y62</f>
        <v>-75.475930530490714</v>
      </c>
      <c r="Z63" s="480">
        <f t="shared" ref="Z63" si="390">Y63+Z62</f>
        <v>-75.738340183304032</v>
      </c>
      <c r="AA63" s="480">
        <f t="shared" ref="AA63" si="391">Z63+AA62</f>
        <v>-75.984678081953064</v>
      </c>
      <c r="AB63" s="480">
        <f t="shared" ref="AB63" si="392">AA63+AB62</f>
        <v>-76.215928570112467</v>
      </c>
      <c r="AC63" s="480">
        <f t="shared" ref="AC63" si="393">AB63+AC62</f>
        <v>-76.433015703546829</v>
      </c>
      <c r="AD63" s="480">
        <f t="shared" ref="AD63" si="394">AC63+AD62</f>
        <v>-76.636806942552838</v>
      </c>
      <c r="AE63" s="480">
        <f t="shared" ref="AE63" si="395">AD63+AE62</f>
        <v>-76.828116618251158</v>
      </c>
      <c r="AF63" s="480">
        <f t="shared" ref="AF63" si="396">AE63+AF62</f>
        <v>-77.007709186578964</v>
      </c>
      <c r="AG63" s="480">
        <f t="shared" ref="AG63" si="397">AF63+AG62</f>
        <v>-74.957138114848178</v>
      </c>
      <c r="AH63" s="246"/>
    </row>
    <row r="64" spans="1:34" x14ac:dyDescent="0.25">
      <c r="A64" s="246"/>
      <c r="B64" s="435" t="s">
        <v>604</v>
      </c>
      <c r="D64" s="480">
        <f>SUM(D56:D57)-D58</f>
        <v>5.0473699999999999</v>
      </c>
      <c r="E64" s="480">
        <f>(SUM(E56:E57)-E58)+D64</f>
        <v>10.00624951</v>
      </c>
      <c r="F64" s="480">
        <f t="shared" ref="F64:W64" si="398">(SUM(F56:F57)-F58)+E64</f>
        <v>42.239896252899996</v>
      </c>
      <c r="G64" s="480">
        <f t="shared" si="398"/>
        <v>77.774888666283488</v>
      </c>
      <c r="H64" s="480">
        <f t="shared" si="398"/>
        <v>112.89648164750386</v>
      </c>
      <c r="I64" s="480">
        <f t="shared" si="398"/>
        <v>114.11837854802347</v>
      </c>
      <c r="J64" s="480">
        <f t="shared" si="398"/>
        <v>115.37693235555867</v>
      </c>
      <c r="K64" s="480">
        <f t="shared" si="398"/>
        <v>116.67324277731993</v>
      </c>
      <c r="L64" s="480">
        <f t="shared" si="398"/>
        <v>75.443753823528994</v>
      </c>
      <c r="M64" s="480">
        <f t="shared" si="398"/>
        <v>76.819009549975505</v>
      </c>
      <c r="N64" s="480">
        <f t="shared" si="398"/>
        <v>78.235522948215419</v>
      </c>
      <c r="O64" s="480">
        <f t="shared" si="398"/>
        <v>79.694531748402525</v>
      </c>
      <c r="P64" s="480">
        <f t="shared" si="398"/>
        <v>81.197310812595248</v>
      </c>
      <c r="Q64" s="480">
        <f t="shared" si="398"/>
        <v>82.745173248713755</v>
      </c>
      <c r="R64" s="480">
        <f t="shared" si="398"/>
        <v>84.339471557915815</v>
      </c>
      <c r="S64" s="480">
        <f t="shared" si="398"/>
        <v>85.981598816393941</v>
      </c>
      <c r="T64" s="480">
        <f t="shared" si="398"/>
        <v>87.672989892626404</v>
      </c>
      <c r="U64" s="480">
        <f t="shared" si="398"/>
        <v>89.415122701145847</v>
      </c>
      <c r="V64" s="480">
        <f t="shared" si="398"/>
        <v>91.209519493920865</v>
      </c>
      <c r="W64" s="480">
        <f t="shared" si="398"/>
        <v>93.057748190479145</v>
      </c>
      <c r="X64" s="480">
        <f t="shared" ref="X64" si="399">(SUM(X56:X57)-X58)+W64</f>
        <v>94.961423747934163</v>
      </c>
      <c r="Y64" s="480">
        <f t="shared" ref="Y64" si="400">(SUM(Y56:Y57)-Y58)+X64</f>
        <v>96.922209572112834</v>
      </c>
      <c r="Z64" s="480">
        <f t="shared" ref="Z64" si="401">(SUM(Z56:Z57)-Z58)+Y64</f>
        <v>98.941818971016872</v>
      </c>
      <c r="AA64" s="480">
        <f t="shared" ref="AA64" si="402">(SUM(AA56:AA57)-AA58)+Z64</f>
        <v>101.02201665188802</v>
      </c>
      <c r="AB64" s="480">
        <f t="shared" ref="AB64" si="403">(SUM(AB56:AB57)-AB58)+AA64</f>
        <v>103.16462026318531</v>
      </c>
      <c r="AC64" s="480">
        <f t="shared" ref="AC64" si="404">(SUM(AC56:AC57)-AC58)+AB64</f>
        <v>105.37150198282151</v>
      </c>
      <c r="AD64" s="480">
        <f t="shared" ref="AD64" si="405">(SUM(AD56:AD57)-AD58)+AC64</f>
        <v>107.64459015404681</v>
      </c>
      <c r="AE64" s="480">
        <f t="shared" ref="AE64" si="406">(SUM(AE56:AE57)-AE58)+AD64</f>
        <v>109.98587097040887</v>
      </c>
      <c r="AF64" s="480">
        <f t="shared" ref="AF64" si="407">(SUM(AF56:AF57)-AF58)+AE64</f>
        <v>112.39739021126178</v>
      </c>
      <c r="AG64" s="480">
        <f t="shared" ref="AG64" si="408">(SUM(AG56:AG57)-AG58)+AF64</f>
        <v>82.186536679340293</v>
      </c>
      <c r="AH64" s="246"/>
    </row>
    <row r="65" spans="1:34" x14ac:dyDescent="0.25">
      <c r="A65" s="246"/>
      <c r="B65" s="435" t="s">
        <v>595</v>
      </c>
      <c r="D65" s="480">
        <f>D56</f>
        <v>2.5947619999999998</v>
      </c>
      <c r="E65" s="480">
        <f>E56+D65</f>
        <v>5.0241389999999999</v>
      </c>
      <c r="F65" s="480">
        <f t="shared" ref="F65:W65" si="409">F56+E65</f>
        <v>35.007637000000003</v>
      </c>
      <c r="G65" s="480">
        <f t="shared" si="409"/>
        <v>67.751519999999999</v>
      </c>
      <c r="H65" s="480">
        <f t="shared" si="409"/>
        <v>101.297628</v>
      </c>
      <c r="I65" s="480">
        <f t="shared" si="409"/>
        <v>101.297628</v>
      </c>
      <c r="J65" s="480">
        <f t="shared" si="409"/>
        <v>101.297628</v>
      </c>
      <c r="K65" s="480">
        <f t="shared" si="409"/>
        <v>101.297628</v>
      </c>
      <c r="L65" s="480">
        <f t="shared" si="409"/>
        <v>101.297628</v>
      </c>
      <c r="M65" s="480">
        <f t="shared" si="409"/>
        <v>101.297628</v>
      </c>
      <c r="N65" s="480">
        <f t="shared" si="409"/>
        <v>101.297628</v>
      </c>
      <c r="O65" s="480">
        <f t="shared" si="409"/>
        <v>101.297628</v>
      </c>
      <c r="P65" s="480">
        <f t="shared" si="409"/>
        <v>101.297628</v>
      </c>
      <c r="Q65" s="480">
        <f t="shared" si="409"/>
        <v>101.297628</v>
      </c>
      <c r="R65" s="480">
        <f t="shared" si="409"/>
        <v>101.297628</v>
      </c>
      <c r="S65" s="480">
        <f t="shared" si="409"/>
        <v>101.297628</v>
      </c>
      <c r="T65" s="480">
        <f t="shared" si="409"/>
        <v>101.297628</v>
      </c>
      <c r="U65" s="480">
        <f t="shared" si="409"/>
        <v>101.297628</v>
      </c>
      <c r="V65" s="480">
        <f t="shared" si="409"/>
        <v>101.297628</v>
      </c>
      <c r="W65" s="480">
        <f t="shared" si="409"/>
        <v>101.297628</v>
      </c>
      <c r="X65" s="480">
        <f t="shared" ref="X65:X67" si="410">X56+W65</f>
        <v>101.297628</v>
      </c>
      <c r="Y65" s="480">
        <f t="shared" ref="Y65:Y67" si="411">Y56+X65</f>
        <v>101.297628</v>
      </c>
      <c r="Z65" s="480">
        <f t="shared" ref="Z65:Z67" si="412">Z56+Y65</f>
        <v>101.297628</v>
      </c>
      <c r="AA65" s="480">
        <f t="shared" ref="AA65:AA67" si="413">AA56+Z65</f>
        <v>101.297628</v>
      </c>
      <c r="AB65" s="480">
        <f t="shared" ref="AB65:AB67" si="414">AB56+AA65</f>
        <v>101.297628</v>
      </c>
      <c r="AC65" s="480">
        <f t="shared" ref="AC65:AC67" si="415">AC56+AB65</f>
        <v>101.297628</v>
      </c>
      <c r="AD65" s="480">
        <f t="shared" ref="AD65:AD67" si="416">AD56+AC65</f>
        <v>101.297628</v>
      </c>
      <c r="AE65" s="480">
        <f t="shared" ref="AE65:AE67" si="417">AE56+AD65</f>
        <v>101.297628</v>
      </c>
      <c r="AF65" s="480">
        <f t="shared" ref="AF65:AF67" si="418">AF56+AE65</f>
        <v>101.297628</v>
      </c>
      <c r="AG65" s="480">
        <f t="shared" ref="AG65:AG67" si="419">AG56+AF65</f>
        <v>101.297628</v>
      </c>
      <c r="AH65" s="246"/>
    </row>
    <row r="66" spans="1:34" x14ac:dyDescent="0.25">
      <c r="A66" s="246"/>
      <c r="B66" s="435" t="s">
        <v>596</v>
      </c>
      <c r="D66" s="480">
        <f>D57</f>
        <v>2.4526080000000001</v>
      </c>
      <c r="E66" s="480">
        <f t="shared" ref="E66:W66" si="420">E57+D66</f>
        <v>4.98211051</v>
      </c>
      <c r="F66" s="480">
        <f t="shared" si="420"/>
        <v>7.2322592529000005</v>
      </c>
      <c r="G66" s="480">
        <f t="shared" si="420"/>
        <v>10.023368666283501</v>
      </c>
      <c r="H66" s="480">
        <f t="shared" si="420"/>
        <v>11.59885364750388</v>
      </c>
      <c r="I66" s="480">
        <f t="shared" si="420"/>
        <v>12.820750548023492</v>
      </c>
      <c r="J66" s="480">
        <f t="shared" si="420"/>
        <v>14.079304355558692</v>
      </c>
      <c r="K66" s="480">
        <f t="shared" si="420"/>
        <v>15.375614777319949</v>
      </c>
      <c r="L66" s="480">
        <f t="shared" si="420"/>
        <v>16.710814511734043</v>
      </c>
      <c r="M66" s="480">
        <f t="shared" si="420"/>
        <v>18.086070238180561</v>
      </c>
      <c r="N66" s="480">
        <f t="shared" si="420"/>
        <v>19.502583636420475</v>
      </c>
      <c r="O66" s="480">
        <f t="shared" si="420"/>
        <v>20.961592436607585</v>
      </c>
      <c r="P66" s="480">
        <f t="shared" si="420"/>
        <v>22.464371500800308</v>
      </c>
      <c r="Q66" s="480">
        <f t="shared" si="420"/>
        <v>24.012233936918811</v>
      </c>
      <c r="R66" s="480">
        <f t="shared" si="420"/>
        <v>25.606532246120871</v>
      </c>
      <c r="S66" s="480">
        <f t="shared" si="420"/>
        <v>27.248659504598994</v>
      </c>
      <c r="T66" s="480">
        <f t="shared" si="420"/>
        <v>28.940050580831461</v>
      </c>
      <c r="U66" s="480">
        <f t="shared" si="420"/>
        <v>30.6821833893509</v>
      </c>
      <c r="V66" s="480">
        <f t="shared" si="420"/>
        <v>32.476580182125922</v>
      </c>
      <c r="W66" s="480">
        <f t="shared" si="420"/>
        <v>34.324808878684195</v>
      </c>
      <c r="X66" s="480">
        <f t="shared" si="410"/>
        <v>36.228484436139219</v>
      </c>
      <c r="Y66" s="480">
        <f t="shared" si="411"/>
        <v>38.18927026031789</v>
      </c>
      <c r="Z66" s="480">
        <f t="shared" si="412"/>
        <v>40.208879659221921</v>
      </c>
      <c r="AA66" s="480">
        <f t="shared" si="413"/>
        <v>42.289077340093073</v>
      </c>
      <c r="AB66" s="480">
        <f t="shared" si="414"/>
        <v>44.431680951390362</v>
      </c>
      <c r="AC66" s="480">
        <f t="shared" si="415"/>
        <v>46.63856267102657</v>
      </c>
      <c r="AD66" s="480">
        <f t="shared" si="416"/>
        <v>48.911650842251859</v>
      </c>
      <c r="AE66" s="480">
        <f t="shared" si="417"/>
        <v>51.25293165861391</v>
      </c>
      <c r="AF66" s="480">
        <f t="shared" si="418"/>
        <v>53.664450899466821</v>
      </c>
      <c r="AG66" s="480">
        <f t="shared" si="419"/>
        <v>56.148315717545323</v>
      </c>
      <c r="AH66" s="246"/>
    </row>
    <row r="67" spans="1:34" x14ac:dyDescent="0.25">
      <c r="A67" s="246"/>
      <c r="B67" s="435" t="s">
        <v>597</v>
      </c>
      <c r="D67" s="480">
        <f>D58</f>
        <v>0</v>
      </c>
      <c r="E67" s="480">
        <f t="shared" ref="E67:W67" si="421">E58+D67</f>
        <v>0</v>
      </c>
      <c r="F67" s="480">
        <f t="shared" si="421"/>
        <v>0</v>
      </c>
      <c r="G67" s="480">
        <f t="shared" si="421"/>
        <v>0</v>
      </c>
      <c r="H67" s="480">
        <f t="shared" si="421"/>
        <v>0</v>
      </c>
      <c r="I67" s="480">
        <f t="shared" si="421"/>
        <v>0</v>
      </c>
      <c r="J67" s="480">
        <f t="shared" si="421"/>
        <v>0</v>
      </c>
      <c r="K67" s="480">
        <f t="shared" si="421"/>
        <v>0</v>
      </c>
      <c r="L67" s="480">
        <f t="shared" si="421"/>
        <v>42.564688688205024</v>
      </c>
      <c r="M67" s="480">
        <f t="shared" si="421"/>
        <v>42.564688688205024</v>
      </c>
      <c r="N67" s="480">
        <f t="shared" si="421"/>
        <v>42.564688688205024</v>
      </c>
      <c r="O67" s="480">
        <f t="shared" si="421"/>
        <v>42.564688688205024</v>
      </c>
      <c r="P67" s="480">
        <f t="shared" si="421"/>
        <v>42.564688688205024</v>
      </c>
      <c r="Q67" s="480">
        <f t="shared" si="421"/>
        <v>42.564688688205024</v>
      </c>
      <c r="R67" s="480">
        <f t="shared" si="421"/>
        <v>42.564688688205024</v>
      </c>
      <c r="S67" s="480">
        <f t="shared" si="421"/>
        <v>42.564688688205024</v>
      </c>
      <c r="T67" s="480">
        <f t="shared" si="421"/>
        <v>42.564688688205024</v>
      </c>
      <c r="U67" s="480">
        <f t="shared" si="421"/>
        <v>42.564688688205024</v>
      </c>
      <c r="V67" s="480">
        <f t="shared" si="421"/>
        <v>42.564688688205024</v>
      </c>
      <c r="W67" s="480">
        <f t="shared" si="421"/>
        <v>42.564688688205024</v>
      </c>
      <c r="X67" s="480">
        <f t="shared" si="410"/>
        <v>42.564688688205024</v>
      </c>
      <c r="Y67" s="480">
        <f t="shared" si="411"/>
        <v>42.564688688205024</v>
      </c>
      <c r="Z67" s="480">
        <f t="shared" si="412"/>
        <v>42.564688688205024</v>
      </c>
      <c r="AA67" s="480">
        <f t="shared" si="413"/>
        <v>42.564688688205024</v>
      </c>
      <c r="AB67" s="480">
        <f t="shared" si="414"/>
        <v>42.564688688205024</v>
      </c>
      <c r="AC67" s="480">
        <f t="shared" si="415"/>
        <v>42.564688688205024</v>
      </c>
      <c r="AD67" s="480">
        <f t="shared" si="416"/>
        <v>42.564688688205024</v>
      </c>
      <c r="AE67" s="480">
        <f t="shared" si="417"/>
        <v>42.564688688205024</v>
      </c>
      <c r="AF67" s="480">
        <f t="shared" si="418"/>
        <v>42.564688688205024</v>
      </c>
      <c r="AG67" s="480">
        <f t="shared" si="419"/>
        <v>75.259407038205012</v>
      </c>
      <c r="AH67" s="246"/>
    </row>
    <row r="68" spans="1:34" s="246" customFormat="1" x14ac:dyDescent="0.25">
      <c r="B68" s="435" t="s">
        <v>673</v>
      </c>
      <c r="C68" s="201"/>
      <c r="D68" s="480">
        <f>D56</f>
        <v>2.5947619999999998</v>
      </c>
      <c r="E68" s="480">
        <f>E56/(1.1^E$1)</f>
        <v>2.2085245454545452</v>
      </c>
      <c r="F68" s="480">
        <f t="shared" ref="F68:W68" si="422">F56/(1.1^F$1)</f>
        <v>24.779750413223137</v>
      </c>
      <c r="G68" s="480">
        <f t="shared" si="422"/>
        <v>24.600963936889546</v>
      </c>
      <c r="H68" s="480">
        <f t="shared" si="422"/>
        <v>22.912443139129831</v>
      </c>
      <c r="I68" s="480">
        <f t="shared" si="422"/>
        <v>0</v>
      </c>
      <c r="J68" s="480">
        <f t="shared" si="422"/>
        <v>0</v>
      </c>
      <c r="K68" s="480">
        <f t="shared" si="422"/>
        <v>0</v>
      </c>
      <c r="L68" s="480">
        <f t="shared" si="422"/>
        <v>0</v>
      </c>
      <c r="M68" s="480">
        <f t="shared" si="422"/>
        <v>0</v>
      </c>
      <c r="N68" s="480">
        <f t="shared" si="422"/>
        <v>0</v>
      </c>
      <c r="O68" s="480">
        <f t="shared" si="422"/>
        <v>0</v>
      </c>
      <c r="P68" s="480">
        <f t="shared" si="422"/>
        <v>0</v>
      </c>
      <c r="Q68" s="480">
        <f t="shared" si="422"/>
        <v>0</v>
      </c>
      <c r="R68" s="480">
        <f t="shared" si="422"/>
        <v>0</v>
      </c>
      <c r="S68" s="480">
        <f t="shared" si="422"/>
        <v>0</v>
      </c>
      <c r="T68" s="480">
        <f t="shared" si="422"/>
        <v>0</v>
      </c>
      <c r="U68" s="480">
        <f t="shared" si="422"/>
        <v>0</v>
      </c>
      <c r="V68" s="480">
        <f t="shared" si="422"/>
        <v>0</v>
      </c>
      <c r="W68" s="480">
        <f t="shared" si="422"/>
        <v>0</v>
      </c>
      <c r="X68" s="480">
        <f t="shared" ref="X68:AG68" si="423">X56/(1.1^X$1)</f>
        <v>0</v>
      </c>
      <c r="Y68" s="480">
        <f t="shared" si="423"/>
        <v>0</v>
      </c>
      <c r="Z68" s="480">
        <f t="shared" si="423"/>
        <v>0</v>
      </c>
      <c r="AA68" s="480">
        <f t="shared" si="423"/>
        <v>0</v>
      </c>
      <c r="AB68" s="480">
        <f t="shared" si="423"/>
        <v>0</v>
      </c>
      <c r="AC68" s="480">
        <f t="shared" si="423"/>
        <v>0</v>
      </c>
      <c r="AD68" s="480">
        <f t="shared" si="423"/>
        <v>0</v>
      </c>
      <c r="AE68" s="480">
        <f t="shared" si="423"/>
        <v>0</v>
      </c>
      <c r="AF68" s="480">
        <f t="shared" si="423"/>
        <v>0</v>
      </c>
      <c r="AG68" s="480">
        <f t="shared" si="423"/>
        <v>0</v>
      </c>
      <c r="AH68" s="479">
        <f>-SUM(D68:AG68)</f>
        <v>-77.096444034697058</v>
      </c>
    </row>
    <row r="69" spans="1:34" s="246" customFormat="1" x14ac:dyDescent="0.25">
      <c r="B69" s="435" t="s">
        <v>675</v>
      </c>
      <c r="C69" s="201"/>
      <c r="D69" s="480">
        <f>D57</f>
        <v>2.4526080000000001</v>
      </c>
      <c r="E69" s="480">
        <f>E57/(1.1^E$1)</f>
        <v>2.2995477363636363</v>
      </c>
      <c r="F69" s="480">
        <f t="shared" ref="F69:W69" si="424">F57/(1.1^F$1)</f>
        <v>1.8596270602479337</v>
      </c>
      <c r="G69" s="480">
        <f t="shared" si="424"/>
        <v>2.0970018132107437</v>
      </c>
      <c r="H69" s="480">
        <f t="shared" si="424"/>
        <v>1.076077440899105</v>
      </c>
      <c r="I69" s="480">
        <f t="shared" si="424"/>
        <v>0.75870184011251807</v>
      </c>
      <c r="J69" s="480">
        <f t="shared" si="424"/>
        <v>0.71042081392353951</v>
      </c>
      <c r="K69" s="480">
        <f t="shared" si="424"/>
        <v>0.66521221667385966</v>
      </c>
      <c r="L69" s="480">
        <f t="shared" si="424"/>
        <v>0.62288053015825051</v>
      </c>
      <c r="M69" s="480">
        <f t="shared" si="424"/>
        <v>0.58324267823908904</v>
      </c>
      <c r="N69" s="480">
        <f t="shared" si="424"/>
        <v>0.54612723507841965</v>
      </c>
      <c r="O69" s="480">
        <f t="shared" si="424"/>
        <v>0.5113736837552475</v>
      </c>
      <c r="P69" s="480">
        <f t="shared" si="424"/>
        <v>0.47883172206173175</v>
      </c>
      <c r="Q69" s="480">
        <f t="shared" si="424"/>
        <v>0.44836061247598519</v>
      </c>
      <c r="R69" s="480">
        <f t="shared" si="424"/>
        <v>0.41982857350024066</v>
      </c>
      <c r="S69" s="480">
        <f t="shared" si="424"/>
        <v>0.39311220973204353</v>
      </c>
      <c r="T69" s="480">
        <f t="shared" si="424"/>
        <v>0.36809597820364071</v>
      </c>
      <c r="U69" s="480">
        <f t="shared" si="424"/>
        <v>0.34467168868159082</v>
      </c>
      <c r="V69" s="480">
        <f t="shared" si="424"/>
        <v>0.32273803576548959</v>
      </c>
      <c r="W69" s="480">
        <f t="shared" si="424"/>
        <v>0.30220016076223111</v>
      </c>
      <c r="X69" s="480">
        <f t="shared" ref="X69:AG69" si="425">X57/(1.1^X$1)</f>
        <v>0.28296924144099822</v>
      </c>
      <c r="Y69" s="480">
        <f t="shared" si="425"/>
        <v>0.26496210789475289</v>
      </c>
      <c r="Z69" s="480">
        <f t="shared" si="425"/>
        <v>0.24810088284690493</v>
      </c>
      <c r="AA69" s="480">
        <f t="shared" si="425"/>
        <v>0.2323126448475564</v>
      </c>
      <c r="AB69" s="480">
        <f t="shared" si="425"/>
        <v>0.21752911290271196</v>
      </c>
      <c r="AC69" s="480">
        <f t="shared" si="425"/>
        <v>0.20368635117253933</v>
      </c>
      <c r="AD69" s="480">
        <f t="shared" si="425"/>
        <v>0.19072449246155954</v>
      </c>
      <c r="AE69" s="480">
        <f t="shared" si="425"/>
        <v>0.17858747930491484</v>
      </c>
      <c r="AF69" s="480">
        <f t="shared" si="425"/>
        <v>0.16722282153096574</v>
      </c>
      <c r="AG69" s="480">
        <f t="shared" si="425"/>
        <v>0.15658136925172247</v>
      </c>
      <c r="AH69" s="479">
        <f>-SUM(D69:AG69)</f>
        <v>-19.403336533499921</v>
      </c>
    </row>
    <row r="70" spans="1:34" s="246" customFormat="1" x14ac:dyDescent="0.25">
      <c r="B70" s="435" t="s">
        <v>674</v>
      </c>
      <c r="C70" s="201"/>
      <c r="D70" s="480">
        <f>D58</f>
        <v>0</v>
      </c>
      <c r="E70" s="480">
        <f>E58/(1.1^E$1)</f>
        <v>0</v>
      </c>
      <c r="F70" s="480">
        <f t="shared" ref="F70:W70" si="426">F58/(1.1^F$1)</f>
        <v>0</v>
      </c>
      <c r="G70" s="480">
        <f t="shared" si="426"/>
        <v>0</v>
      </c>
      <c r="H70" s="480">
        <f t="shared" si="426"/>
        <v>0</v>
      </c>
      <c r="I70" s="480">
        <f t="shared" si="426"/>
        <v>0</v>
      </c>
      <c r="J70" s="480">
        <f t="shared" si="426"/>
        <v>0</v>
      </c>
      <c r="K70" s="480">
        <f t="shared" si="426"/>
        <v>0</v>
      </c>
      <c r="L70" s="480">
        <f t="shared" si="426"/>
        <v>19.856741409377388</v>
      </c>
      <c r="M70" s="480">
        <f t="shared" si="426"/>
        <v>0</v>
      </c>
      <c r="N70" s="480">
        <f t="shared" si="426"/>
        <v>0</v>
      </c>
      <c r="O70" s="480">
        <f t="shared" si="426"/>
        <v>0</v>
      </c>
      <c r="P70" s="480">
        <f t="shared" si="426"/>
        <v>0</v>
      </c>
      <c r="Q70" s="480">
        <f t="shared" si="426"/>
        <v>0</v>
      </c>
      <c r="R70" s="480">
        <f t="shared" si="426"/>
        <v>0</v>
      </c>
      <c r="S70" s="480">
        <f t="shared" si="426"/>
        <v>0</v>
      </c>
      <c r="T70" s="480">
        <f t="shared" si="426"/>
        <v>0</v>
      </c>
      <c r="U70" s="480">
        <f t="shared" si="426"/>
        <v>0</v>
      </c>
      <c r="V70" s="480">
        <f t="shared" si="426"/>
        <v>0</v>
      </c>
      <c r="W70" s="480">
        <f t="shared" si="426"/>
        <v>0</v>
      </c>
      <c r="X70" s="480">
        <f t="shared" ref="X70:AG70" si="427">X58/(1.1^X$1)</f>
        <v>0</v>
      </c>
      <c r="Y70" s="480">
        <f t="shared" si="427"/>
        <v>0</v>
      </c>
      <c r="Z70" s="480">
        <f t="shared" si="427"/>
        <v>0</v>
      </c>
      <c r="AA70" s="480">
        <f t="shared" si="427"/>
        <v>0</v>
      </c>
      <c r="AB70" s="480">
        <f t="shared" si="427"/>
        <v>0</v>
      </c>
      <c r="AC70" s="480">
        <f t="shared" si="427"/>
        <v>0</v>
      </c>
      <c r="AD70" s="480">
        <f t="shared" si="427"/>
        <v>0</v>
      </c>
      <c r="AE70" s="480">
        <f t="shared" si="427"/>
        <v>0</v>
      </c>
      <c r="AF70" s="480">
        <f t="shared" si="427"/>
        <v>0</v>
      </c>
      <c r="AG70" s="480">
        <f t="shared" si="427"/>
        <v>2.0610557101504141</v>
      </c>
      <c r="AH70" s="479">
        <f>SUM(D70:AG70)</f>
        <v>21.917797119527801</v>
      </c>
    </row>
    <row r="72" spans="1:34" x14ac:dyDescent="0.25">
      <c r="A72" s="465" t="s">
        <v>617</v>
      </c>
      <c r="B72" s="464"/>
      <c r="C72" s="512"/>
      <c r="D72" s="463"/>
      <c r="E72" s="463"/>
      <c r="F72" s="463"/>
      <c r="G72" s="463"/>
      <c r="H72" s="463"/>
      <c r="I72" s="463"/>
      <c r="J72" s="463"/>
      <c r="K72" s="463"/>
      <c r="L72" s="463"/>
      <c r="M72" s="463"/>
      <c r="N72" s="463"/>
      <c r="O72" s="463"/>
      <c r="P72" s="463"/>
      <c r="Q72" s="463"/>
      <c r="R72" s="463"/>
      <c r="S72" s="463"/>
      <c r="T72" s="463"/>
      <c r="U72" s="463"/>
      <c r="V72" s="463"/>
      <c r="W72" s="463"/>
      <c r="X72" s="481"/>
      <c r="Y72" s="481"/>
      <c r="Z72" s="481"/>
      <c r="AA72" s="481"/>
      <c r="AB72" s="481"/>
      <c r="AC72" s="481"/>
      <c r="AD72" s="481"/>
      <c r="AE72" s="481"/>
      <c r="AF72" s="481"/>
      <c r="AG72" s="481"/>
      <c r="AH72" s="246"/>
    </row>
    <row r="73" spans="1:34" x14ac:dyDescent="0.25">
      <c r="A73" s="472" t="s">
        <v>594</v>
      </c>
      <c r="B73" s="470" t="s">
        <v>586</v>
      </c>
      <c r="C73" s="510">
        <v>0</v>
      </c>
      <c r="D73" s="471">
        <f>SUM('[1]Option Implementation Cost'!I$222:I$269)</f>
        <v>0</v>
      </c>
      <c r="E73" s="471">
        <f>SUM('[1]Option Implementation Cost'!J$222:J$269)</f>
        <v>0</v>
      </c>
      <c r="F73" s="471">
        <f>SUM('[1]Option Implementation Cost'!K$222:K$269)</f>
        <v>0</v>
      </c>
      <c r="G73" s="471">
        <f>SUM('[1]Option Implementation Cost'!L$222:L$269)</f>
        <v>0</v>
      </c>
      <c r="H73" s="471">
        <f>SUM('[1]Option Implementation Cost'!M$222:M$269)</f>
        <v>0</v>
      </c>
      <c r="I73" s="471">
        <f>SUM('[1]Option Implementation Cost'!N$222:N$269)</f>
        <v>0</v>
      </c>
      <c r="J73" s="471">
        <f>SUM('[1]Option Implementation Cost'!O$222:O$269)</f>
        <v>0</v>
      </c>
      <c r="K73" s="471">
        <f>SUM('[1]Option Implementation Cost'!P$222:P$269)</f>
        <v>0</v>
      </c>
      <c r="L73" s="471">
        <f>SUM('[1]Option Implementation Cost'!Q$222:Q$269)</f>
        <v>0</v>
      </c>
      <c r="M73" s="471">
        <f>SUM('[1]Option Implementation Cost'!R$222:R$269)</f>
        <v>0</v>
      </c>
      <c r="N73" s="471">
        <f>SUM('[1]Option Implementation Cost'!S$222:S$269)</f>
        <v>0</v>
      </c>
      <c r="O73" s="471">
        <f>SUM('[1]Option Implementation Cost'!T$222:T$269)</f>
        <v>0</v>
      </c>
      <c r="P73" s="471">
        <f>SUM('[1]Option Implementation Cost'!U$222:U$269)</f>
        <v>0</v>
      </c>
      <c r="Q73" s="471">
        <f>SUM('[1]Option Implementation Cost'!V$222:V$269)</f>
        <v>0</v>
      </c>
      <c r="R73" s="471">
        <f>SUM('[1]Option Implementation Cost'!W$222:W$269)</f>
        <v>0</v>
      </c>
      <c r="S73" s="471">
        <f>SUM('[1]Option Implementation Cost'!X$222:X$269)</f>
        <v>0</v>
      </c>
      <c r="T73" s="471">
        <f>SUM('[1]Option Implementation Cost'!Y$222:Y$269)</f>
        <v>0</v>
      </c>
      <c r="U73" s="471">
        <f>SUM('[1]Option Implementation Cost'!Z$222:Z$269)</f>
        <v>0</v>
      </c>
      <c r="V73" s="471">
        <f>SUM('[1]Option Implementation Cost'!AA$222:AA$269)</f>
        <v>0</v>
      </c>
      <c r="W73" s="471">
        <f>SUM('[1]Option Implementation Cost'!AB$222:AB$269)</f>
        <v>0</v>
      </c>
      <c r="X73" s="683">
        <v>0</v>
      </c>
      <c r="Y73" s="679">
        <v>0</v>
      </c>
      <c r="Z73" s="679">
        <v>0</v>
      </c>
      <c r="AA73" s="679">
        <v>0</v>
      </c>
      <c r="AB73" s="679">
        <v>0</v>
      </c>
      <c r="AC73" s="679">
        <v>0</v>
      </c>
      <c r="AD73" s="679">
        <v>0</v>
      </c>
      <c r="AE73" s="679">
        <v>0</v>
      </c>
      <c r="AF73" s="679">
        <v>0</v>
      </c>
      <c r="AG73" s="684">
        <v>0</v>
      </c>
      <c r="AH73" s="479">
        <f>SUM(D73:AG73)</f>
        <v>0</v>
      </c>
    </row>
    <row r="74" spans="1:34" x14ac:dyDescent="0.25">
      <c r="A74" s="473">
        <f>$A$3-'[1]Preferred Option'!$H$10</f>
        <v>-43</v>
      </c>
      <c r="B74" s="470" t="s">
        <v>585</v>
      </c>
      <c r="C74" s="510"/>
      <c r="D74" s="471">
        <f>SUM('[1]Do Nothing Option'!D$34:D$81)</f>
        <v>3.7841339999999999</v>
      </c>
      <c r="E74" s="471">
        <f>SUM('[1]Do Nothing Option'!E$34:E$81)</f>
        <v>3.9409200699999998</v>
      </c>
      <c r="F74" s="471">
        <f>SUM('[1]Do Nothing Option'!F$34:F$81)</f>
        <v>3.7462513565000006</v>
      </c>
      <c r="G74" s="471">
        <f>SUM('[1]Do Nothing Option'!G$34:G$81)</f>
        <v>3.9035219756030006</v>
      </c>
      <c r="H74" s="471">
        <f>SUM('[1]Do Nothing Option'!H$34:H$81)</f>
        <v>4.0716538359679255</v>
      </c>
      <c r="I74" s="471">
        <f>SUM('[1]Do Nothing Option'!I$34:I$81)</f>
        <v>4.2513758635738075</v>
      </c>
      <c r="J74" s="471">
        <f>SUM('[1]Do Nothing Option'!J$34:J$81)</f>
        <v>4.4435147895732827</v>
      </c>
      <c r="K74" s="471">
        <f>SUM('[1]Do Nothing Option'!K$34:K$81)</f>
        <v>4.6490074708846389</v>
      </c>
      <c r="L74" s="471">
        <f>SUM('[1]Do Nothing Option'!L$34:L$81)</f>
        <v>4.8689158216659312</v>
      </c>
      <c r="M74" s="471">
        <f>SUM('[1]Do Nothing Option'!M$34:M$81)</f>
        <v>5.1044448458542622</v>
      </c>
      <c r="N74" s="471">
        <f>SUM('[1]Do Nothing Option'!N$34:N$81)</f>
        <v>5.3569643816904939</v>
      </c>
      <c r="O74" s="471">
        <f>SUM('[1]Do Nothing Option'!O$34:O$81)</f>
        <v>5.6280353177743958</v>
      </c>
      <c r="P74" s="471">
        <f>SUM('[1]Do Nothing Option'!P$34:P$81)</f>
        <v>5.9142483541841422</v>
      </c>
      <c r="Q74" s="471">
        <f>SUM('[1]Do Nothing Option'!Q$34:Q$81)</f>
        <v>6.2165055299016796</v>
      </c>
      <c r="R74" s="471">
        <f>SUM('[1]Do Nothing Option'!R$34:R$81)</f>
        <v>6.5357647140713784</v>
      </c>
      <c r="S74" s="471">
        <f>SUM('[1]Do Nothing Option'!S$34:S$81)</f>
        <v>6.8730431402148966</v>
      </c>
      <c r="T74" s="471">
        <f>SUM('[1]Do Nothing Option'!T$34:T$81)</f>
        <v>7.2294211673530393</v>
      </c>
      <c r="U74" s="471">
        <f>SUM('[1]Do Nothing Option'!U$34:U$81)</f>
        <v>7.6060462827471582</v>
      </c>
      <c r="V74" s="471">
        <f>SUM('[1]Do Nothing Option'!V$34:V$81)</f>
        <v>8.0041373619340579</v>
      </c>
      <c r="W74" s="471">
        <f>SUM('[1]Do Nothing Option'!W$34:W$81)</f>
        <v>8.4249892027529754</v>
      </c>
      <c r="X74" s="683">
        <f>W74*1.0524</f>
        <v>8.8664586369772316</v>
      </c>
      <c r="Y74" s="679">
        <f t="shared" ref="Y74:AG74" si="428">X74*1.0524</f>
        <v>9.3310610695548384</v>
      </c>
      <c r="Z74" s="679">
        <f t="shared" si="428"/>
        <v>9.8200086695995115</v>
      </c>
      <c r="AA74" s="679">
        <f t="shared" si="428"/>
        <v>10.334577123886525</v>
      </c>
      <c r="AB74" s="679">
        <f t="shared" si="428"/>
        <v>10.876108965178179</v>
      </c>
      <c r="AC74" s="679">
        <f t="shared" si="428"/>
        <v>11.446017074953517</v>
      </c>
      <c r="AD74" s="679">
        <f t="shared" si="428"/>
        <v>12.04578836968108</v>
      </c>
      <c r="AE74" s="679">
        <f t="shared" si="428"/>
        <v>12.676987680252369</v>
      </c>
      <c r="AF74" s="679">
        <f t="shared" si="428"/>
        <v>13.341261834697592</v>
      </c>
      <c r="AG74" s="684">
        <f t="shared" si="428"/>
        <v>14.040343954835746</v>
      </c>
      <c r="AH74" s="479">
        <f>SUM(D74:AG74)</f>
        <v>223.33150886186368</v>
      </c>
    </row>
    <row r="75" spans="1:34" x14ac:dyDescent="0.25">
      <c r="A75" s="246"/>
      <c r="B75" s="469" t="s">
        <v>587</v>
      </c>
      <c r="C75" s="511"/>
      <c r="D75" s="468">
        <f>SUM('[1]Option Lifecycle Benefits'!J$222:J$269)</f>
        <v>0</v>
      </c>
      <c r="E75" s="468">
        <f>SUM('[1]Option Lifecycle Benefits'!K$222:K$269)</f>
        <v>0</v>
      </c>
      <c r="F75" s="468">
        <f>SUM('[1]Option Lifecycle Benefits'!L$222:L$269)</f>
        <v>0</v>
      </c>
      <c r="G75" s="468">
        <f>SUM('[1]Option Lifecycle Benefits'!M$222:M$269)</f>
        <v>0</v>
      </c>
      <c r="H75" s="468">
        <f>SUM('[1]Option Lifecycle Benefits'!N$222:N$269)</f>
        <v>0</v>
      </c>
      <c r="I75" s="468">
        <f>SUM('[1]Option Lifecycle Benefits'!O$222:O$269)</f>
        <v>0</v>
      </c>
      <c r="J75" s="468">
        <f>SUM('[1]Option Lifecycle Benefits'!P$222:P$269)</f>
        <v>0</v>
      </c>
      <c r="K75" s="468">
        <f>SUM('[1]Option Lifecycle Benefits'!Q$222:Q$269)</f>
        <v>0</v>
      </c>
      <c r="L75" s="468">
        <f>SUM('[1]Option Lifecycle Benefits'!R$222:R$269)</f>
        <v>0</v>
      </c>
      <c r="M75" s="468">
        <f>SUM('[1]Option Lifecycle Benefits'!S$222:S$269)</f>
        <v>0</v>
      </c>
      <c r="N75" s="468">
        <f>SUM('[1]Option Lifecycle Benefits'!T$222:T$269)</f>
        <v>0</v>
      </c>
      <c r="O75" s="468">
        <f>SUM('[1]Option Lifecycle Benefits'!U$222:U$269)</f>
        <v>0</v>
      </c>
      <c r="P75" s="468">
        <f>SUM('[1]Option Lifecycle Benefits'!V$222:V$269)</f>
        <v>0</v>
      </c>
      <c r="Q75" s="468">
        <f>SUM('[1]Option Lifecycle Benefits'!W$222:W$269)</f>
        <v>0</v>
      </c>
      <c r="R75" s="468">
        <f>SUM('[1]Option Lifecycle Benefits'!X$222:X$269)</f>
        <v>0</v>
      </c>
      <c r="S75" s="468">
        <f>SUM('[1]Option Lifecycle Benefits'!Y$222:Y$269)</f>
        <v>0</v>
      </c>
      <c r="T75" s="468">
        <f>SUM('[1]Option Lifecycle Benefits'!Z$222:Z$269)</f>
        <v>0</v>
      </c>
      <c r="U75" s="468">
        <f>SUM('[1]Option Lifecycle Benefits'!AA$222:AA$269)</f>
        <v>0</v>
      </c>
      <c r="V75" s="468">
        <f>SUM('[1]Option Lifecycle Benefits'!AB$222:AB$269)</f>
        <v>0</v>
      </c>
      <c r="W75" s="468">
        <f>SUM('[1]Option Lifecycle Benefits'!AC$222:AC$269)</f>
        <v>0</v>
      </c>
      <c r="X75" s="685">
        <v>0</v>
      </c>
      <c r="Y75" s="686">
        <v>0</v>
      </c>
      <c r="Z75" s="686">
        <v>0</v>
      </c>
      <c r="AA75" s="686">
        <v>0</v>
      </c>
      <c r="AB75" s="686">
        <v>0</v>
      </c>
      <c r="AC75" s="686">
        <v>0</v>
      </c>
      <c r="AD75" s="686">
        <v>0</v>
      </c>
      <c r="AE75" s="686">
        <v>0</v>
      </c>
      <c r="AF75" s="686">
        <v>0</v>
      </c>
      <c r="AG75" s="687">
        <f>AH76</f>
        <v>0</v>
      </c>
      <c r="AH75" s="479">
        <f>SUM(D75:AG75)</f>
        <v>0</v>
      </c>
    </row>
    <row r="76" spans="1:34" s="246" customFormat="1" x14ac:dyDescent="0.25">
      <c r="B76" s="435" t="s">
        <v>676</v>
      </c>
      <c r="C76" s="510"/>
      <c r="D76" s="471" t="e">
        <f>IF(D73-((D73/$C73)*($C$1-D$1))&gt;0,D73-((D73/$C73)*($C$1-D$1)),0)</f>
        <v>#DIV/0!</v>
      </c>
      <c r="E76" s="471" t="e">
        <f t="shared" ref="E76:W76" si="429">IF(E73-((E73/$C73)*($C$1-E$1))&gt;0,E73-((E73/$C73)*($C$1-E$1)),0)</f>
        <v>#DIV/0!</v>
      </c>
      <c r="F76" s="471" t="e">
        <f t="shared" si="429"/>
        <v>#DIV/0!</v>
      </c>
      <c r="G76" s="471" t="e">
        <f t="shared" si="429"/>
        <v>#DIV/0!</v>
      </c>
      <c r="H76" s="471" t="e">
        <f t="shared" si="429"/>
        <v>#DIV/0!</v>
      </c>
      <c r="I76" s="471" t="e">
        <f t="shared" si="429"/>
        <v>#DIV/0!</v>
      </c>
      <c r="J76" s="471" t="e">
        <f t="shared" si="429"/>
        <v>#DIV/0!</v>
      </c>
      <c r="K76" s="471" t="e">
        <f t="shared" si="429"/>
        <v>#DIV/0!</v>
      </c>
      <c r="L76" s="471" t="e">
        <f t="shared" si="429"/>
        <v>#DIV/0!</v>
      </c>
      <c r="M76" s="471" t="e">
        <f t="shared" si="429"/>
        <v>#DIV/0!</v>
      </c>
      <c r="N76" s="471" t="e">
        <f t="shared" si="429"/>
        <v>#DIV/0!</v>
      </c>
      <c r="O76" s="471" t="e">
        <f t="shared" si="429"/>
        <v>#DIV/0!</v>
      </c>
      <c r="P76" s="471" t="e">
        <f t="shared" si="429"/>
        <v>#DIV/0!</v>
      </c>
      <c r="Q76" s="471" t="e">
        <f t="shared" si="429"/>
        <v>#DIV/0!</v>
      </c>
      <c r="R76" s="471" t="e">
        <f t="shared" si="429"/>
        <v>#DIV/0!</v>
      </c>
      <c r="S76" s="471" t="e">
        <f t="shared" si="429"/>
        <v>#DIV/0!</v>
      </c>
      <c r="T76" s="471" t="e">
        <f t="shared" si="429"/>
        <v>#DIV/0!</v>
      </c>
      <c r="U76" s="471" t="e">
        <f t="shared" si="429"/>
        <v>#DIV/0!</v>
      </c>
      <c r="V76" s="471" t="e">
        <f t="shared" si="429"/>
        <v>#DIV/0!</v>
      </c>
      <c r="W76" s="471" t="e">
        <f t="shared" si="429"/>
        <v>#DIV/0!</v>
      </c>
      <c r="X76" s="679" t="e">
        <f t="shared" ref="X76:AG76" si="430">IF(X73-((X73/$C73)*($C$1-X$1))&gt;0,X73-((X73/$C73)*($C$1-X$1)),0)</f>
        <v>#DIV/0!</v>
      </c>
      <c r="Y76" s="679" t="e">
        <f t="shared" si="430"/>
        <v>#DIV/0!</v>
      </c>
      <c r="Z76" s="679" t="e">
        <f t="shared" si="430"/>
        <v>#DIV/0!</v>
      </c>
      <c r="AA76" s="679" t="e">
        <f t="shared" si="430"/>
        <v>#DIV/0!</v>
      </c>
      <c r="AB76" s="679" t="e">
        <f t="shared" si="430"/>
        <v>#DIV/0!</v>
      </c>
      <c r="AC76" s="679" t="e">
        <f t="shared" si="430"/>
        <v>#DIV/0!</v>
      </c>
      <c r="AD76" s="679" t="e">
        <f t="shared" si="430"/>
        <v>#DIV/0!</v>
      </c>
      <c r="AE76" s="679" t="e">
        <f t="shared" si="430"/>
        <v>#DIV/0!</v>
      </c>
      <c r="AF76" s="679" t="e">
        <f t="shared" si="430"/>
        <v>#DIV/0!</v>
      </c>
      <c r="AG76" s="679" t="e">
        <f t="shared" si="430"/>
        <v>#DIV/0!</v>
      </c>
      <c r="AH76" s="548">
        <v>0</v>
      </c>
    </row>
    <row r="77" spans="1:34" x14ac:dyDescent="0.25">
      <c r="A77" s="246"/>
      <c r="B77" s="435" t="s">
        <v>588</v>
      </c>
      <c r="D77" s="479">
        <f t="shared" ref="D77:W77" si="431">D75-SUM(D73:D74)</f>
        <v>-3.7841339999999999</v>
      </c>
      <c r="E77" s="479">
        <f t="shared" si="431"/>
        <v>-3.9409200699999998</v>
      </c>
      <c r="F77" s="479">
        <f t="shared" si="431"/>
        <v>-3.7462513565000006</v>
      </c>
      <c r="G77" s="479">
        <f t="shared" si="431"/>
        <v>-3.9035219756030006</v>
      </c>
      <c r="H77" s="479">
        <f t="shared" si="431"/>
        <v>-4.0716538359679255</v>
      </c>
      <c r="I77" s="479">
        <f t="shared" si="431"/>
        <v>-4.2513758635738075</v>
      </c>
      <c r="J77" s="479">
        <f t="shared" si="431"/>
        <v>-4.4435147895732827</v>
      </c>
      <c r="K77" s="479">
        <f t="shared" si="431"/>
        <v>-4.6490074708846389</v>
      </c>
      <c r="L77" s="479">
        <f t="shared" si="431"/>
        <v>-4.8689158216659312</v>
      </c>
      <c r="M77" s="479">
        <f t="shared" si="431"/>
        <v>-5.1044448458542622</v>
      </c>
      <c r="N77" s="479">
        <f t="shared" si="431"/>
        <v>-5.3569643816904939</v>
      </c>
      <c r="O77" s="479">
        <f t="shared" si="431"/>
        <v>-5.6280353177743958</v>
      </c>
      <c r="P77" s="479">
        <f t="shared" si="431"/>
        <v>-5.9142483541841422</v>
      </c>
      <c r="Q77" s="479">
        <f t="shared" si="431"/>
        <v>-6.2165055299016796</v>
      </c>
      <c r="R77" s="479">
        <f t="shared" si="431"/>
        <v>-6.5357647140713784</v>
      </c>
      <c r="S77" s="479">
        <f t="shared" si="431"/>
        <v>-6.8730431402148966</v>
      </c>
      <c r="T77" s="479">
        <f t="shared" si="431"/>
        <v>-7.2294211673530393</v>
      </c>
      <c r="U77" s="479">
        <f t="shared" si="431"/>
        <v>-7.6060462827471582</v>
      </c>
      <c r="V77" s="479">
        <f t="shared" si="431"/>
        <v>-8.0041373619340579</v>
      </c>
      <c r="W77" s="479">
        <f t="shared" si="431"/>
        <v>-8.4249892027529754</v>
      </c>
      <c r="X77" s="479">
        <f t="shared" ref="X77:AG77" si="432">X75-SUM(X73:X74)</f>
        <v>-8.8664586369772316</v>
      </c>
      <c r="Y77" s="479">
        <f t="shared" si="432"/>
        <v>-9.3310610695548384</v>
      </c>
      <c r="Z77" s="479">
        <f t="shared" si="432"/>
        <v>-9.8200086695995115</v>
      </c>
      <c r="AA77" s="479">
        <f t="shared" si="432"/>
        <v>-10.334577123886525</v>
      </c>
      <c r="AB77" s="479">
        <f t="shared" si="432"/>
        <v>-10.876108965178179</v>
      </c>
      <c r="AC77" s="479">
        <f t="shared" si="432"/>
        <v>-11.446017074953517</v>
      </c>
      <c r="AD77" s="479">
        <f t="shared" si="432"/>
        <v>-12.04578836968108</v>
      </c>
      <c r="AE77" s="479">
        <f t="shared" si="432"/>
        <v>-12.676987680252369</v>
      </c>
      <c r="AF77" s="479">
        <f t="shared" si="432"/>
        <v>-13.341261834697592</v>
      </c>
      <c r="AG77" s="479">
        <f t="shared" si="432"/>
        <v>-14.040343954835746</v>
      </c>
      <c r="AH77" s="479">
        <f>SUM(AH73:AH74)-AH75</f>
        <v>223.33150886186368</v>
      </c>
    </row>
    <row r="78" spans="1:34" x14ac:dyDescent="0.25">
      <c r="A78" s="246"/>
      <c r="B78" s="435" t="s">
        <v>592</v>
      </c>
      <c r="D78" s="480">
        <f>D77</f>
        <v>-3.7841339999999999</v>
      </c>
      <c r="E78" s="480">
        <f>E77+D78</f>
        <v>-7.7250540699999997</v>
      </c>
      <c r="F78" s="480">
        <f t="shared" ref="F78" si="433">F77+E78</f>
        <v>-11.471305426500001</v>
      </c>
      <c r="G78" s="480">
        <f t="shared" ref="G78" si="434">G77+F78</f>
        <v>-15.374827402103001</v>
      </c>
      <c r="H78" s="480">
        <f t="shared" ref="H78" si="435">H77+G78</f>
        <v>-19.446481238070927</v>
      </c>
      <c r="I78" s="480">
        <f t="shared" ref="I78" si="436">I77+H78</f>
        <v>-23.697857101644736</v>
      </c>
      <c r="J78" s="480">
        <f t="shared" ref="J78" si="437">J77+I78</f>
        <v>-28.141371891218018</v>
      </c>
      <c r="K78" s="480">
        <f t="shared" ref="K78" si="438">K77+J78</f>
        <v>-32.790379362102655</v>
      </c>
      <c r="L78" s="480">
        <f t="shared" ref="L78" si="439">L77+K78</f>
        <v>-37.659295183768585</v>
      </c>
      <c r="M78" s="480">
        <f t="shared" ref="M78" si="440">M77+L78</f>
        <v>-42.763740029622845</v>
      </c>
      <c r="N78" s="480">
        <f t="shared" ref="N78" si="441">N77+M78</f>
        <v>-48.120704411313341</v>
      </c>
      <c r="O78" s="480">
        <f t="shared" ref="O78" si="442">O77+N78</f>
        <v>-53.748739729087738</v>
      </c>
      <c r="P78" s="480">
        <f t="shared" ref="P78" si="443">P77+O78</f>
        <v>-59.662988083271884</v>
      </c>
      <c r="Q78" s="480">
        <f t="shared" ref="Q78" si="444">Q77+P78</f>
        <v>-65.879493613173565</v>
      </c>
      <c r="R78" s="480">
        <f t="shared" ref="R78" si="445">R77+Q78</f>
        <v>-72.415258327244942</v>
      </c>
      <c r="S78" s="480">
        <f t="shared" ref="S78" si="446">S77+R78</f>
        <v>-79.288301467459831</v>
      </c>
      <c r="T78" s="480">
        <f t="shared" ref="T78" si="447">T77+S78</f>
        <v>-86.51772263481287</v>
      </c>
      <c r="U78" s="480">
        <f t="shared" ref="U78" si="448">U77+T78</f>
        <v>-94.123768917560028</v>
      </c>
      <c r="V78" s="480">
        <f t="shared" ref="V78" si="449">V77+U78</f>
        <v>-102.12790627949408</v>
      </c>
      <c r="W78" s="480">
        <f t="shared" ref="W78" si="450">W77+V78</f>
        <v>-110.55289548224707</v>
      </c>
      <c r="X78" s="480">
        <f t="shared" ref="X78" si="451">X77+W78</f>
        <v>-119.41935411922429</v>
      </c>
      <c r="Y78" s="480">
        <f t="shared" ref="Y78" si="452">Y77+X78</f>
        <v>-128.75041518877913</v>
      </c>
      <c r="Z78" s="480">
        <f t="shared" ref="Z78" si="453">Z77+Y78</f>
        <v>-138.57042385837863</v>
      </c>
      <c r="AA78" s="480">
        <f t="shared" ref="AA78" si="454">AA77+Z78</f>
        <v>-148.90500098226516</v>
      </c>
      <c r="AB78" s="480">
        <f t="shared" ref="AB78" si="455">AB77+AA78</f>
        <v>-159.78110994744335</v>
      </c>
      <c r="AC78" s="480">
        <f t="shared" ref="AC78" si="456">AC77+AB78</f>
        <v>-171.22712702239687</v>
      </c>
      <c r="AD78" s="480">
        <f t="shared" ref="AD78" si="457">AD77+AC78</f>
        <v>-183.27291539207795</v>
      </c>
      <c r="AE78" s="480">
        <f t="shared" ref="AE78" si="458">AE77+AD78</f>
        <v>-195.94990307233033</v>
      </c>
      <c r="AF78" s="480">
        <f t="shared" ref="AF78" si="459">AF77+AE78</f>
        <v>-209.29116490702793</v>
      </c>
      <c r="AG78" s="480">
        <f t="shared" ref="AG78" si="460">AG77+AF78</f>
        <v>-223.33150886186368</v>
      </c>
      <c r="AH78" s="246"/>
    </row>
    <row r="79" spans="1:34" x14ac:dyDescent="0.25">
      <c r="A79" s="246"/>
      <c r="B79" s="435" t="s">
        <v>591</v>
      </c>
      <c r="D79" s="478">
        <f t="shared" ref="D79:W79" si="461">D77*D$2</f>
        <v>-3.7841339999999999</v>
      </c>
      <c r="E79" s="478">
        <f t="shared" si="461"/>
        <v>-3.591797366022603</v>
      </c>
      <c r="F79" s="478">
        <f t="shared" si="461"/>
        <v>-3.1118977266263159</v>
      </c>
      <c r="G79" s="478">
        <f t="shared" si="461"/>
        <v>-2.9552840635537678</v>
      </c>
      <c r="H79" s="478">
        <f t="shared" si="461"/>
        <v>-2.8094910459294713</v>
      </c>
      <c r="I79" s="478">
        <f t="shared" si="461"/>
        <v>-2.6736250888760908</v>
      </c>
      <c r="J79" s="478">
        <f t="shared" si="461"/>
        <v>-2.5468996656287737</v>
      </c>
      <c r="K79" s="478">
        <f t="shared" si="461"/>
        <v>-2.4286204719404618</v>
      </c>
      <c r="L79" s="478">
        <f t="shared" si="461"/>
        <v>-2.3181731676839563</v>
      </c>
      <c r="M79" s="478">
        <f t="shared" si="461"/>
        <v>-2.2150132331917929</v>
      </c>
      <c r="N79" s="478">
        <f t="shared" si="461"/>
        <v>-2.1186575715231495</v>
      </c>
      <c r="O79" s="478">
        <f t="shared" si="461"/>
        <v>-2.0286775624616173</v>
      </c>
      <c r="P79" s="478">
        <f t="shared" si="461"/>
        <v>-1.942987338403221</v>
      </c>
      <c r="Q79" s="478">
        <f t="shared" si="461"/>
        <v>-1.8613624059373866</v>
      </c>
      <c r="R79" s="478">
        <f t="shared" si="461"/>
        <v>-1.7835908029636371</v>
      </c>
      <c r="S79" s="478">
        <f t="shared" si="461"/>
        <v>-1.7094723705478299</v>
      </c>
      <c r="T79" s="478">
        <f t="shared" si="461"/>
        <v>-1.6388180680886058</v>
      </c>
      <c r="U79" s="478">
        <f t="shared" si="461"/>
        <v>-1.5714493291838527</v>
      </c>
      <c r="V79" s="478">
        <f t="shared" si="461"/>
        <v>-1.5071974557454451</v>
      </c>
      <c r="W79" s="478">
        <f t="shared" si="461"/>
        <v>-1.4459030480593169</v>
      </c>
      <c r="X79" s="478">
        <f t="shared" ref="X79:AG79" si="462">X77*X$2</f>
        <v>-1.3868650818243029</v>
      </c>
      <c r="Y79" s="478">
        <f t="shared" si="462"/>
        <v>-1.3302377069922497</v>
      </c>
      <c r="Z79" s="478">
        <f t="shared" si="462"/>
        <v>-1.2759224962072946</v>
      </c>
      <c r="AA79" s="478">
        <f t="shared" si="462"/>
        <v>-1.2238250410212879</v>
      </c>
      <c r="AB79" s="478">
        <f t="shared" si="462"/>
        <v>-1.1738547877969407</v>
      </c>
      <c r="AC79" s="478">
        <f t="shared" si="462"/>
        <v>-1.1259248803112472</v>
      </c>
      <c r="AD79" s="478">
        <f t="shared" si="462"/>
        <v>-1.0799520087855967</v>
      </c>
      <c r="AE79" s="478">
        <f t="shared" si="462"/>
        <v>-1.0358562650801695</v>
      </c>
      <c r="AF79" s="478">
        <f t="shared" si="462"/>
        <v>-0.99356100380092083</v>
      </c>
      <c r="AG79" s="478">
        <f t="shared" si="462"/>
        <v>-0.95299270907773359</v>
      </c>
      <c r="AH79" s="246"/>
    </row>
    <row r="80" spans="1:34" x14ac:dyDescent="0.25">
      <c r="A80" s="246"/>
      <c r="B80" s="435" t="s">
        <v>593</v>
      </c>
      <c r="D80" s="480">
        <f>D79</f>
        <v>-3.7841339999999999</v>
      </c>
      <c r="E80" s="480">
        <f>D80+E79</f>
        <v>-7.3759313660226029</v>
      </c>
      <c r="F80" s="480">
        <f t="shared" ref="F80" si="463">E80+F79</f>
        <v>-10.487829092648919</v>
      </c>
      <c r="G80" s="480">
        <f t="shared" ref="G80" si="464">F80+G79</f>
        <v>-13.443113156202687</v>
      </c>
      <c r="H80" s="480">
        <f t="shared" ref="H80" si="465">G80+H79</f>
        <v>-16.252604202132158</v>
      </c>
      <c r="I80" s="480">
        <f t="shared" ref="I80" si="466">H80+I79</f>
        <v>-18.926229291008248</v>
      </c>
      <c r="J80" s="480">
        <f t="shared" ref="J80" si="467">I80+J79</f>
        <v>-21.473128956637023</v>
      </c>
      <c r="K80" s="480">
        <f t="shared" ref="K80" si="468">J80+K79</f>
        <v>-23.901749428577485</v>
      </c>
      <c r="L80" s="480">
        <f t="shared" ref="L80" si="469">K80+L79</f>
        <v>-26.219922596261441</v>
      </c>
      <c r="M80" s="480">
        <f>L80+M79</f>
        <v>-28.434935829453234</v>
      </c>
      <c r="N80" s="480">
        <f t="shared" ref="N80" si="470">M80+N79</f>
        <v>-30.553593400976382</v>
      </c>
      <c r="O80" s="480">
        <f t="shared" ref="O80" si="471">N80+O79</f>
        <v>-32.582270963437999</v>
      </c>
      <c r="P80" s="480">
        <f t="shared" ref="P80" si="472">O80+P79</f>
        <v>-34.52525830184122</v>
      </c>
      <c r="Q80" s="480">
        <f t="shared" ref="Q80" si="473">P80+Q79</f>
        <v>-36.386620707778604</v>
      </c>
      <c r="R80" s="480">
        <f t="shared" ref="R80" si="474">Q80+R79</f>
        <v>-38.170211510742242</v>
      </c>
      <c r="S80" s="480">
        <f t="shared" ref="S80" si="475">R80+S79</f>
        <v>-39.87968388129007</v>
      </c>
      <c r="T80" s="480">
        <f t="shared" ref="T80" si="476">S80+T79</f>
        <v>-41.518501949378674</v>
      </c>
      <c r="U80" s="480">
        <f t="shared" ref="U80" si="477">T80+U79</f>
        <v>-43.089951278562523</v>
      </c>
      <c r="V80" s="480">
        <f t="shared" ref="V80" si="478">U80+V79</f>
        <v>-44.597148734307972</v>
      </c>
      <c r="W80" s="480">
        <f t="shared" ref="W80" si="479">V80+W79</f>
        <v>-46.043051782367286</v>
      </c>
      <c r="X80" s="694">
        <f t="shared" ref="X80" si="480">W80+X79</f>
        <v>-47.42991686419159</v>
      </c>
      <c r="Y80" s="694">
        <f t="shared" ref="Y80" si="481">X80+Y79</f>
        <v>-48.76015457118384</v>
      </c>
      <c r="Z80" s="694">
        <f t="shared" ref="Z80" si="482">Y80+Z79</f>
        <v>-50.036077067391133</v>
      </c>
      <c r="AA80" s="694">
        <f t="shared" ref="AA80" si="483">Z80+AA79</f>
        <v>-51.259902108412419</v>
      </c>
      <c r="AB80" s="694">
        <f t="shared" ref="AB80" si="484">AA80+AB79</f>
        <v>-52.43375689620936</v>
      </c>
      <c r="AC80" s="695">
        <f t="shared" ref="AC80" si="485">AB80+AC79</f>
        <v>-53.559681776520605</v>
      </c>
      <c r="AD80" s="694">
        <f t="shared" ref="AD80" si="486">AC80+AD79</f>
        <v>-54.639633785306202</v>
      </c>
      <c r="AE80" s="694">
        <f t="shared" ref="AE80" si="487">AD80+AE79</f>
        <v>-55.675490050386372</v>
      </c>
      <c r="AF80" s="694">
        <f t="shared" ref="AF80" si="488">AE80+AF79</f>
        <v>-56.669051054187292</v>
      </c>
      <c r="AG80" s="694">
        <f t="shared" ref="AG80" si="489">AF80+AG79</f>
        <v>-57.622043763265026</v>
      </c>
      <c r="AH80" s="246"/>
    </row>
    <row r="81" spans="1:34" x14ac:dyDescent="0.25">
      <c r="A81" s="246"/>
      <c r="B81" s="435" t="s">
        <v>604</v>
      </c>
      <c r="D81" s="480">
        <f>SUM(D73:D74)-D75</f>
        <v>3.7841339999999999</v>
      </c>
      <c r="E81" s="480">
        <f t="shared" ref="E81:W81" si="490">(SUM(E73:E74)-E75)+D81</f>
        <v>7.7250540699999997</v>
      </c>
      <c r="F81" s="480">
        <f t="shared" si="490"/>
        <v>11.471305426500001</v>
      </c>
      <c r="G81" s="480">
        <f t="shared" si="490"/>
        <v>15.374827402103001</v>
      </c>
      <c r="H81" s="480">
        <f t="shared" si="490"/>
        <v>19.446481238070927</v>
      </c>
      <c r="I81" s="480">
        <f t="shared" si="490"/>
        <v>23.697857101644736</v>
      </c>
      <c r="J81" s="480">
        <f t="shared" si="490"/>
        <v>28.141371891218018</v>
      </c>
      <c r="K81" s="480">
        <f t="shared" si="490"/>
        <v>32.790379362102655</v>
      </c>
      <c r="L81" s="480">
        <f t="shared" si="490"/>
        <v>37.659295183768585</v>
      </c>
      <c r="M81" s="480">
        <f t="shared" si="490"/>
        <v>42.763740029622845</v>
      </c>
      <c r="N81" s="480">
        <f t="shared" si="490"/>
        <v>48.120704411313341</v>
      </c>
      <c r="O81" s="480">
        <f t="shared" si="490"/>
        <v>53.748739729087738</v>
      </c>
      <c r="P81" s="480">
        <f t="shared" si="490"/>
        <v>59.662988083271884</v>
      </c>
      <c r="Q81" s="480">
        <f t="shared" si="490"/>
        <v>65.879493613173565</v>
      </c>
      <c r="R81" s="480">
        <f t="shared" si="490"/>
        <v>72.415258327244942</v>
      </c>
      <c r="S81" s="480">
        <f t="shared" si="490"/>
        <v>79.288301467459831</v>
      </c>
      <c r="T81" s="480">
        <f t="shared" si="490"/>
        <v>86.51772263481287</v>
      </c>
      <c r="U81" s="480">
        <f t="shared" si="490"/>
        <v>94.123768917560028</v>
      </c>
      <c r="V81" s="480">
        <f t="shared" si="490"/>
        <v>102.12790627949408</v>
      </c>
      <c r="W81" s="480">
        <f t="shared" si="490"/>
        <v>110.55289548224707</v>
      </c>
      <c r="X81" s="480">
        <f t="shared" ref="X81" si="491">(SUM(X73:X74)-X75)+W81</f>
        <v>119.41935411922429</v>
      </c>
      <c r="Y81" s="480">
        <f t="shared" ref="Y81" si="492">(SUM(Y73:Y74)-Y75)+X81</f>
        <v>128.75041518877913</v>
      </c>
      <c r="Z81" s="480">
        <f t="shared" ref="Z81" si="493">(SUM(Z73:Z74)-Z75)+Y81</f>
        <v>138.57042385837863</v>
      </c>
      <c r="AA81" s="480">
        <f t="shared" ref="AA81" si="494">(SUM(AA73:AA74)-AA75)+Z81</f>
        <v>148.90500098226516</v>
      </c>
      <c r="AB81" s="480">
        <f t="shared" ref="AB81" si="495">(SUM(AB73:AB74)-AB75)+AA81</f>
        <v>159.78110994744335</v>
      </c>
      <c r="AC81" s="480">
        <f t="shared" ref="AC81" si="496">(SUM(AC73:AC74)-AC75)+AB81</f>
        <v>171.22712702239687</v>
      </c>
      <c r="AD81" s="480">
        <f t="shared" ref="AD81" si="497">(SUM(AD73:AD74)-AD75)+AC81</f>
        <v>183.27291539207795</v>
      </c>
      <c r="AE81" s="480">
        <f t="shared" ref="AE81" si="498">(SUM(AE73:AE74)-AE75)+AD81</f>
        <v>195.94990307233033</v>
      </c>
      <c r="AF81" s="480">
        <f t="shared" ref="AF81" si="499">(SUM(AF73:AF74)-AF75)+AE81</f>
        <v>209.29116490702793</v>
      </c>
      <c r="AG81" s="480">
        <f t="shared" ref="AG81" si="500">(SUM(AG73:AG74)-AG75)+AF81</f>
        <v>223.33150886186368</v>
      </c>
      <c r="AH81" s="246"/>
    </row>
    <row r="82" spans="1:34" x14ac:dyDescent="0.25">
      <c r="A82" s="246"/>
      <c r="B82" s="435" t="s">
        <v>595</v>
      </c>
      <c r="D82" s="480">
        <f>D73</f>
        <v>0</v>
      </c>
      <c r="E82" s="480">
        <f t="shared" ref="E82:W82" si="501">E73+D82</f>
        <v>0</v>
      </c>
      <c r="F82" s="480">
        <f t="shared" si="501"/>
        <v>0</v>
      </c>
      <c r="G82" s="480">
        <f t="shared" si="501"/>
        <v>0</v>
      </c>
      <c r="H82" s="480">
        <f t="shared" si="501"/>
        <v>0</v>
      </c>
      <c r="I82" s="480">
        <f t="shared" si="501"/>
        <v>0</v>
      </c>
      <c r="J82" s="480">
        <f t="shared" si="501"/>
        <v>0</v>
      </c>
      <c r="K82" s="480">
        <f t="shared" si="501"/>
        <v>0</v>
      </c>
      <c r="L82" s="480">
        <f t="shared" si="501"/>
        <v>0</v>
      </c>
      <c r="M82" s="480">
        <f t="shared" si="501"/>
        <v>0</v>
      </c>
      <c r="N82" s="480">
        <f t="shared" si="501"/>
        <v>0</v>
      </c>
      <c r="O82" s="480">
        <f t="shared" si="501"/>
        <v>0</v>
      </c>
      <c r="P82" s="480">
        <f t="shared" si="501"/>
        <v>0</v>
      </c>
      <c r="Q82" s="480">
        <f t="shared" si="501"/>
        <v>0</v>
      </c>
      <c r="R82" s="480">
        <f t="shared" si="501"/>
        <v>0</v>
      </c>
      <c r="S82" s="480">
        <f t="shared" si="501"/>
        <v>0</v>
      </c>
      <c r="T82" s="480">
        <f t="shared" si="501"/>
        <v>0</v>
      </c>
      <c r="U82" s="480">
        <f t="shared" si="501"/>
        <v>0</v>
      </c>
      <c r="V82" s="480">
        <f t="shared" si="501"/>
        <v>0</v>
      </c>
      <c r="W82" s="480">
        <f t="shared" si="501"/>
        <v>0</v>
      </c>
      <c r="X82" s="480">
        <f t="shared" ref="X82:X84" si="502">X73+W82</f>
        <v>0</v>
      </c>
      <c r="Y82" s="480">
        <f t="shared" ref="Y82:Y84" si="503">Y73+X82</f>
        <v>0</v>
      </c>
      <c r="Z82" s="480">
        <f t="shared" ref="Z82:Z84" si="504">Z73+Y82</f>
        <v>0</v>
      </c>
      <c r="AA82" s="480">
        <f t="shared" ref="AA82:AA84" si="505">AA73+Z82</f>
        <v>0</v>
      </c>
      <c r="AB82" s="480">
        <f t="shared" ref="AB82:AB84" si="506">AB73+AA82</f>
        <v>0</v>
      </c>
      <c r="AC82" s="480">
        <f t="shared" ref="AC82:AC84" si="507">AC73+AB82</f>
        <v>0</v>
      </c>
      <c r="AD82" s="480">
        <f t="shared" ref="AD82:AD84" si="508">AD73+AC82</f>
        <v>0</v>
      </c>
      <c r="AE82" s="480">
        <f t="shared" ref="AE82:AE84" si="509">AE73+AD82</f>
        <v>0</v>
      </c>
      <c r="AF82" s="480">
        <f t="shared" ref="AF82:AF84" si="510">AF73+AE82</f>
        <v>0</v>
      </c>
      <c r="AG82" s="480">
        <f t="shared" ref="AG82:AG84" si="511">AG73+AF82</f>
        <v>0</v>
      </c>
      <c r="AH82" s="246"/>
    </row>
    <row r="83" spans="1:34" x14ac:dyDescent="0.25">
      <c r="A83" s="246"/>
      <c r="B83" s="435" t="s">
        <v>596</v>
      </c>
      <c r="D83" s="480">
        <f>D74</f>
        <v>3.7841339999999999</v>
      </c>
      <c r="E83" s="480">
        <f t="shared" ref="E83:W83" si="512">E74+D83</f>
        <v>7.7250540699999997</v>
      </c>
      <c r="F83" s="480">
        <f t="shared" si="512"/>
        <v>11.471305426500001</v>
      </c>
      <c r="G83" s="480">
        <f t="shared" si="512"/>
        <v>15.374827402103001</v>
      </c>
      <c r="H83" s="480">
        <f t="shared" si="512"/>
        <v>19.446481238070927</v>
      </c>
      <c r="I83" s="480">
        <f t="shared" si="512"/>
        <v>23.697857101644736</v>
      </c>
      <c r="J83" s="480">
        <f t="shared" si="512"/>
        <v>28.141371891218018</v>
      </c>
      <c r="K83" s="480">
        <f t="shared" si="512"/>
        <v>32.790379362102655</v>
      </c>
      <c r="L83" s="480">
        <f t="shared" si="512"/>
        <v>37.659295183768585</v>
      </c>
      <c r="M83" s="480">
        <f t="shared" si="512"/>
        <v>42.763740029622845</v>
      </c>
      <c r="N83" s="480">
        <f t="shared" si="512"/>
        <v>48.120704411313341</v>
      </c>
      <c r="O83" s="480">
        <f t="shared" si="512"/>
        <v>53.748739729087738</v>
      </c>
      <c r="P83" s="480">
        <f t="shared" si="512"/>
        <v>59.662988083271884</v>
      </c>
      <c r="Q83" s="480">
        <f t="shared" si="512"/>
        <v>65.879493613173565</v>
      </c>
      <c r="R83" s="480">
        <f t="shared" si="512"/>
        <v>72.415258327244942</v>
      </c>
      <c r="S83" s="480">
        <f t="shared" si="512"/>
        <v>79.288301467459831</v>
      </c>
      <c r="T83" s="480">
        <f t="shared" si="512"/>
        <v>86.51772263481287</v>
      </c>
      <c r="U83" s="480">
        <f t="shared" si="512"/>
        <v>94.123768917560028</v>
      </c>
      <c r="V83" s="480">
        <f t="shared" si="512"/>
        <v>102.12790627949408</v>
      </c>
      <c r="W83" s="480">
        <f t="shared" si="512"/>
        <v>110.55289548224707</v>
      </c>
      <c r="X83" s="480">
        <f t="shared" si="502"/>
        <v>119.41935411922429</v>
      </c>
      <c r="Y83" s="480">
        <f t="shared" si="503"/>
        <v>128.75041518877913</v>
      </c>
      <c r="Z83" s="480">
        <f t="shared" si="504"/>
        <v>138.57042385837863</v>
      </c>
      <c r="AA83" s="480">
        <f t="shared" si="505"/>
        <v>148.90500098226516</v>
      </c>
      <c r="AB83" s="480">
        <f t="shared" si="506"/>
        <v>159.78110994744335</v>
      </c>
      <c r="AC83" s="480">
        <f t="shared" si="507"/>
        <v>171.22712702239687</v>
      </c>
      <c r="AD83" s="480">
        <f t="shared" si="508"/>
        <v>183.27291539207795</v>
      </c>
      <c r="AE83" s="480">
        <f t="shared" si="509"/>
        <v>195.94990307233033</v>
      </c>
      <c r="AF83" s="480">
        <f t="shared" si="510"/>
        <v>209.29116490702793</v>
      </c>
      <c r="AG83" s="480">
        <f t="shared" si="511"/>
        <v>223.33150886186368</v>
      </c>
      <c r="AH83" s="246"/>
    </row>
    <row r="84" spans="1:34" x14ac:dyDescent="0.25">
      <c r="A84" s="246"/>
      <c r="B84" s="435" t="s">
        <v>597</v>
      </c>
      <c r="D84" s="480">
        <f>D75</f>
        <v>0</v>
      </c>
      <c r="E84" s="480">
        <f t="shared" ref="E84:W84" si="513">E75+D84</f>
        <v>0</v>
      </c>
      <c r="F84" s="480">
        <f t="shared" si="513"/>
        <v>0</v>
      </c>
      <c r="G84" s="480">
        <f t="shared" si="513"/>
        <v>0</v>
      </c>
      <c r="H84" s="480">
        <f t="shared" si="513"/>
        <v>0</v>
      </c>
      <c r="I84" s="480">
        <f t="shared" si="513"/>
        <v>0</v>
      </c>
      <c r="J84" s="480">
        <f t="shared" si="513"/>
        <v>0</v>
      </c>
      <c r="K84" s="480">
        <f t="shared" si="513"/>
        <v>0</v>
      </c>
      <c r="L84" s="480">
        <f t="shared" si="513"/>
        <v>0</v>
      </c>
      <c r="M84" s="480">
        <f t="shared" si="513"/>
        <v>0</v>
      </c>
      <c r="N84" s="480">
        <f t="shared" si="513"/>
        <v>0</v>
      </c>
      <c r="O84" s="480">
        <f t="shared" si="513"/>
        <v>0</v>
      </c>
      <c r="P84" s="480">
        <f t="shared" si="513"/>
        <v>0</v>
      </c>
      <c r="Q84" s="480">
        <f t="shared" si="513"/>
        <v>0</v>
      </c>
      <c r="R84" s="480">
        <f t="shared" si="513"/>
        <v>0</v>
      </c>
      <c r="S84" s="480">
        <f t="shared" si="513"/>
        <v>0</v>
      </c>
      <c r="T84" s="480">
        <f t="shared" si="513"/>
        <v>0</v>
      </c>
      <c r="U84" s="480">
        <f t="shared" si="513"/>
        <v>0</v>
      </c>
      <c r="V84" s="480">
        <f t="shared" si="513"/>
        <v>0</v>
      </c>
      <c r="W84" s="480">
        <f t="shared" si="513"/>
        <v>0</v>
      </c>
      <c r="X84" s="480">
        <f t="shared" si="502"/>
        <v>0</v>
      </c>
      <c r="Y84" s="480">
        <f t="shared" si="503"/>
        <v>0</v>
      </c>
      <c r="Z84" s="480">
        <f t="shared" si="504"/>
        <v>0</v>
      </c>
      <c r="AA84" s="480">
        <f t="shared" si="505"/>
        <v>0</v>
      </c>
      <c r="AB84" s="480">
        <f t="shared" si="506"/>
        <v>0</v>
      </c>
      <c r="AC84" s="480">
        <f t="shared" si="507"/>
        <v>0</v>
      </c>
      <c r="AD84" s="480">
        <f t="shared" si="508"/>
        <v>0</v>
      </c>
      <c r="AE84" s="480">
        <f t="shared" si="509"/>
        <v>0</v>
      </c>
      <c r="AF84" s="480">
        <f t="shared" si="510"/>
        <v>0</v>
      </c>
      <c r="AG84" s="480">
        <f t="shared" si="511"/>
        <v>0</v>
      </c>
      <c r="AH84" s="246"/>
    </row>
    <row r="85" spans="1:34" s="246" customFormat="1" x14ac:dyDescent="0.25">
      <c r="B85" s="435" t="s">
        <v>673</v>
      </c>
      <c r="C85" s="201"/>
      <c r="D85" s="480">
        <f>D73</f>
        <v>0</v>
      </c>
      <c r="E85" s="480">
        <f t="shared" ref="E85:W85" si="514">E73/(1.1^E$1)</f>
        <v>0</v>
      </c>
      <c r="F85" s="480">
        <f t="shared" si="514"/>
        <v>0</v>
      </c>
      <c r="G85" s="480">
        <f t="shared" si="514"/>
        <v>0</v>
      </c>
      <c r="H85" s="480">
        <f t="shared" si="514"/>
        <v>0</v>
      </c>
      <c r="I85" s="480">
        <f t="shared" si="514"/>
        <v>0</v>
      </c>
      <c r="J85" s="480">
        <f t="shared" si="514"/>
        <v>0</v>
      </c>
      <c r="K85" s="480">
        <f t="shared" si="514"/>
        <v>0</v>
      </c>
      <c r="L85" s="480">
        <f t="shared" si="514"/>
        <v>0</v>
      </c>
      <c r="M85" s="480">
        <f t="shared" si="514"/>
        <v>0</v>
      </c>
      <c r="N85" s="480">
        <f t="shared" si="514"/>
        <v>0</v>
      </c>
      <c r="O85" s="480">
        <f t="shared" si="514"/>
        <v>0</v>
      </c>
      <c r="P85" s="480">
        <f t="shared" si="514"/>
        <v>0</v>
      </c>
      <c r="Q85" s="480">
        <f t="shared" si="514"/>
        <v>0</v>
      </c>
      <c r="R85" s="480">
        <f t="shared" si="514"/>
        <v>0</v>
      </c>
      <c r="S85" s="480">
        <f t="shared" si="514"/>
        <v>0</v>
      </c>
      <c r="T85" s="480">
        <f t="shared" si="514"/>
        <v>0</v>
      </c>
      <c r="U85" s="480">
        <f t="shared" si="514"/>
        <v>0</v>
      </c>
      <c r="V85" s="480">
        <f t="shared" si="514"/>
        <v>0</v>
      </c>
      <c r="W85" s="480">
        <f t="shared" si="514"/>
        <v>0</v>
      </c>
      <c r="X85" s="480">
        <f t="shared" ref="X85:AG85" si="515">X73/(1.1^X$1)</f>
        <v>0</v>
      </c>
      <c r="Y85" s="480">
        <f t="shared" si="515"/>
        <v>0</v>
      </c>
      <c r="Z85" s="480">
        <f t="shared" si="515"/>
        <v>0</v>
      </c>
      <c r="AA85" s="480">
        <f t="shared" si="515"/>
        <v>0</v>
      </c>
      <c r="AB85" s="480">
        <f t="shared" si="515"/>
        <v>0</v>
      </c>
      <c r="AC85" s="480">
        <f t="shared" si="515"/>
        <v>0</v>
      </c>
      <c r="AD85" s="480">
        <f t="shared" si="515"/>
        <v>0</v>
      </c>
      <c r="AE85" s="480">
        <f t="shared" si="515"/>
        <v>0</v>
      </c>
      <c r="AF85" s="480">
        <f t="shared" si="515"/>
        <v>0</v>
      </c>
      <c r="AG85" s="480">
        <f t="shared" si="515"/>
        <v>0</v>
      </c>
      <c r="AH85" s="479">
        <f>-SUM(D85:AG85)</f>
        <v>0</v>
      </c>
    </row>
    <row r="86" spans="1:34" s="246" customFormat="1" x14ac:dyDescent="0.25">
      <c r="B86" s="435" t="s">
        <v>675</v>
      </c>
      <c r="C86" s="201"/>
      <c r="D86" s="480">
        <f>D74</f>
        <v>3.7841339999999999</v>
      </c>
      <c r="E86" s="480">
        <f t="shared" ref="E86:W86" si="516">E74/(1.1^E$1)</f>
        <v>3.5826546090909086</v>
      </c>
      <c r="F86" s="480">
        <f t="shared" si="516"/>
        <v>3.0960755012396697</v>
      </c>
      <c r="G86" s="480">
        <f t="shared" si="516"/>
        <v>2.9327738359151012</v>
      </c>
      <c r="H86" s="480">
        <f t="shared" si="516"/>
        <v>2.7809943555548968</v>
      </c>
      <c r="I86" s="480">
        <f t="shared" si="516"/>
        <v>2.639769926032006</v>
      </c>
      <c r="J86" s="480">
        <f t="shared" si="516"/>
        <v>2.5082482565225135</v>
      </c>
      <c r="K86" s="480">
        <f t="shared" si="516"/>
        <v>2.3856759253996569</v>
      </c>
      <c r="L86" s="480">
        <f t="shared" si="516"/>
        <v>2.2713851644270941</v>
      </c>
      <c r="M86" s="480">
        <f t="shared" si="516"/>
        <v>2.1647829022404972</v>
      </c>
      <c r="N86" s="480">
        <f t="shared" si="516"/>
        <v>2.0653416690737894</v>
      </c>
      <c r="O86" s="480">
        <f t="shared" si="516"/>
        <v>1.9725920449457444</v>
      </c>
      <c r="P86" s="480">
        <f t="shared" si="516"/>
        <v>1.8844617892358237</v>
      </c>
      <c r="Q86" s="480">
        <f t="shared" si="516"/>
        <v>1.8007002184486596</v>
      </c>
      <c r="R86" s="480">
        <f t="shared" si="516"/>
        <v>1.7210711200058326</v>
      </c>
      <c r="S86" s="480">
        <f t="shared" si="516"/>
        <v>1.6453518827387144</v>
      </c>
      <c r="T86" s="480">
        <f t="shared" si="516"/>
        <v>1.5733326809140487</v>
      </c>
      <c r="U86" s="480">
        <f t="shared" si="516"/>
        <v>1.5048157084492144</v>
      </c>
      <c r="V86" s="480">
        <f t="shared" si="516"/>
        <v>1.4396144601845853</v>
      </c>
      <c r="W86" s="480">
        <f t="shared" si="516"/>
        <v>1.3775530572775823</v>
      </c>
      <c r="X86" s="480">
        <f t="shared" ref="X86:AG86" si="517">X74/(1.1^X$1)</f>
        <v>1.3179425795262978</v>
      </c>
      <c r="Y86" s="480">
        <f t="shared" si="517"/>
        <v>1.2609116097213415</v>
      </c>
      <c r="Z86" s="480">
        <f t="shared" si="517"/>
        <v>1.2063485255188542</v>
      </c>
      <c r="AA86" s="480">
        <f t="shared" si="517"/>
        <v>1.15414653477822</v>
      </c>
      <c r="AB86" s="480">
        <f t="shared" si="517"/>
        <v>1.104203466545999</v>
      </c>
      <c r="AC86" s="480">
        <f t="shared" si="517"/>
        <v>1.0564215710845537</v>
      </c>
      <c r="AD86" s="480">
        <f t="shared" si="517"/>
        <v>1.0107073285539858</v>
      </c>
      <c r="AE86" s="480">
        <f t="shared" si="517"/>
        <v>0.96697126597292216</v>
      </c>
      <c r="AF86" s="480">
        <f t="shared" si="517"/>
        <v>0.92512778209991209</v>
      </c>
      <c r="AG86" s="480">
        <f t="shared" si="517"/>
        <v>0.88509497989267949</v>
      </c>
      <c r="AH86" s="479">
        <f>-SUM(D86:AG86)</f>
        <v>-56.019204751391101</v>
      </c>
    </row>
    <row r="87" spans="1:34" s="246" customFormat="1" x14ac:dyDescent="0.25">
      <c r="B87" s="435" t="s">
        <v>674</v>
      </c>
      <c r="C87" s="201"/>
      <c r="D87" s="480">
        <f>D75</f>
        <v>0</v>
      </c>
      <c r="E87" s="480">
        <f t="shared" ref="E87:W87" si="518">E75/(1.1^E$1)</f>
        <v>0</v>
      </c>
      <c r="F87" s="480">
        <f t="shared" si="518"/>
        <v>0</v>
      </c>
      <c r="G87" s="480">
        <f t="shared" si="518"/>
        <v>0</v>
      </c>
      <c r="H87" s="480">
        <f t="shared" si="518"/>
        <v>0</v>
      </c>
      <c r="I87" s="480">
        <f t="shared" si="518"/>
        <v>0</v>
      </c>
      <c r="J87" s="480">
        <f t="shared" si="518"/>
        <v>0</v>
      </c>
      <c r="K87" s="480">
        <f t="shared" si="518"/>
        <v>0</v>
      </c>
      <c r="L87" s="480">
        <f t="shared" si="518"/>
        <v>0</v>
      </c>
      <c r="M87" s="480">
        <f t="shared" si="518"/>
        <v>0</v>
      </c>
      <c r="N87" s="480">
        <f t="shared" si="518"/>
        <v>0</v>
      </c>
      <c r="O87" s="480">
        <f t="shared" si="518"/>
        <v>0</v>
      </c>
      <c r="P87" s="480">
        <f t="shared" si="518"/>
        <v>0</v>
      </c>
      <c r="Q87" s="480">
        <f t="shared" si="518"/>
        <v>0</v>
      </c>
      <c r="R87" s="480">
        <f t="shared" si="518"/>
        <v>0</v>
      </c>
      <c r="S87" s="480">
        <f t="shared" si="518"/>
        <v>0</v>
      </c>
      <c r="T87" s="480">
        <f t="shared" si="518"/>
        <v>0</v>
      </c>
      <c r="U87" s="480">
        <f t="shared" si="518"/>
        <v>0</v>
      </c>
      <c r="V87" s="480">
        <f t="shared" si="518"/>
        <v>0</v>
      </c>
      <c r="W87" s="480">
        <f t="shared" si="518"/>
        <v>0</v>
      </c>
      <c r="X87" s="480">
        <f t="shared" ref="X87:AG87" si="519">X75/(1.1^X$1)</f>
        <v>0</v>
      </c>
      <c r="Y87" s="480">
        <f t="shared" si="519"/>
        <v>0</v>
      </c>
      <c r="Z87" s="480">
        <f t="shared" si="519"/>
        <v>0</v>
      </c>
      <c r="AA87" s="480">
        <f t="shared" si="519"/>
        <v>0</v>
      </c>
      <c r="AB87" s="480">
        <f t="shared" si="519"/>
        <v>0</v>
      </c>
      <c r="AC87" s="480">
        <f t="shared" si="519"/>
        <v>0</v>
      </c>
      <c r="AD87" s="480">
        <f t="shared" si="519"/>
        <v>0</v>
      </c>
      <c r="AE87" s="480">
        <f t="shared" si="519"/>
        <v>0</v>
      </c>
      <c r="AF87" s="480">
        <f t="shared" si="519"/>
        <v>0</v>
      </c>
      <c r="AG87" s="480">
        <f t="shared" si="519"/>
        <v>0</v>
      </c>
      <c r="AH87" s="479">
        <f>SUM(D87:AG87)</f>
        <v>0</v>
      </c>
    </row>
    <row r="89" spans="1:34" x14ac:dyDescent="0.25">
      <c r="A89" s="465" t="s">
        <v>601</v>
      </c>
      <c r="B89" s="464"/>
      <c r="C89" s="512"/>
      <c r="D89" s="463"/>
      <c r="E89" s="463"/>
      <c r="F89" s="463"/>
      <c r="G89" s="463"/>
      <c r="H89" s="463"/>
      <c r="I89" s="463"/>
      <c r="J89" s="463"/>
      <c r="K89" s="463"/>
      <c r="L89" s="463"/>
      <c r="M89" s="463"/>
      <c r="N89" s="463"/>
      <c r="O89" s="463"/>
      <c r="P89" s="463"/>
      <c r="Q89" s="463"/>
      <c r="R89" s="463"/>
      <c r="S89" s="463"/>
      <c r="T89" s="463"/>
      <c r="U89" s="463"/>
      <c r="V89" s="463"/>
      <c r="W89" s="463"/>
      <c r="X89" s="481"/>
      <c r="Y89" s="481"/>
      <c r="Z89" s="481"/>
      <c r="AA89" s="481"/>
      <c r="AB89" s="481"/>
      <c r="AC89" s="481"/>
      <c r="AD89" s="481"/>
      <c r="AE89" s="481"/>
      <c r="AF89" s="481"/>
      <c r="AG89" s="481"/>
      <c r="AH89" s="246"/>
    </row>
    <row r="90" spans="1:34" x14ac:dyDescent="0.25">
      <c r="A90" s="472" t="s">
        <v>594</v>
      </c>
      <c r="B90" s="470" t="s">
        <v>586</v>
      </c>
      <c r="C90" s="510">
        <v>10</v>
      </c>
      <c r="D90" s="471">
        <f>SUM('[1]Option Implementation Cost'!I$276:I$323)</f>
        <v>2.7629999999999999</v>
      </c>
      <c r="E90" s="471">
        <f>SUM('[1]Option Implementation Cost'!J$276:J$323)</f>
        <v>10.292819999999999</v>
      </c>
      <c r="F90" s="471">
        <f>SUM('[1]Option Implementation Cost'!K$276:K$323)</f>
        <v>9.9066887999999995</v>
      </c>
      <c r="G90" s="471">
        <f>SUM('[1]Option Implementation Cost'!L$276:L$323)</f>
        <v>0</v>
      </c>
      <c r="H90" s="471">
        <f>SUM('[1]Option Implementation Cost'!M$276:M$323)</f>
        <v>0</v>
      </c>
      <c r="I90" s="471">
        <f>SUM('[1]Option Implementation Cost'!N$276:N$323)</f>
        <v>0</v>
      </c>
      <c r="J90" s="471">
        <f>SUM('[1]Option Implementation Cost'!O$276:O$323)</f>
        <v>0</v>
      </c>
      <c r="K90" s="471">
        <f>SUM('[1]Option Implementation Cost'!P$276:P$323)</f>
        <v>0</v>
      </c>
      <c r="L90" s="471">
        <f>SUM('[1]Option Implementation Cost'!Q$276:Q$323)</f>
        <v>0</v>
      </c>
      <c r="M90" s="471">
        <f>SUM('[1]Option Implementation Cost'!R$276:R$323)</f>
        <v>0</v>
      </c>
      <c r="N90" s="471">
        <f>SUM('[1]Option Implementation Cost'!S$276:S$323)</f>
        <v>0</v>
      </c>
      <c r="O90" s="471">
        <f>SUM('[1]Option Implementation Cost'!T$276:T$323)</f>
        <v>0</v>
      </c>
      <c r="P90" s="471">
        <f>SUM('[1]Option Implementation Cost'!U$276:U$323)</f>
        <v>0</v>
      </c>
      <c r="Q90" s="471">
        <f>SUM('[1]Option Implementation Cost'!V$276:V$323)</f>
        <v>0</v>
      </c>
      <c r="R90" s="471">
        <f>SUM('[1]Option Implementation Cost'!W$276:W$323)</f>
        <v>0</v>
      </c>
      <c r="S90" s="471">
        <f>SUM('[1]Option Implementation Cost'!X$276:X$323)</f>
        <v>0</v>
      </c>
      <c r="T90" s="471">
        <f>SUM('[1]Option Implementation Cost'!Y$276:Y$323)</f>
        <v>0</v>
      </c>
      <c r="U90" s="471">
        <f>SUM('[1]Option Implementation Cost'!Z$276:Z$323)</f>
        <v>0</v>
      </c>
      <c r="V90" s="471">
        <f>SUM('[1]Option Implementation Cost'!AA$276:AA$323)</f>
        <v>0</v>
      </c>
      <c r="W90" s="467">
        <f>SUM('[1]Option Implementation Cost'!AB$276:AB$323)</f>
        <v>0</v>
      </c>
      <c r="X90" s="683">
        <v>0</v>
      </c>
      <c r="Y90" s="679">
        <v>0</v>
      </c>
      <c r="Z90" s="679">
        <v>0</v>
      </c>
      <c r="AA90" s="679">
        <v>0</v>
      </c>
      <c r="AB90" s="679">
        <v>0</v>
      </c>
      <c r="AC90" s="679">
        <v>0</v>
      </c>
      <c r="AD90" s="679">
        <v>0</v>
      </c>
      <c r="AE90" s="679">
        <v>0</v>
      </c>
      <c r="AF90" s="679">
        <v>0</v>
      </c>
      <c r="AG90" s="684">
        <v>0</v>
      </c>
      <c r="AH90" s="479">
        <f>SUM(D90:AG90)</f>
        <v>22.962508799999998</v>
      </c>
    </row>
    <row r="91" spans="1:34" x14ac:dyDescent="0.25">
      <c r="A91" s="473">
        <f>$A$3-'[1]Preferred Option'!$H$11</f>
        <v>-29</v>
      </c>
      <c r="B91" s="470" t="s">
        <v>585</v>
      </c>
      <c r="C91" s="510"/>
      <c r="D91" s="471">
        <f>SUM('[1]Option Lifecycle Cost'!G$276:G$323)</f>
        <v>3.7841339999999999</v>
      </c>
      <c r="E91" s="471">
        <f>SUM('[1]Option Lifecycle Cost'!H$276:H$323)</f>
        <v>2.5295025099999999</v>
      </c>
      <c r="F91" s="471">
        <f>SUM('[1]Option Lifecycle Cost'!I$276:I$323)</f>
        <v>3.6615663028999998</v>
      </c>
      <c r="G91" s="471">
        <f>SUM('[1]Option Lifecycle Cost'!J$276:J$323)</f>
        <v>3.8137558187870009</v>
      </c>
      <c r="H91" s="471">
        <f>SUM('[1]Option Lifecycle Cost'!K$276:K$323)</f>
        <v>3.9765017097429656</v>
      </c>
      <c r="I91" s="471">
        <f>SUM('[1]Option Lifecycle Cost'!L$276:L$323)</f>
        <v>4.1505146097753496</v>
      </c>
      <c r="J91" s="471">
        <f>SUM('[1]Option Lifecycle Cost'!M$276:M$323)</f>
        <v>4.3366018605469181</v>
      </c>
      <c r="K91" s="471">
        <f>SUM('[1]Option Lifecycle Cost'!N$276:N$323)</f>
        <v>4.5356797661166919</v>
      </c>
      <c r="L91" s="471">
        <f>SUM('[1]Option Lifecycle Cost'!O$276:O$323)</f>
        <v>4.7487884546119083</v>
      </c>
      <c r="M91" s="471">
        <f>SUM('[1]Option Lifecycle Cost'!P$276:P$323)</f>
        <v>4.9771098367769966</v>
      </c>
      <c r="N91" s="471">
        <f>SUM('[1]Option Lifecycle Cost'!Q$276:Q$323)</f>
        <v>5.2219892720685923</v>
      </c>
      <c r="O91" s="471">
        <f>SUM('[1]Option Lifecycle Cost'!R$276:R$323)</f>
        <v>5.4849617015751804</v>
      </c>
      <c r="P91" s="471">
        <f>SUM('[1]Option Lifecycle Cost'!S$276:S$323)</f>
        <v>5.7625903210129739</v>
      </c>
      <c r="Q91" s="471">
        <f>SUM('[1]Option Lifecycle Cost'!T$276:T$323)</f>
        <v>6.0557480147402414</v>
      </c>
      <c r="R91" s="471">
        <f>SUM('[1]Option Lifecycle Cost'!U$276:U$323)</f>
        <v>6.3653617480002538</v>
      </c>
      <c r="S91" s="471">
        <f>SUM('[1]Option Lifecycle Cost'!V$276:V$323)</f>
        <v>6.6924159961795038</v>
      </c>
      <c r="T91" s="471">
        <f>SUM('[1]Option Lifecycle Cost'!W$276:W$323)</f>
        <v>7.0379563946755237</v>
      </c>
      <c r="U91" s="471">
        <f>SUM('[1]Option Lifecycle Cost'!X$276:X$323)</f>
        <v>7.4030936237089922</v>
      </c>
      <c r="V91" s="471">
        <f>SUM('[1]Option Lifecycle Cost'!Y$276:Y$323)</f>
        <v>7.7890075433536001</v>
      </c>
      <c r="W91" s="467">
        <f>SUM('[1]Option Lifecycle Cost'!Z$276:Z$323)</f>
        <v>8.1969515950576906</v>
      </c>
      <c r="X91" s="683">
        <f>W91*1.0524</f>
        <v>8.6264718586387144</v>
      </c>
      <c r="Y91" s="679">
        <f t="shared" ref="Y91:AG91" si="520">X91*1.0524</f>
        <v>9.0784989840313823</v>
      </c>
      <c r="Z91" s="679">
        <f t="shared" si="520"/>
        <v>9.554212330794627</v>
      </c>
      <c r="AA91" s="679">
        <f t="shared" si="520"/>
        <v>10.054853056928266</v>
      </c>
      <c r="AB91" s="679">
        <f t="shared" si="520"/>
        <v>10.581727357111307</v>
      </c>
      <c r="AC91" s="679">
        <f t="shared" si="520"/>
        <v>11.136209870623938</v>
      </c>
      <c r="AD91" s="679">
        <f t="shared" si="520"/>
        <v>11.719747267844633</v>
      </c>
      <c r="AE91" s="679">
        <f t="shared" si="520"/>
        <v>12.333862024679693</v>
      </c>
      <c r="AF91" s="679">
        <f t="shared" si="520"/>
        <v>12.980156394772909</v>
      </c>
      <c r="AG91" s="684">
        <f t="shared" si="520"/>
        <v>13.66031658985901</v>
      </c>
      <c r="AH91" s="479">
        <f>SUM(D91:AG91)</f>
        <v>216.25028681491483</v>
      </c>
    </row>
    <row r="92" spans="1:34" x14ac:dyDescent="0.25">
      <c r="A92" s="246"/>
      <c r="B92" s="469" t="s">
        <v>587</v>
      </c>
      <c r="C92" s="511"/>
      <c r="D92" s="468">
        <f>SUM('[1]Option Lifecycle Benefits'!J$276:J$323)</f>
        <v>0</v>
      </c>
      <c r="E92" s="468">
        <f>SUM('[1]Option Lifecycle Benefits'!K$276:K$323)</f>
        <v>0</v>
      </c>
      <c r="F92" s="468">
        <f>SUM('[1]Option Lifecycle Benefits'!L$276:L$323)</f>
        <v>0</v>
      </c>
      <c r="G92" s="468">
        <f>SUM('[1]Option Lifecycle Benefits'!M$276:M$323)</f>
        <v>0</v>
      </c>
      <c r="H92" s="468">
        <f>SUM('[1]Option Lifecycle Benefits'!N$276:N$323)</f>
        <v>0</v>
      </c>
      <c r="I92" s="468">
        <f>SUM('[1]Option Lifecycle Benefits'!O$276:O$323)</f>
        <v>0</v>
      </c>
      <c r="J92" s="468">
        <f>SUM('[1]Option Lifecycle Benefits'!P$276:P$323)</f>
        <v>0</v>
      </c>
      <c r="K92" s="468">
        <f>SUM('[1]Option Lifecycle Benefits'!Q$276:Q$323)</f>
        <v>0</v>
      </c>
      <c r="L92" s="468">
        <f>SUM('[1]Option Lifecycle Benefits'!R$276:R$323)</f>
        <v>0</v>
      </c>
      <c r="M92" s="468">
        <f>SUM('[1]Option Lifecycle Benefits'!S$276:S$323)</f>
        <v>0</v>
      </c>
      <c r="N92" s="468">
        <f>SUM('[1]Option Lifecycle Benefits'!T$276:T$323)</f>
        <v>0</v>
      </c>
      <c r="O92" s="468">
        <f>SUM('[1]Option Lifecycle Benefits'!U$276:U$323)</f>
        <v>0</v>
      </c>
      <c r="P92" s="468">
        <f>SUM('[1]Option Lifecycle Benefits'!V$276:V$323)</f>
        <v>0</v>
      </c>
      <c r="Q92" s="468">
        <f>SUM('[1]Option Lifecycle Benefits'!W$276:W$323)</f>
        <v>0</v>
      </c>
      <c r="R92" s="468">
        <f>SUM('[1]Option Lifecycle Benefits'!X$276:X$323)</f>
        <v>0</v>
      </c>
      <c r="S92" s="468">
        <f>SUM('[1]Option Lifecycle Benefits'!Y$276:Y$323)</f>
        <v>0</v>
      </c>
      <c r="T92" s="468">
        <f>SUM('[1]Option Lifecycle Benefits'!Z$276:Z$323)</f>
        <v>0</v>
      </c>
      <c r="U92" s="468">
        <f>SUM('[1]Option Lifecycle Benefits'!AA$276:AA$323)</f>
        <v>0</v>
      </c>
      <c r="V92" s="468">
        <f>SUM('[1]Option Lifecycle Benefits'!AB$276:AB$323)</f>
        <v>0</v>
      </c>
      <c r="W92" s="466">
        <f>SUM('[1]Option Lifecycle Benefits'!AC$276:AC$323)</f>
        <v>0</v>
      </c>
      <c r="X92" s="685">
        <v>0</v>
      </c>
      <c r="Y92" s="686">
        <v>0</v>
      </c>
      <c r="Z92" s="686">
        <v>0</v>
      </c>
      <c r="AA92" s="686">
        <v>0</v>
      </c>
      <c r="AB92" s="686">
        <v>0</v>
      </c>
      <c r="AC92" s="686">
        <v>0</v>
      </c>
      <c r="AD92" s="686">
        <v>0</v>
      </c>
      <c r="AE92" s="686">
        <v>0</v>
      </c>
      <c r="AF92" s="686">
        <v>0</v>
      </c>
      <c r="AG92" s="687">
        <f>AH93</f>
        <v>0</v>
      </c>
      <c r="AH92" s="479">
        <f>SUM(D92:AG92)</f>
        <v>0</v>
      </c>
    </row>
    <row r="93" spans="1:34" s="246" customFormat="1" x14ac:dyDescent="0.25">
      <c r="B93" s="435" t="s">
        <v>676</v>
      </c>
      <c r="C93" s="510"/>
      <c r="D93" s="471">
        <f>IF(D90-((D90/$C90)*($C$1-D$1))&gt;0,D90-((D90/$C90)*($C$1-D$1)),0)</f>
        <v>0</v>
      </c>
      <c r="E93" s="471">
        <f t="shared" ref="E93:W93" si="521">IF(E90-((E90/$C90)*($C$1-E$1))&gt;0,E90-((E90/$C90)*($C$1-E$1)),0)</f>
        <v>0</v>
      </c>
      <c r="F93" s="471">
        <f t="shared" si="521"/>
        <v>0</v>
      </c>
      <c r="G93" s="471">
        <f t="shared" si="521"/>
        <v>0</v>
      </c>
      <c r="H93" s="471">
        <f t="shared" si="521"/>
        <v>0</v>
      </c>
      <c r="I93" s="471">
        <f t="shared" si="521"/>
        <v>0</v>
      </c>
      <c r="J93" s="471">
        <f t="shared" si="521"/>
        <v>0</v>
      </c>
      <c r="K93" s="471">
        <f t="shared" si="521"/>
        <v>0</v>
      </c>
      <c r="L93" s="471">
        <f t="shared" si="521"/>
        <v>0</v>
      </c>
      <c r="M93" s="471">
        <f t="shared" si="521"/>
        <v>0</v>
      </c>
      <c r="N93" s="471">
        <f t="shared" si="521"/>
        <v>0</v>
      </c>
      <c r="O93" s="471">
        <f t="shared" si="521"/>
        <v>0</v>
      </c>
      <c r="P93" s="471">
        <f t="shared" si="521"/>
        <v>0</v>
      </c>
      <c r="Q93" s="471">
        <f t="shared" si="521"/>
        <v>0</v>
      </c>
      <c r="R93" s="471">
        <f t="shared" si="521"/>
        <v>0</v>
      </c>
      <c r="S93" s="471">
        <f t="shared" si="521"/>
        <v>0</v>
      </c>
      <c r="T93" s="471">
        <f t="shared" si="521"/>
        <v>0</v>
      </c>
      <c r="U93" s="471">
        <f t="shared" si="521"/>
        <v>0</v>
      </c>
      <c r="V93" s="471">
        <f t="shared" si="521"/>
        <v>0</v>
      </c>
      <c r="W93" s="471">
        <f t="shared" si="521"/>
        <v>0</v>
      </c>
      <c r="X93" s="679">
        <f t="shared" ref="X93:AG93" si="522">IF(X90-((X90/$C90)*($C$1-X$1))&gt;0,X90-((X90/$C90)*($C$1-X$1)),0)</f>
        <v>0</v>
      </c>
      <c r="Y93" s="679">
        <f t="shared" si="522"/>
        <v>0</v>
      </c>
      <c r="Z93" s="679">
        <f t="shared" si="522"/>
        <v>0</v>
      </c>
      <c r="AA93" s="679">
        <f t="shared" si="522"/>
        <v>0</v>
      </c>
      <c r="AB93" s="679">
        <f t="shared" si="522"/>
        <v>0</v>
      </c>
      <c r="AC93" s="679">
        <f t="shared" si="522"/>
        <v>0</v>
      </c>
      <c r="AD93" s="679">
        <f t="shared" si="522"/>
        <v>0</v>
      </c>
      <c r="AE93" s="679">
        <f t="shared" si="522"/>
        <v>0</v>
      </c>
      <c r="AF93" s="679">
        <f t="shared" si="522"/>
        <v>0</v>
      </c>
      <c r="AG93" s="679">
        <f t="shared" si="522"/>
        <v>0</v>
      </c>
      <c r="AH93" s="548">
        <f>SUM(D93:AG93)</f>
        <v>0</v>
      </c>
    </row>
    <row r="94" spans="1:34" x14ac:dyDescent="0.25">
      <c r="A94" s="246"/>
      <c r="B94" s="435" t="s">
        <v>588</v>
      </c>
      <c r="D94" s="479">
        <f>D92-SUM(D90:D91)</f>
        <v>-6.5471339999999998</v>
      </c>
      <c r="E94" s="479">
        <f t="shared" ref="E94" si="523">E92-SUM(E90:E91)</f>
        <v>-12.822322509999999</v>
      </c>
      <c r="F94" s="479">
        <f t="shared" ref="F94" si="524">F92-SUM(F90:F91)</f>
        <v>-13.5682551029</v>
      </c>
      <c r="G94" s="479">
        <f t="shared" ref="G94" si="525">G92-SUM(G90:G91)</f>
        <v>-3.8137558187870009</v>
      </c>
      <c r="H94" s="479">
        <f t="shared" ref="H94" si="526">H92-SUM(H90:H91)</f>
        <v>-3.9765017097429656</v>
      </c>
      <c r="I94" s="479">
        <f t="shared" ref="I94" si="527">I92-SUM(I90:I91)</f>
        <v>-4.1505146097753496</v>
      </c>
      <c r="J94" s="479">
        <f t="shared" ref="J94" si="528">J92-SUM(J90:J91)</f>
        <v>-4.3366018605469181</v>
      </c>
      <c r="K94" s="479">
        <f t="shared" ref="K94" si="529">K92-SUM(K90:K91)</f>
        <v>-4.5356797661166919</v>
      </c>
      <c r="L94" s="479">
        <f t="shared" ref="L94" si="530">L92-SUM(L90:L91)</f>
        <v>-4.7487884546119083</v>
      </c>
      <c r="M94" s="479">
        <f t="shared" ref="M94" si="531">M92-SUM(M90:M91)</f>
        <v>-4.9771098367769966</v>
      </c>
      <c r="N94" s="479">
        <f t="shared" ref="N94" si="532">N92-SUM(N90:N91)</f>
        <v>-5.2219892720685923</v>
      </c>
      <c r="O94" s="479">
        <f t="shared" ref="O94" si="533">O92-SUM(O90:O91)</f>
        <v>-5.4849617015751804</v>
      </c>
      <c r="P94" s="479">
        <f t="shared" ref="P94" si="534">P92-SUM(P90:P91)</f>
        <v>-5.7625903210129739</v>
      </c>
      <c r="Q94" s="479">
        <f t="shared" ref="Q94" si="535">Q92-SUM(Q90:Q91)</f>
        <v>-6.0557480147402414</v>
      </c>
      <c r="R94" s="479">
        <f t="shared" ref="R94" si="536">R92-SUM(R90:R91)</f>
        <v>-6.3653617480002538</v>
      </c>
      <c r="S94" s="479">
        <f t="shared" ref="S94" si="537">S92-SUM(S90:S91)</f>
        <v>-6.6924159961795038</v>
      </c>
      <c r="T94" s="479">
        <f t="shared" ref="T94" si="538">T92-SUM(T90:T91)</f>
        <v>-7.0379563946755237</v>
      </c>
      <c r="U94" s="479">
        <f t="shared" ref="U94" si="539">U92-SUM(U90:U91)</f>
        <v>-7.4030936237089922</v>
      </c>
      <c r="V94" s="479">
        <f t="shared" ref="V94" si="540">V92-SUM(V90:V91)</f>
        <v>-7.7890075433536001</v>
      </c>
      <c r="W94" s="479">
        <f t="shared" ref="W94:AG94" si="541">W92-SUM(W90:W91)</f>
        <v>-8.1969515950576906</v>
      </c>
      <c r="X94" s="479">
        <f t="shared" si="541"/>
        <v>-8.6264718586387144</v>
      </c>
      <c r="Y94" s="479">
        <f t="shared" si="541"/>
        <v>-9.0784989840313823</v>
      </c>
      <c r="Z94" s="479">
        <f t="shared" ref="Z94:AG94" si="542">Z92-SUM(Z90:Z91)</f>
        <v>-9.554212330794627</v>
      </c>
      <c r="AA94" s="479">
        <f t="shared" si="541"/>
        <v>-10.054853056928266</v>
      </c>
      <c r="AB94" s="479">
        <f t="shared" si="541"/>
        <v>-10.581727357111307</v>
      </c>
      <c r="AC94" s="479">
        <f t="shared" ref="AC94:AG94" si="543">AC92-SUM(AC90:AC91)</f>
        <v>-11.136209870623938</v>
      </c>
      <c r="AD94" s="479">
        <f t="shared" si="541"/>
        <v>-11.719747267844633</v>
      </c>
      <c r="AE94" s="479">
        <f t="shared" si="541"/>
        <v>-12.333862024679693</v>
      </c>
      <c r="AF94" s="479">
        <f t="shared" ref="AF94:AG94" si="544">AF92-SUM(AF90:AF91)</f>
        <v>-12.980156394772909</v>
      </c>
      <c r="AG94" s="479">
        <f t="shared" si="541"/>
        <v>-13.66031658985901</v>
      </c>
      <c r="AH94" s="479">
        <f t="shared" ref="AH94" si="545">SUM(AH90:AH91)-AH92</f>
        <v>239.21279561491482</v>
      </c>
    </row>
    <row r="95" spans="1:34" x14ac:dyDescent="0.25">
      <c r="A95" s="246"/>
      <c r="B95" s="435" t="s">
        <v>592</v>
      </c>
      <c r="D95" s="480">
        <f>D94</f>
        <v>-6.5471339999999998</v>
      </c>
      <c r="E95" s="480">
        <f>E94+D95</f>
        <v>-19.369456509999999</v>
      </c>
      <c r="F95" s="480">
        <f t="shared" ref="F95" si="546">F94+E95</f>
        <v>-32.937711612900003</v>
      </c>
      <c r="G95" s="480">
        <f t="shared" ref="G95" si="547">G94+F95</f>
        <v>-36.751467431687004</v>
      </c>
      <c r="H95" s="480">
        <f t="shared" ref="H95" si="548">H94+G95</f>
        <v>-40.727969141429966</v>
      </c>
      <c r="I95" s="480">
        <f t="shared" ref="I95" si="549">I94+H95</f>
        <v>-44.878483751205316</v>
      </c>
      <c r="J95" s="480">
        <f t="shared" ref="J95" si="550">J94+I95</f>
        <v>-49.215085611752237</v>
      </c>
      <c r="K95" s="480">
        <f t="shared" ref="K95" si="551">K94+J95</f>
        <v>-53.75076537786893</v>
      </c>
      <c r="L95" s="480">
        <f t="shared" ref="L95" si="552">L94+K95</f>
        <v>-58.499553832480842</v>
      </c>
      <c r="M95" s="480">
        <f t="shared" ref="M95" si="553">M94+L95</f>
        <v>-63.476663669257839</v>
      </c>
      <c r="N95" s="480">
        <f t="shared" ref="N95" si="554">N94+M95</f>
        <v>-68.698652941326429</v>
      </c>
      <c r="O95" s="480">
        <f t="shared" ref="O95" si="555">O94+N95</f>
        <v>-74.183614642901603</v>
      </c>
      <c r="P95" s="480">
        <f t="shared" ref="P95" si="556">P94+O95</f>
        <v>-79.946204963914582</v>
      </c>
      <c r="Q95" s="480">
        <f t="shared" ref="Q95" si="557">Q94+P95</f>
        <v>-86.001952978654828</v>
      </c>
      <c r="R95" s="480">
        <f t="shared" ref="R95" si="558">R94+Q95</f>
        <v>-92.367314726655081</v>
      </c>
      <c r="S95" s="480">
        <f t="shared" ref="S95" si="559">S94+R95</f>
        <v>-99.059730722834587</v>
      </c>
      <c r="T95" s="480">
        <f t="shared" ref="T95" si="560">T94+S95</f>
        <v>-106.09768711751011</v>
      </c>
      <c r="U95" s="480">
        <f t="shared" ref="U95" si="561">U94+T95</f>
        <v>-113.5007807412191</v>
      </c>
      <c r="V95" s="480">
        <f t="shared" ref="V95" si="562">V94+U95</f>
        <v>-121.28978828457271</v>
      </c>
      <c r="W95" s="480">
        <f t="shared" ref="W95" si="563">W94+V95</f>
        <v>-129.48673987963039</v>
      </c>
      <c r="X95" s="480">
        <f t="shared" ref="X95" si="564">X94+W95</f>
        <v>-138.11321173826911</v>
      </c>
      <c r="Y95" s="480">
        <f t="shared" ref="Y95" si="565">Y94+X95</f>
        <v>-147.19171072230048</v>
      </c>
      <c r="Z95" s="480">
        <f t="shared" ref="Z95" si="566">Z94+Y95</f>
        <v>-156.74592305309511</v>
      </c>
      <c r="AA95" s="480">
        <f t="shared" ref="AA95" si="567">AA94+Z95</f>
        <v>-166.80077611002338</v>
      </c>
      <c r="AB95" s="480">
        <f t="shared" ref="AB95" si="568">AB94+AA95</f>
        <v>-177.38250346713468</v>
      </c>
      <c r="AC95" s="480">
        <f t="shared" ref="AC95" si="569">AC94+AB95</f>
        <v>-188.51871333775861</v>
      </c>
      <c r="AD95" s="480">
        <f t="shared" ref="AD95" si="570">AD94+AC95</f>
        <v>-200.23846060560325</v>
      </c>
      <c r="AE95" s="480">
        <f t="shared" ref="AE95" si="571">AE94+AD95</f>
        <v>-212.57232263028294</v>
      </c>
      <c r="AF95" s="480">
        <f t="shared" ref="AF95" si="572">AF94+AE95</f>
        <v>-225.55247902505585</v>
      </c>
      <c r="AG95" s="480">
        <f t="shared" ref="AG95" si="573">AG94+AF95</f>
        <v>-239.21279561491485</v>
      </c>
      <c r="AH95" s="246"/>
    </row>
    <row r="96" spans="1:34" x14ac:dyDescent="0.25">
      <c r="A96" s="246"/>
      <c r="B96" s="435" t="s">
        <v>591</v>
      </c>
      <c r="D96" s="478">
        <f t="shared" ref="D96:W96" si="574">D94*D$2</f>
        <v>-6.5471339999999998</v>
      </c>
      <c r="E96" s="478">
        <f t="shared" si="574"/>
        <v>-11.686404037550128</v>
      </c>
      <c r="F96" s="478">
        <f t="shared" si="574"/>
        <v>-11.270739251316016</v>
      </c>
      <c r="G96" s="478">
        <f t="shared" si="574"/>
        <v>-2.8873237717089109</v>
      </c>
      <c r="H96" s="478">
        <f t="shared" si="574"/>
        <v>-2.7438349127217165</v>
      </c>
      <c r="I96" s="478">
        <f t="shared" si="574"/>
        <v>-2.6101949929954671</v>
      </c>
      <c r="J96" s="478">
        <f t="shared" si="574"/>
        <v>-2.4856201344280255</v>
      </c>
      <c r="K96" s="478">
        <f t="shared" si="574"/>
        <v>-2.3694185916335049</v>
      </c>
      <c r="L96" s="478">
        <f t="shared" si="574"/>
        <v>-2.260978496589011</v>
      </c>
      <c r="M96" s="478">
        <f t="shared" si="574"/>
        <v>-2.1597577179159613</v>
      </c>
      <c r="N96" s="478">
        <f t="shared" si="574"/>
        <v>-2.0652754659887149</v>
      </c>
      <c r="O96" s="478">
        <f t="shared" si="574"/>
        <v>-1.9771053496777125</v>
      </c>
      <c r="P96" s="478">
        <f t="shared" si="574"/>
        <v>-1.8931636548897874</v>
      </c>
      <c r="Q96" s="478">
        <f t="shared" si="574"/>
        <v>-1.8132279687115029</v>
      </c>
      <c r="R96" s="478">
        <f t="shared" si="574"/>
        <v>-1.7370883390013361</v>
      </c>
      <c r="S96" s="478">
        <f t="shared" si="574"/>
        <v>-1.6645465486374771</v>
      </c>
      <c r="T96" s="478">
        <f t="shared" si="574"/>
        <v>-1.5954154329947543</v>
      </c>
      <c r="U96" s="478">
        <f t="shared" si="574"/>
        <v>-1.5295182380432379</v>
      </c>
      <c r="V96" s="478">
        <f t="shared" si="574"/>
        <v>-1.4666880166194405</v>
      </c>
      <c r="W96" s="478">
        <f t="shared" si="574"/>
        <v>-1.4067670605697391</v>
      </c>
      <c r="X96" s="478">
        <f t="shared" ref="X96:AG96" si="575">X94*X$2</f>
        <v>-1.3493270639296335</v>
      </c>
      <c r="Y96" s="478">
        <f t="shared" si="575"/>
        <v>-1.2942324116656454</v>
      </c>
      <c r="Z96" s="478">
        <f t="shared" si="575"/>
        <v>-1.241387340536753</v>
      </c>
      <c r="AA96" s="478">
        <f t="shared" si="575"/>
        <v>-1.1906999974306227</v>
      </c>
      <c r="AB96" s="478">
        <f t="shared" si="575"/>
        <v>-1.142082279708337</v>
      </c>
      <c r="AC96" s="478">
        <f t="shared" si="575"/>
        <v>-1.0954496820680402</v>
      </c>
      <c r="AD96" s="478">
        <f t="shared" si="575"/>
        <v>-1.0507211496613249</v>
      </c>
      <c r="AE96" s="478">
        <f t="shared" si="575"/>
        <v>-1.007818937207053</v>
      </c>
      <c r="AF96" s="478">
        <f t="shared" si="575"/>
        <v>-0.96666847385773091</v>
      </c>
      <c r="AG96" s="478">
        <f t="shared" si="575"/>
        <v>-0.92719823358355469</v>
      </c>
      <c r="AH96" s="246"/>
    </row>
    <row r="97" spans="1:34" x14ac:dyDescent="0.25">
      <c r="A97" s="246"/>
      <c r="B97" s="435" t="s">
        <v>593</v>
      </c>
      <c r="D97" s="480">
        <f>D96</f>
        <v>-6.5471339999999998</v>
      </c>
      <c r="E97" s="480">
        <f>D97+E96</f>
        <v>-18.233538037550126</v>
      </c>
      <c r="F97" s="480">
        <f t="shared" ref="F97" si="576">E97+F96</f>
        <v>-29.504277288866142</v>
      </c>
      <c r="G97" s="480">
        <f t="shared" ref="G97" si="577">F97+G96</f>
        <v>-32.391601060575056</v>
      </c>
      <c r="H97" s="480">
        <f t="shared" ref="H97" si="578">G97+H96</f>
        <v>-35.135435973296772</v>
      </c>
      <c r="I97" s="480">
        <f t="shared" ref="I97" si="579">H97+I96</f>
        <v>-37.745630966292239</v>
      </c>
      <c r="J97" s="480">
        <f t="shared" ref="J97" si="580">I97+J96</f>
        <v>-40.231251100720264</v>
      </c>
      <c r="K97" s="480">
        <f t="shared" ref="K97" si="581">J97+K96</f>
        <v>-42.600669692353769</v>
      </c>
      <c r="L97" s="480">
        <f t="shared" ref="L97" si="582">K97+L96</f>
        <v>-44.86164818894278</v>
      </c>
      <c r="M97" s="480">
        <f>L97+M96</f>
        <v>-47.021405906858739</v>
      </c>
      <c r="N97" s="480">
        <f t="shared" ref="N97" si="583">M97+N96</f>
        <v>-49.086681372847451</v>
      </c>
      <c r="O97" s="480">
        <f t="shared" ref="O97" si="584">N97+O96</f>
        <v>-51.063786722525165</v>
      </c>
      <c r="P97" s="480">
        <f t="shared" ref="P97" si="585">O97+P96</f>
        <v>-52.956950377414955</v>
      </c>
      <c r="Q97" s="480">
        <f t="shared" ref="Q97" si="586">P97+Q96</f>
        <v>-54.770178346126457</v>
      </c>
      <c r="R97" s="480">
        <f t="shared" ref="R97" si="587">Q97+R96</f>
        <v>-56.507266685127796</v>
      </c>
      <c r="S97" s="480">
        <f t="shared" ref="S97" si="588">R97+S96</f>
        <v>-58.17181323376527</v>
      </c>
      <c r="T97" s="480">
        <f t="shared" ref="T97" si="589">S97+T96</f>
        <v>-59.767228666760026</v>
      </c>
      <c r="U97" s="480">
        <f t="shared" ref="U97" si="590">T97+U96</f>
        <v>-61.296746904803264</v>
      </c>
      <c r="V97" s="480">
        <f t="shared" ref="V97" si="591">U97+V96</f>
        <v>-62.763434921422707</v>
      </c>
      <c r="W97" s="480">
        <f t="shared" ref="W97" si="592">V97+W96</f>
        <v>-64.170201981992449</v>
      </c>
      <c r="X97" s="480">
        <f t="shared" ref="X97" si="593">W97+X96</f>
        <v>-65.519529045922084</v>
      </c>
      <c r="Y97" s="480">
        <f t="shared" ref="Y97" si="594">X97+Y96</f>
        <v>-66.813761457587731</v>
      </c>
      <c r="Z97" s="480">
        <f t="shared" ref="Z97" si="595">Y97+Z96</f>
        <v>-68.055148798124478</v>
      </c>
      <c r="AA97" s="480">
        <f t="shared" ref="AA97" si="596">Z97+AA96</f>
        <v>-69.245848795555105</v>
      </c>
      <c r="AB97" s="480">
        <f t="shared" ref="AB97" si="597">AA97+AB96</f>
        <v>-70.387931075263438</v>
      </c>
      <c r="AC97" s="480">
        <f t="shared" ref="AC97" si="598">AB97+AC96</f>
        <v>-71.483380757331474</v>
      </c>
      <c r="AD97" s="480">
        <f t="shared" ref="AD97" si="599">AC97+AD96</f>
        <v>-72.534101906992802</v>
      </c>
      <c r="AE97" s="480">
        <f t="shared" ref="AE97" si="600">AD97+AE96</f>
        <v>-73.541920844199851</v>
      </c>
      <c r="AF97" s="480">
        <f t="shared" ref="AF97" si="601">AE97+AF96</f>
        <v>-74.508589318057588</v>
      </c>
      <c r="AG97" s="480">
        <f t="shared" ref="AG97" si="602">AF97+AG96</f>
        <v>-75.435787551641141</v>
      </c>
      <c r="AH97" s="246"/>
    </row>
    <row r="98" spans="1:34" x14ac:dyDescent="0.25">
      <c r="A98" s="246"/>
      <c r="B98" s="435" t="s">
        <v>604</v>
      </c>
      <c r="D98" s="480">
        <f>SUM(D90:D91)-D92</f>
        <v>6.5471339999999998</v>
      </c>
      <c r="E98" s="480">
        <f>(SUM(E90:E91)-E92)+D98</f>
        <v>19.369456509999999</v>
      </c>
      <c r="F98" s="480">
        <f t="shared" ref="F98:W98" si="603">(SUM(F90:F91)-F92)+E98</f>
        <v>32.937711612900003</v>
      </c>
      <c r="G98" s="480">
        <f t="shared" si="603"/>
        <v>36.751467431687004</v>
      </c>
      <c r="H98" s="480">
        <f t="shared" si="603"/>
        <v>40.727969141429966</v>
      </c>
      <c r="I98" s="480">
        <f t="shared" si="603"/>
        <v>44.878483751205316</v>
      </c>
      <c r="J98" s="480">
        <f t="shared" si="603"/>
        <v>49.215085611752237</v>
      </c>
      <c r="K98" s="480">
        <f t="shared" si="603"/>
        <v>53.75076537786893</v>
      </c>
      <c r="L98" s="480">
        <f t="shared" si="603"/>
        <v>58.499553832480842</v>
      </c>
      <c r="M98" s="480">
        <f t="shared" si="603"/>
        <v>63.476663669257839</v>
      </c>
      <c r="N98" s="480">
        <f t="shared" si="603"/>
        <v>68.698652941326429</v>
      </c>
      <c r="O98" s="480">
        <f t="shared" si="603"/>
        <v>74.183614642901603</v>
      </c>
      <c r="P98" s="480">
        <f t="shared" si="603"/>
        <v>79.946204963914582</v>
      </c>
      <c r="Q98" s="480">
        <f t="shared" si="603"/>
        <v>86.001952978654828</v>
      </c>
      <c r="R98" s="480">
        <f t="shared" si="603"/>
        <v>92.367314726655081</v>
      </c>
      <c r="S98" s="480">
        <f t="shared" si="603"/>
        <v>99.059730722834587</v>
      </c>
      <c r="T98" s="480">
        <f t="shared" si="603"/>
        <v>106.09768711751011</v>
      </c>
      <c r="U98" s="480">
        <f t="shared" si="603"/>
        <v>113.5007807412191</v>
      </c>
      <c r="V98" s="480">
        <f t="shared" si="603"/>
        <v>121.28978828457271</v>
      </c>
      <c r="W98" s="480">
        <f t="shared" si="603"/>
        <v>129.48673987963039</v>
      </c>
      <c r="X98" s="480">
        <f t="shared" ref="X98" si="604">(SUM(X90:X91)-X92)+W98</f>
        <v>138.11321173826911</v>
      </c>
      <c r="Y98" s="480">
        <f t="shared" ref="Y98" si="605">(SUM(Y90:Y91)-Y92)+X98</f>
        <v>147.19171072230048</v>
      </c>
      <c r="Z98" s="480">
        <f t="shared" ref="Z98" si="606">(SUM(Z90:Z91)-Z92)+Y98</f>
        <v>156.74592305309511</v>
      </c>
      <c r="AA98" s="480">
        <f t="shared" ref="AA98" si="607">(SUM(AA90:AA91)-AA92)+Z98</f>
        <v>166.80077611002338</v>
      </c>
      <c r="AB98" s="480">
        <f t="shared" ref="AB98" si="608">(SUM(AB90:AB91)-AB92)+AA98</f>
        <v>177.38250346713468</v>
      </c>
      <c r="AC98" s="480">
        <f t="shared" ref="AC98" si="609">(SUM(AC90:AC91)-AC92)+AB98</f>
        <v>188.51871333775861</v>
      </c>
      <c r="AD98" s="480">
        <f t="shared" ref="AD98" si="610">(SUM(AD90:AD91)-AD92)+AC98</f>
        <v>200.23846060560325</v>
      </c>
      <c r="AE98" s="480">
        <f t="shared" ref="AE98" si="611">(SUM(AE90:AE91)-AE92)+AD98</f>
        <v>212.57232263028294</v>
      </c>
      <c r="AF98" s="480">
        <f t="shared" ref="AF98" si="612">(SUM(AF90:AF91)-AF92)+AE98</f>
        <v>225.55247902505585</v>
      </c>
      <c r="AG98" s="480">
        <f t="shared" ref="AG98" si="613">(SUM(AG90:AG91)-AG92)+AF98</f>
        <v>239.21279561491485</v>
      </c>
      <c r="AH98" s="246"/>
    </row>
    <row r="99" spans="1:34" x14ac:dyDescent="0.25">
      <c r="A99" s="246"/>
      <c r="B99" s="435" t="s">
        <v>595</v>
      </c>
      <c r="D99" s="480">
        <f>D90</f>
        <v>2.7629999999999999</v>
      </c>
      <c r="E99" s="480">
        <f>E90+D99</f>
        <v>13.055819999999999</v>
      </c>
      <c r="F99" s="480">
        <f t="shared" ref="F99:W99" si="614">F90+E99</f>
        <v>22.962508799999998</v>
      </c>
      <c r="G99" s="480">
        <f t="shared" si="614"/>
        <v>22.962508799999998</v>
      </c>
      <c r="H99" s="480">
        <f t="shared" si="614"/>
        <v>22.962508799999998</v>
      </c>
      <c r="I99" s="480">
        <f t="shared" si="614"/>
        <v>22.962508799999998</v>
      </c>
      <c r="J99" s="480">
        <f t="shared" si="614"/>
        <v>22.962508799999998</v>
      </c>
      <c r="K99" s="480">
        <f t="shared" si="614"/>
        <v>22.962508799999998</v>
      </c>
      <c r="L99" s="480">
        <f t="shared" si="614"/>
        <v>22.962508799999998</v>
      </c>
      <c r="M99" s="480">
        <f t="shared" si="614"/>
        <v>22.962508799999998</v>
      </c>
      <c r="N99" s="480">
        <f t="shared" si="614"/>
        <v>22.962508799999998</v>
      </c>
      <c r="O99" s="480">
        <f t="shared" si="614"/>
        <v>22.962508799999998</v>
      </c>
      <c r="P99" s="480">
        <f t="shared" si="614"/>
        <v>22.962508799999998</v>
      </c>
      <c r="Q99" s="480">
        <f t="shared" si="614"/>
        <v>22.962508799999998</v>
      </c>
      <c r="R99" s="480">
        <f t="shared" si="614"/>
        <v>22.962508799999998</v>
      </c>
      <c r="S99" s="480">
        <f t="shared" si="614"/>
        <v>22.962508799999998</v>
      </c>
      <c r="T99" s="480">
        <f t="shared" si="614"/>
        <v>22.962508799999998</v>
      </c>
      <c r="U99" s="480">
        <f t="shared" si="614"/>
        <v>22.962508799999998</v>
      </c>
      <c r="V99" s="480">
        <f t="shared" si="614"/>
        <v>22.962508799999998</v>
      </c>
      <c r="W99" s="480">
        <f t="shared" si="614"/>
        <v>22.962508799999998</v>
      </c>
      <c r="X99" s="480">
        <f t="shared" ref="X99:X101" si="615">X90+W99</f>
        <v>22.962508799999998</v>
      </c>
      <c r="Y99" s="480">
        <f t="shared" ref="Y99:Y101" si="616">Y90+X99</f>
        <v>22.962508799999998</v>
      </c>
      <c r="Z99" s="480">
        <f t="shared" ref="Z99:Z101" si="617">Z90+Y99</f>
        <v>22.962508799999998</v>
      </c>
      <c r="AA99" s="480">
        <f t="shared" ref="AA99:AA101" si="618">AA90+Z99</f>
        <v>22.962508799999998</v>
      </c>
      <c r="AB99" s="480">
        <f t="shared" ref="AB99:AB101" si="619">AB90+AA99</f>
        <v>22.962508799999998</v>
      </c>
      <c r="AC99" s="480">
        <f t="shared" ref="AC99:AC101" si="620">AC90+AB99</f>
        <v>22.962508799999998</v>
      </c>
      <c r="AD99" s="480">
        <f t="shared" ref="AD99:AD101" si="621">AD90+AC99</f>
        <v>22.962508799999998</v>
      </c>
      <c r="AE99" s="480">
        <f t="shared" ref="AE99:AE101" si="622">AE90+AD99</f>
        <v>22.962508799999998</v>
      </c>
      <c r="AF99" s="480">
        <f t="shared" ref="AF99:AF101" si="623">AF90+AE99</f>
        <v>22.962508799999998</v>
      </c>
      <c r="AG99" s="480">
        <f t="shared" ref="AG99:AG101" si="624">AG90+AF99</f>
        <v>22.962508799999998</v>
      </c>
      <c r="AH99" s="246"/>
    </row>
    <row r="100" spans="1:34" x14ac:dyDescent="0.25">
      <c r="A100" s="246"/>
      <c r="B100" s="435" t="s">
        <v>596</v>
      </c>
      <c r="D100" s="480">
        <f>D91</f>
        <v>3.7841339999999999</v>
      </c>
      <c r="E100" s="480">
        <f t="shared" ref="E100:W100" si="625">E91+D100</f>
        <v>6.3136365100000003</v>
      </c>
      <c r="F100" s="480">
        <f t="shared" si="625"/>
        <v>9.975202812900001</v>
      </c>
      <c r="G100" s="480">
        <f t="shared" si="625"/>
        <v>13.788958631687002</v>
      </c>
      <c r="H100" s="480">
        <f t="shared" si="625"/>
        <v>17.765460341429968</v>
      </c>
      <c r="I100" s="480">
        <f t="shared" si="625"/>
        <v>21.915974951205317</v>
      </c>
      <c r="J100" s="480">
        <f t="shared" si="625"/>
        <v>26.252576811752235</v>
      </c>
      <c r="K100" s="480">
        <f t="shared" si="625"/>
        <v>30.788256577868928</v>
      </c>
      <c r="L100" s="480">
        <f t="shared" si="625"/>
        <v>35.537045032480833</v>
      </c>
      <c r="M100" s="480">
        <f t="shared" si="625"/>
        <v>40.51415486925783</v>
      </c>
      <c r="N100" s="480">
        <f t="shared" si="625"/>
        <v>45.73614414132642</v>
      </c>
      <c r="O100" s="480">
        <f t="shared" si="625"/>
        <v>51.221105842901601</v>
      </c>
      <c r="P100" s="480">
        <f t="shared" si="625"/>
        <v>56.983696163914573</v>
      </c>
      <c r="Q100" s="480">
        <f t="shared" si="625"/>
        <v>63.039444178654811</v>
      </c>
      <c r="R100" s="480">
        <f t="shared" si="625"/>
        <v>69.404805926655058</v>
      </c>
      <c r="S100" s="480">
        <f t="shared" si="625"/>
        <v>76.097221922834564</v>
      </c>
      <c r="T100" s="480">
        <f t="shared" si="625"/>
        <v>83.135178317510082</v>
      </c>
      <c r="U100" s="480">
        <f t="shared" si="625"/>
        <v>90.53827194121908</v>
      </c>
      <c r="V100" s="480">
        <f t="shared" si="625"/>
        <v>98.327279484572685</v>
      </c>
      <c r="W100" s="480">
        <f t="shared" si="625"/>
        <v>106.52423107963037</v>
      </c>
      <c r="X100" s="480">
        <f t="shared" si="615"/>
        <v>115.15070293826908</v>
      </c>
      <c r="Y100" s="480">
        <f t="shared" si="616"/>
        <v>124.22920192230046</v>
      </c>
      <c r="Z100" s="480">
        <f t="shared" si="617"/>
        <v>133.78341425309509</v>
      </c>
      <c r="AA100" s="480">
        <f t="shared" si="618"/>
        <v>143.83826731002335</v>
      </c>
      <c r="AB100" s="480">
        <f t="shared" si="619"/>
        <v>154.41999466713466</v>
      </c>
      <c r="AC100" s="480">
        <f t="shared" si="620"/>
        <v>165.55620453775859</v>
      </c>
      <c r="AD100" s="480">
        <f t="shared" si="621"/>
        <v>177.27595180560323</v>
      </c>
      <c r="AE100" s="480">
        <f t="shared" si="622"/>
        <v>189.60981383028292</v>
      </c>
      <c r="AF100" s="480">
        <f t="shared" si="623"/>
        <v>202.58997022505582</v>
      </c>
      <c r="AG100" s="480">
        <f t="shared" si="624"/>
        <v>216.25028681491483</v>
      </c>
      <c r="AH100" s="246"/>
    </row>
    <row r="101" spans="1:34" x14ac:dyDescent="0.25">
      <c r="A101" s="246"/>
      <c r="B101" s="435" t="s">
        <v>597</v>
      </c>
      <c r="D101" s="480">
        <f>D92</f>
        <v>0</v>
      </c>
      <c r="E101" s="480">
        <f t="shared" ref="E101:W101" si="626">E92+D101</f>
        <v>0</v>
      </c>
      <c r="F101" s="480">
        <f t="shared" si="626"/>
        <v>0</v>
      </c>
      <c r="G101" s="480">
        <f t="shared" si="626"/>
        <v>0</v>
      </c>
      <c r="H101" s="480">
        <f t="shared" si="626"/>
        <v>0</v>
      </c>
      <c r="I101" s="480">
        <f t="shared" si="626"/>
        <v>0</v>
      </c>
      <c r="J101" s="480">
        <f t="shared" si="626"/>
        <v>0</v>
      </c>
      <c r="K101" s="480">
        <f t="shared" si="626"/>
        <v>0</v>
      </c>
      <c r="L101" s="480">
        <f t="shared" si="626"/>
        <v>0</v>
      </c>
      <c r="M101" s="480">
        <f t="shared" si="626"/>
        <v>0</v>
      </c>
      <c r="N101" s="480">
        <f t="shared" si="626"/>
        <v>0</v>
      </c>
      <c r="O101" s="480">
        <f t="shared" si="626"/>
        <v>0</v>
      </c>
      <c r="P101" s="480">
        <f t="shared" si="626"/>
        <v>0</v>
      </c>
      <c r="Q101" s="480">
        <f t="shared" si="626"/>
        <v>0</v>
      </c>
      <c r="R101" s="480">
        <f t="shared" si="626"/>
        <v>0</v>
      </c>
      <c r="S101" s="480">
        <f t="shared" si="626"/>
        <v>0</v>
      </c>
      <c r="T101" s="480">
        <f t="shared" si="626"/>
        <v>0</v>
      </c>
      <c r="U101" s="480">
        <f t="shared" si="626"/>
        <v>0</v>
      </c>
      <c r="V101" s="480">
        <f t="shared" si="626"/>
        <v>0</v>
      </c>
      <c r="W101" s="480">
        <f t="shared" si="626"/>
        <v>0</v>
      </c>
      <c r="X101" s="480">
        <f t="shared" si="615"/>
        <v>0</v>
      </c>
      <c r="Y101" s="480">
        <f t="shared" si="616"/>
        <v>0</v>
      </c>
      <c r="Z101" s="480">
        <f t="shared" si="617"/>
        <v>0</v>
      </c>
      <c r="AA101" s="480">
        <f t="shared" si="618"/>
        <v>0</v>
      </c>
      <c r="AB101" s="480">
        <f t="shared" si="619"/>
        <v>0</v>
      </c>
      <c r="AC101" s="480">
        <f t="shared" si="620"/>
        <v>0</v>
      </c>
      <c r="AD101" s="480">
        <f t="shared" si="621"/>
        <v>0</v>
      </c>
      <c r="AE101" s="480">
        <f t="shared" si="622"/>
        <v>0</v>
      </c>
      <c r="AF101" s="480">
        <f t="shared" si="623"/>
        <v>0</v>
      </c>
      <c r="AG101" s="480">
        <f t="shared" si="624"/>
        <v>0</v>
      </c>
      <c r="AH101" s="246"/>
    </row>
    <row r="102" spans="1:34" s="246" customFormat="1" x14ac:dyDescent="0.25">
      <c r="B102" s="435" t="s">
        <v>673</v>
      </c>
      <c r="C102" s="201"/>
      <c r="D102" s="480">
        <f>D90</f>
        <v>2.7629999999999999</v>
      </c>
      <c r="E102" s="480">
        <f>E90/(1.1^E$1)</f>
        <v>9.3571090909090895</v>
      </c>
      <c r="F102" s="480">
        <f t="shared" ref="F102:W102" si="627">F90/(1.1^F$1)</f>
        <v>8.1873461157024785</v>
      </c>
      <c r="G102" s="480">
        <f t="shared" si="627"/>
        <v>0</v>
      </c>
      <c r="H102" s="480">
        <f t="shared" si="627"/>
        <v>0</v>
      </c>
      <c r="I102" s="480">
        <f t="shared" si="627"/>
        <v>0</v>
      </c>
      <c r="J102" s="480">
        <f t="shared" si="627"/>
        <v>0</v>
      </c>
      <c r="K102" s="480">
        <f t="shared" si="627"/>
        <v>0</v>
      </c>
      <c r="L102" s="480">
        <f t="shared" si="627"/>
        <v>0</v>
      </c>
      <c r="M102" s="480">
        <f t="shared" si="627"/>
        <v>0</v>
      </c>
      <c r="N102" s="480">
        <f t="shared" si="627"/>
        <v>0</v>
      </c>
      <c r="O102" s="480">
        <f t="shared" si="627"/>
        <v>0</v>
      </c>
      <c r="P102" s="480">
        <f t="shared" si="627"/>
        <v>0</v>
      </c>
      <c r="Q102" s="480">
        <f t="shared" si="627"/>
        <v>0</v>
      </c>
      <c r="R102" s="480">
        <f t="shared" si="627"/>
        <v>0</v>
      </c>
      <c r="S102" s="480">
        <f t="shared" si="627"/>
        <v>0</v>
      </c>
      <c r="T102" s="480">
        <f t="shared" si="627"/>
        <v>0</v>
      </c>
      <c r="U102" s="480">
        <f t="shared" si="627"/>
        <v>0</v>
      </c>
      <c r="V102" s="480">
        <f t="shared" si="627"/>
        <v>0</v>
      </c>
      <c r="W102" s="480">
        <f t="shared" si="627"/>
        <v>0</v>
      </c>
      <c r="X102" s="480">
        <f t="shared" ref="X102:AG102" si="628">X90/(1.1^X$1)</f>
        <v>0</v>
      </c>
      <c r="Y102" s="480">
        <f t="shared" si="628"/>
        <v>0</v>
      </c>
      <c r="Z102" s="480">
        <f t="shared" si="628"/>
        <v>0</v>
      </c>
      <c r="AA102" s="480">
        <f t="shared" si="628"/>
        <v>0</v>
      </c>
      <c r="AB102" s="480">
        <f t="shared" si="628"/>
        <v>0</v>
      </c>
      <c r="AC102" s="480">
        <f t="shared" si="628"/>
        <v>0</v>
      </c>
      <c r="AD102" s="480">
        <f t="shared" si="628"/>
        <v>0</v>
      </c>
      <c r="AE102" s="480">
        <f t="shared" si="628"/>
        <v>0</v>
      </c>
      <c r="AF102" s="480">
        <f t="shared" si="628"/>
        <v>0</v>
      </c>
      <c r="AG102" s="480">
        <f t="shared" si="628"/>
        <v>0</v>
      </c>
      <c r="AH102" s="479">
        <f>-SUM(D102:AG102)</f>
        <v>-20.307455206611568</v>
      </c>
    </row>
    <row r="103" spans="1:34" s="246" customFormat="1" x14ac:dyDescent="0.25">
      <c r="B103" s="435" t="s">
        <v>675</v>
      </c>
      <c r="C103" s="201"/>
      <c r="D103" s="480">
        <f>D91</f>
        <v>3.7841339999999999</v>
      </c>
      <c r="E103" s="480">
        <f>E91/(1.1^E$1)</f>
        <v>2.2995477363636363</v>
      </c>
      <c r="F103" s="480">
        <f t="shared" ref="F103:W103" si="629">F91/(1.1^F$1)</f>
        <v>3.0260878536363629</v>
      </c>
      <c r="G103" s="480">
        <f t="shared" si="629"/>
        <v>2.8653311936791885</v>
      </c>
      <c r="H103" s="480">
        <f t="shared" si="629"/>
        <v>2.7160041730366538</v>
      </c>
      <c r="I103" s="480">
        <f t="shared" si="629"/>
        <v>2.5771430228780625</v>
      </c>
      <c r="J103" s="480">
        <f t="shared" si="629"/>
        <v>2.4478986953014408</v>
      </c>
      <c r="K103" s="480">
        <f t="shared" si="629"/>
        <v>2.3275208936775322</v>
      </c>
      <c r="L103" s="480">
        <f t="shared" si="629"/>
        <v>2.2153448611312285</v>
      </c>
      <c r="M103" s="480">
        <f t="shared" si="629"/>
        <v>2.1107804281553899</v>
      </c>
      <c r="N103" s="480">
        <f t="shared" si="629"/>
        <v>2.0133029213190494</v>
      </c>
      <c r="O103" s="480">
        <f t="shared" si="629"/>
        <v>1.9224456152911771</v>
      </c>
      <c r="P103" s="480">
        <f t="shared" si="629"/>
        <v>1.83613886611415</v>
      </c>
      <c r="Q103" s="480">
        <f t="shared" si="629"/>
        <v>1.7541344925314104</v>
      </c>
      <c r="R103" s="480">
        <f t="shared" si="629"/>
        <v>1.6761986932128472</v>
      </c>
      <c r="S103" s="480">
        <f t="shared" si="629"/>
        <v>1.6021111805563826</v>
      </c>
      <c r="T103" s="480">
        <f t="shared" si="629"/>
        <v>1.5316643679019837</v>
      </c>
      <c r="U103" s="480">
        <f t="shared" si="629"/>
        <v>1.4646626068194064</v>
      </c>
      <c r="V103" s="480">
        <f t="shared" si="629"/>
        <v>1.4009214713413156</v>
      </c>
      <c r="W103" s="480">
        <f t="shared" si="629"/>
        <v>1.3402670862104313</v>
      </c>
      <c r="X103" s="480">
        <f t="shared" ref="X103:AG103" si="630">X91/(1.1^X$1)</f>
        <v>1.2822700741162347</v>
      </c>
      <c r="Y103" s="480">
        <f t="shared" si="630"/>
        <v>1.226782750909023</v>
      </c>
      <c r="Z103" s="480">
        <f t="shared" si="630"/>
        <v>1.1736965155060506</v>
      </c>
      <c r="AA103" s="480">
        <f t="shared" si="630"/>
        <v>1.1229074662896068</v>
      </c>
      <c r="AB103" s="480">
        <f t="shared" si="630"/>
        <v>1.0743161977483475</v>
      </c>
      <c r="AC103" s="480">
        <f t="shared" si="630"/>
        <v>1.0278276059185096</v>
      </c>
      <c r="AD103" s="480">
        <f t="shared" si="630"/>
        <v>0.98335070224421783</v>
      </c>
      <c r="AE103" s="480">
        <f t="shared" si="630"/>
        <v>0.94079843549255893</v>
      </c>
      <c r="AF103" s="480">
        <f t="shared" si="630"/>
        <v>0.90008752137488091</v>
      </c>
      <c r="AG103" s="480">
        <f t="shared" si="630"/>
        <v>0.86113827954084055</v>
      </c>
      <c r="AH103" s="479">
        <f>-SUM(D103:AG103)</f>
        <v>-53.504815708297919</v>
      </c>
    </row>
    <row r="104" spans="1:34" s="246" customFormat="1" x14ac:dyDescent="0.25">
      <c r="B104" s="435" t="s">
        <v>674</v>
      </c>
      <c r="C104" s="201"/>
      <c r="D104" s="480">
        <f>D92</f>
        <v>0</v>
      </c>
      <c r="E104" s="480">
        <f>E92/(1.1^E$1)</f>
        <v>0</v>
      </c>
      <c r="F104" s="480">
        <f t="shared" ref="F104:W104" si="631">F92/(1.1^F$1)</f>
        <v>0</v>
      </c>
      <c r="G104" s="480">
        <f t="shared" si="631"/>
        <v>0</v>
      </c>
      <c r="H104" s="480">
        <f t="shared" si="631"/>
        <v>0</v>
      </c>
      <c r="I104" s="480">
        <f t="shared" si="631"/>
        <v>0</v>
      </c>
      <c r="J104" s="480">
        <f t="shared" si="631"/>
        <v>0</v>
      </c>
      <c r="K104" s="480">
        <f t="shared" si="631"/>
        <v>0</v>
      </c>
      <c r="L104" s="480">
        <f t="shared" si="631"/>
        <v>0</v>
      </c>
      <c r="M104" s="480">
        <f t="shared" si="631"/>
        <v>0</v>
      </c>
      <c r="N104" s="480">
        <f t="shared" si="631"/>
        <v>0</v>
      </c>
      <c r="O104" s="480">
        <f t="shared" si="631"/>
        <v>0</v>
      </c>
      <c r="P104" s="480">
        <f t="shared" si="631"/>
        <v>0</v>
      </c>
      <c r="Q104" s="480">
        <f t="shared" si="631"/>
        <v>0</v>
      </c>
      <c r="R104" s="480">
        <f t="shared" si="631"/>
        <v>0</v>
      </c>
      <c r="S104" s="480">
        <f t="shared" si="631"/>
        <v>0</v>
      </c>
      <c r="T104" s="480">
        <f t="shared" si="631"/>
        <v>0</v>
      </c>
      <c r="U104" s="480">
        <f t="shared" si="631"/>
        <v>0</v>
      </c>
      <c r="V104" s="480">
        <f t="shared" si="631"/>
        <v>0</v>
      </c>
      <c r="W104" s="480">
        <f t="shared" si="631"/>
        <v>0</v>
      </c>
      <c r="X104" s="480">
        <f t="shared" ref="X104:AG104" si="632">X92/(1.1^X$1)</f>
        <v>0</v>
      </c>
      <c r="Y104" s="480">
        <f t="shared" si="632"/>
        <v>0</v>
      </c>
      <c r="Z104" s="480">
        <f t="shared" si="632"/>
        <v>0</v>
      </c>
      <c r="AA104" s="480">
        <f t="shared" si="632"/>
        <v>0</v>
      </c>
      <c r="AB104" s="480">
        <f t="shared" si="632"/>
        <v>0</v>
      </c>
      <c r="AC104" s="480">
        <f t="shared" si="632"/>
        <v>0</v>
      </c>
      <c r="AD104" s="480">
        <f t="shared" si="632"/>
        <v>0</v>
      </c>
      <c r="AE104" s="480">
        <f t="shared" si="632"/>
        <v>0</v>
      </c>
      <c r="AF104" s="480">
        <f t="shared" si="632"/>
        <v>0</v>
      </c>
      <c r="AG104" s="480">
        <f t="shared" si="632"/>
        <v>0</v>
      </c>
      <c r="AH104" s="479">
        <f>SUM(D104:AG104)</f>
        <v>0</v>
      </c>
    </row>
    <row r="106" spans="1:34" x14ac:dyDescent="0.25">
      <c r="A106" s="465" t="s">
        <v>602</v>
      </c>
      <c r="B106" s="464"/>
      <c r="C106" s="512"/>
      <c r="D106" s="463"/>
      <c r="E106" s="463"/>
      <c r="F106" s="463"/>
      <c r="G106" s="463"/>
      <c r="H106" s="463"/>
      <c r="I106" s="463"/>
      <c r="J106" s="463"/>
      <c r="K106" s="463"/>
      <c r="L106" s="463"/>
      <c r="M106" s="463"/>
      <c r="N106" s="463"/>
      <c r="O106" s="463"/>
      <c r="P106" s="463"/>
      <c r="Q106" s="463"/>
      <c r="R106" s="463"/>
      <c r="S106" s="463"/>
      <c r="T106" s="463"/>
      <c r="U106" s="463"/>
      <c r="V106" s="463"/>
      <c r="W106" s="463"/>
      <c r="X106" s="481"/>
      <c r="Y106" s="481"/>
      <c r="Z106" s="481"/>
      <c r="AA106" s="481"/>
      <c r="AB106" s="481"/>
      <c r="AC106" s="481"/>
      <c r="AD106" s="481"/>
      <c r="AE106" s="481"/>
      <c r="AF106" s="481"/>
      <c r="AG106" s="481"/>
      <c r="AH106" s="246"/>
    </row>
    <row r="107" spans="1:34" x14ac:dyDescent="0.25">
      <c r="A107" s="472" t="s">
        <v>594</v>
      </c>
      <c r="B107" s="470" t="s">
        <v>586</v>
      </c>
      <c r="C107" s="510">
        <v>10</v>
      </c>
      <c r="D107" s="471">
        <f>SUM('[1]Option Implementation Cost'!I$330:I$377)</f>
        <v>2.7629999999999999</v>
      </c>
      <c r="E107" s="471">
        <f>SUM('[1]Option Implementation Cost'!J$330:J$377)</f>
        <v>13.191108180000001</v>
      </c>
      <c r="F107" s="471">
        <f>SUM('[1]Option Implementation Cost'!K$330:K$377)</f>
        <v>13.454930343599999</v>
      </c>
      <c r="G107" s="471">
        <f>SUM('[1]Option Implementation Cost'!L$330:L$377)</f>
        <v>13.766086745928</v>
      </c>
      <c r="H107" s="471">
        <f>SUM('[1]Option Implementation Cost'!M$330:M$377)</f>
        <v>0</v>
      </c>
      <c r="I107" s="471">
        <f>SUM('[1]Option Implementation Cost'!N$330:N$377)</f>
        <v>0</v>
      </c>
      <c r="J107" s="471">
        <f>SUM('[1]Option Implementation Cost'!O$330:O$377)</f>
        <v>0</v>
      </c>
      <c r="K107" s="471">
        <f>SUM('[1]Option Implementation Cost'!P$330:P$377)</f>
        <v>0</v>
      </c>
      <c r="L107" s="471">
        <f>SUM('[1]Option Implementation Cost'!Q$330:Q$377)</f>
        <v>0</v>
      </c>
      <c r="M107" s="471">
        <f>SUM('[1]Option Implementation Cost'!R$330:R$377)</f>
        <v>0</v>
      </c>
      <c r="N107" s="471">
        <f>SUM('[1]Option Implementation Cost'!S$330:S$377)</f>
        <v>0</v>
      </c>
      <c r="O107" s="471">
        <f>SUM('[1]Option Implementation Cost'!T$330:T$377)</f>
        <v>0</v>
      </c>
      <c r="P107" s="471">
        <f>SUM('[1]Option Implementation Cost'!U$330:U$377)</f>
        <v>0</v>
      </c>
      <c r="Q107" s="471">
        <f>SUM('[1]Option Implementation Cost'!V$330:V$377)</f>
        <v>0</v>
      </c>
      <c r="R107" s="471">
        <f>SUM('[1]Option Implementation Cost'!W$330:W$377)</f>
        <v>0</v>
      </c>
      <c r="S107" s="471">
        <f>SUM('[1]Option Implementation Cost'!X$330:X$377)</f>
        <v>0</v>
      </c>
      <c r="T107" s="471">
        <f>SUM('[1]Option Implementation Cost'!Y$330:Y$377)</f>
        <v>0</v>
      </c>
      <c r="U107" s="471">
        <f>SUM('[1]Option Implementation Cost'!Z$330:Z$377)</f>
        <v>0</v>
      </c>
      <c r="V107" s="471">
        <f>SUM('[1]Option Implementation Cost'!AA$330:AA$377)</f>
        <v>0</v>
      </c>
      <c r="W107" s="467">
        <f>SUM('[1]Option Implementation Cost'!AB$330:AB$377)</f>
        <v>0</v>
      </c>
      <c r="X107" s="683">
        <v>0</v>
      </c>
      <c r="Y107" s="679">
        <v>0</v>
      </c>
      <c r="Z107" s="679">
        <v>0</v>
      </c>
      <c r="AA107" s="679">
        <v>0</v>
      </c>
      <c r="AB107" s="679">
        <v>0</v>
      </c>
      <c r="AC107" s="679">
        <v>0</v>
      </c>
      <c r="AD107" s="679">
        <v>0</v>
      </c>
      <c r="AE107" s="679">
        <v>0</v>
      </c>
      <c r="AF107" s="679">
        <v>0</v>
      </c>
      <c r="AG107" s="684">
        <v>0</v>
      </c>
      <c r="AH107" s="479">
        <f>SUM(D107:AG107)</f>
        <v>43.175125269527996</v>
      </c>
    </row>
    <row r="108" spans="1:34" x14ac:dyDescent="0.25">
      <c r="A108" s="473">
        <f>$A$3-'[1]Preferred Option'!$H$12</f>
        <v>-21</v>
      </c>
      <c r="B108" s="470" t="s">
        <v>585</v>
      </c>
      <c r="C108" s="510"/>
      <c r="D108" s="471">
        <f>SUM('[1]Option Lifecycle Cost'!G$330:G$377)</f>
        <v>3.7841339999999999</v>
      </c>
      <c r="E108" s="471">
        <f>SUM('[1]Option Lifecycle Cost'!H$330:H$377)</f>
        <v>0.88809965999999996</v>
      </c>
      <c r="F108" s="471">
        <f>SUM('[1]Option Lifecycle Cost'!I$330:I$377)</f>
        <v>0.91819157060000012</v>
      </c>
      <c r="G108" s="471">
        <f>SUM('[1]Option Lifecycle Cost'!J$330:J$377)</f>
        <v>2.6016050595289997</v>
      </c>
      <c r="H108" s="471">
        <f>SUM('[1]Option Lifecycle Cost'!K$330:K$377)</f>
        <v>2.6796532113148697</v>
      </c>
      <c r="I108" s="471">
        <f>SUM('[1]Option Lifecycle Cost'!L$330:L$377)</f>
        <v>2.7600428076543162</v>
      </c>
      <c r="J108" s="471">
        <f>SUM('[1]Option Lifecycle Cost'!M$330:M$377)</f>
        <v>2.8428440918839457</v>
      </c>
      <c r="K108" s="471">
        <f>SUM('[1]Option Lifecycle Cost'!N$330:N$377)</f>
        <v>2.9281294146404639</v>
      </c>
      <c r="L108" s="471">
        <f>SUM('[1]Option Lifecycle Cost'!O$330:O$377)</f>
        <v>3.015973297079678</v>
      </c>
      <c r="M108" s="471">
        <f>SUM('[1]Option Lifecycle Cost'!P$330:P$377)</f>
        <v>3.1064524959920683</v>
      </c>
      <c r="N108" s="471">
        <f>SUM('[1]Option Lifecycle Cost'!Q$330:Q$377)</f>
        <v>3.1996460708718306</v>
      </c>
      <c r="O108" s="471">
        <f>SUM('[1]Option Lifecycle Cost'!R$330:R$377)</f>
        <v>3.2956354529979857</v>
      </c>
      <c r="P108" s="471">
        <f>SUM('[1]Option Lifecycle Cost'!S$330:S$377)</f>
        <v>4.7142947703978919</v>
      </c>
      <c r="Q108" s="471">
        <f>SUM('[1]Option Lifecycle Cost'!T$330:T$377)</f>
        <v>4.8557236135098281</v>
      </c>
      <c r="R108" s="471">
        <f>SUM('[1]Option Lifecycle Cost'!U$330:U$377)</f>
        <v>5.0013953219151244</v>
      </c>
      <c r="S108" s="471">
        <f>SUM('[1]Option Lifecycle Cost'!V$330:V$377)</f>
        <v>5.151437181572577</v>
      </c>
      <c r="T108" s="471">
        <f>SUM('[1]Option Lifecycle Cost'!W$330:W$377)</f>
        <v>5.3059802970197545</v>
      </c>
      <c r="U108" s="471">
        <f>SUM('[1]Option Lifecycle Cost'!X$330:X$377)</f>
        <v>5.4651597059303478</v>
      </c>
      <c r="V108" s="471">
        <f>SUM('[1]Option Lifecycle Cost'!Y$330:Y$377)</f>
        <v>5.629114497108259</v>
      </c>
      <c r="W108" s="467">
        <f>SUM('[1]Option Lifecycle Cost'!Z$330:Z$377)</f>
        <v>5.7979879320215071</v>
      </c>
      <c r="X108" s="683">
        <f>W108*1.03</f>
        <v>5.9719275699821521</v>
      </c>
      <c r="Y108" s="679">
        <f t="shared" ref="Y108:AG108" si="633">X108*1.03</f>
        <v>6.1510853970816166</v>
      </c>
      <c r="Z108" s="679">
        <f t="shared" si="633"/>
        <v>6.3356179589940655</v>
      </c>
      <c r="AA108" s="679">
        <f t="shared" si="633"/>
        <v>6.5256864977638873</v>
      </c>
      <c r="AB108" s="679">
        <f t="shared" si="633"/>
        <v>6.721457092696804</v>
      </c>
      <c r="AC108" s="679">
        <f t="shared" si="633"/>
        <v>6.9231008054777083</v>
      </c>
      <c r="AD108" s="679">
        <f t="shared" si="633"/>
        <v>7.1307938296420401</v>
      </c>
      <c r="AE108" s="679">
        <f t="shared" si="633"/>
        <v>7.3447176445313014</v>
      </c>
      <c r="AF108" s="679">
        <f t="shared" si="633"/>
        <v>7.5650591738672404</v>
      </c>
      <c r="AG108" s="684">
        <f t="shared" si="633"/>
        <v>7.7920109490832576</v>
      </c>
      <c r="AH108" s="479">
        <f>SUM(D108:AG108)</f>
        <v>142.40295737115952</v>
      </c>
    </row>
    <row r="109" spans="1:34" x14ac:dyDescent="0.25">
      <c r="A109" s="246"/>
      <c r="B109" s="469" t="s">
        <v>587</v>
      </c>
      <c r="C109" s="511"/>
      <c r="D109" s="468">
        <f>SUM('[1]Option Lifecycle Benefits'!J$330:J$377)</f>
        <v>0</v>
      </c>
      <c r="E109" s="468">
        <f>SUM('[1]Option Lifecycle Benefits'!K$330:K$377)</f>
        <v>0</v>
      </c>
      <c r="F109" s="468">
        <f>SUM('[1]Option Lifecycle Benefits'!L$330:L$377)</f>
        <v>0</v>
      </c>
      <c r="G109" s="468">
        <f>SUM('[1]Option Lifecycle Benefits'!M$330:M$377)</f>
        <v>0</v>
      </c>
      <c r="H109" s="468">
        <f>SUM('[1]Option Lifecycle Benefits'!N$330:N$377)</f>
        <v>0</v>
      </c>
      <c r="I109" s="468">
        <f>SUM('[1]Option Lifecycle Benefits'!O$330:O$377)</f>
        <v>0</v>
      </c>
      <c r="J109" s="468">
        <f>SUM('[1]Option Lifecycle Benefits'!P$330:P$377)</f>
        <v>0</v>
      </c>
      <c r="K109" s="468">
        <f>SUM('[1]Option Lifecycle Benefits'!Q$330:Q$377)</f>
        <v>0</v>
      </c>
      <c r="L109" s="468">
        <f>SUM('[1]Option Lifecycle Benefits'!R$330:R$377)</f>
        <v>0</v>
      </c>
      <c r="M109" s="468">
        <f>SUM('[1]Option Lifecycle Benefits'!S$330:S$377)</f>
        <v>0</v>
      </c>
      <c r="N109" s="468">
        <f>SUM('[1]Option Lifecycle Benefits'!T$330:T$377)</f>
        <v>0</v>
      </c>
      <c r="O109" s="468">
        <f>SUM('[1]Option Lifecycle Benefits'!U$330:U$377)</f>
        <v>0</v>
      </c>
      <c r="P109" s="468">
        <f>SUM('[1]Option Lifecycle Benefits'!V$330:V$377)</f>
        <v>0</v>
      </c>
      <c r="Q109" s="468">
        <f>SUM('[1]Option Lifecycle Benefits'!W$330:W$377)</f>
        <v>0</v>
      </c>
      <c r="R109" s="468">
        <f>SUM('[1]Option Lifecycle Benefits'!X$330:X$377)</f>
        <v>0</v>
      </c>
      <c r="S109" s="468">
        <f>SUM('[1]Option Lifecycle Benefits'!Y$330:Y$377)</f>
        <v>0</v>
      </c>
      <c r="T109" s="468">
        <f>SUM('[1]Option Lifecycle Benefits'!Z$330:Z$377)</f>
        <v>0</v>
      </c>
      <c r="U109" s="468">
        <f>SUM('[1]Option Lifecycle Benefits'!AA$330:AA$377)</f>
        <v>0</v>
      </c>
      <c r="V109" s="468">
        <f>SUM('[1]Option Lifecycle Benefits'!AB$330:AB$377)</f>
        <v>0</v>
      </c>
      <c r="W109" s="466">
        <f>SUM('[1]Option Lifecycle Benefits'!AC$330:AC$377)</f>
        <v>0</v>
      </c>
      <c r="X109" s="685">
        <v>0</v>
      </c>
      <c r="Y109" s="686">
        <v>0</v>
      </c>
      <c r="Z109" s="686">
        <v>0</v>
      </c>
      <c r="AA109" s="686">
        <v>0</v>
      </c>
      <c r="AB109" s="686">
        <v>0</v>
      </c>
      <c r="AC109" s="686">
        <v>0</v>
      </c>
      <c r="AD109" s="686">
        <v>0</v>
      </c>
      <c r="AE109" s="686">
        <v>0</v>
      </c>
      <c r="AF109" s="686">
        <v>0</v>
      </c>
      <c r="AG109" s="687">
        <f>AH110</f>
        <v>0</v>
      </c>
      <c r="AH109" s="479">
        <f>SUM(D109:AG109)</f>
        <v>0</v>
      </c>
    </row>
    <row r="110" spans="1:34" s="246" customFormat="1" x14ac:dyDescent="0.25">
      <c r="B110" s="435" t="s">
        <v>676</v>
      </c>
      <c r="C110" s="510"/>
      <c r="D110" s="471">
        <f>IF(D107-((D107/$C107)*($C$1-D$1))&gt;0,D107-((D107/$C107)*($C$1-D$1)),0)</f>
        <v>0</v>
      </c>
      <c r="E110" s="471">
        <f t="shared" ref="E110:W110" si="634">IF(E107-((E107/$C107)*($C$1-E$1))&gt;0,E107-((E107/$C107)*($C$1-E$1)),0)</f>
        <v>0</v>
      </c>
      <c r="F110" s="471">
        <f t="shared" si="634"/>
        <v>0</v>
      </c>
      <c r="G110" s="471">
        <f t="shared" si="634"/>
        <v>0</v>
      </c>
      <c r="H110" s="471">
        <f t="shared" si="634"/>
        <v>0</v>
      </c>
      <c r="I110" s="471">
        <f t="shared" si="634"/>
        <v>0</v>
      </c>
      <c r="J110" s="471">
        <f t="shared" si="634"/>
        <v>0</v>
      </c>
      <c r="K110" s="471">
        <f t="shared" si="634"/>
        <v>0</v>
      </c>
      <c r="L110" s="471">
        <f t="shared" si="634"/>
        <v>0</v>
      </c>
      <c r="M110" s="471">
        <f t="shared" si="634"/>
        <v>0</v>
      </c>
      <c r="N110" s="471">
        <f t="shared" si="634"/>
        <v>0</v>
      </c>
      <c r="O110" s="471">
        <f t="shared" si="634"/>
        <v>0</v>
      </c>
      <c r="P110" s="471">
        <f t="shared" si="634"/>
        <v>0</v>
      </c>
      <c r="Q110" s="471">
        <f t="shared" si="634"/>
        <v>0</v>
      </c>
      <c r="R110" s="471">
        <f t="shared" si="634"/>
        <v>0</v>
      </c>
      <c r="S110" s="471">
        <f t="shared" si="634"/>
        <v>0</v>
      </c>
      <c r="T110" s="471">
        <f t="shared" si="634"/>
        <v>0</v>
      </c>
      <c r="U110" s="471">
        <f t="shared" si="634"/>
        <v>0</v>
      </c>
      <c r="V110" s="471">
        <f t="shared" si="634"/>
        <v>0</v>
      </c>
      <c r="W110" s="471">
        <f t="shared" si="634"/>
        <v>0</v>
      </c>
      <c r="X110" s="679">
        <f t="shared" ref="X110:AG110" si="635">IF(X107-((X107/$C107)*($C$1-X$1))&gt;0,X107-((X107/$C107)*($C$1-X$1)),0)</f>
        <v>0</v>
      </c>
      <c r="Y110" s="679">
        <f t="shared" si="635"/>
        <v>0</v>
      </c>
      <c r="Z110" s="679">
        <f t="shared" si="635"/>
        <v>0</v>
      </c>
      <c r="AA110" s="679">
        <f t="shared" si="635"/>
        <v>0</v>
      </c>
      <c r="AB110" s="679">
        <f t="shared" si="635"/>
        <v>0</v>
      </c>
      <c r="AC110" s="679">
        <f t="shared" si="635"/>
        <v>0</v>
      </c>
      <c r="AD110" s="679">
        <f t="shared" si="635"/>
        <v>0</v>
      </c>
      <c r="AE110" s="679">
        <f t="shared" si="635"/>
        <v>0</v>
      </c>
      <c r="AF110" s="679">
        <f t="shared" si="635"/>
        <v>0</v>
      </c>
      <c r="AG110" s="679">
        <f t="shared" si="635"/>
        <v>0</v>
      </c>
      <c r="AH110" s="548">
        <f>SUM(D110:AG110)</f>
        <v>0</v>
      </c>
    </row>
    <row r="111" spans="1:34" x14ac:dyDescent="0.25">
      <c r="A111" s="246"/>
      <c r="B111" s="435" t="s">
        <v>588</v>
      </c>
      <c r="D111" s="479">
        <f>D109-SUM(D107:D108)</f>
        <v>-6.5471339999999998</v>
      </c>
      <c r="E111" s="479">
        <f t="shared" ref="E111" si="636">E109-SUM(E107:E108)</f>
        <v>-14.07920784</v>
      </c>
      <c r="F111" s="479">
        <f t="shared" ref="F111" si="637">F109-SUM(F107:F108)</f>
        <v>-14.373121914199999</v>
      </c>
      <c r="G111" s="479">
        <f t="shared" ref="G111" si="638">G109-SUM(G107:G108)</f>
        <v>-16.367691805457</v>
      </c>
      <c r="H111" s="479">
        <f t="shared" ref="H111" si="639">H109-SUM(H107:H108)</f>
        <v>-2.6796532113148697</v>
      </c>
      <c r="I111" s="479">
        <f t="shared" ref="I111" si="640">I109-SUM(I107:I108)</f>
        <v>-2.7600428076543162</v>
      </c>
      <c r="J111" s="479">
        <f t="shared" ref="J111" si="641">J109-SUM(J107:J108)</f>
        <v>-2.8428440918839457</v>
      </c>
      <c r="K111" s="479">
        <f t="shared" ref="K111" si="642">K109-SUM(K107:K108)</f>
        <v>-2.9281294146404639</v>
      </c>
      <c r="L111" s="479">
        <f t="shared" ref="L111" si="643">L109-SUM(L107:L108)</f>
        <v>-3.015973297079678</v>
      </c>
      <c r="M111" s="479">
        <f t="shared" ref="M111" si="644">M109-SUM(M107:M108)</f>
        <v>-3.1064524959920683</v>
      </c>
      <c r="N111" s="479">
        <f t="shared" ref="N111" si="645">N109-SUM(N107:N108)</f>
        <v>-3.1996460708718306</v>
      </c>
      <c r="O111" s="479">
        <f t="shared" ref="O111" si="646">O109-SUM(O107:O108)</f>
        <v>-3.2956354529979857</v>
      </c>
      <c r="P111" s="479">
        <f t="shared" ref="P111" si="647">P109-SUM(P107:P108)</f>
        <v>-4.7142947703978919</v>
      </c>
      <c r="Q111" s="479">
        <f t="shared" ref="Q111" si="648">Q109-SUM(Q107:Q108)</f>
        <v>-4.8557236135098281</v>
      </c>
      <c r="R111" s="479">
        <f t="shared" ref="R111" si="649">R109-SUM(R107:R108)</f>
        <v>-5.0013953219151244</v>
      </c>
      <c r="S111" s="479">
        <f t="shared" ref="S111" si="650">S109-SUM(S107:S108)</f>
        <v>-5.151437181572577</v>
      </c>
      <c r="T111" s="479">
        <f t="shared" ref="T111" si="651">T109-SUM(T107:T108)</f>
        <v>-5.3059802970197545</v>
      </c>
      <c r="U111" s="479">
        <f t="shared" ref="U111" si="652">U109-SUM(U107:U108)</f>
        <v>-5.4651597059303478</v>
      </c>
      <c r="V111" s="479">
        <f t="shared" ref="V111" si="653">V109-SUM(V107:V108)</f>
        <v>-5.629114497108259</v>
      </c>
      <c r="W111" s="479">
        <f t="shared" ref="W111:AG111" si="654">W109-SUM(W107:W108)</f>
        <v>-5.7979879320215071</v>
      </c>
      <c r="X111" s="479">
        <f t="shared" si="654"/>
        <v>-5.9719275699821521</v>
      </c>
      <c r="Y111" s="479">
        <f t="shared" si="654"/>
        <v>-6.1510853970816166</v>
      </c>
      <c r="Z111" s="479">
        <f t="shared" ref="Z111:AG111" si="655">Z109-SUM(Z107:Z108)</f>
        <v>-6.3356179589940655</v>
      </c>
      <c r="AA111" s="479">
        <f t="shared" si="654"/>
        <v>-6.5256864977638873</v>
      </c>
      <c r="AB111" s="479">
        <f t="shared" si="654"/>
        <v>-6.721457092696804</v>
      </c>
      <c r="AC111" s="479">
        <f t="shared" ref="AC111:AG111" si="656">AC109-SUM(AC107:AC108)</f>
        <v>-6.9231008054777083</v>
      </c>
      <c r="AD111" s="479">
        <f t="shared" si="654"/>
        <v>-7.1307938296420401</v>
      </c>
      <c r="AE111" s="479">
        <f t="shared" si="654"/>
        <v>-7.3447176445313014</v>
      </c>
      <c r="AF111" s="479">
        <f t="shared" ref="AF111:AG111" si="657">AF109-SUM(AF107:AF108)</f>
        <v>-7.5650591738672404</v>
      </c>
      <c r="AG111" s="479">
        <f t="shared" si="654"/>
        <v>-7.7920109490832576</v>
      </c>
      <c r="AH111" s="479">
        <f t="shared" ref="AH111" si="658">SUM(AH107:AH108)-AH109</f>
        <v>185.57808264068751</v>
      </c>
    </row>
    <row r="112" spans="1:34" x14ac:dyDescent="0.25">
      <c r="A112" s="246"/>
      <c r="B112" s="435" t="s">
        <v>592</v>
      </c>
      <c r="D112" s="480">
        <f>D111</f>
        <v>-6.5471339999999998</v>
      </c>
      <c r="E112" s="480">
        <f>E111+D112</f>
        <v>-20.626341840000002</v>
      </c>
      <c r="F112" s="480">
        <f t="shared" ref="F112" si="659">F111+E112</f>
        <v>-34.999463754200001</v>
      </c>
      <c r="G112" s="480">
        <f t="shared" ref="G112" si="660">G111+F112</f>
        <v>-51.367155559657</v>
      </c>
      <c r="H112" s="480">
        <f t="shared" ref="H112" si="661">H111+G112</f>
        <v>-54.046808770971872</v>
      </c>
      <c r="I112" s="480">
        <f t="shared" ref="I112" si="662">I111+H112</f>
        <v>-56.806851578626187</v>
      </c>
      <c r="J112" s="480">
        <f t="shared" ref="J112" si="663">J111+I112</f>
        <v>-59.649695670510134</v>
      </c>
      <c r="K112" s="480">
        <f t="shared" ref="K112" si="664">K111+J112</f>
        <v>-62.5778250851506</v>
      </c>
      <c r="L112" s="480">
        <f t="shared" ref="L112" si="665">L111+K112</f>
        <v>-65.593798382230275</v>
      </c>
      <c r="M112" s="480">
        <f t="shared" ref="M112" si="666">M111+L112</f>
        <v>-68.700250878222349</v>
      </c>
      <c r="N112" s="480">
        <f t="shared" ref="N112" si="667">N111+M112</f>
        <v>-71.899896949094185</v>
      </c>
      <c r="O112" s="480">
        <f t="shared" ref="O112" si="668">O111+N112</f>
        <v>-75.195532402092169</v>
      </c>
      <c r="P112" s="480">
        <f t="shared" ref="P112" si="669">P111+O112</f>
        <v>-79.909827172490054</v>
      </c>
      <c r="Q112" s="480">
        <f t="shared" ref="Q112" si="670">Q111+P112</f>
        <v>-84.765550785999878</v>
      </c>
      <c r="R112" s="480">
        <f t="shared" ref="R112" si="671">R111+Q112</f>
        <v>-89.766946107915004</v>
      </c>
      <c r="S112" s="480">
        <f t="shared" ref="S112" si="672">S111+R112</f>
        <v>-94.918383289487579</v>
      </c>
      <c r="T112" s="480">
        <f t="shared" ref="T112" si="673">T111+S112</f>
        <v>-100.22436358650734</v>
      </c>
      <c r="U112" s="480">
        <f t="shared" ref="U112" si="674">U111+T112</f>
        <v>-105.68952329243768</v>
      </c>
      <c r="V112" s="480">
        <f t="shared" ref="V112" si="675">V111+U112</f>
        <v>-111.31863778954595</v>
      </c>
      <c r="W112" s="480">
        <f t="shared" ref="W112" si="676">W111+V112</f>
        <v>-117.11662572156746</v>
      </c>
      <c r="X112" s="480">
        <f t="shared" ref="X112" si="677">X111+W112</f>
        <v>-123.08855329154962</v>
      </c>
      <c r="Y112" s="480">
        <f t="shared" ref="Y112" si="678">Y111+X112</f>
        <v>-129.23963868863123</v>
      </c>
      <c r="Z112" s="480">
        <f t="shared" ref="Z112" si="679">Z111+Y112</f>
        <v>-135.57525664762531</v>
      </c>
      <c r="AA112" s="480">
        <f t="shared" ref="AA112" si="680">AA111+Z112</f>
        <v>-142.10094314538921</v>
      </c>
      <c r="AB112" s="480">
        <f t="shared" ref="AB112" si="681">AB111+AA112</f>
        <v>-148.822400238086</v>
      </c>
      <c r="AC112" s="480">
        <f t="shared" ref="AC112" si="682">AC111+AB112</f>
        <v>-155.74550104356371</v>
      </c>
      <c r="AD112" s="480">
        <f t="shared" ref="AD112" si="683">AD111+AC112</f>
        <v>-162.87629487320575</v>
      </c>
      <c r="AE112" s="480">
        <f t="shared" ref="AE112" si="684">AE111+AD112</f>
        <v>-170.22101251773705</v>
      </c>
      <c r="AF112" s="480">
        <f t="shared" ref="AF112" si="685">AF111+AE112</f>
        <v>-177.78607169160429</v>
      </c>
      <c r="AG112" s="480">
        <f t="shared" ref="AG112" si="686">AG111+AF112</f>
        <v>-185.57808264068754</v>
      </c>
      <c r="AH112" s="246"/>
    </row>
    <row r="113" spans="1:34" x14ac:dyDescent="0.25">
      <c r="A113" s="246"/>
      <c r="B113" s="435" t="s">
        <v>591</v>
      </c>
      <c r="D113" s="478">
        <f t="shared" ref="D113:W113" si="687">D111*D$2</f>
        <v>-6.5471339999999998</v>
      </c>
      <c r="E113" s="478">
        <f t="shared" si="687"/>
        <v>-12.831942982136349</v>
      </c>
      <c r="F113" s="478">
        <f t="shared" si="687"/>
        <v>-11.939317774744689</v>
      </c>
      <c r="G113" s="478">
        <f t="shared" si="687"/>
        <v>-12.391675787185617</v>
      </c>
      <c r="H113" s="478">
        <f t="shared" si="687"/>
        <v>-1.8489935556114367</v>
      </c>
      <c r="I113" s="478">
        <f t="shared" si="687"/>
        <v>-1.735748598505086</v>
      </c>
      <c r="J113" s="478">
        <f t="shared" si="687"/>
        <v>-1.6294395337771039</v>
      </c>
      <c r="K113" s="478">
        <f t="shared" si="687"/>
        <v>-1.5296415601443831</v>
      </c>
      <c r="L113" s="478">
        <f t="shared" si="687"/>
        <v>-1.4359558940473156</v>
      </c>
      <c r="M113" s="478">
        <f t="shared" si="687"/>
        <v>-1.3480081761472249</v>
      </c>
      <c r="N113" s="478">
        <f t="shared" si="687"/>
        <v>-1.2654469754207454</v>
      </c>
      <c r="O113" s="478">
        <f t="shared" si="687"/>
        <v>-1.1879423848736492</v>
      </c>
      <c r="P113" s="478">
        <f t="shared" si="687"/>
        <v>-1.5487707819884411</v>
      </c>
      <c r="Q113" s="478">
        <f t="shared" si="687"/>
        <v>-1.4539135120744568</v>
      </c>
      <c r="R113" s="478">
        <f t="shared" si="687"/>
        <v>-1.3648659473538927</v>
      </c>
      <c r="S113" s="478">
        <f t="shared" si="687"/>
        <v>-1.2812722619162498</v>
      </c>
      <c r="T113" s="478">
        <f t="shared" si="687"/>
        <v>-1.2027984230529871</v>
      </c>
      <c r="U113" s="478">
        <f t="shared" si="687"/>
        <v>-1.1291308564934166</v>
      </c>
      <c r="V113" s="478">
        <f t="shared" si="687"/>
        <v>-1.0599751933906485</v>
      </c>
      <c r="W113" s="478">
        <f t="shared" si="687"/>
        <v>-0.99505509405064518</v>
      </c>
      <c r="X113" s="478">
        <f t="shared" ref="X113:AG113" si="688">X111*X$2</f>
        <v>-0.93411114370412374</v>
      </c>
      <c r="Y113" s="478">
        <f t="shared" si="688"/>
        <v>-0.8768998159089022</v>
      </c>
      <c r="Z113" s="478">
        <f t="shared" si="688"/>
        <v>-0.82319249944054806</v>
      </c>
      <c r="AA113" s="478">
        <f t="shared" si="688"/>
        <v>-0.77277458478286976</v>
      </c>
      <c r="AB113" s="478">
        <f t="shared" si="688"/>
        <v>-0.72544460656795107</v>
      </c>
      <c r="AC113" s="478">
        <f t="shared" si="688"/>
        <v>-0.68101343853899887</v>
      </c>
      <c r="AD113" s="478">
        <f t="shared" si="688"/>
        <v>-0.63930353781914784</v>
      </c>
      <c r="AE113" s="478">
        <f t="shared" si="688"/>
        <v>-0.60014823546638929</v>
      </c>
      <c r="AF113" s="478">
        <f t="shared" si="688"/>
        <v>-0.56339107047974923</v>
      </c>
      <c r="AG113" s="478">
        <f t="shared" si="688"/>
        <v>-0.52888516459546286</v>
      </c>
      <c r="AH113" s="246"/>
    </row>
    <row r="114" spans="1:34" x14ac:dyDescent="0.25">
      <c r="A114" s="246"/>
      <c r="B114" s="435" t="s">
        <v>593</v>
      </c>
      <c r="D114" s="480">
        <f>D113</f>
        <v>-6.5471339999999998</v>
      </c>
      <c r="E114" s="480">
        <f>D114+E113</f>
        <v>-19.379076982136347</v>
      </c>
      <c r="F114" s="480">
        <f t="shared" ref="F114" si="689">E114+F113</f>
        <v>-31.318394756881034</v>
      </c>
      <c r="G114" s="480">
        <f t="shared" ref="G114" si="690">F114+G113</f>
        <v>-43.710070544066653</v>
      </c>
      <c r="H114" s="480">
        <f t="shared" ref="H114" si="691">G114+H113</f>
        <v>-45.559064099678089</v>
      </c>
      <c r="I114" s="480">
        <f t="shared" ref="I114" si="692">H114+I113</f>
        <v>-47.294812698183172</v>
      </c>
      <c r="J114" s="480">
        <f t="shared" ref="J114" si="693">I114+J113</f>
        <v>-48.924252231960274</v>
      </c>
      <c r="K114" s="480">
        <f t="shared" ref="K114" si="694">J114+K113</f>
        <v>-50.453893792104658</v>
      </c>
      <c r="L114" s="480">
        <f t="shared" ref="L114" si="695">K114+L113</f>
        <v>-51.889849686151976</v>
      </c>
      <c r="M114" s="480">
        <f>L114+M113</f>
        <v>-53.237857862299201</v>
      </c>
      <c r="N114" s="480">
        <f t="shared" ref="N114" si="696">M114+N113</f>
        <v>-54.503304837719945</v>
      </c>
      <c r="O114" s="480">
        <f t="shared" ref="O114" si="697">N114+O113</f>
        <v>-55.691247222593596</v>
      </c>
      <c r="P114" s="480">
        <f t="shared" ref="P114" si="698">O114+P113</f>
        <v>-57.240018004582033</v>
      </c>
      <c r="Q114" s="480">
        <f t="shared" ref="Q114" si="699">P114+Q113</f>
        <v>-58.693931516656491</v>
      </c>
      <c r="R114" s="480">
        <f t="shared" ref="R114" si="700">Q114+R113</f>
        <v>-60.058797464010382</v>
      </c>
      <c r="S114" s="480">
        <f t="shared" ref="S114" si="701">R114+S113</f>
        <v>-61.340069725926632</v>
      </c>
      <c r="T114" s="480">
        <f t="shared" ref="T114" si="702">S114+T113</f>
        <v>-62.542868148979622</v>
      </c>
      <c r="U114" s="480">
        <f t="shared" ref="U114" si="703">T114+U113</f>
        <v>-63.67199900547304</v>
      </c>
      <c r="V114" s="480">
        <f t="shared" ref="V114" si="704">U114+V113</f>
        <v>-64.731974198863682</v>
      </c>
      <c r="W114" s="480">
        <f t="shared" ref="W114" si="705">V114+W113</f>
        <v>-65.727029292914324</v>
      </c>
      <c r="X114" s="480">
        <f t="shared" ref="X114" si="706">W114+X113</f>
        <v>-66.661140436618453</v>
      </c>
      <c r="Y114" s="480">
        <f t="shared" ref="Y114" si="707">X114+Y113</f>
        <v>-67.538040252527352</v>
      </c>
      <c r="Z114" s="480">
        <f t="shared" ref="Z114" si="708">Y114+Z113</f>
        <v>-68.361232751967904</v>
      </c>
      <c r="AA114" s="480">
        <f t="shared" ref="AA114" si="709">Z114+AA113</f>
        <v>-69.13400733675077</v>
      </c>
      <c r="AB114" s="480">
        <f t="shared" ref="AB114" si="710">AA114+AB113</f>
        <v>-69.859451943318717</v>
      </c>
      <c r="AC114" s="480">
        <f t="shared" ref="AC114" si="711">AB114+AC113</f>
        <v>-70.540465381857715</v>
      </c>
      <c r="AD114" s="480">
        <f t="shared" ref="AD114" si="712">AC114+AD113</f>
        <v>-71.17976891967686</v>
      </c>
      <c r="AE114" s="480">
        <f t="shared" ref="AE114" si="713">AD114+AE113</f>
        <v>-71.779917155143252</v>
      </c>
      <c r="AF114" s="480">
        <f t="shared" ref="AF114" si="714">AE114+AF113</f>
        <v>-72.343308225623005</v>
      </c>
      <c r="AG114" s="480">
        <f t="shared" ref="AG114" si="715">AF114+AG113</f>
        <v>-72.87219339021847</v>
      </c>
      <c r="AH114" s="246"/>
    </row>
    <row r="115" spans="1:34" x14ac:dyDescent="0.25">
      <c r="A115" s="246"/>
      <c r="B115" s="435" t="s">
        <v>604</v>
      </c>
      <c r="D115" s="480">
        <f>SUM(D107:D108)-D109</f>
        <v>6.5471339999999998</v>
      </c>
      <c r="E115" s="480">
        <f>(SUM(E107:E108)-E109)+D115</f>
        <v>20.626341840000002</v>
      </c>
      <c r="F115" s="480">
        <f t="shared" ref="F115:W115" si="716">(SUM(F107:F108)-F109)+E115</f>
        <v>34.999463754200001</v>
      </c>
      <c r="G115" s="480">
        <f t="shared" si="716"/>
        <v>51.367155559657</v>
      </c>
      <c r="H115" s="480">
        <f t="shared" si="716"/>
        <v>54.046808770971872</v>
      </c>
      <c r="I115" s="480">
        <f t="shared" si="716"/>
        <v>56.806851578626187</v>
      </c>
      <c r="J115" s="480">
        <f t="shared" si="716"/>
        <v>59.649695670510134</v>
      </c>
      <c r="K115" s="480">
        <f t="shared" si="716"/>
        <v>62.5778250851506</v>
      </c>
      <c r="L115" s="480">
        <f t="shared" si="716"/>
        <v>65.593798382230275</v>
      </c>
      <c r="M115" s="480">
        <f t="shared" si="716"/>
        <v>68.700250878222349</v>
      </c>
      <c r="N115" s="480">
        <f t="shared" si="716"/>
        <v>71.899896949094185</v>
      </c>
      <c r="O115" s="480">
        <f t="shared" si="716"/>
        <v>75.195532402092169</v>
      </c>
      <c r="P115" s="480">
        <f t="shared" si="716"/>
        <v>79.909827172490054</v>
      </c>
      <c r="Q115" s="480">
        <f t="shared" si="716"/>
        <v>84.765550785999878</v>
      </c>
      <c r="R115" s="480">
        <f t="shared" si="716"/>
        <v>89.766946107915004</v>
      </c>
      <c r="S115" s="480">
        <f t="shared" si="716"/>
        <v>94.918383289487579</v>
      </c>
      <c r="T115" s="480">
        <f t="shared" si="716"/>
        <v>100.22436358650734</v>
      </c>
      <c r="U115" s="480">
        <f t="shared" si="716"/>
        <v>105.68952329243768</v>
      </c>
      <c r="V115" s="480">
        <f t="shared" si="716"/>
        <v>111.31863778954595</v>
      </c>
      <c r="W115" s="480">
        <f t="shared" si="716"/>
        <v>117.11662572156746</v>
      </c>
      <c r="X115" s="480">
        <f t="shared" ref="X115" si="717">(SUM(X107:X108)-X109)+W115</f>
        <v>123.08855329154962</v>
      </c>
      <c r="Y115" s="480">
        <f t="shared" ref="Y115" si="718">(SUM(Y107:Y108)-Y109)+X115</f>
        <v>129.23963868863123</v>
      </c>
      <c r="Z115" s="480">
        <f t="shared" ref="Z115" si="719">(SUM(Z107:Z108)-Z109)+Y115</f>
        <v>135.57525664762531</v>
      </c>
      <c r="AA115" s="480">
        <f t="shared" ref="AA115" si="720">(SUM(AA107:AA108)-AA109)+Z115</f>
        <v>142.10094314538921</v>
      </c>
      <c r="AB115" s="480">
        <f t="shared" ref="AB115" si="721">(SUM(AB107:AB108)-AB109)+AA115</f>
        <v>148.822400238086</v>
      </c>
      <c r="AC115" s="480">
        <f t="shared" ref="AC115" si="722">(SUM(AC107:AC108)-AC109)+AB115</f>
        <v>155.74550104356371</v>
      </c>
      <c r="AD115" s="480">
        <f t="shared" ref="AD115" si="723">(SUM(AD107:AD108)-AD109)+AC115</f>
        <v>162.87629487320575</v>
      </c>
      <c r="AE115" s="480">
        <f t="shared" ref="AE115" si="724">(SUM(AE107:AE108)-AE109)+AD115</f>
        <v>170.22101251773705</v>
      </c>
      <c r="AF115" s="480">
        <f t="shared" ref="AF115" si="725">(SUM(AF107:AF108)-AF109)+AE115</f>
        <v>177.78607169160429</v>
      </c>
      <c r="AG115" s="480">
        <f t="shared" ref="AG115" si="726">(SUM(AG107:AG108)-AG109)+AF115</f>
        <v>185.57808264068754</v>
      </c>
      <c r="AH115" s="246"/>
    </row>
    <row r="116" spans="1:34" x14ac:dyDescent="0.25">
      <c r="A116" s="246"/>
      <c r="B116" s="435" t="s">
        <v>595</v>
      </c>
      <c r="D116" s="480">
        <f>D107</f>
        <v>2.7629999999999999</v>
      </c>
      <c r="E116" s="480">
        <f>E107+D116</f>
        <v>15.95410818</v>
      </c>
      <c r="F116" s="480">
        <f t="shared" ref="F116:W116" si="727">F107+E116</f>
        <v>29.4090385236</v>
      </c>
      <c r="G116" s="480">
        <f t="shared" si="727"/>
        <v>43.175125269527996</v>
      </c>
      <c r="H116" s="480">
        <f t="shared" si="727"/>
        <v>43.175125269527996</v>
      </c>
      <c r="I116" s="480">
        <f t="shared" si="727"/>
        <v>43.175125269527996</v>
      </c>
      <c r="J116" s="480">
        <f t="shared" si="727"/>
        <v>43.175125269527996</v>
      </c>
      <c r="K116" s="480">
        <f t="shared" si="727"/>
        <v>43.175125269527996</v>
      </c>
      <c r="L116" s="480">
        <f t="shared" si="727"/>
        <v>43.175125269527996</v>
      </c>
      <c r="M116" s="480">
        <f t="shared" si="727"/>
        <v>43.175125269527996</v>
      </c>
      <c r="N116" s="480">
        <f t="shared" si="727"/>
        <v>43.175125269527996</v>
      </c>
      <c r="O116" s="480">
        <f t="shared" si="727"/>
        <v>43.175125269527996</v>
      </c>
      <c r="P116" s="480">
        <f t="shared" si="727"/>
        <v>43.175125269527996</v>
      </c>
      <c r="Q116" s="480">
        <f t="shared" si="727"/>
        <v>43.175125269527996</v>
      </c>
      <c r="R116" s="480">
        <f t="shared" si="727"/>
        <v>43.175125269527996</v>
      </c>
      <c r="S116" s="480">
        <f t="shared" si="727"/>
        <v>43.175125269527996</v>
      </c>
      <c r="T116" s="480">
        <f t="shared" si="727"/>
        <v>43.175125269527996</v>
      </c>
      <c r="U116" s="480">
        <f t="shared" si="727"/>
        <v>43.175125269527996</v>
      </c>
      <c r="V116" s="480">
        <f t="shared" si="727"/>
        <v>43.175125269527996</v>
      </c>
      <c r="W116" s="480">
        <f t="shared" si="727"/>
        <v>43.175125269527996</v>
      </c>
      <c r="X116" s="480">
        <f t="shared" ref="X116:X118" si="728">X107+W116</f>
        <v>43.175125269527996</v>
      </c>
      <c r="Y116" s="480">
        <f t="shared" ref="Y116:Y118" si="729">Y107+X116</f>
        <v>43.175125269527996</v>
      </c>
      <c r="Z116" s="480">
        <f t="shared" ref="Z116:Z118" si="730">Z107+Y116</f>
        <v>43.175125269527996</v>
      </c>
      <c r="AA116" s="480">
        <f t="shared" ref="AA116:AA118" si="731">AA107+Z116</f>
        <v>43.175125269527996</v>
      </c>
      <c r="AB116" s="480">
        <f t="shared" ref="AB116:AB118" si="732">AB107+AA116</f>
        <v>43.175125269527996</v>
      </c>
      <c r="AC116" s="480">
        <f t="shared" ref="AC116:AC118" si="733">AC107+AB116</f>
        <v>43.175125269527996</v>
      </c>
      <c r="AD116" s="480">
        <f t="shared" ref="AD116:AD118" si="734">AD107+AC116</f>
        <v>43.175125269527996</v>
      </c>
      <c r="AE116" s="480">
        <f t="shared" ref="AE116:AE118" si="735">AE107+AD116</f>
        <v>43.175125269527996</v>
      </c>
      <c r="AF116" s="480">
        <f t="shared" ref="AF116:AF118" si="736">AF107+AE116</f>
        <v>43.175125269527996</v>
      </c>
      <c r="AG116" s="480">
        <f t="shared" ref="AG116:AG118" si="737">AG107+AF116</f>
        <v>43.175125269527996</v>
      </c>
      <c r="AH116" s="246"/>
    </row>
    <row r="117" spans="1:34" x14ac:dyDescent="0.25">
      <c r="A117" s="246"/>
      <c r="B117" s="435" t="s">
        <v>596</v>
      </c>
      <c r="D117" s="480">
        <f>D108</f>
        <v>3.7841339999999999</v>
      </c>
      <c r="E117" s="480">
        <f t="shared" ref="E117:W117" si="738">E108+D117</f>
        <v>4.6722336599999998</v>
      </c>
      <c r="F117" s="480">
        <f t="shared" si="738"/>
        <v>5.5904252306000002</v>
      </c>
      <c r="G117" s="480">
        <f t="shared" si="738"/>
        <v>8.1920302901290007</v>
      </c>
      <c r="H117" s="480">
        <f t="shared" si="738"/>
        <v>10.87168350144387</v>
      </c>
      <c r="I117" s="480">
        <f t="shared" si="738"/>
        <v>13.631726309098187</v>
      </c>
      <c r="J117" s="480">
        <f t="shared" si="738"/>
        <v>16.474570400982135</v>
      </c>
      <c r="K117" s="480">
        <f t="shared" si="738"/>
        <v>19.402699815622597</v>
      </c>
      <c r="L117" s="480">
        <f t="shared" si="738"/>
        <v>22.418673112702276</v>
      </c>
      <c r="M117" s="480">
        <f t="shared" si="738"/>
        <v>25.525125608694346</v>
      </c>
      <c r="N117" s="480">
        <f t="shared" si="738"/>
        <v>28.724771679566174</v>
      </c>
      <c r="O117" s="480">
        <f t="shared" si="738"/>
        <v>32.020407132564159</v>
      </c>
      <c r="P117" s="480">
        <f t="shared" si="738"/>
        <v>36.734701902962051</v>
      </c>
      <c r="Q117" s="480">
        <f t="shared" si="738"/>
        <v>41.590425516471882</v>
      </c>
      <c r="R117" s="480">
        <f t="shared" si="738"/>
        <v>46.591820838387008</v>
      </c>
      <c r="S117" s="480">
        <f t="shared" si="738"/>
        <v>51.743258019959583</v>
      </c>
      <c r="T117" s="480">
        <f t="shared" si="738"/>
        <v>57.049238316979341</v>
      </c>
      <c r="U117" s="480">
        <f t="shared" si="738"/>
        <v>62.514398022909688</v>
      </c>
      <c r="V117" s="480">
        <f t="shared" si="738"/>
        <v>68.14351252001795</v>
      </c>
      <c r="W117" s="480">
        <f t="shared" si="738"/>
        <v>73.941500452039463</v>
      </c>
      <c r="X117" s="480">
        <f t="shared" si="728"/>
        <v>79.91342802202162</v>
      </c>
      <c r="Y117" s="480">
        <f t="shared" si="729"/>
        <v>86.064513419103235</v>
      </c>
      <c r="Z117" s="480">
        <f t="shared" si="730"/>
        <v>92.400131378097299</v>
      </c>
      <c r="AA117" s="480">
        <f t="shared" si="731"/>
        <v>98.925817875861185</v>
      </c>
      <c r="AB117" s="480">
        <f t="shared" si="732"/>
        <v>105.64727496855799</v>
      </c>
      <c r="AC117" s="480">
        <f t="shared" si="733"/>
        <v>112.5703757740357</v>
      </c>
      <c r="AD117" s="480">
        <f t="shared" si="734"/>
        <v>119.70116960367774</v>
      </c>
      <c r="AE117" s="480">
        <f t="shared" si="735"/>
        <v>127.04588724820904</v>
      </c>
      <c r="AF117" s="480">
        <f t="shared" si="736"/>
        <v>134.61094642207627</v>
      </c>
      <c r="AG117" s="480">
        <f t="shared" si="737"/>
        <v>142.40295737115952</v>
      </c>
      <c r="AH117" s="246"/>
    </row>
    <row r="118" spans="1:34" x14ac:dyDescent="0.25">
      <c r="A118" s="246"/>
      <c r="B118" s="435" t="s">
        <v>597</v>
      </c>
      <c r="D118" s="480">
        <f>D109</f>
        <v>0</v>
      </c>
      <c r="E118" s="480">
        <f t="shared" ref="E118:W118" si="739">E109+D118</f>
        <v>0</v>
      </c>
      <c r="F118" s="480">
        <f t="shared" si="739"/>
        <v>0</v>
      </c>
      <c r="G118" s="480">
        <f t="shared" si="739"/>
        <v>0</v>
      </c>
      <c r="H118" s="480">
        <f t="shared" si="739"/>
        <v>0</v>
      </c>
      <c r="I118" s="480">
        <f t="shared" si="739"/>
        <v>0</v>
      </c>
      <c r="J118" s="480">
        <f t="shared" si="739"/>
        <v>0</v>
      </c>
      <c r="K118" s="480">
        <f t="shared" si="739"/>
        <v>0</v>
      </c>
      <c r="L118" s="480">
        <f t="shared" si="739"/>
        <v>0</v>
      </c>
      <c r="M118" s="480">
        <f t="shared" si="739"/>
        <v>0</v>
      </c>
      <c r="N118" s="480">
        <f t="shared" si="739"/>
        <v>0</v>
      </c>
      <c r="O118" s="480">
        <f t="shared" si="739"/>
        <v>0</v>
      </c>
      <c r="P118" s="480">
        <f t="shared" si="739"/>
        <v>0</v>
      </c>
      <c r="Q118" s="480">
        <f t="shared" si="739"/>
        <v>0</v>
      </c>
      <c r="R118" s="480">
        <f t="shared" si="739"/>
        <v>0</v>
      </c>
      <c r="S118" s="480">
        <f t="shared" si="739"/>
        <v>0</v>
      </c>
      <c r="T118" s="480">
        <f t="shared" si="739"/>
        <v>0</v>
      </c>
      <c r="U118" s="480">
        <f t="shared" si="739"/>
        <v>0</v>
      </c>
      <c r="V118" s="480">
        <f t="shared" si="739"/>
        <v>0</v>
      </c>
      <c r="W118" s="480">
        <f t="shared" si="739"/>
        <v>0</v>
      </c>
      <c r="X118" s="480">
        <f t="shared" si="728"/>
        <v>0</v>
      </c>
      <c r="Y118" s="480">
        <f t="shared" si="729"/>
        <v>0</v>
      </c>
      <c r="Z118" s="480">
        <f t="shared" si="730"/>
        <v>0</v>
      </c>
      <c r="AA118" s="480">
        <f t="shared" si="731"/>
        <v>0</v>
      </c>
      <c r="AB118" s="480">
        <f t="shared" si="732"/>
        <v>0</v>
      </c>
      <c r="AC118" s="480">
        <f t="shared" si="733"/>
        <v>0</v>
      </c>
      <c r="AD118" s="480">
        <f t="shared" si="734"/>
        <v>0</v>
      </c>
      <c r="AE118" s="480">
        <f t="shared" si="735"/>
        <v>0</v>
      </c>
      <c r="AF118" s="480">
        <f t="shared" si="736"/>
        <v>0</v>
      </c>
      <c r="AG118" s="480">
        <f t="shared" si="737"/>
        <v>0</v>
      </c>
      <c r="AH118" s="246"/>
    </row>
    <row r="119" spans="1:34" s="246" customFormat="1" x14ac:dyDescent="0.25">
      <c r="B119" s="435" t="s">
        <v>673</v>
      </c>
      <c r="C119" s="201"/>
      <c r="D119" s="480">
        <f>D107</f>
        <v>2.7629999999999999</v>
      </c>
      <c r="E119" s="480">
        <f>E107/(1.1^E$1)</f>
        <v>11.991916527272727</v>
      </c>
      <c r="F119" s="480">
        <f t="shared" ref="F119:W119" si="740">F107/(1.1^F$1)</f>
        <v>11.119777143471072</v>
      </c>
      <c r="G119" s="480">
        <f t="shared" si="740"/>
        <v>10.34266472271074</v>
      </c>
      <c r="H119" s="480">
        <f t="shared" si="740"/>
        <v>0</v>
      </c>
      <c r="I119" s="480">
        <f t="shared" si="740"/>
        <v>0</v>
      </c>
      <c r="J119" s="480">
        <f t="shared" si="740"/>
        <v>0</v>
      </c>
      <c r="K119" s="480">
        <f t="shared" si="740"/>
        <v>0</v>
      </c>
      <c r="L119" s="480">
        <f t="shared" si="740"/>
        <v>0</v>
      </c>
      <c r="M119" s="480">
        <f t="shared" si="740"/>
        <v>0</v>
      </c>
      <c r="N119" s="480">
        <f t="shared" si="740"/>
        <v>0</v>
      </c>
      <c r="O119" s="480">
        <f t="shared" si="740"/>
        <v>0</v>
      </c>
      <c r="P119" s="480">
        <f t="shared" si="740"/>
        <v>0</v>
      </c>
      <c r="Q119" s="480">
        <f t="shared" si="740"/>
        <v>0</v>
      </c>
      <c r="R119" s="480">
        <f t="shared" si="740"/>
        <v>0</v>
      </c>
      <c r="S119" s="480">
        <f t="shared" si="740"/>
        <v>0</v>
      </c>
      <c r="T119" s="480">
        <f t="shared" si="740"/>
        <v>0</v>
      </c>
      <c r="U119" s="480">
        <f t="shared" si="740"/>
        <v>0</v>
      </c>
      <c r="V119" s="480">
        <f t="shared" si="740"/>
        <v>0</v>
      </c>
      <c r="W119" s="480">
        <f t="shared" si="740"/>
        <v>0</v>
      </c>
      <c r="X119" s="480">
        <f t="shared" ref="X119:AG119" si="741">X107/(1.1^X$1)</f>
        <v>0</v>
      </c>
      <c r="Y119" s="480">
        <f t="shared" si="741"/>
        <v>0</v>
      </c>
      <c r="Z119" s="480">
        <f t="shared" si="741"/>
        <v>0</v>
      </c>
      <c r="AA119" s="480">
        <f t="shared" si="741"/>
        <v>0</v>
      </c>
      <c r="AB119" s="480">
        <f t="shared" si="741"/>
        <v>0</v>
      </c>
      <c r="AC119" s="480">
        <f t="shared" si="741"/>
        <v>0</v>
      </c>
      <c r="AD119" s="480">
        <f t="shared" si="741"/>
        <v>0</v>
      </c>
      <c r="AE119" s="480">
        <f t="shared" si="741"/>
        <v>0</v>
      </c>
      <c r="AF119" s="480">
        <f t="shared" si="741"/>
        <v>0</v>
      </c>
      <c r="AG119" s="480">
        <f t="shared" si="741"/>
        <v>0</v>
      </c>
      <c r="AH119" s="479">
        <f>-SUM(D119:AG119)</f>
        <v>-36.217358393454539</v>
      </c>
    </row>
    <row r="120" spans="1:34" s="246" customFormat="1" x14ac:dyDescent="0.25">
      <c r="B120" s="435" t="s">
        <v>675</v>
      </c>
      <c r="C120" s="201"/>
      <c r="D120" s="480">
        <f>D108</f>
        <v>3.7841339999999999</v>
      </c>
      <c r="E120" s="480">
        <f>E108/(1.1^E$1)</f>
        <v>0.80736332727272719</v>
      </c>
      <c r="F120" s="480">
        <f t="shared" ref="F120:W120" si="742">F108/(1.1^F$1)</f>
        <v>0.75883600876033053</v>
      </c>
      <c r="G120" s="480">
        <f t="shared" si="742"/>
        <v>1.9546243873245672</v>
      </c>
      <c r="H120" s="480">
        <f t="shared" si="742"/>
        <v>1.8302391990402767</v>
      </c>
      <c r="I120" s="480">
        <f t="shared" si="742"/>
        <v>1.7137694318286227</v>
      </c>
      <c r="J120" s="480">
        <f t="shared" si="742"/>
        <v>1.6047113770758921</v>
      </c>
      <c r="K120" s="480">
        <f t="shared" si="742"/>
        <v>1.5025933803528804</v>
      </c>
      <c r="L120" s="480">
        <f t="shared" si="742"/>
        <v>1.4069738016031519</v>
      </c>
      <c r="M120" s="480">
        <f t="shared" si="742"/>
        <v>1.3174391051374965</v>
      </c>
      <c r="N120" s="480">
        <f t="shared" si="742"/>
        <v>1.2336020711742013</v>
      </c>
      <c r="O120" s="480">
        <f t="shared" si="742"/>
        <v>1.1551001211903884</v>
      </c>
      <c r="P120" s="480">
        <f t="shared" si="742"/>
        <v>1.5021195976195378</v>
      </c>
      <c r="Q120" s="480">
        <f t="shared" si="742"/>
        <v>1.4065301686801126</v>
      </c>
      <c r="R120" s="480">
        <f t="shared" si="742"/>
        <v>1.3170237034004693</v>
      </c>
      <c r="S120" s="480">
        <f t="shared" si="742"/>
        <v>1.2332131040931664</v>
      </c>
      <c r="T120" s="480">
        <f t="shared" si="742"/>
        <v>1.1547359065599647</v>
      </c>
      <c r="U120" s="480">
        <f t="shared" si="742"/>
        <v>1.0812527125061491</v>
      </c>
      <c r="V120" s="480">
        <f t="shared" si="742"/>
        <v>1.0124457217103031</v>
      </c>
      <c r="W120" s="480">
        <f t="shared" si="742"/>
        <v>0.94801735760146555</v>
      </c>
      <c r="X120" s="480">
        <f t="shared" ref="X120:AG120" si="743">X108/(1.1^X$1)</f>
        <v>0.88768898029955412</v>
      </c>
      <c r="Y120" s="480">
        <f t="shared" si="743"/>
        <v>0.83119968155321877</v>
      </c>
      <c r="Z120" s="480">
        <f t="shared" si="743"/>
        <v>0.77830515636346842</v>
      </c>
      <c r="AA120" s="480">
        <f t="shared" si="743"/>
        <v>0.72877664641306583</v>
      </c>
      <c r="AB120" s="480">
        <f t="shared" si="743"/>
        <v>0.68239995073223447</v>
      </c>
      <c r="AC120" s="480">
        <f t="shared" si="743"/>
        <v>0.63897449932200123</v>
      </c>
      <c r="AD120" s="480">
        <f t="shared" si="743"/>
        <v>0.59831248572878304</v>
      </c>
      <c r="AE120" s="480">
        <f t="shared" si="743"/>
        <v>0.56023805481876943</v>
      </c>
      <c r="AF120" s="480">
        <f t="shared" si="743"/>
        <v>0.52458654223939327</v>
      </c>
      <c r="AG120" s="480">
        <f t="shared" si="743"/>
        <v>0.49120376227870455</v>
      </c>
      <c r="AH120" s="479">
        <f>-SUM(D120:AG120)</f>
        <v>-35.446410242680891</v>
      </c>
    </row>
    <row r="121" spans="1:34" s="246" customFormat="1" x14ac:dyDescent="0.25">
      <c r="B121" s="435" t="s">
        <v>674</v>
      </c>
      <c r="C121" s="201"/>
      <c r="D121" s="480">
        <f>D109</f>
        <v>0</v>
      </c>
      <c r="E121" s="480">
        <f>E109/(1.1^E$1)</f>
        <v>0</v>
      </c>
      <c r="F121" s="480">
        <f t="shared" ref="F121:W121" si="744">F109/(1.1^F$1)</f>
        <v>0</v>
      </c>
      <c r="G121" s="480">
        <f t="shared" si="744"/>
        <v>0</v>
      </c>
      <c r="H121" s="480">
        <f t="shared" si="744"/>
        <v>0</v>
      </c>
      <c r="I121" s="480">
        <f t="shared" si="744"/>
        <v>0</v>
      </c>
      <c r="J121" s="480">
        <f t="shared" si="744"/>
        <v>0</v>
      </c>
      <c r="K121" s="480">
        <f t="shared" si="744"/>
        <v>0</v>
      </c>
      <c r="L121" s="480">
        <f t="shared" si="744"/>
        <v>0</v>
      </c>
      <c r="M121" s="480">
        <f t="shared" si="744"/>
        <v>0</v>
      </c>
      <c r="N121" s="480">
        <f t="shared" si="744"/>
        <v>0</v>
      </c>
      <c r="O121" s="480">
        <f t="shared" si="744"/>
        <v>0</v>
      </c>
      <c r="P121" s="480">
        <f t="shared" si="744"/>
        <v>0</v>
      </c>
      <c r="Q121" s="480">
        <f t="shared" si="744"/>
        <v>0</v>
      </c>
      <c r="R121" s="480">
        <f t="shared" si="744"/>
        <v>0</v>
      </c>
      <c r="S121" s="480">
        <f t="shared" si="744"/>
        <v>0</v>
      </c>
      <c r="T121" s="480">
        <f t="shared" si="744"/>
        <v>0</v>
      </c>
      <c r="U121" s="480">
        <f t="shared" si="744"/>
        <v>0</v>
      </c>
      <c r="V121" s="480">
        <f t="shared" si="744"/>
        <v>0</v>
      </c>
      <c r="W121" s="480">
        <f t="shared" si="744"/>
        <v>0</v>
      </c>
      <c r="X121" s="480">
        <f t="shared" ref="X121:AG121" si="745">X109/(1.1^X$1)</f>
        <v>0</v>
      </c>
      <c r="Y121" s="480">
        <f t="shared" si="745"/>
        <v>0</v>
      </c>
      <c r="Z121" s="480">
        <f t="shared" si="745"/>
        <v>0</v>
      </c>
      <c r="AA121" s="480">
        <f t="shared" si="745"/>
        <v>0</v>
      </c>
      <c r="AB121" s="480">
        <f t="shared" si="745"/>
        <v>0</v>
      </c>
      <c r="AC121" s="480">
        <f t="shared" si="745"/>
        <v>0</v>
      </c>
      <c r="AD121" s="480">
        <f t="shared" si="745"/>
        <v>0</v>
      </c>
      <c r="AE121" s="480">
        <f t="shared" si="745"/>
        <v>0</v>
      </c>
      <c r="AF121" s="480">
        <f t="shared" si="745"/>
        <v>0</v>
      </c>
      <c r="AG121" s="480">
        <f t="shared" si="745"/>
        <v>0</v>
      </c>
      <c r="AH121" s="479">
        <f>SUM(D121:AG121)</f>
        <v>0</v>
      </c>
    </row>
    <row r="123" spans="1:34" x14ac:dyDescent="0.25">
      <c r="A123" s="465" t="s">
        <v>603</v>
      </c>
      <c r="B123" s="464"/>
      <c r="C123" s="512"/>
      <c r="D123" s="463"/>
      <c r="E123" s="463"/>
      <c r="F123" s="463"/>
      <c r="G123" s="463"/>
      <c r="H123" s="463"/>
      <c r="I123" s="463"/>
      <c r="J123" s="463"/>
      <c r="K123" s="463"/>
      <c r="L123" s="463"/>
      <c r="M123" s="463"/>
      <c r="N123" s="463"/>
      <c r="O123" s="463"/>
      <c r="P123" s="463"/>
      <c r="Q123" s="463"/>
      <c r="R123" s="463"/>
      <c r="S123" s="463"/>
      <c r="T123" s="463"/>
      <c r="U123" s="463"/>
      <c r="V123" s="463"/>
      <c r="W123" s="463"/>
      <c r="X123" s="481"/>
      <c r="Y123" s="481"/>
      <c r="Z123" s="481"/>
      <c r="AA123" s="481"/>
      <c r="AB123" s="481"/>
      <c r="AC123" s="481"/>
      <c r="AD123" s="481"/>
      <c r="AE123" s="481"/>
      <c r="AF123" s="481"/>
      <c r="AG123" s="481"/>
      <c r="AH123" s="246"/>
    </row>
    <row r="124" spans="1:34" x14ac:dyDescent="0.25">
      <c r="A124" s="472" t="s">
        <v>594</v>
      </c>
      <c r="B124" s="470" t="s">
        <v>586</v>
      </c>
      <c r="C124" s="510">
        <v>25</v>
      </c>
      <c r="D124" s="471">
        <f>SUM('[1]Option Implementation Cost'!I$384:I$431)</f>
        <v>2.6761749999999997</v>
      </c>
      <c r="E124" s="471">
        <f>SUM('[1]Option Implementation Cost'!J$384:J$431)</f>
        <v>0.23903313000000001</v>
      </c>
      <c r="F124" s="471">
        <f>SUM('[1]Option Implementation Cost'!K$384:K$431)</f>
        <v>0.32178791257300005</v>
      </c>
      <c r="G124" s="471">
        <f>SUM('[1]Option Implementation Cost'!L$384:L$431)</f>
        <v>2.3565150120812905</v>
      </c>
      <c r="H124" s="471">
        <f>SUM('[1]Option Implementation Cost'!M$384:M$431)</f>
        <v>19.266931637279999</v>
      </c>
      <c r="I124" s="471">
        <f>SUM('[1]Option Implementation Cost'!N$384:N$431)</f>
        <v>23.133626574263999</v>
      </c>
      <c r="J124" s="471">
        <f>SUM('[1]Option Implementation Cost'!O$384:O$431)</f>
        <v>6.7451420463840002</v>
      </c>
      <c r="K124" s="471">
        <f>SUM('[1]Option Implementation Cost'!P$384:P$431)</f>
        <v>0</v>
      </c>
      <c r="L124" s="471">
        <f>SUM('[1]Option Implementation Cost'!Q$384:Q$431)</f>
        <v>0</v>
      </c>
      <c r="M124" s="471">
        <f>SUM('[1]Option Implementation Cost'!R$384:R$431)</f>
        <v>0</v>
      </c>
      <c r="N124" s="471">
        <f>SUM('[1]Option Implementation Cost'!S$384:S$431)</f>
        <v>0</v>
      </c>
      <c r="O124" s="471">
        <f>SUM('[1]Option Implementation Cost'!T$384:T$431)</f>
        <v>0</v>
      </c>
      <c r="P124" s="471">
        <f>SUM('[1]Option Implementation Cost'!U$384:U$431)</f>
        <v>0</v>
      </c>
      <c r="Q124" s="471">
        <f>SUM('[1]Option Implementation Cost'!V$384:V$431)</f>
        <v>0</v>
      </c>
      <c r="R124" s="471">
        <f>SUM('[1]Option Implementation Cost'!W$384:W$431)</f>
        <v>0</v>
      </c>
      <c r="S124" s="471">
        <f>SUM('[1]Option Implementation Cost'!X$384:X$431)</f>
        <v>0</v>
      </c>
      <c r="T124" s="471">
        <f>SUM('[1]Option Implementation Cost'!Y$384:Y$431)</f>
        <v>0</v>
      </c>
      <c r="U124" s="471">
        <f>SUM('[1]Option Implementation Cost'!Z$384:Z$431)</f>
        <v>0</v>
      </c>
      <c r="V124" s="471">
        <f>SUM('[1]Option Implementation Cost'!AA$384:AA$431)</f>
        <v>0</v>
      </c>
      <c r="W124" s="467">
        <f>SUM('[1]Option Implementation Cost'!AB$384:AB$431)</f>
        <v>0</v>
      </c>
      <c r="X124" s="683">
        <v>0</v>
      </c>
      <c r="Y124" s="679">
        <v>0</v>
      </c>
      <c r="Z124" s="679">
        <v>0</v>
      </c>
      <c r="AA124" s="679">
        <v>0</v>
      </c>
      <c r="AB124" s="679">
        <v>0</v>
      </c>
      <c r="AC124" s="679">
        <v>0</v>
      </c>
      <c r="AD124" s="679">
        <v>0</v>
      </c>
      <c r="AE124" s="679">
        <v>0</v>
      </c>
      <c r="AF124" s="679">
        <v>0</v>
      </c>
      <c r="AG124" s="684">
        <v>0</v>
      </c>
      <c r="AH124" s="479">
        <f>SUM(D124:AG124)</f>
        <v>54.739211312582285</v>
      </c>
    </row>
    <row r="125" spans="1:34" x14ac:dyDescent="0.25">
      <c r="A125" s="473">
        <f>$A$3-'[1]Preferred Option'!$H$13</f>
        <v>-4</v>
      </c>
      <c r="B125" s="470" t="s">
        <v>585</v>
      </c>
      <c r="C125" s="510"/>
      <c r="D125" s="471">
        <f>SUM('[1]Option Lifecycle Cost'!G$384:G$431)</f>
        <v>2.6686330000000003</v>
      </c>
      <c r="E125" s="471">
        <f>SUM('[1]Option Lifecycle Cost'!H$384:H$431)</f>
        <v>2.9874755099999999</v>
      </c>
      <c r="F125" s="471">
        <f>SUM('[1]Option Lifecycle Cost'!I$384:I$431)</f>
        <v>3.0942878861000001</v>
      </c>
      <c r="G125" s="471">
        <f>SUM('[1]Option Lifecycle Cost'!J$384:J$431)</f>
        <v>3.2052669417150002</v>
      </c>
      <c r="H125" s="471">
        <f>SUM('[1]Option Lifecycle Cost'!K$384:K$431)</f>
        <v>2.3918943114443554</v>
      </c>
      <c r="I125" s="471">
        <f>SUM('[1]Option Lifecycle Cost'!L$384:L$431)</f>
        <v>1.6598935562322519</v>
      </c>
      <c r="J125" s="471">
        <f>SUM('[1]Option Lifecycle Cost'!M$384:M$431)</f>
        <v>1.3444085557602281</v>
      </c>
      <c r="K125" s="471">
        <f>SUM('[1]Option Lifecycle Cost'!N$384:N$431)</f>
        <v>1.1891625807315758</v>
      </c>
      <c r="L125" s="471">
        <f>SUM('[1]Option Lifecycle Cost'!O$384:O$431)</f>
        <v>1.2248374581535233</v>
      </c>
      <c r="M125" s="471">
        <f>SUM('[1]Option Lifecycle Cost'!P$384:P$431)</f>
        <v>1.261582581898129</v>
      </c>
      <c r="N125" s="471">
        <f>SUM('[1]Option Lifecycle Cost'!Q$384:Q$431)</f>
        <v>1.2994300593550729</v>
      </c>
      <c r="O125" s="471">
        <f>SUM('[1]Option Lifecycle Cost'!R$384:R$431)</f>
        <v>1.3384129611357249</v>
      </c>
      <c r="P125" s="471">
        <f>SUM('[1]Option Lifecycle Cost'!S$384:S$431)</f>
        <v>1.3785653499697967</v>
      </c>
      <c r="Q125" s="471">
        <f>SUM('[1]Option Lifecycle Cost'!T$384:T$431)</f>
        <v>1.4199223104688907</v>
      </c>
      <c r="R125" s="471">
        <f>SUM('[1]Option Lifecycle Cost'!U$384:U$431)</f>
        <v>1.4625199797829578</v>
      </c>
      <c r="S125" s="471">
        <f>SUM('[1]Option Lifecycle Cost'!V$384:V$431)</f>
        <v>1.5063955791764463</v>
      </c>
      <c r="T125" s="471">
        <f>SUM('[1]Option Lifecycle Cost'!W$384:W$431)</f>
        <v>1.5515874465517399</v>
      </c>
      <c r="U125" s="471">
        <f>SUM('[1]Option Lifecycle Cost'!X$384:X$431)</f>
        <v>1.5981350699482919</v>
      </c>
      <c r="V125" s="471">
        <f>SUM('[1]Option Lifecycle Cost'!Y$384:Y$431)</f>
        <v>1.646079122046741</v>
      </c>
      <c r="W125" s="467">
        <f>SUM('[1]Option Lifecycle Cost'!Z$384:Z$431)</f>
        <v>1.6954614957081433</v>
      </c>
      <c r="X125" s="683">
        <f>W125*1.03</f>
        <v>1.7463253405793877</v>
      </c>
      <c r="Y125" s="679">
        <f t="shared" ref="Y125:AG125" si="746">X125*1.03</f>
        <v>1.7987151007967694</v>
      </c>
      <c r="Z125" s="679">
        <f t="shared" si="746"/>
        <v>1.8526765538206726</v>
      </c>
      <c r="AA125" s="679">
        <f t="shared" si="746"/>
        <v>1.9082568504352928</v>
      </c>
      <c r="AB125" s="679">
        <f t="shared" si="746"/>
        <v>1.9655045559483517</v>
      </c>
      <c r="AC125" s="679">
        <f t="shared" si="746"/>
        <v>2.0244696926268024</v>
      </c>
      <c r="AD125" s="679">
        <f t="shared" si="746"/>
        <v>2.0852037834056065</v>
      </c>
      <c r="AE125" s="679">
        <f t="shared" si="746"/>
        <v>2.1477598969077749</v>
      </c>
      <c r="AF125" s="679">
        <f t="shared" si="746"/>
        <v>2.212192693815008</v>
      </c>
      <c r="AG125" s="684">
        <f t="shared" si="746"/>
        <v>2.2785584746294583</v>
      </c>
      <c r="AH125" s="479">
        <f>SUM(D125:AG125)</f>
        <v>55.943614699143986</v>
      </c>
    </row>
    <row r="126" spans="1:34" x14ac:dyDescent="0.25">
      <c r="A126" s="246"/>
      <c r="B126" s="469" t="s">
        <v>587</v>
      </c>
      <c r="C126" s="511"/>
      <c r="D126" s="468">
        <f>SUM('[1]Option Lifecycle Benefits'!J$384:J$431)</f>
        <v>0</v>
      </c>
      <c r="E126" s="468">
        <f>SUM('[1]Option Lifecycle Benefits'!K$384:K$431)</f>
        <v>0</v>
      </c>
      <c r="F126" s="468">
        <f>SUM('[1]Option Lifecycle Benefits'!L$384:L$431)</f>
        <v>0</v>
      </c>
      <c r="G126" s="468">
        <f>SUM('[1]Option Lifecycle Benefits'!M$384:M$431)</f>
        <v>0</v>
      </c>
      <c r="H126" s="468">
        <f>SUM('[1]Option Lifecycle Benefits'!N$384:N$431)</f>
        <v>0</v>
      </c>
      <c r="I126" s="468">
        <f>SUM('[1]Option Lifecycle Benefits'!O$384:O$431)</f>
        <v>0</v>
      </c>
      <c r="J126" s="468">
        <f>SUM('[1]Option Lifecycle Benefits'!P$384:P$431)</f>
        <v>0</v>
      </c>
      <c r="K126" s="468">
        <f>SUM('[1]Option Lifecycle Benefits'!Q$384:Q$431)</f>
        <v>5.6169350725248615</v>
      </c>
      <c r="L126" s="468">
        <f>SUM('[1]Option Lifecycle Benefits'!R$384:R$431)</f>
        <v>0</v>
      </c>
      <c r="M126" s="468">
        <f>SUM('[1]Option Lifecycle Benefits'!S$384:S$431)</f>
        <v>0</v>
      </c>
      <c r="N126" s="468">
        <f>SUM('[1]Option Lifecycle Benefits'!T$384:T$431)</f>
        <v>0</v>
      </c>
      <c r="O126" s="468">
        <f>SUM('[1]Option Lifecycle Benefits'!U$384:U$431)</f>
        <v>0</v>
      </c>
      <c r="P126" s="468">
        <f>SUM('[1]Option Lifecycle Benefits'!V$384:V$431)</f>
        <v>0</v>
      </c>
      <c r="Q126" s="468">
        <f>SUM('[1]Option Lifecycle Benefits'!W$384:W$431)</f>
        <v>0</v>
      </c>
      <c r="R126" s="468">
        <f>SUM('[1]Option Lifecycle Benefits'!X$384:X$431)</f>
        <v>0</v>
      </c>
      <c r="S126" s="468">
        <f>SUM('[1]Option Lifecycle Benefits'!Y$384:Y$431)</f>
        <v>0</v>
      </c>
      <c r="T126" s="468">
        <f>SUM('[1]Option Lifecycle Benefits'!Z$384:Z$431)</f>
        <v>0</v>
      </c>
      <c r="U126" s="468">
        <f>SUM('[1]Option Lifecycle Benefits'!AA$384:AA$431)</f>
        <v>0</v>
      </c>
      <c r="V126" s="468">
        <f>SUM('[1]Option Lifecycle Benefits'!AB$384:AB$431)</f>
        <v>0</v>
      </c>
      <c r="W126" s="466">
        <f>SUM('[1]Option Lifecycle Benefits'!AC$384:AC$431)</f>
        <v>0</v>
      </c>
      <c r="X126" s="685">
        <v>0</v>
      </c>
      <c r="Y126" s="686">
        <v>0</v>
      </c>
      <c r="Z126" s="686">
        <v>0</v>
      </c>
      <c r="AA126" s="686">
        <v>0</v>
      </c>
      <c r="AB126" s="686">
        <v>0</v>
      </c>
      <c r="AC126" s="686">
        <v>0</v>
      </c>
      <c r="AD126" s="686">
        <v>0</v>
      </c>
      <c r="AE126" s="686">
        <v>0</v>
      </c>
      <c r="AF126" s="686">
        <v>0</v>
      </c>
      <c r="AG126" s="687">
        <f>AH127</f>
        <v>0.26980568185535958</v>
      </c>
      <c r="AH126" s="479">
        <f>SUM(D126:AG126)</f>
        <v>5.886740754380221</v>
      </c>
    </row>
    <row r="127" spans="1:34" s="246" customFormat="1" x14ac:dyDescent="0.25">
      <c r="B127" s="435" t="s">
        <v>676</v>
      </c>
      <c r="C127" s="510"/>
      <c r="D127" s="471">
        <f>IF(D124-((D124/$C124)*($C$1-D$1))&gt;0,D124-((D124/$C124)*($C$1-D$1)),0)</f>
        <v>0</v>
      </c>
      <c r="E127" s="471">
        <f t="shared" ref="E127:W127" si="747">IF(E124-((E124/$C124)*($C$1-E$1))&gt;0,E124-((E124/$C124)*($C$1-E$1)),0)</f>
        <v>0</v>
      </c>
      <c r="F127" s="471">
        <f t="shared" si="747"/>
        <v>0</v>
      </c>
      <c r="G127" s="471">
        <f t="shared" si="747"/>
        <v>0</v>
      </c>
      <c r="H127" s="471">
        <f t="shared" si="747"/>
        <v>0</v>
      </c>
      <c r="I127" s="471">
        <f t="shared" si="747"/>
        <v>0</v>
      </c>
      <c r="J127" s="471">
        <f>IF(J124-((J124/$C124)*($C$1-J$1))&gt;0,J124-((J124/$C124)*($C$1-J$1)),0)</f>
        <v>0.26980568185535958</v>
      </c>
      <c r="K127" s="471">
        <f t="shared" si="747"/>
        <v>0</v>
      </c>
      <c r="L127" s="471">
        <f t="shared" si="747"/>
        <v>0</v>
      </c>
      <c r="M127" s="471">
        <f t="shared" si="747"/>
        <v>0</v>
      </c>
      <c r="N127" s="471">
        <f t="shared" si="747"/>
        <v>0</v>
      </c>
      <c r="O127" s="471">
        <f t="shared" si="747"/>
        <v>0</v>
      </c>
      <c r="P127" s="471">
        <f t="shared" si="747"/>
        <v>0</v>
      </c>
      <c r="Q127" s="471">
        <f t="shared" si="747"/>
        <v>0</v>
      </c>
      <c r="R127" s="471">
        <f t="shared" si="747"/>
        <v>0</v>
      </c>
      <c r="S127" s="471">
        <f t="shared" si="747"/>
        <v>0</v>
      </c>
      <c r="T127" s="471">
        <f t="shared" si="747"/>
        <v>0</v>
      </c>
      <c r="U127" s="471">
        <f t="shared" si="747"/>
        <v>0</v>
      </c>
      <c r="V127" s="471">
        <f t="shared" si="747"/>
        <v>0</v>
      </c>
      <c r="W127" s="471">
        <f t="shared" si="747"/>
        <v>0</v>
      </c>
      <c r="X127" s="679">
        <f t="shared" ref="X127:AG127" si="748">IF(X124-((X124/$C124)*($C$1-X$1))&gt;0,X124-((X124/$C124)*($C$1-X$1)),0)</f>
        <v>0</v>
      </c>
      <c r="Y127" s="679">
        <f t="shared" si="748"/>
        <v>0</v>
      </c>
      <c r="Z127" s="679">
        <f t="shared" si="748"/>
        <v>0</v>
      </c>
      <c r="AA127" s="679">
        <f t="shared" si="748"/>
        <v>0</v>
      </c>
      <c r="AB127" s="679">
        <f t="shared" si="748"/>
        <v>0</v>
      </c>
      <c r="AC127" s="679">
        <f t="shared" si="748"/>
        <v>0</v>
      </c>
      <c r="AD127" s="679">
        <f t="shared" si="748"/>
        <v>0</v>
      </c>
      <c r="AE127" s="679">
        <f t="shared" si="748"/>
        <v>0</v>
      </c>
      <c r="AF127" s="679">
        <f t="shared" si="748"/>
        <v>0</v>
      </c>
      <c r="AG127" s="679">
        <f t="shared" si="748"/>
        <v>0</v>
      </c>
      <c r="AH127" s="548">
        <f>SUM(D127:AG127)</f>
        <v>0.26980568185535958</v>
      </c>
    </row>
    <row r="128" spans="1:34" x14ac:dyDescent="0.25">
      <c r="A128" s="246"/>
      <c r="B128" s="435" t="s">
        <v>588</v>
      </c>
      <c r="D128" s="479">
        <f t="shared" ref="D128:W128" si="749">D126-SUM(D124:D125)</f>
        <v>-5.3448080000000004</v>
      </c>
      <c r="E128" s="479">
        <f t="shared" si="749"/>
        <v>-3.22650864</v>
      </c>
      <c r="F128" s="479">
        <f t="shared" si="749"/>
        <v>-3.4160757986729999</v>
      </c>
      <c r="G128" s="479">
        <f t="shared" si="749"/>
        <v>-5.5617819537962907</v>
      </c>
      <c r="H128" s="479">
        <f t="shared" si="749"/>
        <v>-21.658825948724356</v>
      </c>
      <c r="I128" s="479">
        <f t="shared" si="749"/>
        <v>-24.793520130496251</v>
      </c>
      <c r="J128" s="479">
        <f t="shared" si="749"/>
        <v>-8.0895506021442287</v>
      </c>
      <c r="K128" s="479">
        <f t="shared" si="749"/>
        <v>4.4277724917932861</v>
      </c>
      <c r="L128" s="479">
        <f t="shared" si="749"/>
        <v>-1.2248374581535233</v>
      </c>
      <c r="M128" s="479">
        <f t="shared" si="749"/>
        <v>-1.261582581898129</v>
      </c>
      <c r="N128" s="479">
        <f t="shared" si="749"/>
        <v>-1.2994300593550729</v>
      </c>
      <c r="O128" s="479">
        <f t="shared" si="749"/>
        <v>-1.3384129611357249</v>
      </c>
      <c r="P128" s="479">
        <f t="shared" si="749"/>
        <v>-1.3785653499697967</v>
      </c>
      <c r="Q128" s="479">
        <f t="shared" si="749"/>
        <v>-1.4199223104688907</v>
      </c>
      <c r="R128" s="479">
        <f t="shared" si="749"/>
        <v>-1.4625199797829578</v>
      </c>
      <c r="S128" s="479">
        <f t="shared" si="749"/>
        <v>-1.5063955791764463</v>
      </c>
      <c r="T128" s="479">
        <f t="shared" si="749"/>
        <v>-1.5515874465517399</v>
      </c>
      <c r="U128" s="479">
        <f t="shared" si="749"/>
        <v>-1.5981350699482919</v>
      </c>
      <c r="V128" s="479">
        <f t="shared" si="749"/>
        <v>-1.646079122046741</v>
      </c>
      <c r="W128" s="479">
        <f t="shared" si="749"/>
        <v>-1.6954614957081433</v>
      </c>
      <c r="X128" s="479">
        <f t="shared" ref="X128:AG128" si="750">X126-SUM(X124:X125)</f>
        <v>-1.7463253405793877</v>
      </c>
      <c r="Y128" s="479">
        <f t="shared" si="750"/>
        <v>-1.7987151007967694</v>
      </c>
      <c r="Z128" s="479">
        <f t="shared" si="750"/>
        <v>-1.8526765538206726</v>
      </c>
      <c r="AA128" s="479">
        <f t="shared" si="750"/>
        <v>-1.9082568504352928</v>
      </c>
      <c r="AB128" s="479">
        <f t="shared" si="750"/>
        <v>-1.9655045559483517</v>
      </c>
      <c r="AC128" s="479">
        <f t="shared" si="750"/>
        <v>-2.0244696926268024</v>
      </c>
      <c r="AD128" s="479">
        <f t="shared" si="750"/>
        <v>-2.0852037834056065</v>
      </c>
      <c r="AE128" s="479">
        <f t="shared" si="750"/>
        <v>-2.1477598969077749</v>
      </c>
      <c r="AF128" s="479">
        <f t="shared" si="750"/>
        <v>-2.212192693815008</v>
      </c>
      <c r="AG128" s="479">
        <f t="shared" si="750"/>
        <v>-2.0087527927740987</v>
      </c>
      <c r="AH128" s="479">
        <f>SUM(AH124:AH125)-AH126</f>
        <v>104.79608525734604</v>
      </c>
    </row>
    <row r="129" spans="1:34" x14ac:dyDescent="0.25">
      <c r="A129" s="246"/>
      <c r="B129" s="435" t="s">
        <v>592</v>
      </c>
      <c r="D129" s="480">
        <f>D128</f>
        <v>-5.3448080000000004</v>
      </c>
      <c r="E129" s="480">
        <f>E128+D129</f>
        <v>-8.5713166400000009</v>
      </c>
      <c r="F129" s="480">
        <f t="shared" ref="F129" si="751">F128+E129</f>
        <v>-11.987392438673002</v>
      </c>
      <c r="G129" s="480">
        <f t="shared" ref="G129" si="752">G128+F129</f>
        <v>-17.549174392469293</v>
      </c>
      <c r="H129" s="480">
        <f t="shared" ref="H129" si="753">H128+G129</f>
        <v>-39.208000341193653</v>
      </c>
      <c r="I129" s="480">
        <f t="shared" ref="I129" si="754">I128+H129</f>
        <v>-64.001520471689901</v>
      </c>
      <c r="J129" s="480">
        <f t="shared" ref="J129" si="755">J128+I129</f>
        <v>-72.091071073834129</v>
      </c>
      <c r="K129" s="480">
        <f t="shared" ref="K129" si="756">K128+J129</f>
        <v>-67.663298582040838</v>
      </c>
      <c r="L129" s="480">
        <f t="shared" ref="L129" si="757">L128+K129</f>
        <v>-68.888136040194368</v>
      </c>
      <c r="M129" s="480">
        <f t="shared" ref="M129" si="758">M128+L129</f>
        <v>-70.149718622092493</v>
      </c>
      <c r="N129" s="480">
        <f t="shared" ref="N129" si="759">N128+M129</f>
        <v>-71.449148681447568</v>
      </c>
      <c r="O129" s="480">
        <f t="shared" ref="O129" si="760">O128+N129</f>
        <v>-72.787561642583299</v>
      </c>
      <c r="P129" s="480">
        <f t="shared" ref="P129" si="761">P128+O129</f>
        <v>-74.166126992553089</v>
      </c>
      <c r="Q129" s="480">
        <f t="shared" ref="Q129" si="762">Q128+P129</f>
        <v>-75.58604930302198</v>
      </c>
      <c r="R129" s="480">
        <f t="shared" ref="R129" si="763">R128+Q129</f>
        <v>-77.048569282804934</v>
      </c>
      <c r="S129" s="480">
        <f t="shared" ref="S129" si="764">S128+R129</f>
        <v>-78.554964861981375</v>
      </c>
      <c r="T129" s="480">
        <f t="shared" ref="T129" si="765">T128+S129</f>
        <v>-80.106552308533111</v>
      </c>
      <c r="U129" s="480">
        <f t="shared" ref="U129" si="766">U128+T129</f>
        <v>-81.70468737848141</v>
      </c>
      <c r="V129" s="480">
        <f t="shared" ref="V129" si="767">V128+U129</f>
        <v>-83.350766500528152</v>
      </c>
      <c r="W129" s="480">
        <f t="shared" ref="W129" si="768">W128+V129</f>
        <v>-85.046227996236297</v>
      </c>
      <c r="X129" s="480">
        <f t="shared" ref="X129" si="769">X128+W129</f>
        <v>-86.792553336815686</v>
      </c>
      <c r="Y129" s="480">
        <f t="shared" ref="Y129" si="770">Y128+X129</f>
        <v>-88.591268437612456</v>
      </c>
      <c r="Z129" s="480">
        <f t="shared" ref="Z129" si="771">Z128+Y129</f>
        <v>-90.443944991433128</v>
      </c>
      <c r="AA129" s="480">
        <f t="shared" ref="AA129" si="772">AA128+Z129</f>
        <v>-92.352201841868421</v>
      </c>
      <c r="AB129" s="480">
        <f t="shared" ref="AB129" si="773">AB128+AA129</f>
        <v>-94.317706397816778</v>
      </c>
      <c r="AC129" s="480">
        <f t="shared" ref="AC129" si="774">AC128+AB129</f>
        <v>-96.342176090443587</v>
      </c>
      <c r="AD129" s="480">
        <f t="shared" ref="AD129" si="775">AD128+AC129</f>
        <v>-98.427379873849191</v>
      </c>
      <c r="AE129" s="480">
        <f t="shared" ref="AE129" si="776">AE128+AD129</f>
        <v>-100.57513977075696</v>
      </c>
      <c r="AF129" s="480">
        <f t="shared" ref="AF129" si="777">AF128+AE129</f>
        <v>-102.78733246457197</v>
      </c>
      <c r="AG129" s="480">
        <f t="shared" ref="AG129" si="778">AG128+AF129</f>
        <v>-104.79608525734608</v>
      </c>
      <c r="AH129" s="246"/>
    </row>
    <row r="130" spans="1:34" x14ac:dyDescent="0.25">
      <c r="A130" s="246"/>
      <c r="B130" s="435" t="s">
        <v>591</v>
      </c>
      <c r="D130" s="478">
        <f t="shared" ref="D130:W130" si="779">D128*D$2</f>
        <v>-5.3448080000000004</v>
      </c>
      <c r="E130" s="478">
        <f t="shared" si="779"/>
        <v>-2.9406750273423263</v>
      </c>
      <c r="F130" s="478">
        <f t="shared" si="779"/>
        <v>-2.8376308742415488</v>
      </c>
      <c r="G130" s="478">
        <f t="shared" si="779"/>
        <v>-4.2107219264408133</v>
      </c>
      <c r="H130" s="478">
        <f t="shared" si="779"/>
        <v>-14.944855338818472</v>
      </c>
      <c r="I130" s="478">
        <f t="shared" si="779"/>
        <v>-15.592264619653138</v>
      </c>
      <c r="J130" s="478">
        <f t="shared" si="779"/>
        <v>-4.6367064585975513</v>
      </c>
      <c r="K130" s="478">
        <f t="shared" si="779"/>
        <v>2.3130483196702185</v>
      </c>
      <c r="L130" s="478">
        <f t="shared" si="779"/>
        <v>-0.58316582875203704</v>
      </c>
      <c r="M130" s="478">
        <f t="shared" si="779"/>
        <v>-0.5474487820038263</v>
      </c>
      <c r="N130" s="478">
        <f t="shared" si="779"/>
        <v>-0.51391929043377793</v>
      </c>
      <c r="O130" s="478">
        <f t="shared" si="779"/>
        <v>-0.48244337326539483</v>
      </c>
      <c r="P130" s="478">
        <f t="shared" si="779"/>
        <v>-0.45289525561735028</v>
      </c>
      <c r="Q130" s="478">
        <f t="shared" si="779"/>
        <v>-0.42515686591858443</v>
      </c>
      <c r="R130" s="478">
        <f t="shared" si="779"/>
        <v>-0.399117364105124</v>
      </c>
      <c r="S130" s="478">
        <f t="shared" si="779"/>
        <v>-0.37467269871334097</v>
      </c>
      <c r="T130" s="478">
        <f t="shared" si="779"/>
        <v>-0.35172519109983713</v>
      </c>
      <c r="U130" s="478">
        <f t="shared" si="779"/>
        <v>-0.33018314512653313</v>
      </c>
      <c r="V130" s="478">
        <f t="shared" si="779"/>
        <v>-0.30996048075130261</v>
      </c>
      <c r="W130" s="478">
        <f t="shared" si="779"/>
        <v>-0.29097639006000886</v>
      </c>
      <c r="X130" s="478">
        <f t="shared" ref="X130:AG130" si="780">X128*X$2</f>
        <v>-0.27315501436548412</v>
      </c>
      <c r="Y130" s="478">
        <f t="shared" si="780"/>
        <v>-0.256425141083165</v>
      </c>
      <c r="Z130" s="478">
        <f t="shared" si="780"/>
        <v>-0.24071991917212904</v>
      </c>
      <c r="AA130" s="478">
        <f t="shared" si="780"/>
        <v>-0.22597659200445949</v>
      </c>
      <c r="AB130" s="478">
        <f t="shared" si="780"/>
        <v>-0.21213624659550978</v>
      </c>
      <c r="AC130" s="478">
        <f t="shared" si="780"/>
        <v>-0.19914357819301409</v>
      </c>
      <c r="AD130" s="478">
        <f t="shared" si="780"/>
        <v>-0.18694666928436432</v>
      </c>
      <c r="AE130" s="478">
        <f t="shared" si="780"/>
        <v>-0.17549678213898587</v>
      </c>
      <c r="AF130" s="478">
        <f t="shared" si="780"/>
        <v>-0.1647481640568314</v>
      </c>
      <c r="AG130" s="478">
        <f t="shared" si="780"/>
        <v>-0.13634472004469114</v>
      </c>
      <c r="AH130" s="246"/>
    </row>
    <row r="131" spans="1:34" x14ac:dyDescent="0.25">
      <c r="A131" s="246"/>
      <c r="B131" s="435" t="s">
        <v>593</v>
      </c>
      <c r="D131" s="480">
        <f>D130</f>
        <v>-5.3448080000000004</v>
      </c>
      <c r="E131" s="480">
        <f>D131+E130</f>
        <v>-8.2854830273423268</v>
      </c>
      <c r="F131" s="480">
        <f t="shared" ref="F131" si="781">E131+F130</f>
        <v>-11.123113901583876</v>
      </c>
      <c r="G131" s="480">
        <f t="shared" ref="G131" si="782">F131+G130</f>
        <v>-15.333835828024689</v>
      </c>
      <c r="H131" s="480">
        <f t="shared" ref="H131" si="783">G131+H130</f>
        <v>-30.27869116684316</v>
      </c>
      <c r="I131" s="480">
        <f t="shared" ref="I131" si="784">H131+I130</f>
        <v>-45.870955786496296</v>
      </c>
      <c r="J131" s="480">
        <f t="shared" ref="J131" si="785">I131+J130</f>
        <v>-50.507662245093847</v>
      </c>
      <c r="K131" s="480">
        <f t="shared" ref="K131" si="786">J131+K130</f>
        <v>-48.194613925423631</v>
      </c>
      <c r="L131" s="480">
        <f t="shared" ref="L131" si="787">K131+L130</f>
        <v>-48.777779754175668</v>
      </c>
      <c r="M131" s="480">
        <f>L131+M130</f>
        <v>-49.325228536179495</v>
      </c>
      <c r="N131" s="480">
        <f t="shared" ref="N131" si="788">M131+N130</f>
        <v>-49.839147826613271</v>
      </c>
      <c r="O131" s="480">
        <f t="shared" ref="O131" si="789">N131+O130</f>
        <v>-50.321591199878668</v>
      </c>
      <c r="P131" s="480">
        <f t="shared" ref="P131" si="790">O131+P130</f>
        <v>-50.774486455496017</v>
      </c>
      <c r="Q131" s="480">
        <f t="shared" ref="Q131" si="791">P131+Q130</f>
        <v>-51.199643321414605</v>
      </c>
      <c r="R131" s="480">
        <f t="shared" ref="R131" si="792">Q131+R130</f>
        <v>-51.598760685519728</v>
      </c>
      <c r="S131" s="480">
        <f t="shared" ref="S131" si="793">R131+S130</f>
        <v>-51.973433384233068</v>
      </c>
      <c r="T131" s="480">
        <f t="shared" ref="T131" si="794">S131+T130</f>
        <v>-52.325158575332907</v>
      </c>
      <c r="U131" s="480">
        <f t="shared" ref="U131" si="795">T131+U130</f>
        <v>-52.65534172045944</v>
      </c>
      <c r="V131" s="480">
        <f t="shared" ref="V131" si="796">U131+V130</f>
        <v>-52.96530220121074</v>
      </c>
      <c r="W131" s="480">
        <f t="shared" ref="W131" si="797">V131+W130</f>
        <v>-53.25627859127075</v>
      </c>
      <c r="X131" s="480">
        <f t="shared" ref="X131" si="798">W131+X130</f>
        <v>-53.529433605636235</v>
      </c>
      <c r="Y131" s="480">
        <f t="shared" ref="Y131" si="799">X131+Y130</f>
        <v>-53.785858746719398</v>
      </c>
      <c r="Z131" s="480">
        <f t="shared" ref="Z131" si="800">Y131+Z130</f>
        <v>-54.026578665891527</v>
      </c>
      <c r="AA131" s="480">
        <f t="shared" ref="AA131" si="801">Z131+AA130</f>
        <v>-54.252555257895985</v>
      </c>
      <c r="AB131" s="480">
        <f t="shared" ref="AB131" si="802">AA131+AB130</f>
        <v>-54.464691504491498</v>
      </c>
      <c r="AC131" s="480">
        <f t="shared" ref="AC131" si="803">AB131+AC130</f>
        <v>-54.663835082684514</v>
      </c>
      <c r="AD131" s="480">
        <f t="shared" ref="AD131" si="804">AC131+AD130</f>
        <v>-54.850781751968881</v>
      </c>
      <c r="AE131" s="480">
        <f t="shared" ref="AE131" si="805">AD131+AE130</f>
        <v>-55.026278534107867</v>
      </c>
      <c r="AF131" s="480">
        <f t="shared" ref="AF131" si="806">AE131+AF130</f>
        <v>-55.191026698164698</v>
      </c>
      <c r="AG131" s="480">
        <f t="shared" ref="AG131" si="807">AF131+AG130</f>
        <v>-55.327371418209388</v>
      </c>
      <c r="AH131" s="246"/>
    </row>
    <row r="132" spans="1:34" x14ac:dyDescent="0.25">
      <c r="A132" s="246"/>
      <c r="B132" s="435" t="s">
        <v>604</v>
      </c>
      <c r="D132" s="480">
        <f>SUM(D124:D125)-D126</f>
        <v>5.3448080000000004</v>
      </c>
      <c r="E132" s="480">
        <f t="shared" ref="E132:W132" si="808">(SUM(E124:E125)-E126)+D132</f>
        <v>8.5713166400000009</v>
      </c>
      <c r="F132" s="480">
        <f t="shared" si="808"/>
        <v>11.987392438673002</v>
      </c>
      <c r="G132" s="480">
        <f t="shared" si="808"/>
        <v>17.549174392469293</v>
      </c>
      <c r="H132" s="480">
        <f t="shared" si="808"/>
        <v>39.208000341193653</v>
      </c>
      <c r="I132" s="480">
        <f t="shared" si="808"/>
        <v>64.001520471689901</v>
      </c>
      <c r="J132" s="480">
        <f t="shared" si="808"/>
        <v>72.091071073834129</v>
      </c>
      <c r="K132" s="480">
        <f t="shared" si="808"/>
        <v>67.663298582040838</v>
      </c>
      <c r="L132" s="480">
        <f t="shared" si="808"/>
        <v>68.888136040194368</v>
      </c>
      <c r="M132" s="480">
        <f t="shared" si="808"/>
        <v>70.149718622092493</v>
      </c>
      <c r="N132" s="480">
        <f t="shared" si="808"/>
        <v>71.449148681447568</v>
      </c>
      <c r="O132" s="480">
        <f t="shared" si="808"/>
        <v>72.787561642583299</v>
      </c>
      <c r="P132" s="480">
        <f t="shared" si="808"/>
        <v>74.166126992553089</v>
      </c>
      <c r="Q132" s="480">
        <f t="shared" si="808"/>
        <v>75.58604930302198</v>
      </c>
      <c r="R132" s="480">
        <f t="shared" si="808"/>
        <v>77.048569282804934</v>
      </c>
      <c r="S132" s="480">
        <f t="shared" si="808"/>
        <v>78.554964861981375</v>
      </c>
      <c r="T132" s="480">
        <f t="shared" si="808"/>
        <v>80.106552308533111</v>
      </c>
      <c r="U132" s="480">
        <f t="shared" si="808"/>
        <v>81.70468737848141</v>
      </c>
      <c r="V132" s="480">
        <f t="shared" si="808"/>
        <v>83.350766500528152</v>
      </c>
      <c r="W132" s="480">
        <f t="shared" si="808"/>
        <v>85.046227996236297</v>
      </c>
      <c r="X132" s="480">
        <f t="shared" ref="X132" si="809">(SUM(X124:X125)-X126)+W132</f>
        <v>86.792553336815686</v>
      </c>
      <c r="Y132" s="480">
        <f t="shared" ref="Y132" si="810">(SUM(Y124:Y125)-Y126)+X132</f>
        <v>88.591268437612456</v>
      </c>
      <c r="Z132" s="480">
        <f t="shared" ref="Z132" si="811">(SUM(Z124:Z125)-Z126)+Y132</f>
        <v>90.443944991433128</v>
      </c>
      <c r="AA132" s="480">
        <f t="shared" ref="AA132" si="812">(SUM(AA124:AA125)-AA126)+Z132</f>
        <v>92.352201841868421</v>
      </c>
      <c r="AB132" s="480">
        <f t="shared" ref="AB132" si="813">(SUM(AB124:AB125)-AB126)+AA132</f>
        <v>94.317706397816778</v>
      </c>
      <c r="AC132" s="480">
        <f t="shared" ref="AC132" si="814">(SUM(AC124:AC125)-AC126)+AB132</f>
        <v>96.342176090443587</v>
      </c>
      <c r="AD132" s="480">
        <f t="shared" ref="AD132" si="815">(SUM(AD124:AD125)-AD126)+AC132</f>
        <v>98.427379873849191</v>
      </c>
      <c r="AE132" s="480">
        <f t="shared" ref="AE132" si="816">(SUM(AE124:AE125)-AE126)+AD132</f>
        <v>100.57513977075696</v>
      </c>
      <c r="AF132" s="480">
        <f t="shared" ref="AF132" si="817">(SUM(AF124:AF125)-AF126)+AE132</f>
        <v>102.78733246457197</v>
      </c>
      <c r="AG132" s="480">
        <f t="shared" ref="AG132" si="818">(SUM(AG124:AG125)-AG126)+AF132</f>
        <v>104.79608525734608</v>
      </c>
      <c r="AH132" s="246"/>
    </row>
    <row r="133" spans="1:34" x14ac:dyDescent="0.25">
      <c r="A133" s="246"/>
      <c r="B133" s="435" t="s">
        <v>595</v>
      </c>
      <c r="D133" s="480">
        <f>D124</f>
        <v>2.6761749999999997</v>
      </c>
      <c r="E133" s="480">
        <f t="shared" ref="E133:W133" si="819">E124+D133</f>
        <v>2.9152081299999999</v>
      </c>
      <c r="F133" s="480">
        <f t="shared" si="819"/>
        <v>3.2369960425729998</v>
      </c>
      <c r="G133" s="480">
        <f t="shared" si="819"/>
        <v>5.5935110546542903</v>
      </c>
      <c r="H133" s="480">
        <f t="shared" si="819"/>
        <v>24.860442691934288</v>
      </c>
      <c r="I133" s="480">
        <f t="shared" si="819"/>
        <v>47.994069266198288</v>
      </c>
      <c r="J133" s="480">
        <f t="shared" si="819"/>
        <v>54.739211312582285</v>
      </c>
      <c r="K133" s="480">
        <f t="shared" si="819"/>
        <v>54.739211312582285</v>
      </c>
      <c r="L133" s="480">
        <f t="shared" si="819"/>
        <v>54.739211312582285</v>
      </c>
      <c r="M133" s="480">
        <f t="shared" si="819"/>
        <v>54.739211312582285</v>
      </c>
      <c r="N133" s="480">
        <f t="shared" si="819"/>
        <v>54.739211312582285</v>
      </c>
      <c r="O133" s="480">
        <f t="shared" si="819"/>
        <v>54.739211312582285</v>
      </c>
      <c r="P133" s="480">
        <f t="shared" si="819"/>
        <v>54.739211312582285</v>
      </c>
      <c r="Q133" s="480">
        <f t="shared" si="819"/>
        <v>54.739211312582285</v>
      </c>
      <c r="R133" s="480">
        <f t="shared" si="819"/>
        <v>54.739211312582285</v>
      </c>
      <c r="S133" s="480">
        <f t="shared" si="819"/>
        <v>54.739211312582285</v>
      </c>
      <c r="T133" s="480">
        <f t="shared" si="819"/>
        <v>54.739211312582285</v>
      </c>
      <c r="U133" s="480">
        <f t="shared" si="819"/>
        <v>54.739211312582285</v>
      </c>
      <c r="V133" s="480">
        <f t="shared" si="819"/>
        <v>54.739211312582285</v>
      </c>
      <c r="W133" s="480">
        <f t="shared" si="819"/>
        <v>54.739211312582285</v>
      </c>
      <c r="X133" s="480">
        <f t="shared" ref="X133:X135" si="820">X124+W133</f>
        <v>54.739211312582285</v>
      </c>
      <c r="Y133" s="480">
        <f t="shared" ref="Y133:Y135" si="821">Y124+X133</f>
        <v>54.739211312582285</v>
      </c>
      <c r="Z133" s="480">
        <f t="shared" ref="Z133:Z135" si="822">Z124+Y133</f>
        <v>54.739211312582285</v>
      </c>
      <c r="AA133" s="480">
        <f t="shared" ref="AA133:AA135" si="823">AA124+Z133</f>
        <v>54.739211312582285</v>
      </c>
      <c r="AB133" s="480">
        <f t="shared" ref="AB133:AB135" si="824">AB124+AA133</f>
        <v>54.739211312582285</v>
      </c>
      <c r="AC133" s="480">
        <f t="shared" ref="AC133:AC135" si="825">AC124+AB133</f>
        <v>54.739211312582285</v>
      </c>
      <c r="AD133" s="480">
        <f t="shared" ref="AD133:AD135" si="826">AD124+AC133</f>
        <v>54.739211312582285</v>
      </c>
      <c r="AE133" s="480">
        <f t="shared" ref="AE133:AE135" si="827">AE124+AD133</f>
        <v>54.739211312582285</v>
      </c>
      <c r="AF133" s="480">
        <f t="shared" ref="AF133:AF135" si="828">AF124+AE133</f>
        <v>54.739211312582285</v>
      </c>
      <c r="AG133" s="480">
        <f t="shared" ref="AG133:AG135" si="829">AG124+AF133</f>
        <v>54.739211312582285</v>
      </c>
      <c r="AH133" s="246"/>
    </row>
    <row r="134" spans="1:34" x14ac:dyDescent="0.25">
      <c r="A134" s="246"/>
      <c r="B134" s="435" t="s">
        <v>596</v>
      </c>
      <c r="D134" s="480">
        <f>D125</f>
        <v>2.6686330000000003</v>
      </c>
      <c r="E134" s="480">
        <f t="shared" ref="E134:W134" si="830">E125+D134</f>
        <v>5.6561085100000001</v>
      </c>
      <c r="F134" s="480">
        <f t="shared" si="830"/>
        <v>8.7503963961000011</v>
      </c>
      <c r="G134" s="480">
        <f t="shared" si="830"/>
        <v>11.955663337815</v>
      </c>
      <c r="H134" s="480">
        <f t="shared" si="830"/>
        <v>14.347557649259356</v>
      </c>
      <c r="I134" s="480">
        <f t="shared" si="830"/>
        <v>16.007451205491609</v>
      </c>
      <c r="J134" s="480">
        <f t="shared" si="830"/>
        <v>17.351859761251838</v>
      </c>
      <c r="K134" s="480">
        <f t="shared" si="830"/>
        <v>18.541022341983414</v>
      </c>
      <c r="L134" s="480">
        <f t="shared" si="830"/>
        <v>19.765859800136937</v>
      </c>
      <c r="M134" s="480">
        <f t="shared" si="830"/>
        <v>21.027442382035066</v>
      </c>
      <c r="N134" s="480">
        <f t="shared" si="830"/>
        <v>22.326872441390137</v>
      </c>
      <c r="O134" s="480">
        <f t="shared" si="830"/>
        <v>23.665285402525861</v>
      </c>
      <c r="P134" s="480">
        <f t="shared" si="830"/>
        <v>25.043850752495658</v>
      </c>
      <c r="Q134" s="480">
        <f t="shared" si="830"/>
        <v>26.463773062964549</v>
      </c>
      <c r="R134" s="480">
        <f t="shared" si="830"/>
        <v>27.926293042747506</v>
      </c>
      <c r="S134" s="480">
        <f t="shared" si="830"/>
        <v>29.432688621923951</v>
      </c>
      <c r="T134" s="480">
        <f t="shared" si="830"/>
        <v>30.98427606847569</v>
      </c>
      <c r="U134" s="480">
        <f t="shared" si="830"/>
        <v>32.582411138423986</v>
      </c>
      <c r="V134" s="480">
        <f t="shared" si="830"/>
        <v>34.228490260470728</v>
      </c>
      <c r="W134" s="480">
        <f t="shared" si="830"/>
        <v>35.923951756178873</v>
      </c>
      <c r="X134" s="480">
        <f t="shared" si="820"/>
        <v>37.670277096758262</v>
      </c>
      <c r="Y134" s="480">
        <f t="shared" si="821"/>
        <v>39.468992197555032</v>
      </c>
      <c r="Z134" s="480">
        <f t="shared" si="822"/>
        <v>41.321668751375704</v>
      </c>
      <c r="AA134" s="480">
        <f t="shared" si="823"/>
        <v>43.229925601810997</v>
      </c>
      <c r="AB134" s="480">
        <f t="shared" si="824"/>
        <v>45.195430157759347</v>
      </c>
      <c r="AC134" s="480">
        <f t="shared" si="825"/>
        <v>47.219899850386149</v>
      </c>
      <c r="AD134" s="480">
        <f t="shared" si="826"/>
        <v>49.305103633791752</v>
      </c>
      <c r="AE134" s="480">
        <f t="shared" si="827"/>
        <v>51.452863530699524</v>
      </c>
      <c r="AF134" s="480">
        <f t="shared" si="828"/>
        <v>53.66505622451453</v>
      </c>
      <c r="AG134" s="480">
        <f t="shared" si="829"/>
        <v>55.943614699143986</v>
      </c>
      <c r="AH134" s="246"/>
    </row>
    <row r="135" spans="1:34" x14ac:dyDescent="0.25">
      <c r="A135" s="246"/>
      <c r="B135" s="435" t="s">
        <v>597</v>
      </c>
      <c r="D135" s="480">
        <f>D126</f>
        <v>0</v>
      </c>
      <c r="E135" s="480">
        <f t="shared" ref="E135:W135" si="831">E126+D135</f>
        <v>0</v>
      </c>
      <c r="F135" s="480">
        <f t="shared" si="831"/>
        <v>0</v>
      </c>
      <c r="G135" s="480">
        <f t="shared" si="831"/>
        <v>0</v>
      </c>
      <c r="H135" s="480">
        <f t="shared" si="831"/>
        <v>0</v>
      </c>
      <c r="I135" s="480">
        <f t="shared" si="831"/>
        <v>0</v>
      </c>
      <c r="J135" s="480">
        <f t="shared" si="831"/>
        <v>0</v>
      </c>
      <c r="K135" s="480">
        <f t="shared" si="831"/>
        <v>5.6169350725248615</v>
      </c>
      <c r="L135" s="480">
        <f t="shared" si="831"/>
        <v>5.6169350725248615</v>
      </c>
      <c r="M135" s="480">
        <f t="shared" si="831"/>
        <v>5.6169350725248615</v>
      </c>
      <c r="N135" s="480">
        <f t="shared" si="831"/>
        <v>5.6169350725248615</v>
      </c>
      <c r="O135" s="480">
        <f t="shared" si="831"/>
        <v>5.6169350725248615</v>
      </c>
      <c r="P135" s="480">
        <f t="shared" si="831"/>
        <v>5.6169350725248615</v>
      </c>
      <c r="Q135" s="480">
        <f t="shared" si="831"/>
        <v>5.6169350725248615</v>
      </c>
      <c r="R135" s="480">
        <f t="shared" si="831"/>
        <v>5.6169350725248615</v>
      </c>
      <c r="S135" s="480">
        <f t="shared" si="831"/>
        <v>5.6169350725248615</v>
      </c>
      <c r="T135" s="480">
        <f t="shared" si="831"/>
        <v>5.6169350725248615</v>
      </c>
      <c r="U135" s="480">
        <f t="shared" si="831"/>
        <v>5.6169350725248615</v>
      </c>
      <c r="V135" s="480">
        <f t="shared" si="831"/>
        <v>5.6169350725248615</v>
      </c>
      <c r="W135" s="480">
        <f t="shared" si="831"/>
        <v>5.6169350725248615</v>
      </c>
      <c r="X135" s="480">
        <f t="shared" si="820"/>
        <v>5.6169350725248615</v>
      </c>
      <c r="Y135" s="480">
        <f t="shared" si="821"/>
        <v>5.6169350725248615</v>
      </c>
      <c r="Z135" s="480">
        <f t="shared" si="822"/>
        <v>5.6169350725248615</v>
      </c>
      <c r="AA135" s="480">
        <f t="shared" si="823"/>
        <v>5.6169350725248615</v>
      </c>
      <c r="AB135" s="480">
        <f t="shared" si="824"/>
        <v>5.6169350725248615</v>
      </c>
      <c r="AC135" s="480">
        <f t="shared" si="825"/>
        <v>5.6169350725248615</v>
      </c>
      <c r="AD135" s="480">
        <f t="shared" si="826"/>
        <v>5.6169350725248615</v>
      </c>
      <c r="AE135" s="480">
        <f t="shared" si="827"/>
        <v>5.6169350725248615</v>
      </c>
      <c r="AF135" s="480">
        <f t="shared" si="828"/>
        <v>5.6169350725248615</v>
      </c>
      <c r="AG135" s="480">
        <f t="shared" si="829"/>
        <v>5.886740754380221</v>
      </c>
      <c r="AH135" s="246"/>
    </row>
    <row r="136" spans="1:34" s="246" customFormat="1" x14ac:dyDescent="0.25">
      <c r="B136" s="435" t="s">
        <v>673</v>
      </c>
      <c r="C136" s="201"/>
      <c r="D136" s="480">
        <f>D124</f>
        <v>2.6761749999999997</v>
      </c>
      <c r="E136" s="480">
        <f t="shared" ref="E136:W136" si="832">E124/(1.1^E$1)</f>
        <v>0.21730284545454545</v>
      </c>
      <c r="F136" s="480">
        <f t="shared" si="832"/>
        <v>0.26594042361404957</v>
      </c>
      <c r="G136" s="480">
        <f t="shared" si="832"/>
        <v>1.7704846071234335</v>
      </c>
      <c r="H136" s="480">
        <f t="shared" si="832"/>
        <v>13.159573551861207</v>
      </c>
      <c r="I136" s="480">
        <f t="shared" si="832"/>
        <v>14.364162019648429</v>
      </c>
      <c r="J136" s="480">
        <f t="shared" si="832"/>
        <v>3.8074568396933537</v>
      </c>
      <c r="K136" s="480">
        <f t="shared" si="832"/>
        <v>0</v>
      </c>
      <c r="L136" s="480">
        <f t="shared" si="832"/>
        <v>0</v>
      </c>
      <c r="M136" s="480">
        <f t="shared" si="832"/>
        <v>0</v>
      </c>
      <c r="N136" s="480">
        <f t="shared" si="832"/>
        <v>0</v>
      </c>
      <c r="O136" s="480">
        <f t="shared" si="832"/>
        <v>0</v>
      </c>
      <c r="P136" s="480">
        <f t="shared" si="832"/>
        <v>0</v>
      </c>
      <c r="Q136" s="480">
        <f t="shared" si="832"/>
        <v>0</v>
      </c>
      <c r="R136" s="480">
        <f t="shared" si="832"/>
        <v>0</v>
      </c>
      <c r="S136" s="480">
        <f t="shared" si="832"/>
        <v>0</v>
      </c>
      <c r="T136" s="480">
        <f t="shared" si="832"/>
        <v>0</v>
      </c>
      <c r="U136" s="480">
        <f t="shared" si="832"/>
        <v>0</v>
      </c>
      <c r="V136" s="480">
        <f t="shared" si="832"/>
        <v>0</v>
      </c>
      <c r="W136" s="480">
        <f t="shared" si="832"/>
        <v>0</v>
      </c>
      <c r="X136" s="480">
        <f t="shared" ref="X136:AG136" si="833">X124/(1.1^X$1)</f>
        <v>0</v>
      </c>
      <c r="Y136" s="480">
        <f t="shared" si="833"/>
        <v>0</v>
      </c>
      <c r="Z136" s="480">
        <f t="shared" si="833"/>
        <v>0</v>
      </c>
      <c r="AA136" s="480">
        <f t="shared" si="833"/>
        <v>0</v>
      </c>
      <c r="AB136" s="480">
        <f t="shared" si="833"/>
        <v>0</v>
      </c>
      <c r="AC136" s="480">
        <f t="shared" si="833"/>
        <v>0</v>
      </c>
      <c r="AD136" s="480">
        <f t="shared" si="833"/>
        <v>0</v>
      </c>
      <c r="AE136" s="480">
        <f t="shared" si="833"/>
        <v>0</v>
      </c>
      <c r="AF136" s="480">
        <f t="shared" si="833"/>
        <v>0</v>
      </c>
      <c r="AG136" s="480">
        <f t="shared" si="833"/>
        <v>0</v>
      </c>
      <c r="AH136" s="479">
        <f>-SUM(D136:AG136)</f>
        <v>-36.261095287395015</v>
      </c>
    </row>
    <row r="137" spans="1:34" s="246" customFormat="1" x14ac:dyDescent="0.25">
      <c r="B137" s="435" t="s">
        <v>675</v>
      </c>
      <c r="C137" s="201"/>
      <c r="D137" s="480">
        <f>D125</f>
        <v>2.6686330000000003</v>
      </c>
      <c r="E137" s="480">
        <f t="shared" ref="E137:W137" si="834">E125/(1.1^E$1)</f>
        <v>2.715886827272727</v>
      </c>
      <c r="F137" s="480">
        <f t="shared" si="834"/>
        <v>2.5572627157851238</v>
      </c>
      <c r="G137" s="480">
        <f t="shared" si="834"/>
        <v>2.4081644941510136</v>
      </c>
      <c r="H137" s="480">
        <f t="shared" si="834"/>
        <v>1.6336959985276653</v>
      </c>
      <c r="I137" s="480">
        <f t="shared" si="834"/>
        <v>1.0306633030730956</v>
      </c>
      <c r="J137" s="480">
        <f t="shared" si="834"/>
        <v>0.75888358106789855</v>
      </c>
      <c r="K137" s="480">
        <f t="shared" si="834"/>
        <v>0.61022843219858591</v>
      </c>
      <c r="L137" s="480">
        <f t="shared" si="834"/>
        <v>0.57139571378594889</v>
      </c>
      <c r="M137" s="480">
        <f t="shared" si="834"/>
        <v>0.53503416836320661</v>
      </c>
      <c r="N137" s="480">
        <f t="shared" si="834"/>
        <v>0.50098653946736615</v>
      </c>
      <c r="O137" s="480">
        <f t="shared" si="834"/>
        <v>0.46910557786489726</v>
      </c>
      <c r="P137" s="480">
        <f t="shared" si="834"/>
        <v>0.4392534047280402</v>
      </c>
      <c r="Q137" s="480">
        <f t="shared" si="834"/>
        <v>0.41130091533625585</v>
      </c>
      <c r="R137" s="480">
        <f t="shared" si="834"/>
        <v>0.38512722072394867</v>
      </c>
      <c r="S137" s="480">
        <f t="shared" si="834"/>
        <v>0.36061912485969733</v>
      </c>
      <c r="T137" s="480">
        <f t="shared" si="834"/>
        <v>0.33767063509589845</v>
      </c>
      <c r="U137" s="480">
        <f t="shared" si="834"/>
        <v>0.31618250377161394</v>
      </c>
      <c r="V137" s="480">
        <f t="shared" si="834"/>
        <v>0.29606179898614765</v>
      </c>
      <c r="W137" s="480">
        <f t="shared" si="834"/>
        <v>0.27722150268702911</v>
      </c>
      <c r="X137" s="480">
        <f t="shared" ref="X137:AG137" si="835">X125/(1.1^X$1)</f>
        <v>0.25958013433421817</v>
      </c>
      <c r="Y137" s="480">
        <f t="shared" si="835"/>
        <v>0.24306139851294975</v>
      </c>
      <c r="Z137" s="480">
        <f t="shared" si="835"/>
        <v>0.22759385497121656</v>
      </c>
      <c r="AA137" s="480">
        <f t="shared" si="835"/>
        <v>0.21311060965486639</v>
      </c>
      <c r="AB137" s="480">
        <f t="shared" si="835"/>
        <v>0.19954902540410221</v>
      </c>
      <c r="AC137" s="480">
        <f t="shared" si="835"/>
        <v>0.18685045106020479</v>
      </c>
      <c r="AD137" s="480">
        <f t="shared" si="835"/>
        <v>0.17495996781091902</v>
      </c>
      <c r="AE137" s="480">
        <f t="shared" si="835"/>
        <v>0.1638261516774969</v>
      </c>
      <c r="AF137" s="480">
        <f t="shared" si="835"/>
        <v>0.15340085111620164</v>
      </c>
      <c r="AG137" s="480">
        <f t="shared" si="835"/>
        <v>0.14363897877244333</v>
      </c>
      <c r="AH137" s="479">
        <f>-SUM(D137:AG137)</f>
        <v>-21.24894888106078</v>
      </c>
    </row>
    <row r="138" spans="1:34" s="246" customFormat="1" x14ac:dyDescent="0.25">
      <c r="B138" s="435" t="s">
        <v>674</v>
      </c>
      <c r="C138" s="201"/>
      <c r="D138" s="480">
        <f>D126</f>
        <v>0</v>
      </c>
      <c r="E138" s="480">
        <f t="shared" ref="E138:W138" si="836">E126/(1.1^E$1)</f>
        <v>0</v>
      </c>
      <c r="F138" s="480">
        <f t="shared" si="836"/>
        <v>0</v>
      </c>
      <c r="G138" s="480">
        <f t="shared" si="836"/>
        <v>0</v>
      </c>
      <c r="H138" s="480">
        <f t="shared" si="836"/>
        <v>0</v>
      </c>
      <c r="I138" s="480">
        <f t="shared" si="836"/>
        <v>0</v>
      </c>
      <c r="J138" s="480">
        <f t="shared" si="836"/>
        <v>0</v>
      </c>
      <c r="K138" s="480">
        <f t="shared" si="836"/>
        <v>2.8823758320409145</v>
      </c>
      <c r="L138" s="480">
        <f t="shared" si="836"/>
        <v>0</v>
      </c>
      <c r="M138" s="480">
        <f t="shared" si="836"/>
        <v>0</v>
      </c>
      <c r="N138" s="480">
        <f t="shared" si="836"/>
        <v>0</v>
      </c>
      <c r="O138" s="480">
        <f t="shared" si="836"/>
        <v>0</v>
      </c>
      <c r="P138" s="480">
        <f t="shared" si="836"/>
        <v>0</v>
      </c>
      <c r="Q138" s="480">
        <f t="shared" si="836"/>
        <v>0</v>
      </c>
      <c r="R138" s="480">
        <f t="shared" si="836"/>
        <v>0</v>
      </c>
      <c r="S138" s="480">
        <f t="shared" si="836"/>
        <v>0</v>
      </c>
      <c r="T138" s="480">
        <f t="shared" si="836"/>
        <v>0</v>
      </c>
      <c r="U138" s="480">
        <f t="shared" si="836"/>
        <v>0</v>
      </c>
      <c r="V138" s="480">
        <f t="shared" si="836"/>
        <v>0</v>
      </c>
      <c r="W138" s="480">
        <f t="shared" si="836"/>
        <v>0</v>
      </c>
      <c r="X138" s="480">
        <f t="shared" ref="X138:AG138" si="837">X126/(1.1^X$1)</f>
        <v>0</v>
      </c>
      <c r="Y138" s="480">
        <f t="shared" si="837"/>
        <v>0</v>
      </c>
      <c r="Z138" s="480">
        <f t="shared" si="837"/>
        <v>0</v>
      </c>
      <c r="AA138" s="480">
        <f t="shared" si="837"/>
        <v>0</v>
      </c>
      <c r="AB138" s="480">
        <f t="shared" si="837"/>
        <v>0</v>
      </c>
      <c r="AC138" s="480">
        <f t="shared" si="837"/>
        <v>0</v>
      </c>
      <c r="AD138" s="480">
        <f t="shared" si="837"/>
        <v>0</v>
      </c>
      <c r="AE138" s="480">
        <f t="shared" si="837"/>
        <v>0</v>
      </c>
      <c r="AF138" s="480">
        <f t="shared" si="837"/>
        <v>0</v>
      </c>
      <c r="AG138" s="480">
        <f t="shared" si="837"/>
        <v>1.7008390629522429E-2</v>
      </c>
      <c r="AH138" s="479">
        <f>SUM(D138:AG138)</f>
        <v>2.8993842226704372</v>
      </c>
    </row>
  </sheetData>
  <mergeCells count="1">
    <mergeCell ref="X4:AG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
  <sheetViews>
    <sheetView zoomScale="85" zoomScaleNormal="85" workbookViewId="0">
      <selection activeCell="Y45" sqref="Y45"/>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O565"/>
  <sheetViews>
    <sheetView zoomScaleNormal="100" workbookViewId="0">
      <selection activeCell="F3" sqref="F3"/>
    </sheetView>
  </sheetViews>
  <sheetFormatPr defaultRowHeight="14.25" x14ac:dyDescent="0.2"/>
  <cols>
    <col min="1" max="1" width="14.5703125" style="4" customWidth="1"/>
    <col min="2" max="2" width="28.5703125" style="4" customWidth="1"/>
    <col min="3" max="12" width="11.42578125" style="4" customWidth="1"/>
    <col min="13" max="13" width="13.7109375" style="12" customWidth="1"/>
    <col min="14" max="14" width="35" style="4" customWidth="1"/>
    <col min="15" max="16384" width="9.140625" style="4"/>
  </cols>
  <sheetData>
    <row r="1" spans="1:15" ht="23.25" x14ac:dyDescent="0.35">
      <c r="A1" s="1" t="s">
        <v>0</v>
      </c>
      <c r="E1" s="5"/>
    </row>
    <row r="2" spans="1:15" x14ac:dyDescent="0.2">
      <c r="E2" s="5"/>
      <c r="O2" s="6" t="s">
        <v>4</v>
      </c>
    </row>
    <row r="3" spans="1:15" x14ac:dyDescent="0.2">
      <c r="B3" s="9" t="s">
        <v>10</v>
      </c>
      <c r="C3" s="14" t="s">
        <v>12</v>
      </c>
      <c r="E3" s="450" t="s">
        <v>565</v>
      </c>
      <c r="F3" s="451">
        <v>9.7199999999999995E-2</v>
      </c>
      <c r="O3" s="6" t="s">
        <v>2</v>
      </c>
    </row>
    <row r="4" spans="1:15" x14ac:dyDescent="0.2">
      <c r="O4" s="6" t="s">
        <v>6</v>
      </c>
    </row>
    <row r="5" spans="1:15" ht="15.75" x14ac:dyDescent="0.25">
      <c r="A5" s="2" t="s">
        <v>584</v>
      </c>
    </row>
    <row r="7" spans="1:15" ht="15.75" x14ac:dyDescent="0.2">
      <c r="B7" s="8" t="s">
        <v>1</v>
      </c>
      <c r="C7" s="613" t="s">
        <v>11</v>
      </c>
      <c r="D7" s="613"/>
      <c r="E7" s="613"/>
      <c r="F7" s="613"/>
      <c r="G7" s="613"/>
      <c r="H7" s="613"/>
      <c r="I7" s="613"/>
      <c r="J7" s="613"/>
      <c r="K7" s="613"/>
      <c r="L7" s="613"/>
    </row>
    <row r="8" spans="1:15" ht="41.25" customHeight="1" x14ac:dyDescent="0.2">
      <c r="B8" s="15" t="s">
        <v>2</v>
      </c>
      <c r="C8" s="596" t="s">
        <v>183</v>
      </c>
      <c r="D8" s="596"/>
      <c r="E8" s="596"/>
      <c r="F8" s="596"/>
      <c r="G8" s="596"/>
      <c r="H8" s="596"/>
      <c r="I8" s="596"/>
      <c r="J8" s="596"/>
      <c r="K8" s="596"/>
      <c r="L8" s="597"/>
    </row>
    <row r="9" spans="1:15" ht="15.75" x14ac:dyDescent="0.25">
      <c r="B9" s="3"/>
      <c r="C9" s="313"/>
      <c r="D9" s="313"/>
      <c r="E9" s="313"/>
      <c r="F9" s="313"/>
      <c r="G9" s="313"/>
      <c r="H9" s="313"/>
      <c r="I9" s="313"/>
      <c r="J9" s="313"/>
      <c r="K9" s="313"/>
      <c r="L9" s="313"/>
    </row>
    <row r="10" spans="1:15" ht="15.75" x14ac:dyDescent="0.25">
      <c r="B10" s="7" t="s">
        <v>3</v>
      </c>
      <c r="C10" s="313"/>
      <c r="D10" s="313"/>
      <c r="E10" s="313"/>
      <c r="F10" s="313"/>
      <c r="G10" s="313"/>
      <c r="H10" s="313"/>
      <c r="I10" s="313"/>
      <c r="J10" s="313"/>
      <c r="K10" s="313"/>
      <c r="L10" s="313"/>
    </row>
    <row r="11" spans="1:15" x14ac:dyDescent="0.2">
      <c r="B11" s="15" t="s">
        <v>4</v>
      </c>
      <c r="C11" s="597" t="s">
        <v>14</v>
      </c>
      <c r="D11" s="600"/>
      <c r="E11" s="600"/>
      <c r="F11" s="600"/>
      <c r="G11" s="600"/>
      <c r="H11" s="600"/>
      <c r="I11" s="600"/>
      <c r="J11" s="600"/>
      <c r="K11" s="600"/>
      <c r="L11" s="600"/>
      <c r="M11" s="13" t="s">
        <v>13</v>
      </c>
    </row>
    <row r="12" spans="1:15" ht="14.25" customHeight="1" x14ac:dyDescent="0.2">
      <c r="B12" s="15" t="s">
        <v>4</v>
      </c>
      <c r="C12" s="597" t="s">
        <v>15</v>
      </c>
      <c r="D12" s="600"/>
      <c r="E12" s="600"/>
      <c r="F12" s="600"/>
      <c r="G12" s="600"/>
      <c r="H12" s="600"/>
      <c r="I12" s="600"/>
      <c r="J12" s="600"/>
      <c r="K12" s="600"/>
      <c r="L12" s="600"/>
      <c r="M12" s="13" t="s">
        <v>13</v>
      </c>
    </row>
    <row r="13" spans="1:15" ht="14.25" customHeight="1" x14ac:dyDescent="0.2">
      <c r="B13" s="15" t="s">
        <v>4</v>
      </c>
      <c r="C13" s="597" t="s">
        <v>20</v>
      </c>
      <c r="D13" s="600"/>
      <c r="E13" s="600"/>
      <c r="F13" s="600"/>
      <c r="G13" s="600"/>
      <c r="H13" s="600"/>
      <c r="I13" s="600"/>
      <c r="J13" s="600"/>
      <c r="K13" s="600"/>
      <c r="L13" s="600"/>
      <c r="M13" s="13" t="s">
        <v>13</v>
      </c>
    </row>
    <row r="14" spans="1:15" x14ac:dyDescent="0.2">
      <c r="B14" s="15" t="s">
        <v>4</v>
      </c>
      <c r="C14" s="597" t="s">
        <v>275</v>
      </c>
      <c r="D14" s="600"/>
      <c r="E14" s="600"/>
      <c r="F14" s="600"/>
      <c r="G14" s="600"/>
      <c r="H14" s="600"/>
      <c r="I14" s="600"/>
      <c r="J14" s="600"/>
      <c r="K14" s="600"/>
      <c r="L14" s="600"/>
      <c r="M14" s="13" t="s">
        <v>13</v>
      </c>
    </row>
    <row r="15" spans="1:15" ht="27.75" customHeight="1" x14ac:dyDescent="0.2">
      <c r="B15" s="15" t="s">
        <v>4</v>
      </c>
      <c r="C15" s="597" t="s">
        <v>16</v>
      </c>
      <c r="D15" s="600"/>
      <c r="E15" s="600"/>
      <c r="F15" s="600"/>
      <c r="G15" s="600"/>
      <c r="H15" s="600"/>
      <c r="I15" s="600"/>
      <c r="J15" s="600"/>
      <c r="K15" s="600"/>
      <c r="L15" s="600"/>
      <c r="M15" s="13" t="s">
        <v>13</v>
      </c>
    </row>
    <row r="16" spans="1:15" ht="14.25" customHeight="1" x14ac:dyDescent="0.2">
      <c r="B16" s="15" t="s">
        <v>4</v>
      </c>
      <c r="C16" s="597" t="s">
        <v>204</v>
      </c>
      <c r="D16" s="600"/>
      <c r="E16" s="600"/>
      <c r="F16" s="600"/>
      <c r="G16" s="600"/>
      <c r="H16" s="600"/>
      <c r="I16" s="600"/>
      <c r="J16" s="600"/>
      <c r="K16" s="600"/>
      <c r="L16" s="600"/>
      <c r="M16" s="13" t="s">
        <v>13</v>
      </c>
    </row>
    <row r="17" spans="2:14" ht="14.25" customHeight="1" x14ac:dyDescent="0.2">
      <c r="B17" s="15" t="s">
        <v>4</v>
      </c>
      <c r="C17" s="597" t="s">
        <v>17</v>
      </c>
      <c r="D17" s="600"/>
      <c r="E17" s="600"/>
      <c r="F17" s="600"/>
      <c r="G17" s="600"/>
      <c r="H17" s="600"/>
      <c r="I17" s="600"/>
      <c r="J17" s="600"/>
      <c r="K17" s="600"/>
      <c r="L17" s="600"/>
      <c r="M17" s="13" t="s">
        <v>13</v>
      </c>
    </row>
    <row r="18" spans="2:14" ht="14.25" customHeight="1" x14ac:dyDescent="0.2">
      <c r="B18" s="15" t="s">
        <v>4</v>
      </c>
      <c r="C18" s="597" t="s">
        <v>207</v>
      </c>
      <c r="D18" s="600"/>
      <c r="E18" s="600"/>
      <c r="F18" s="600"/>
      <c r="G18" s="600"/>
      <c r="H18" s="600"/>
      <c r="I18" s="600"/>
      <c r="J18" s="600"/>
      <c r="K18" s="600"/>
      <c r="L18" s="600"/>
      <c r="M18" s="13" t="s">
        <v>13</v>
      </c>
    </row>
    <row r="19" spans="2:14" ht="14.25" customHeight="1" x14ac:dyDescent="0.2">
      <c r="B19" s="15" t="s">
        <v>4</v>
      </c>
      <c r="C19" s="597" t="s">
        <v>205</v>
      </c>
      <c r="D19" s="600"/>
      <c r="E19" s="600"/>
      <c r="F19" s="600"/>
      <c r="G19" s="600"/>
      <c r="H19" s="600"/>
      <c r="I19" s="600"/>
      <c r="J19" s="600"/>
      <c r="K19" s="600"/>
      <c r="L19" s="600"/>
      <c r="M19" s="13" t="s">
        <v>13</v>
      </c>
    </row>
    <row r="20" spans="2:14" ht="14.25" customHeight="1" x14ac:dyDescent="0.2">
      <c r="B20" s="15" t="s">
        <v>4</v>
      </c>
      <c r="C20" s="597" t="s">
        <v>206</v>
      </c>
      <c r="D20" s="600"/>
      <c r="E20" s="600"/>
      <c r="F20" s="600"/>
      <c r="G20" s="600"/>
      <c r="H20" s="600"/>
      <c r="I20" s="600"/>
      <c r="J20" s="600"/>
      <c r="K20" s="600"/>
      <c r="L20" s="600"/>
      <c r="M20" s="13"/>
    </row>
    <row r="21" spans="2:14" ht="14.25" customHeight="1" x14ac:dyDescent="0.2">
      <c r="B21" s="15" t="s">
        <v>4</v>
      </c>
      <c r="C21" s="597" t="s">
        <v>277</v>
      </c>
      <c r="D21" s="600"/>
      <c r="E21" s="600"/>
      <c r="F21" s="600"/>
      <c r="G21" s="600"/>
      <c r="H21" s="600"/>
      <c r="I21" s="600"/>
      <c r="J21" s="600"/>
      <c r="K21" s="600"/>
      <c r="L21" s="600"/>
      <c r="M21" s="13" t="s">
        <v>13</v>
      </c>
    </row>
    <row r="22" spans="2:14" ht="14.25" customHeight="1" x14ac:dyDescent="0.2">
      <c r="B22" s="15" t="s">
        <v>4</v>
      </c>
      <c r="C22" s="597" t="s">
        <v>18</v>
      </c>
      <c r="D22" s="600"/>
      <c r="E22" s="600"/>
      <c r="F22" s="600"/>
      <c r="G22" s="600"/>
      <c r="H22" s="600"/>
      <c r="I22" s="600"/>
      <c r="J22" s="600"/>
      <c r="K22" s="600"/>
      <c r="L22" s="600"/>
      <c r="M22" s="13" t="s">
        <v>13</v>
      </c>
    </row>
    <row r="23" spans="2:14" x14ac:dyDescent="0.2">
      <c r="B23" s="15" t="s">
        <v>4</v>
      </c>
      <c r="C23" s="597" t="s">
        <v>19</v>
      </c>
      <c r="D23" s="600"/>
      <c r="E23" s="600"/>
      <c r="F23" s="600"/>
      <c r="G23" s="600"/>
      <c r="H23" s="600"/>
      <c r="I23" s="600"/>
      <c r="J23" s="600"/>
      <c r="K23" s="600"/>
      <c r="L23" s="600"/>
      <c r="M23" s="13" t="s">
        <v>13</v>
      </c>
    </row>
    <row r="24" spans="2:14" ht="28.5" customHeight="1" x14ac:dyDescent="0.2">
      <c r="B24" s="15" t="s">
        <v>4</v>
      </c>
      <c r="C24" s="597" t="s">
        <v>238</v>
      </c>
      <c r="D24" s="600"/>
      <c r="E24" s="600"/>
      <c r="F24" s="600"/>
      <c r="G24" s="600"/>
      <c r="H24" s="600"/>
      <c r="I24" s="600"/>
      <c r="J24" s="600"/>
      <c r="K24" s="600"/>
      <c r="L24" s="600"/>
      <c r="M24" s="13" t="s">
        <v>13</v>
      </c>
    </row>
    <row r="25" spans="2:14" ht="28.5" customHeight="1" x14ac:dyDescent="0.2">
      <c r="B25" s="15" t="s">
        <v>4</v>
      </c>
      <c r="C25" s="597" t="s">
        <v>239</v>
      </c>
      <c r="D25" s="600"/>
      <c r="E25" s="600"/>
      <c r="F25" s="600"/>
      <c r="G25" s="600"/>
      <c r="H25" s="600"/>
      <c r="I25" s="600"/>
      <c r="J25" s="600"/>
      <c r="K25" s="600"/>
      <c r="L25" s="600"/>
      <c r="M25" s="13" t="s">
        <v>13</v>
      </c>
      <c r="N25" s="244" t="s">
        <v>240</v>
      </c>
    </row>
    <row r="26" spans="2:14" x14ac:dyDescent="0.2">
      <c r="B26" s="15"/>
      <c r="C26" s="597"/>
      <c r="D26" s="600"/>
      <c r="E26" s="600"/>
      <c r="F26" s="600"/>
      <c r="G26" s="600"/>
      <c r="H26" s="600"/>
      <c r="I26" s="600"/>
      <c r="J26" s="600"/>
      <c r="K26" s="600"/>
      <c r="L26" s="600"/>
      <c r="M26" s="13"/>
    </row>
    <row r="27" spans="2:14" ht="15.75" x14ac:dyDescent="0.25">
      <c r="B27" s="7" t="s">
        <v>5</v>
      </c>
      <c r="C27" s="11"/>
      <c r="D27" s="11"/>
      <c r="E27" s="11"/>
      <c r="F27" s="11"/>
      <c r="G27" s="11"/>
      <c r="H27" s="11"/>
      <c r="I27" s="11"/>
      <c r="J27" s="11"/>
      <c r="K27" s="11"/>
      <c r="L27" s="11"/>
    </row>
    <row r="28" spans="2:14" ht="14.25" customHeight="1" x14ac:dyDescent="0.2">
      <c r="B28" s="15" t="s">
        <v>4</v>
      </c>
      <c r="C28" s="596" t="s">
        <v>215</v>
      </c>
      <c r="D28" s="596"/>
      <c r="E28" s="596"/>
      <c r="F28" s="596"/>
      <c r="G28" s="596"/>
      <c r="H28" s="596"/>
      <c r="I28" s="596"/>
      <c r="J28" s="596"/>
      <c r="K28" s="596"/>
      <c r="L28" s="597"/>
      <c r="M28" s="13" t="s">
        <v>21</v>
      </c>
      <c r="N28" s="16" t="s">
        <v>26</v>
      </c>
    </row>
    <row r="29" spans="2:14" ht="14.25" customHeight="1" x14ac:dyDescent="0.2">
      <c r="B29" s="15" t="s">
        <v>4</v>
      </c>
      <c r="C29" s="596" t="s">
        <v>216</v>
      </c>
      <c r="D29" s="596"/>
      <c r="E29" s="596"/>
      <c r="F29" s="596"/>
      <c r="G29" s="596"/>
      <c r="H29" s="596"/>
      <c r="I29" s="596"/>
      <c r="J29" s="596"/>
      <c r="K29" s="596"/>
      <c r="L29" s="597"/>
      <c r="M29" s="13" t="s">
        <v>21</v>
      </c>
      <c r="N29" s="243" t="s">
        <v>104</v>
      </c>
    </row>
    <row r="30" spans="2:14" ht="14.25" customHeight="1" x14ac:dyDescent="0.2">
      <c r="B30" s="15" t="s">
        <v>4</v>
      </c>
      <c r="C30" s="596" t="s">
        <v>217</v>
      </c>
      <c r="D30" s="596"/>
      <c r="E30" s="596"/>
      <c r="F30" s="596"/>
      <c r="G30" s="596"/>
      <c r="H30" s="596"/>
      <c r="I30" s="596"/>
      <c r="J30" s="596"/>
      <c r="K30" s="596"/>
      <c r="L30" s="597"/>
      <c r="M30" s="13" t="s">
        <v>22</v>
      </c>
    </row>
    <row r="31" spans="2:14" ht="14.25" customHeight="1" x14ac:dyDescent="0.2">
      <c r="B31" s="15" t="s">
        <v>4</v>
      </c>
      <c r="C31" s="596" t="s">
        <v>218</v>
      </c>
      <c r="D31" s="596"/>
      <c r="E31" s="596"/>
      <c r="F31" s="596"/>
      <c r="G31" s="596"/>
      <c r="H31" s="596"/>
      <c r="I31" s="596"/>
      <c r="J31" s="596"/>
      <c r="K31" s="596"/>
      <c r="L31" s="597"/>
      <c r="M31" s="13" t="s">
        <v>23</v>
      </c>
    </row>
    <row r="32" spans="2:14" ht="14.25" customHeight="1" x14ac:dyDescent="0.2">
      <c r="B32" s="15" t="s">
        <v>4</v>
      </c>
      <c r="C32" s="596" t="s">
        <v>220</v>
      </c>
      <c r="D32" s="596"/>
      <c r="E32" s="596"/>
      <c r="F32" s="596"/>
      <c r="G32" s="596"/>
      <c r="H32" s="596"/>
      <c r="I32" s="596"/>
      <c r="J32" s="596"/>
      <c r="K32" s="596"/>
      <c r="L32" s="597"/>
      <c r="M32" s="13" t="s">
        <v>23</v>
      </c>
    </row>
    <row r="33" spans="2:14" ht="14.25" customHeight="1" x14ac:dyDescent="0.2">
      <c r="B33" s="15" t="s">
        <v>4</v>
      </c>
      <c r="C33" s="596" t="s">
        <v>221</v>
      </c>
      <c r="D33" s="596"/>
      <c r="E33" s="596"/>
      <c r="F33" s="596"/>
      <c r="G33" s="596"/>
      <c r="H33" s="596"/>
      <c r="I33" s="596"/>
      <c r="J33" s="596"/>
      <c r="K33" s="596"/>
      <c r="L33" s="597"/>
      <c r="M33" s="13" t="s">
        <v>24</v>
      </c>
    </row>
    <row r="34" spans="2:14" ht="14.25" customHeight="1" x14ac:dyDescent="0.2">
      <c r="B34" s="15" t="s">
        <v>4</v>
      </c>
      <c r="C34" s="596" t="s">
        <v>222</v>
      </c>
      <c r="D34" s="596"/>
      <c r="E34" s="596"/>
      <c r="F34" s="596"/>
      <c r="G34" s="596"/>
      <c r="H34" s="596"/>
      <c r="I34" s="596"/>
      <c r="J34" s="596"/>
      <c r="K34" s="596"/>
      <c r="L34" s="597"/>
      <c r="M34" s="13" t="s">
        <v>22</v>
      </c>
    </row>
    <row r="35" spans="2:14" ht="14.25" customHeight="1" x14ac:dyDescent="0.2">
      <c r="B35" s="15" t="s">
        <v>4</v>
      </c>
      <c r="C35" s="596" t="s">
        <v>223</v>
      </c>
      <c r="D35" s="596"/>
      <c r="E35" s="596"/>
      <c r="F35" s="596"/>
      <c r="G35" s="596"/>
      <c r="H35" s="596"/>
      <c r="I35" s="596"/>
      <c r="J35" s="596"/>
      <c r="K35" s="596"/>
      <c r="L35" s="597"/>
      <c r="M35" s="13" t="s">
        <v>22</v>
      </c>
    </row>
    <row r="36" spans="2:14" ht="14.25" customHeight="1" x14ac:dyDescent="0.2">
      <c r="B36" s="15" t="s">
        <v>4</v>
      </c>
      <c r="C36" s="596" t="s">
        <v>224</v>
      </c>
      <c r="D36" s="596"/>
      <c r="E36" s="596"/>
      <c r="F36" s="596"/>
      <c r="G36" s="596"/>
      <c r="H36" s="596"/>
      <c r="I36" s="596"/>
      <c r="J36" s="596"/>
      <c r="K36" s="596"/>
      <c r="L36" s="597"/>
      <c r="M36" s="13" t="s">
        <v>24</v>
      </c>
    </row>
    <row r="37" spans="2:14" ht="14.25" customHeight="1" x14ac:dyDescent="0.2">
      <c r="B37" s="15" t="s">
        <v>4</v>
      </c>
      <c r="C37" s="596" t="s">
        <v>225</v>
      </c>
      <c r="D37" s="596"/>
      <c r="E37" s="596"/>
      <c r="F37" s="596"/>
      <c r="G37" s="596"/>
      <c r="H37" s="596"/>
      <c r="I37" s="596"/>
      <c r="J37" s="596"/>
      <c r="K37" s="596"/>
      <c r="L37" s="597"/>
      <c r="M37" s="13" t="s">
        <v>24</v>
      </c>
    </row>
    <row r="38" spans="2:14" ht="14.25" customHeight="1" x14ac:dyDescent="0.2">
      <c r="B38" s="15" t="s">
        <v>4</v>
      </c>
      <c r="C38" s="596" t="s">
        <v>107</v>
      </c>
      <c r="D38" s="596"/>
      <c r="E38" s="596"/>
      <c r="F38" s="596"/>
      <c r="G38" s="596"/>
      <c r="H38" s="596"/>
      <c r="I38" s="596"/>
      <c r="J38" s="596"/>
      <c r="K38" s="596"/>
      <c r="L38" s="597"/>
      <c r="M38" s="13" t="s">
        <v>109</v>
      </c>
    </row>
    <row r="39" spans="2:14" ht="14.25" customHeight="1" x14ac:dyDescent="0.2">
      <c r="B39" s="15" t="s">
        <v>4</v>
      </c>
      <c r="C39" s="596" t="s">
        <v>226</v>
      </c>
      <c r="D39" s="596"/>
      <c r="E39" s="596"/>
      <c r="F39" s="596"/>
      <c r="G39" s="596"/>
      <c r="H39" s="596"/>
      <c r="I39" s="596"/>
      <c r="J39" s="596"/>
      <c r="K39" s="596"/>
      <c r="L39" s="597"/>
      <c r="M39" s="13" t="s">
        <v>23</v>
      </c>
    </row>
    <row r="40" spans="2:14" ht="14.25" customHeight="1" x14ac:dyDescent="0.2">
      <c r="B40" s="15" t="s">
        <v>4</v>
      </c>
      <c r="C40" s="596" t="s">
        <v>227</v>
      </c>
      <c r="D40" s="596"/>
      <c r="E40" s="596"/>
      <c r="F40" s="596"/>
      <c r="G40" s="596"/>
      <c r="H40" s="596"/>
      <c r="I40" s="596"/>
      <c r="J40" s="596"/>
      <c r="K40" s="596"/>
      <c r="L40" s="597"/>
      <c r="M40" s="13" t="s">
        <v>23</v>
      </c>
    </row>
    <row r="41" spans="2:14" ht="28.5" customHeight="1" x14ac:dyDescent="0.2">
      <c r="B41" s="15" t="s">
        <v>4</v>
      </c>
      <c r="C41" s="596" t="s">
        <v>228</v>
      </c>
      <c r="D41" s="596"/>
      <c r="E41" s="596"/>
      <c r="F41" s="596"/>
      <c r="G41" s="596"/>
      <c r="H41" s="596"/>
      <c r="I41" s="596"/>
      <c r="J41" s="596"/>
      <c r="K41" s="596"/>
      <c r="L41" s="597"/>
      <c r="M41" s="13" t="s">
        <v>24</v>
      </c>
    </row>
    <row r="42" spans="2:14" x14ac:dyDescent="0.2">
      <c r="B42" s="15" t="s">
        <v>4</v>
      </c>
      <c r="C42" s="596" t="s">
        <v>229</v>
      </c>
      <c r="D42" s="596"/>
      <c r="E42" s="596"/>
      <c r="F42" s="596"/>
      <c r="G42" s="596"/>
      <c r="H42" s="596"/>
      <c r="I42" s="596"/>
      <c r="J42" s="596"/>
      <c r="K42" s="596"/>
      <c r="L42" s="597"/>
      <c r="M42" s="13" t="s">
        <v>22</v>
      </c>
    </row>
    <row r="43" spans="2:14" x14ac:dyDescent="0.2">
      <c r="B43" s="15" t="s">
        <v>4</v>
      </c>
      <c r="C43" s="596" t="s">
        <v>255</v>
      </c>
      <c r="D43" s="596"/>
      <c r="E43" s="596"/>
      <c r="F43" s="596"/>
      <c r="G43" s="596"/>
      <c r="H43" s="596"/>
      <c r="I43" s="596"/>
      <c r="J43" s="596"/>
      <c r="K43" s="596"/>
      <c r="L43" s="597"/>
      <c r="M43" s="13" t="s">
        <v>22</v>
      </c>
    </row>
    <row r="44" spans="2:14" x14ac:dyDescent="0.2">
      <c r="B44" s="15"/>
      <c r="C44" s="596"/>
      <c r="D44" s="596"/>
      <c r="E44" s="596"/>
      <c r="F44" s="596"/>
      <c r="G44" s="596"/>
      <c r="H44" s="596"/>
      <c r="I44" s="596"/>
      <c r="J44" s="596"/>
      <c r="K44" s="596"/>
      <c r="L44" s="597"/>
      <c r="M44" s="13"/>
    </row>
    <row r="45" spans="2:14" x14ac:dyDescent="0.2">
      <c r="B45" s="15"/>
      <c r="C45" s="596"/>
      <c r="D45" s="596"/>
      <c r="E45" s="596"/>
      <c r="F45" s="596"/>
      <c r="G45" s="596"/>
      <c r="H45" s="596"/>
      <c r="I45" s="596"/>
      <c r="J45" s="596"/>
      <c r="K45" s="596"/>
      <c r="L45" s="597"/>
      <c r="M45" s="13"/>
    </row>
    <row r="46" spans="2:14" ht="15.75" x14ac:dyDescent="0.25">
      <c r="B46" s="7" t="s">
        <v>7</v>
      </c>
      <c r="C46" s="313"/>
      <c r="D46" s="313"/>
      <c r="E46" s="313"/>
      <c r="F46" s="313"/>
      <c r="G46" s="313"/>
      <c r="H46" s="313"/>
      <c r="I46" s="313"/>
      <c r="J46" s="313"/>
      <c r="K46" s="313"/>
      <c r="L46" s="313"/>
    </row>
    <row r="47" spans="2:14" ht="15.75" x14ac:dyDescent="0.2">
      <c r="B47" s="10" t="s">
        <v>8</v>
      </c>
      <c r="C47" s="607"/>
      <c r="D47" s="596"/>
      <c r="E47" s="596"/>
      <c r="F47" s="596"/>
      <c r="G47" s="596"/>
      <c r="H47" s="596"/>
      <c r="I47" s="596"/>
      <c r="J47" s="596"/>
      <c r="K47" s="596"/>
      <c r="L47" s="597"/>
      <c r="M47" s="13"/>
    </row>
    <row r="48" spans="2:14" x14ac:dyDescent="0.2">
      <c r="B48" s="15" t="s">
        <v>2</v>
      </c>
      <c r="C48" s="597" t="s">
        <v>241</v>
      </c>
      <c r="D48" s="600"/>
      <c r="E48" s="600"/>
      <c r="F48" s="600"/>
      <c r="G48" s="600"/>
      <c r="H48" s="600"/>
      <c r="I48" s="600"/>
      <c r="J48" s="600"/>
      <c r="K48" s="600"/>
      <c r="L48" s="600"/>
      <c r="M48" s="13" t="s">
        <v>13</v>
      </c>
      <c r="N48" s="16" t="s">
        <v>27</v>
      </c>
    </row>
    <row r="49" spans="2:14" ht="28.5" customHeight="1" x14ac:dyDescent="0.2">
      <c r="B49" s="15" t="s">
        <v>4</v>
      </c>
      <c r="C49" s="608" t="s">
        <v>25</v>
      </c>
      <c r="D49" s="609"/>
      <c r="E49" s="610" t="s">
        <v>566</v>
      </c>
      <c r="F49" s="611"/>
      <c r="G49" s="611"/>
      <c r="H49" s="611"/>
      <c r="I49" s="611"/>
      <c r="J49" s="611"/>
      <c r="K49" s="611"/>
      <c r="L49" s="612"/>
      <c r="M49" s="55">
        <f>'OP1,3,8-Item Costs'!$B$10</f>
        <v>37967000</v>
      </c>
      <c r="N49" s="243" t="s">
        <v>104</v>
      </c>
    </row>
    <row r="50" spans="2:14" ht="14.25" customHeight="1" x14ac:dyDescent="0.2">
      <c r="B50" s="15" t="s">
        <v>4</v>
      </c>
      <c r="C50" s="595" t="s">
        <v>103</v>
      </c>
      <c r="D50" s="596"/>
      <c r="E50" s="596"/>
      <c r="F50" s="596"/>
      <c r="G50" s="596"/>
      <c r="H50" s="596"/>
      <c r="I50" s="596"/>
      <c r="J50" s="596"/>
      <c r="K50" s="596"/>
      <c r="L50" s="597"/>
      <c r="M50" s="55">
        <f>'OP1,3,8-Item Costs'!$B$23</f>
        <v>8786350</v>
      </c>
    </row>
    <row r="51" spans="2:14" ht="14.25" customHeight="1" x14ac:dyDescent="0.2">
      <c r="B51" s="15" t="s">
        <v>4</v>
      </c>
      <c r="C51" s="595" t="s">
        <v>106</v>
      </c>
      <c r="D51" s="596"/>
      <c r="E51" s="596"/>
      <c r="F51" s="596"/>
      <c r="G51" s="596"/>
      <c r="H51" s="596"/>
      <c r="I51" s="596"/>
      <c r="J51" s="596"/>
      <c r="K51" s="596"/>
      <c r="L51" s="597"/>
      <c r="M51" s="55">
        <v>0</v>
      </c>
    </row>
    <row r="52" spans="2:14" ht="14.25" customHeight="1" x14ac:dyDescent="0.2">
      <c r="B52" s="15" t="s">
        <v>4</v>
      </c>
      <c r="C52" s="595" t="s">
        <v>230</v>
      </c>
      <c r="D52" s="596"/>
      <c r="E52" s="596"/>
      <c r="F52" s="596"/>
      <c r="G52" s="596"/>
      <c r="H52" s="596"/>
      <c r="I52" s="596"/>
      <c r="J52" s="596"/>
      <c r="K52" s="596"/>
      <c r="L52" s="597"/>
      <c r="M52" s="55">
        <f>'OP1,3,8-Item Costs'!$B$27</f>
        <v>2233915.2999999998</v>
      </c>
    </row>
    <row r="53" spans="2:14" ht="14.25" customHeight="1" x14ac:dyDescent="0.2">
      <c r="B53" s="15" t="s">
        <v>4</v>
      </c>
      <c r="C53" s="595" t="s">
        <v>474</v>
      </c>
      <c r="D53" s="596"/>
      <c r="E53" s="596"/>
      <c r="F53" s="596"/>
      <c r="G53" s="596"/>
      <c r="H53" s="596"/>
      <c r="I53" s="596"/>
      <c r="J53" s="596"/>
      <c r="K53" s="596"/>
      <c r="L53" s="597"/>
      <c r="M53" s="55">
        <f>'OP1,3,8-Item Costs'!$B29</f>
        <v>3373448.0985151711</v>
      </c>
      <c r="N53" s="16" t="s">
        <v>101</v>
      </c>
    </row>
    <row r="54" spans="2:14" x14ac:dyDescent="0.2">
      <c r="B54" s="15" t="s">
        <v>4</v>
      </c>
      <c r="C54" s="596" t="s">
        <v>231</v>
      </c>
      <c r="D54" s="596"/>
      <c r="E54" s="596"/>
      <c r="F54" s="596"/>
      <c r="G54" s="596"/>
      <c r="H54" s="596"/>
      <c r="I54" s="596"/>
      <c r="J54" s="596"/>
      <c r="K54" s="596"/>
      <c r="L54" s="597"/>
      <c r="M54" s="55">
        <f>'OP1,3,8-Item Costs'!$B$28</f>
        <v>24493632.649999999</v>
      </c>
      <c r="N54" s="16" t="s">
        <v>298</v>
      </c>
    </row>
    <row r="55" spans="2:14" x14ac:dyDescent="0.2">
      <c r="B55" s="15" t="s">
        <v>4</v>
      </c>
      <c r="C55" s="606" t="s">
        <v>105</v>
      </c>
      <c r="D55" s="596"/>
      <c r="E55" s="596"/>
      <c r="F55" s="596"/>
      <c r="G55" s="596"/>
      <c r="H55" s="596"/>
      <c r="I55" s="596"/>
      <c r="J55" s="596"/>
      <c r="K55" s="596"/>
      <c r="L55" s="597"/>
      <c r="M55" s="17">
        <v>0.5</v>
      </c>
    </row>
    <row r="56" spans="2:14" ht="14.25" customHeight="1" x14ac:dyDescent="0.2">
      <c r="B56" s="15"/>
      <c r="C56" s="595"/>
      <c r="D56" s="596"/>
      <c r="E56" s="596"/>
      <c r="F56" s="596"/>
      <c r="G56" s="596"/>
      <c r="H56" s="596"/>
      <c r="I56" s="596"/>
      <c r="J56" s="596"/>
      <c r="K56" s="596"/>
      <c r="L56" s="597"/>
      <c r="M56" s="55"/>
    </row>
    <row r="57" spans="2:14" x14ac:dyDescent="0.2">
      <c r="B57" s="15" t="s">
        <v>4</v>
      </c>
      <c r="C57" s="595" t="s">
        <v>108</v>
      </c>
      <c r="D57" s="596"/>
      <c r="E57" s="596"/>
      <c r="F57" s="596"/>
      <c r="G57" s="596"/>
      <c r="H57" s="596"/>
      <c r="I57" s="596"/>
      <c r="J57" s="596"/>
      <c r="K57" s="596"/>
      <c r="L57" s="597"/>
      <c r="M57" s="55">
        <f>4700000*1.02^6</f>
        <v>5292963.3705408005</v>
      </c>
    </row>
    <row r="58" spans="2:14" x14ac:dyDescent="0.2">
      <c r="B58" s="15"/>
      <c r="C58" s="595"/>
      <c r="D58" s="596"/>
      <c r="E58" s="596"/>
      <c r="F58" s="596"/>
      <c r="G58" s="596"/>
      <c r="H58" s="596"/>
      <c r="I58" s="596"/>
      <c r="J58" s="596"/>
      <c r="K58" s="596"/>
      <c r="L58" s="597"/>
      <c r="M58" s="55"/>
    </row>
    <row r="59" spans="2:14" ht="15.75" x14ac:dyDescent="0.25">
      <c r="B59" s="7" t="s">
        <v>9</v>
      </c>
      <c r="C59" s="616" t="s">
        <v>237</v>
      </c>
      <c r="D59" s="617"/>
      <c r="E59" s="617"/>
      <c r="F59" s="617"/>
      <c r="G59" s="617"/>
      <c r="H59" s="617"/>
      <c r="I59" s="617"/>
      <c r="J59" s="617"/>
      <c r="K59" s="617"/>
      <c r="L59" s="618"/>
      <c r="M59" s="17">
        <v>0.03</v>
      </c>
    </row>
    <row r="60" spans="2:14" ht="14.25" customHeight="1" x14ac:dyDescent="0.2">
      <c r="B60" s="15" t="s">
        <v>4</v>
      </c>
      <c r="C60" s="598" t="s">
        <v>322</v>
      </c>
      <c r="D60" s="599"/>
      <c r="E60" s="599"/>
      <c r="F60" s="599"/>
      <c r="G60" s="599"/>
      <c r="H60" s="599"/>
      <c r="I60" s="599"/>
      <c r="J60" s="599"/>
      <c r="K60" s="599"/>
      <c r="L60" s="599"/>
      <c r="M60" s="55">
        <f>'ALL-Opex Baseline'!$AA$10*(1+$M59)</f>
        <v>60637.37720000001</v>
      </c>
    </row>
    <row r="61" spans="2:14" ht="14.25" customHeight="1" x14ac:dyDescent="0.2">
      <c r="B61" s="15" t="s">
        <v>4</v>
      </c>
      <c r="C61" s="598" t="s">
        <v>323</v>
      </c>
      <c r="D61" s="599"/>
      <c r="E61" s="599"/>
      <c r="F61" s="599"/>
      <c r="G61" s="599"/>
      <c r="H61" s="599"/>
      <c r="I61" s="599"/>
      <c r="J61" s="599"/>
      <c r="K61" s="599"/>
      <c r="L61" s="599"/>
      <c r="M61" s="55">
        <f>'ALL-Opex Baseline'!$N$14*(1+$M59)</f>
        <v>123121.6989</v>
      </c>
    </row>
    <row r="62" spans="2:14" ht="14.25" customHeight="1" x14ac:dyDescent="0.2">
      <c r="B62" s="15" t="s">
        <v>4</v>
      </c>
      <c r="C62" s="598" t="s">
        <v>324</v>
      </c>
      <c r="D62" s="599"/>
      <c r="E62" s="599"/>
      <c r="F62" s="599"/>
      <c r="G62" s="599"/>
      <c r="H62" s="599"/>
      <c r="I62" s="599"/>
      <c r="J62" s="599"/>
      <c r="K62" s="599"/>
      <c r="L62" s="599"/>
      <c r="M62" s="55">
        <f>'ALL-Opex Baseline'!$AA$21*(1+$M59)</f>
        <v>260661.2245000001</v>
      </c>
    </row>
    <row r="63" spans="2:14" ht="14.25" customHeight="1" x14ac:dyDescent="0.2">
      <c r="B63" s="15" t="s">
        <v>4</v>
      </c>
      <c r="C63" s="598" t="s">
        <v>325</v>
      </c>
      <c r="D63" s="599"/>
      <c r="E63" s="599"/>
      <c r="F63" s="599"/>
      <c r="G63" s="599"/>
      <c r="H63" s="599"/>
      <c r="I63" s="599"/>
      <c r="J63" s="599"/>
      <c r="K63" s="599"/>
      <c r="L63" s="599"/>
      <c r="M63" s="55">
        <f>'ALL-Opex Baseline'!$N$32*(1+$M59)</f>
        <v>580910.69848962966</v>
      </c>
    </row>
    <row r="64" spans="2:14" ht="14.25" customHeight="1" x14ac:dyDescent="0.2">
      <c r="B64" s="15" t="s">
        <v>4</v>
      </c>
      <c r="C64" s="598" t="s">
        <v>326</v>
      </c>
      <c r="D64" s="599"/>
      <c r="E64" s="599"/>
      <c r="F64" s="599"/>
      <c r="G64" s="599"/>
      <c r="H64" s="599"/>
      <c r="I64" s="599"/>
      <c r="J64" s="599"/>
      <c r="K64" s="599"/>
      <c r="L64" s="599"/>
      <c r="M64" s="55">
        <f>'ALL-Opex Baseline'!$AA$39*(1+$M59)</f>
        <v>289559.37315000006</v>
      </c>
    </row>
    <row r="65" spans="1:14" ht="14.25" customHeight="1" x14ac:dyDescent="0.2">
      <c r="B65" s="15" t="s">
        <v>4</v>
      </c>
      <c r="C65" s="598" t="s">
        <v>327</v>
      </c>
      <c r="D65" s="599"/>
      <c r="E65" s="599"/>
      <c r="F65" s="599"/>
      <c r="G65" s="599"/>
      <c r="H65" s="599"/>
      <c r="I65" s="599"/>
      <c r="J65" s="599"/>
      <c r="K65" s="599"/>
      <c r="L65" s="599"/>
      <c r="M65" s="55">
        <f>'ALL-Opex Baseline'!$N$49*(1+$M59)</f>
        <v>598014.84670376685</v>
      </c>
    </row>
    <row r="66" spans="1:14" ht="14.25" customHeight="1" x14ac:dyDescent="0.2">
      <c r="B66" s="15" t="s">
        <v>4</v>
      </c>
      <c r="C66" s="598" t="s">
        <v>290</v>
      </c>
      <c r="D66" s="599"/>
      <c r="E66" s="599"/>
      <c r="F66" s="599"/>
      <c r="G66" s="599"/>
      <c r="H66" s="599"/>
      <c r="I66" s="599"/>
      <c r="J66" s="599"/>
      <c r="K66" s="599"/>
      <c r="L66" s="599"/>
      <c r="M66" s="55">
        <f>318872*(1+0.04)</f>
        <v>331626.88</v>
      </c>
    </row>
    <row r="67" spans="1:14" ht="27.75" customHeight="1" x14ac:dyDescent="0.2">
      <c r="B67" s="15" t="s">
        <v>4</v>
      </c>
      <c r="C67" s="598" t="s">
        <v>570</v>
      </c>
      <c r="D67" s="599"/>
      <c r="E67" s="599"/>
      <c r="F67" s="599"/>
      <c r="G67" s="599"/>
      <c r="H67" s="599"/>
      <c r="I67" s="599"/>
      <c r="J67" s="599"/>
      <c r="K67" s="599"/>
      <c r="L67" s="599"/>
      <c r="M67" s="55">
        <f>'ALL-Opex Baseline'!$W$10*(1+M59)</f>
        <v>44476.475803787871</v>
      </c>
      <c r="N67" s="16" t="s">
        <v>182</v>
      </c>
    </row>
    <row r="68" spans="1:14" ht="27.75" customHeight="1" x14ac:dyDescent="0.2">
      <c r="B68" s="15" t="s">
        <v>4</v>
      </c>
      <c r="C68" s="598" t="s">
        <v>571</v>
      </c>
      <c r="D68" s="599"/>
      <c r="E68" s="599"/>
      <c r="F68" s="599"/>
      <c r="G68" s="599"/>
      <c r="H68" s="599"/>
      <c r="I68" s="599"/>
      <c r="J68" s="599"/>
      <c r="K68" s="599"/>
      <c r="L68" s="599"/>
      <c r="M68" s="55">
        <f>'ALL-Opex Baseline'!$J$14*(1+M59)</f>
        <v>98977.470616666673</v>
      </c>
      <c r="N68" s="16" t="s">
        <v>182</v>
      </c>
    </row>
    <row r="69" spans="1:14" ht="27" customHeight="1" x14ac:dyDescent="0.2">
      <c r="B69" s="15" t="s">
        <v>4</v>
      </c>
      <c r="C69" s="598" t="s">
        <v>572</v>
      </c>
      <c r="D69" s="599"/>
      <c r="E69" s="599"/>
      <c r="F69" s="599"/>
      <c r="G69" s="599"/>
      <c r="H69" s="599"/>
      <c r="I69" s="599"/>
      <c r="J69" s="599"/>
      <c r="K69" s="599"/>
      <c r="L69" s="599"/>
      <c r="M69" s="55">
        <f>'ALL-Opex Baseline'!$W$21*(1+M59)</f>
        <v>98989.736200000101</v>
      </c>
      <c r="N69" s="16" t="s">
        <v>182</v>
      </c>
    </row>
    <row r="70" spans="1:14" ht="53.25" customHeight="1" x14ac:dyDescent="0.2">
      <c r="B70" s="15" t="s">
        <v>4</v>
      </c>
      <c r="C70" s="598" t="s">
        <v>573</v>
      </c>
      <c r="D70" s="599"/>
      <c r="E70" s="599"/>
      <c r="F70" s="599"/>
      <c r="G70" s="599"/>
      <c r="H70" s="599"/>
      <c r="I70" s="599"/>
      <c r="J70" s="599"/>
      <c r="K70" s="599"/>
      <c r="L70" s="599"/>
      <c r="M70" s="55">
        <f>'ALL-Opex Baseline'!$J$32*(1+M59)</f>
        <v>444485.94879199541</v>
      </c>
      <c r="N70" s="16" t="s">
        <v>182</v>
      </c>
    </row>
    <row r="71" spans="1:14" ht="27" customHeight="1" x14ac:dyDescent="0.2">
      <c r="B71" s="15" t="s">
        <v>4</v>
      </c>
      <c r="C71" s="598" t="s">
        <v>574</v>
      </c>
      <c r="D71" s="599"/>
      <c r="E71" s="599"/>
      <c r="F71" s="599"/>
      <c r="G71" s="599"/>
      <c r="H71" s="599"/>
      <c r="I71" s="599"/>
      <c r="J71" s="599"/>
      <c r="K71" s="599"/>
      <c r="L71" s="599"/>
      <c r="M71" s="55">
        <f>'ALL-Opex Baseline'!$W$39*(1+M59)</f>
        <v>42514.459986348142</v>
      </c>
      <c r="N71" s="16" t="s">
        <v>182</v>
      </c>
    </row>
    <row r="72" spans="1:14" ht="55.5" customHeight="1" x14ac:dyDescent="0.2">
      <c r="B72" s="15" t="s">
        <v>4</v>
      </c>
      <c r="C72" s="598" t="s">
        <v>575</v>
      </c>
      <c r="D72" s="599"/>
      <c r="E72" s="599"/>
      <c r="F72" s="599"/>
      <c r="G72" s="599"/>
      <c r="H72" s="599"/>
      <c r="I72" s="599"/>
      <c r="J72" s="599"/>
      <c r="K72" s="599"/>
      <c r="L72" s="599"/>
      <c r="M72" s="55">
        <f>'ALL-Opex Baseline'!$J$49*(1+M59)</f>
        <v>237454.56219057977</v>
      </c>
      <c r="N72" s="16" t="s">
        <v>182</v>
      </c>
    </row>
    <row r="73" spans="1:14" ht="51.75" customHeight="1" x14ac:dyDescent="0.2">
      <c r="B73" s="15" t="s">
        <v>4</v>
      </c>
      <c r="C73" s="603" t="s">
        <v>288</v>
      </c>
      <c r="D73" s="615"/>
      <c r="E73" s="615"/>
      <c r="F73" s="615"/>
      <c r="G73" s="615"/>
      <c r="H73" s="615"/>
      <c r="I73" s="615"/>
      <c r="J73" s="615"/>
      <c r="K73" s="615"/>
      <c r="L73" s="615"/>
      <c r="M73" s="55">
        <v>182000</v>
      </c>
    </row>
    <row r="74" spans="1:14" ht="14.25" customHeight="1" x14ac:dyDescent="0.2">
      <c r="B74" s="15" t="s">
        <v>4</v>
      </c>
      <c r="C74" s="603" t="s">
        <v>564</v>
      </c>
      <c r="D74" s="599"/>
      <c r="E74" s="599"/>
      <c r="F74" s="599"/>
      <c r="G74" s="599"/>
      <c r="H74" s="599"/>
      <c r="I74" s="599"/>
      <c r="J74" s="599"/>
      <c r="K74" s="599"/>
      <c r="L74" s="599"/>
      <c r="M74" s="55">
        <v>0</v>
      </c>
    </row>
    <row r="75" spans="1:14" ht="14.25" customHeight="1" x14ac:dyDescent="0.2">
      <c r="B75" s="15"/>
      <c r="C75" s="614"/>
      <c r="D75" s="615"/>
      <c r="E75" s="615"/>
      <c r="F75" s="615"/>
      <c r="G75" s="615"/>
      <c r="H75" s="615"/>
      <c r="I75" s="615"/>
      <c r="J75" s="615"/>
      <c r="K75" s="615"/>
      <c r="L75" s="615"/>
      <c r="M75" s="55"/>
    </row>
    <row r="76" spans="1:14" x14ac:dyDescent="0.2">
      <c r="C76" s="314"/>
      <c r="D76" s="314"/>
      <c r="E76" s="314"/>
      <c r="F76" s="314"/>
      <c r="G76" s="314"/>
      <c r="H76" s="314"/>
      <c r="I76" s="314"/>
      <c r="J76" s="314"/>
      <c r="K76" s="314"/>
      <c r="L76" s="314"/>
    </row>
    <row r="77" spans="1:14" x14ac:dyDescent="0.2">
      <c r="C77" s="314"/>
      <c r="D77" s="314"/>
      <c r="E77" s="314"/>
      <c r="F77" s="314"/>
      <c r="G77" s="314"/>
      <c r="H77" s="314"/>
      <c r="I77" s="314"/>
      <c r="J77" s="314"/>
      <c r="K77" s="314"/>
      <c r="L77" s="314"/>
    </row>
    <row r="78" spans="1:14" ht="15.75" x14ac:dyDescent="0.25">
      <c r="A78" s="2" t="s">
        <v>598</v>
      </c>
      <c r="C78" s="314"/>
      <c r="D78" s="314"/>
      <c r="E78" s="314"/>
      <c r="F78" s="314"/>
      <c r="G78" s="314"/>
      <c r="H78" s="314"/>
      <c r="I78" s="314"/>
      <c r="J78" s="314"/>
      <c r="K78" s="314"/>
      <c r="L78" s="314"/>
    </row>
    <row r="79" spans="1:14" x14ac:dyDescent="0.2">
      <c r="C79" s="314"/>
      <c r="D79" s="314"/>
      <c r="E79" s="314"/>
      <c r="F79" s="314"/>
      <c r="G79" s="314"/>
      <c r="H79" s="314"/>
      <c r="I79" s="314"/>
      <c r="J79" s="314"/>
      <c r="K79" s="314"/>
      <c r="L79" s="314"/>
    </row>
    <row r="80" spans="1:14" ht="15.75" x14ac:dyDescent="0.2">
      <c r="B80" s="8" t="s">
        <v>1</v>
      </c>
      <c r="C80" s="613" t="s">
        <v>271</v>
      </c>
      <c r="D80" s="613"/>
      <c r="E80" s="613"/>
      <c r="F80" s="613"/>
      <c r="G80" s="613"/>
      <c r="H80" s="613"/>
      <c r="I80" s="613"/>
      <c r="J80" s="613"/>
      <c r="K80" s="613"/>
      <c r="L80" s="613"/>
    </row>
    <row r="81" spans="2:13" ht="52.5" customHeight="1" x14ac:dyDescent="0.2">
      <c r="B81" s="15" t="s">
        <v>2</v>
      </c>
      <c r="C81" s="596" t="s">
        <v>274</v>
      </c>
      <c r="D81" s="596"/>
      <c r="E81" s="596"/>
      <c r="F81" s="596"/>
      <c r="G81" s="596"/>
      <c r="H81" s="596"/>
      <c r="I81" s="596"/>
      <c r="J81" s="596"/>
      <c r="K81" s="596"/>
      <c r="L81" s="597"/>
    </row>
    <row r="82" spans="2:13" ht="15.75" x14ac:dyDescent="0.25">
      <c r="B82" s="3"/>
      <c r="C82" s="313"/>
      <c r="D82" s="313"/>
      <c r="E82" s="313"/>
      <c r="F82" s="313"/>
      <c r="G82" s="313"/>
      <c r="H82" s="313"/>
      <c r="I82" s="313"/>
      <c r="J82" s="313"/>
      <c r="K82" s="313"/>
      <c r="L82" s="313"/>
    </row>
    <row r="83" spans="2:13" ht="15.75" x14ac:dyDescent="0.25">
      <c r="B83" s="7" t="s">
        <v>3</v>
      </c>
      <c r="C83" s="313"/>
      <c r="D83" s="313"/>
      <c r="E83" s="313"/>
      <c r="F83" s="313"/>
      <c r="G83" s="313"/>
      <c r="H83" s="313"/>
      <c r="I83" s="313"/>
      <c r="J83" s="313"/>
      <c r="K83" s="313"/>
      <c r="L83" s="313"/>
    </row>
    <row r="84" spans="2:13" ht="14.25" customHeight="1" x14ac:dyDescent="0.2">
      <c r="B84" s="15" t="s">
        <v>4</v>
      </c>
      <c r="C84" s="595" t="s">
        <v>14</v>
      </c>
      <c r="D84" s="604"/>
      <c r="E84" s="604"/>
      <c r="F84" s="604"/>
      <c r="G84" s="604"/>
      <c r="H84" s="604"/>
      <c r="I84" s="604"/>
      <c r="J84" s="604"/>
      <c r="K84" s="604"/>
      <c r="L84" s="605"/>
      <c r="M84" s="13" t="s">
        <v>13</v>
      </c>
    </row>
    <row r="85" spans="2:13" ht="14.25" customHeight="1" x14ac:dyDescent="0.2">
      <c r="B85" s="15" t="s">
        <v>4</v>
      </c>
      <c r="C85" s="595" t="s">
        <v>15</v>
      </c>
      <c r="D85" s="604"/>
      <c r="E85" s="604"/>
      <c r="F85" s="604"/>
      <c r="G85" s="604"/>
      <c r="H85" s="604"/>
      <c r="I85" s="604"/>
      <c r="J85" s="604"/>
      <c r="K85" s="604"/>
      <c r="L85" s="605"/>
      <c r="M85" s="13" t="s">
        <v>13</v>
      </c>
    </row>
    <row r="86" spans="2:13" ht="14.25" customHeight="1" x14ac:dyDescent="0.2">
      <c r="B86" s="15" t="s">
        <v>4</v>
      </c>
      <c r="C86" s="595" t="s">
        <v>20</v>
      </c>
      <c r="D86" s="604"/>
      <c r="E86" s="604"/>
      <c r="F86" s="604"/>
      <c r="G86" s="604"/>
      <c r="H86" s="604"/>
      <c r="I86" s="604"/>
      <c r="J86" s="604"/>
      <c r="K86" s="604"/>
      <c r="L86" s="605"/>
      <c r="M86" s="13" t="s">
        <v>13</v>
      </c>
    </row>
    <row r="87" spans="2:13" ht="14.25" customHeight="1" x14ac:dyDescent="0.2">
      <c r="B87" s="15" t="s">
        <v>4</v>
      </c>
      <c r="C87" s="595" t="s">
        <v>275</v>
      </c>
      <c r="D87" s="604"/>
      <c r="E87" s="604"/>
      <c r="F87" s="604"/>
      <c r="G87" s="604"/>
      <c r="H87" s="604"/>
      <c r="I87" s="604"/>
      <c r="J87" s="604"/>
      <c r="K87" s="604"/>
      <c r="L87" s="605"/>
      <c r="M87" s="13" t="s">
        <v>13</v>
      </c>
    </row>
    <row r="88" spans="2:13" ht="14.25" customHeight="1" x14ac:dyDescent="0.2">
      <c r="B88" s="15" t="s">
        <v>4</v>
      </c>
      <c r="C88" s="595" t="s">
        <v>16</v>
      </c>
      <c r="D88" s="604"/>
      <c r="E88" s="604"/>
      <c r="F88" s="604"/>
      <c r="G88" s="604"/>
      <c r="H88" s="604"/>
      <c r="I88" s="604"/>
      <c r="J88" s="604"/>
      <c r="K88" s="604"/>
      <c r="L88" s="605"/>
      <c r="M88" s="13" t="s">
        <v>13</v>
      </c>
    </row>
    <row r="89" spans="2:13" ht="14.25" customHeight="1" x14ac:dyDescent="0.2">
      <c r="B89" s="15" t="s">
        <v>4</v>
      </c>
      <c r="C89" s="595" t="s">
        <v>276</v>
      </c>
      <c r="D89" s="604"/>
      <c r="E89" s="604"/>
      <c r="F89" s="604"/>
      <c r="G89" s="604"/>
      <c r="H89" s="604"/>
      <c r="I89" s="604"/>
      <c r="J89" s="604"/>
      <c r="K89" s="604"/>
      <c r="L89" s="605"/>
      <c r="M89" s="13" t="s">
        <v>13</v>
      </c>
    </row>
    <row r="90" spans="2:13" ht="14.25" customHeight="1" x14ac:dyDescent="0.2">
      <c r="B90" s="15" t="s">
        <v>4</v>
      </c>
      <c r="C90" s="595" t="s">
        <v>204</v>
      </c>
      <c r="D90" s="604"/>
      <c r="E90" s="604"/>
      <c r="F90" s="604"/>
      <c r="G90" s="604"/>
      <c r="H90" s="604"/>
      <c r="I90" s="604"/>
      <c r="J90" s="604"/>
      <c r="K90" s="604"/>
      <c r="L90" s="605"/>
      <c r="M90" s="13" t="s">
        <v>13</v>
      </c>
    </row>
    <row r="91" spans="2:13" ht="14.25" customHeight="1" x14ac:dyDescent="0.2">
      <c r="B91" s="15" t="s">
        <v>4</v>
      </c>
      <c r="C91" s="595" t="s">
        <v>17</v>
      </c>
      <c r="D91" s="604"/>
      <c r="E91" s="604"/>
      <c r="F91" s="604"/>
      <c r="G91" s="604"/>
      <c r="H91" s="604"/>
      <c r="I91" s="604"/>
      <c r="J91" s="604"/>
      <c r="K91" s="604"/>
      <c r="L91" s="605"/>
      <c r="M91" s="13" t="s">
        <v>13</v>
      </c>
    </row>
    <row r="92" spans="2:13" ht="26.25" customHeight="1" x14ac:dyDescent="0.2">
      <c r="B92" s="15" t="s">
        <v>4</v>
      </c>
      <c r="C92" s="595" t="s">
        <v>207</v>
      </c>
      <c r="D92" s="604"/>
      <c r="E92" s="604"/>
      <c r="F92" s="604"/>
      <c r="G92" s="604"/>
      <c r="H92" s="604"/>
      <c r="I92" s="604"/>
      <c r="J92" s="604"/>
      <c r="K92" s="604"/>
      <c r="L92" s="605"/>
      <c r="M92" s="13" t="s">
        <v>13</v>
      </c>
    </row>
    <row r="93" spans="2:13" ht="14.25" customHeight="1" x14ac:dyDescent="0.2">
      <c r="B93" s="15" t="s">
        <v>4</v>
      </c>
      <c r="C93" s="595" t="s">
        <v>205</v>
      </c>
      <c r="D93" s="604"/>
      <c r="E93" s="604"/>
      <c r="F93" s="604"/>
      <c r="G93" s="604"/>
      <c r="H93" s="604"/>
      <c r="I93" s="604"/>
      <c r="J93" s="604"/>
      <c r="K93" s="604"/>
      <c r="L93" s="605"/>
      <c r="M93" s="13" t="s">
        <v>13</v>
      </c>
    </row>
    <row r="94" spans="2:13" ht="14.25" customHeight="1" x14ac:dyDescent="0.2">
      <c r="B94" s="15" t="s">
        <v>4</v>
      </c>
      <c r="C94" s="595" t="s">
        <v>206</v>
      </c>
      <c r="D94" s="604"/>
      <c r="E94" s="604"/>
      <c r="F94" s="604"/>
      <c r="G94" s="604"/>
      <c r="H94" s="604"/>
      <c r="I94" s="604"/>
      <c r="J94" s="604"/>
      <c r="K94" s="604"/>
      <c r="L94" s="605"/>
      <c r="M94" s="13"/>
    </row>
    <row r="95" spans="2:13" ht="14.25" customHeight="1" x14ac:dyDescent="0.2">
      <c r="B95" s="15" t="s">
        <v>4</v>
      </c>
      <c r="C95" s="595" t="s">
        <v>277</v>
      </c>
      <c r="D95" s="604"/>
      <c r="E95" s="604"/>
      <c r="F95" s="604"/>
      <c r="G95" s="604"/>
      <c r="H95" s="604"/>
      <c r="I95" s="604"/>
      <c r="J95" s="604"/>
      <c r="K95" s="604"/>
      <c r="L95" s="605"/>
      <c r="M95" s="13" t="s">
        <v>13</v>
      </c>
    </row>
    <row r="96" spans="2:13" ht="14.25" customHeight="1" x14ac:dyDescent="0.2">
      <c r="B96" s="15" t="s">
        <v>4</v>
      </c>
      <c r="C96" s="595" t="s">
        <v>18</v>
      </c>
      <c r="D96" s="604"/>
      <c r="E96" s="604"/>
      <c r="F96" s="604"/>
      <c r="G96" s="604"/>
      <c r="H96" s="604"/>
      <c r="I96" s="604"/>
      <c r="J96" s="604"/>
      <c r="K96" s="604"/>
      <c r="L96" s="605"/>
      <c r="M96" s="13" t="s">
        <v>13</v>
      </c>
    </row>
    <row r="97" spans="2:14" ht="14.25" customHeight="1" x14ac:dyDescent="0.2">
      <c r="B97" s="15" t="s">
        <v>4</v>
      </c>
      <c r="C97" s="595" t="s">
        <v>19</v>
      </c>
      <c r="D97" s="604"/>
      <c r="E97" s="604"/>
      <c r="F97" s="604"/>
      <c r="G97" s="604"/>
      <c r="H97" s="604"/>
      <c r="I97" s="604"/>
      <c r="J97" s="604"/>
      <c r="K97" s="604"/>
      <c r="L97" s="605"/>
      <c r="M97" s="13" t="s">
        <v>13</v>
      </c>
    </row>
    <row r="98" spans="2:14" ht="28.5" customHeight="1" x14ac:dyDescent="0.2">
      <c r="B98" s="15" t="s">
        <v>4</v>
      </c>
      <c r="C98" s="595" t="s">
        <v>238</v>
      </c>
      <c r="D98" s="604"/>
      <c r="E98" s="604"/>
      <c r="F98" s="604"/>
      <c r="G98" s="604"/>
      <c r="H98" s="604"/>
      <c r="I98" s="604"/>
      <c r="J98" s="604"/>
      <c r="K98" s="604"/>
      <c r="L98" s="605"/>
      <c r="M98" s="13" t="s">
        <v>13</v>
      </c>
    </row>
    <row r="99" spans="2:14" ht="28.5" customHeight="1" x14ac:dyDescent="0.2">
      <c r="B99" s="15" t="s">
        <v>4</v>
      </c>
      <c r="C99" s="595" t="s">
        <v>239</v>
      </c>
      <c r="D99" s="604"/>
      <c r="E99" s="604"/>
      <c r="F99" s="604"/>
      <c r="G99" s="604"/>
      <c r="H99" s="604"/>
      <c r="I99" s="604"/>
      <c r="J99" s="604"/>
      <c r="K99" s="604"/>
      <c r="L99" s="605"/>
      <c r="M99" s="13" t="s">
        <v>13</v>
      </c>
      <c r="N99" s="244" t="s">
        <v>240</v>
      </c>
    </row>
    <row r="100" spans="2:14" x14ac:dyDescent="0.2">
      <c r="B100" s="15"/>
      <c r="C100" s="595"/>
      <c r="D100" s="604"/>
      <c r="E100" s="604"/>
      <c r="F100" s="604"/>
      <c r="G100" s="604"/>
      <c r="H100" s="604"/>
      <c r="I100" s="604"/>
      <c r="J100" s="604"/>
      <c r="K100" s="604"/>
      <c r="L100" s="605"/>
      <c r="M100" s="13"/>
    </row>
    <row r="101" spans="2:14" ht="15.75" x14ac:dyDescent="0.25">
      <c r="B101" s="7" t="s">
        <v>5</v>
      </c>
      <c r="C101" s="11"/>
      <c r="D101" s="11"/>
      <c r="E101" s="11"/>
      <c r="F101" s="11"/>
      <c r="G101" s="11"/>
      <c r="H101" s="11"/>
      <c r="I101" s="11"/>
      <c r="J101" s="11"/>
      <c r="K101" s="11"/>
      <c r="L101" s="11"/>
    </row>
    <row r="102" spans="2:14" ht="14.25" customHeight="1" x14ac:dyDescent="0.2">
      <c r="B102" s="15" t="s">
        <v>4</v>
      </c>
      <c r="C102" s="595" t="s">
        <v>215</v>
      </c>
      <c r="D102" s="604"/>
      <c r="E102" s="604"/>
      <c r="F102" s="604"/>
      <c r="G102" s="604"/>
      <c r="H102" s="604"/>
      <c r="I102" s="604"/>
      <c r="J102" s="604"/>
      <c r="K102" s="604"/>
      <c r="L102" s="605"/>
      <c r="M102" s="13" t="s">
        <v>21</v>
      </c>
      <c r="N102" s="16" t="s">
        <v>26</v>
      </c>
    </row>
    <row r="103" spans="2:14" ht="15.75" customHeight="1" x14ac:dyDescent="0.2">
      <c r="B103" s="15" t="s">
        <v>4</v>
      </c>
      <c r="C103" s="595" t="s">
        <v>480</v>
      </c>
      <c r="D103" s="604"/>
      <c r="E103" s="604"/>
      <c r="F103" s="604"/>
      <c r="G103" s="604"/>
      <c r="H103" s="604"/>
      <c r="I103" s="604"/>
      <c r="J103" s="604"/>
      <c r="K103" s="604"/>
      <c r="L103" s="605"/>
      <c r="M103" s="13" t="s">
        <v>21</v>
      </c>
      <c r="N103" s="243" t="s">
        <v>104</v>
      </c>
    </row>
    <row r="104" spans="2:14" ht="14.25" customHeight="1" x14ac:dyDescent="0.2">
      <c r="B104" s="15" t="s">
        <v>4</v>
      </c>
      <c r="C104" s="595" t="s">
        <v>278</v>
      </c>
      <c r="D104" s="604"/>
      <c r="E104" s="604"/>
      <c r="F104" s="604"/>
      <c r="G104" s="604"/>
      <c r="H104" s="604"/>
      <c r="I104" s="604"/>
      <c r="J104" s="604"/>
      <c r="K104" s="604"/>
      <c r="L104" s="605"/>
      <c r="M104" s="13" t="s">
        <v>22</v>
      </c>
    </row>
    <row r="105" spans="2:14" ht="14.25" customHeight="1" x14ac:dyDescent="0.2">
      <c r="B105" s="15" t="s">
        <v>4</v>
      </c>
      <c r="C105" s="595" t="s">
        <v>279</v>
      </c>
      <c r="D105" s="604"/>
      <c r="E105" s="604"/>
      <c r="F105" s="604"/>
      <c r="G105" s="604"/>
      <c r="H105" s="604"/>
      <c r="I105" s="604"/>
      <c r="J105" s="604"/>
      <c r="K105" s="604"/>
      <c r="L105" s="605"/>
      <c r="M105" s="13" t="s">
        <v>23</v>
      </c>
    </row>
    <row r="106" spans="2:14" ht="14.25" customHeight="1" x14ac:dyDescent="0.2">
      <c r="B106" s="15" t="s">
        <v>4</v>
      </c>
      <c r="C106" s="595" t="s">
        <v>218</v>
      </c>
      <c r="D106" s="604"/>
      <c r="E106" s="604"/>
      <c r="F106" s="604"/>
      <c r="G106" s="604"/>
      <c r="H106" s="604"/>
      <c r="I106" s="604"/>
      <c r="J106" s="604"/>
      <c r="K106" s="604"/>
      <c r="L106" s="605"/>
      <c r="M106" s="13" t="s">
        <v>23</v>
      </c>
    </row>
    <row r="107" spans="2:14" ht="14.25" customHeight="1" x14ac:dyDescent="0.2">
      <c r="B107" s="15" t="s">
        <v>4</v>
      </c>
      <c r="C107" s="595" t="s">
        <v>280</v>
      </c>
      <c r="D107" s="604"/>
      <c r="E107" s="604"/>
      <c r="F107" s="604"/>
      <c r="G107" s="604"/>
      <c r="H107" s="604"/>
      <c r="I107" s="604"/>
      <c r="J107" s="604"/>
      <c r="K107" s="604"/>
      <c r="L107" s="605"/>
      <c r="M107" s="13" t="s">
        <v>23</v>
      </c>
    </row>
    <row r="108" spans="2:14" ht="14.25" customHeight="1" x14ac:dyDescent="0.2">
      <c r="B108" s="15" t="s">
        <v>4</v>
      </c>
      <c r="C108" s="595" t="s">
        <v>281</v>
      </c>
      <c r="D108" s="604"/>
      <c r="E108" s="604"/>
      <c r="F108" s="604"/>
      <c r="G108" s="604"/>
      <c r="H108" s="604"/>
      <c r="I108" s="604"/>
      <c r="J108" s="604"/>
      <c r="K108" s="604"/>
      <c r="L108" s="605"/>
      <c r="M108" s="13" t="s">
        <v>24</v>
      </c>
    </row>
    <row r="109" spans="2:14" ht="14.25" customHeight="1" x14ac:dyDescent="0.2">
      <c r="B109" s="15" t="s">
        <v>4</v>
      </c>
      <c r="C109" s="595" t="s">
        <v>222</v>
      </c>
      <c r="D109" s="604"/>
      <c r="E109" s="604"/>
      <c r="F109" s="604"/>
      <c r="G109" s="604"/>
      <c r="H109" s="604"/>
      <c r="I109" s="604"/>
      <c r="J109" s="604"/>
      <c r="K109" s="604"/>
      <c r="L109" s="605"/>
      <c r="M109" s="13" t="s">
        <v>22</v>
      </c>
    </row>
    <row r="110" spans="2:14" ht="14.25" customHeight="1" x14ac:dyDescent="0.2">
      <c r="B110" s="15" t="s">
        <v>4</v>
      </c>
      <c r="C110" s="595" t="s">
        <v>282</v>
      </c>
      <c r="D110" s="604"/>
      <c r="E110" s="604"/>
      <c r="F110" s="604"/>
      <c r="G110" s="604"/>
      <c r="H110" s="604"/>
      <c r="I110" s="604"/>
      <c r="J110" s="604"/>
      <c r="K110" s="604"/>
      <c r="L110" s="605"/>
      <c r="M110" s="13" t="s">
        <v>23</v>
      </c>
    </row>
    <row r="111" spans="2:14" ht="14.25" customHeight="1" x14ac:dyDescent="0.2">
      <c r="B111" s="15" t="s">
        <v>4</v>
      </c>
      <c r="C111" s="595" t="s">
        <v>283</v>
      </c>
      <c r="D111" s="604"/>
      <c r="E111" s="604"/>
      <c r="F111" s="604"/>
      <c r="G111" s="604"/>
      <c r="H111" s="604"/>
      <c r="I111" s="604"/>
      <c r="J111" s="604"/>
      <c r="K111" s="604"/>
      <c r="L111" s="605"/>
      <c r="M111" s="13" t="s">
        <v>24</v>
      </c>
    </row>
    <row r="112" spans="2:14" ht="14.25" customHeight="1" x14ac:dyDescent="0.2">
      <c r="B112" s="15" t="s">
        <v>4</v>
      </c>
      <c r="C112" s="595" t="s">
        <v>284</v>
      </c>
      <c r="D112" s="604"/>
      <c r="E112" s="604"/>
      <c r="F112" s="604"/>
      <c r="G112" s="604"/>
      <c r="H112" s="604"/>
      <c r="I112" s="604"/>
      <c r="J112" s="604"/>
      <c r="K112" s="604"/>
      <c r="L112" s="605"/>
      <c r="M112" s="13" t="s">
        <v>24</v>
      </c>
    </row>
    <row r="113" spans="2:14" ht="14.25" customHeight="1" x14ac:dyDescent="0.2">
      <c r="B113" s="15" t="s">
        <v>4</v>
      </c>
      <c r="C113" s="595" t="s">
        <v>107</v>
      </c>
      <c r="D113" s="604"/>
      <c r="E113" s="604"/>
      <c r="F113" s="604"/>
      <c r="G113" s="604"/>
      <c r="H113" s="604"/>
      <c r="I113" s="604"/>
      <c r="J113" s="604"/>
      <c r="K113" s="604"/>
      <c r="L113" s="605"/>
      <c r="M113" s="13" t="s">
        <v>109</v>
      </c>
    </row>
    <row r="114" spans="2:14" ht="14.25" customHeight="1" x14ac:dyDescent="0.2">
      <c r="B114" s="15" t="s">
        <v>4</v>
      </c>
      <c r="C114" s="595" t="s">
        <v>226</v>
      </c>
      <c r="D114" s="604"/>
      <c r="E114" s="604"/>
      <c r="F114" s="604"/>
      <c r="G114" s="604"/>
      <c r="H114" s="604"/>
      <c r="I114" s="604"/>
      <c r="J114" s="604"/>
      <c r="K114" s="604"/>
      <c r="L114" s="605"/>
      <c r="M114" s="13" t="s">
        <v>23</v>
      </c>
    </row>
    <row r="115" spans="2:14" ht="14.25" customHeight="1" x14ac:dyDescent="0.2">
      <c r="B115" s="15" t="s">
        <v>4</v>
      </c>
      <c r="C115" s="595" t="s">
        <v>285</v>
      </c>
      <c r="D115" s="604"/>
      <c r="E115" s="604"/>
      <c r="F115" s="604"/>
      <c r="G115" s="604"/>
      <c r="H115" s="604"/>
      <c r="I115" s="604"/>
      <c r="J115" s="604"/>
      <c r="K115" s="604"/>
      <c r="L115" s="605"/>
      <c r="M115" s="13" t="s">
        <v>23</v>
      </c>
    </row>
    <row r="116" spans="2:14" ht="14.25" customHeight="1" x14ac:dyDescent="0.2">
      <c r="B116" s="15" t="s">
        <v>4</v>
      </c>
      <c r="C116" s="595" t="s">
        <v>286</v>
      </c>
      <c r="D116" s="604"/>
      <c r="E116" s="604"/>
      <c r="F116" s="604"/>
      <c r="G116" s="604"/>
      <c r="H116" s="604"/>
      <c r="I116" s="604"/>
      <c r="J116" s="604"/>
      <c r="K116" s="604"/>
      <c r="L116" s="605"/>
      <c r="M116" s="13" t="s">
        <v>24</v>
      </c>
    </row>
    <row r="117" spans="2:14" ht="14.25" customHeight="1" x14ac:dyDescent="0.2">
      <c r="B117" s="15" t="s">
        <v>4</v>
      </c>
      <c r="C117" s="595" t="s">
        <v>482</v>
      </c>
      <c r="D117" s="604"/>
      <c r="E117" s="604"/>
      <c r="F117" s="604"/>
      <c r="G117" s="604"/>
      <c r="H117" s="604"/>
      <c r="I117" s="604"/>
      <c r="J117" s="604"/>
      <c r="K117" s="604"/>
      <c r="L117" s="605"/>
      <c r="M117" s="13" t="s">
        <v>23</v>
      </c>
    </row>
    <row r="118" spans="2:14" ht="14.25" customHeight="1" x14ac:dyDescent="0.2">
      <c r="B118" s="15" t="s">
        <v>4</v>
      </c>
      <c r="C118" s="595" t="s">
        <v>481</v>
      </c>
      <c r="D118" s="604"/>
      <c r="E118" s="604"/>
      <c r="F118" s="604"/>
      <c r="G118" s="604"/>
      <c r="H118" s="604"/>
      <c r="I118" s="604"/>
      <c r="J118" s="604"/>
      <c r="K118" s="604"/>
      <c r="L118" s="605"/>
      <c r="M118" s="13" t="s">
        <v>23</v>
      </c>
    </row>
    <row r="119" spans="2:14" x14ac:dyDescent="0.2">
      <c r="B119" s="15"/>
      <c r="C119" s="595"/>
      <c r="D119" s="604"/>
      <c r="E119" s="604"/>
      <c r="F119" s="604"/>
      <c r="G119" s="604"/>
      <c r="H119" s="604"/>
      <c r="I119" s="604"/>
      <c r="J119" s="604"/>
      <c r="K119" s="604"/>
      <c r="L119" s="605"/>
      <c r="M119" s="13"/>
    </row>
    <row r="120" spans="2:14" ht="15.75" x14ac:dyDescent="0.25">
      <c r="B120" s="7" t="s">
        <v>7</v>
      </c>
      <c r="C120" s="313"/>
      <c r="D120" s="313"/>
      <c r="E120" s="313"/>
      <c r="F120" s="313"/>
      <c r="G120" s="313"/>
      <c r="H120" s="313"/>
      <c r="I120" s="313"/>
      <c r="J120" s="313"/>
      <c r="K120" s="313"/>
      <c r="L120" s="313"/>
    </row>
    <row r="121" spans="2:14" ht="15.75" x14ac:dyDescent="0.2">
      <c r="B121" s="10" t="s">
        <v>8</v>
      </c>
      <c r="C121" s="607"/>
      <c r="D121" s="596"/>
      <c r="E121" s="596"/>
      <c r="F121" s="596"/>
      <c r="G121" s="596"/>
      <c r="H121" s="596"/>
      <c r="I121" s="596"/>
      <c r="J121" s="596"/>
      <c r="K121" s="596"/>
      <c r="L121" s="597"/>
      <c r="M121" s="13"/>
    </row>
    <row r="122" spans="2:14" x14ac:dyDescent="0.2">
      <c r="B122" s="15" t="s">
        <v>4</v>
      </c>
      <c r="C122" s="597" t="s">
        <v>241</v>
      </c>
      <c r="D122" s="600"/>
      <c r="E122" s="600"/>
      <c r="F122" s="600"/>
      <c r="G122" s="600"/>
      <c r="H122" s="600"/>
      <c r="I122" s="600"/>
      <c r="J122" s="600"/>
      <c r="K122" s="600"/>
      <c r="L122" s="600"/>
      <c r="M122" s="13" t="s">
        <v>13</v>
      </c>
      <c r="N122" s="16"/>
    </row>
    <row r="123" spans="2:14" ht="27.75" customHeight="1" x14ac:dyDescent="0.2">
      <c r="B123" s="15" t="s">
        <v>4</v>
      </c>
      <c r="C123" s="608" t="s">
        <v>25</v>
      </c>
      <c r="D123" s="609"/>
      <c r="E123" s="610" t="s">
        <v>287</v>
      </c>
      <c r="F123" s="611"/>
      <c r="G123" s="611"/>
      <c r="H123" s="611"/>
      <c r="I123" s="611"/>
      <c r="J123" s="611"/>
      <c r="K123" s="611"/>
      <c r="L123" s="612"/>
      <c r="M123" s="55">
        <f>'OP2-Item Costs'!B11</f>
        <v>46266710.390000001</v>
      </c>
      <c r="N123" s="243"/>
    </row>
    <row r="124" spans="2:14" x14ac:dyDescent="0.2">
      <c r="B124" s="15" t="s">
        <v>4</v>
      </c>
      <c r="C124" s="595" t="s">
        <v>103</v>
      </c>
      <c r="D124" s="596"/>
      <c r="E124" s="596"/>
      <c r="F124" s="596"/>
      <c r="G124" s="596"/>
      <c r="H124" s="596"/>
      <c r="I124" s="596"/>
      <c r="J124" s="596"/>
      <c r="K124" s="596"/>
      <c r="L124" s="597"/>
      <c r="M124" s="55">
        <f>'OP2-Item Costs'!B24</f>
        <v>9201335.5195000004</v>
      </c>
    </row>
    <row r="125" spans="2:14" x14ac:dyDescent="0.2">
      <c r="B125" s="15" t="s">
        <v>4</v>
      </c>
      <c r="C125" s="595" t="s">
        <v>106</v>
      </c>
      <c r="D125" s="596"/>
      <c r="E125" s="596"/>
      <c r="F125" s="596"/>
      <c r="G125" s="596"/>
      <c r="H125" s="596"/>
      <c r="I125" s="596"/>
      <c r="J125" s="596"/>
      <c r="K125" s="596"/>
      <c r="L125" s="597"/>
      <c r="M125" s="55">
        <v>0</v>
      </c>
    </row>
    <row r="126" spans="2:14" ht="28.5" customHeight="1" x14ac:dyDescent="0.2">
      <c r="B126" s="15" t="s">
        <v>4</v>
      </c>
      <c r="C126" s="595" t="s">
        <v>485</v>
      </c>
      <c r="D126" s="596"/>
      <c r="E126" s="596"/>
      <c r="F126" s="596"/>
      <c r="G126" s="596"/>
      <c r="H126" s="596"/>
      <c r="I126" s="596"/>
      <c r="J126" s="596"/>
      <c r="K126" s="596"/>
      <c r="L126" s="597"/>
      <c r="M126" s="55">
        <f>'OP2-Item Costs'!B28*2</f>
        <v>4467830.5999999996</v>
      </c>
    </row>
    <row r="127" spans="2:14" x14ac:dyDescent="0.2">
      <c r="B127" s="15" t="s">
        <v>4</v>
      </c>
      <c r="C127" s="595" t="s">
        <v>474</v>
      </c>
      <c r="D127" s="596"/>
      <c r="E127" s="596"/>
      <c r="F127" s="596"/>
      <c r="G127" s="596"/>
      <c r="H127" s="596"/>
      <c r="I127" s="596"/>
      <c r="J127" s="596"/>
      <c r="K127" s="596"/>
      <c r="L127" s="597"/>
      <c r="M127" s="55">
        <f>'OP2-Item Costs'!B30</f>
        <v>3908797.5371319456</v>
      </c>
      <c r="N127" s="16" t="s">
        <v>298</v>
      </c>
    </row>
    <row r="128" spans="2:14" x14ac:dyDescent="0.2">
      <c r="B128" s="15" t="s">
        <v>4</v>
      </c>
      <c r="C128" s="596" t="s">
        <v>231</v>
      </c>
      <c r="D128" s="596"/>
      <c r="E128" s="596"/>
      <c r="F128" s="596"/>
      <c r="G128" s="596"/>
      <c r="H128" s="596"/>
      <c r="I128" s="596"/>
      <c r="J128" s="596"/>
      <c r="K128" s="596"/>
      <c r="L128" s="597"/>
      <c r="M128" s="55">
        <f>'OP2-Item Costs'!B29</f>
        <v>28850980.60475</v>
      </c>
      <c r="N128" s="16" t="s">
        <v>102</v>
      </c>
    </row>
    <row r="129" spans="2:14" x14ac:dyDescent="0.2">
      <c r="B129" s="15" t="s">
        <v>4</v>
      </c>
      <c r="C129" s="606" t="s">
        <v>105</v>
      </c>
      <c r="D129" s="596"/>
      <c r="E129" s="596"/>
      <c r="F129" s="596"/>
      <c r="G129" s="596"/>
      <c r="H129" s="596"/>
      <c r="I129" s="596"/>
      <c r="J129" s="596"/>
      <c r="K129" s="596"/>
      <c r="L129" s="597"/>
      <c r="M129" s="17">
        <v>0.5</v>
      </c>
    </row>
    <row r="130" spans="2:14" x14ac:dyDescent="0.2">
      <c r="B130" s="15"/>
      <c r="C130" s="595"/>
      <c r="D130" s="596"/>
      <c r="E130" s="596"/>
      <c r="F130" s="596"/>
      <c r="G130" s="596"/>
      <c r="H130" s="596"/>
      <c r="I130" s="596"/>
      <c r="J130" s="596"/>
      <c r="K130" s="596"/>
      <c r="L130" s="597"/>
      <c r="M130" s="55"/>
    </row>
    <row r="131" spans="2:14" x14ac:dyDescent="0.2">
      <c r="B131" s="15"/>
      <c r="C131" s="595"/>
      <c r="D131" s="596"/>
      <c r="E131" s="596"/>
      <c r="F131" s="596"/>
      <c r="G131" s="596"/>
      <c r="H131" s="596"/>
      <c r="I131" s="596"/>
      <c r="J131" s="596"/>
      <c r="K131" s="596"/>
      <c r="L131" s="597"/>
      <c r="M131" s="55"/>
    </row>
    <row r="132" spans="2:14" x14ac:dyDescent="0.2">
      <c r="B132" s="15" t="s">
        <v>4</v>
      </c>
      <c r="C132" s="595" t="s">
        <v>108</v>
      </c>
      <c r="D132" s="596"/>
      <c r="E132" s="596"/>
      <c r="F132" s="596"/>
      <c r="G132" s="596"/>
      <c r="H132" s="596"/>
      <c r="I132" s="596"/>
      <c r="J132" s="596"/>
      <c r="K132" s="596"/>
      <c r="L132" s="597"/>
      <c r="M132" s="55">
        <f>4700000*1.02^6</f>
        <v>5292963.3705408005</v>
      </c>
    </row>
    <row r="133" spans="2:14" x14ac:dyDescent="0.2">
      <c r="B133" s="15"/>
      <c r="C133" s="595"/>
      <c r="D133" s="596"/>
      <c r="E133" s="596"/>
      <c r="F133" s="596"/>
      <c r="G133" s="596"/>
      <c r="H133" s="596"/>
      <c r="I133" s="596"/>
      <c r="J133" s="596"/>
      <c r="K133" s="596"/>
      <c r="L133" s="597"/>
      <c r="M133" s="55"/>
    </row>
    <row r="134" spans="2:14" ht="15.75" x14ac:dyDescent="0.25">
      <c r="B134" s="7" t="s">
        <v>9</v>
      </c>
      <c r="C134" s="616" t="s">
        <v>237</v>
      </c>
      <c r="D134" s="617"/>
      <c r="E134" s="617"/>
      <c r="F134" s="617"/>
      <c r="G134" s="617"/>
      <c r="H134" s="617"/>
      <c r="I134" s="617"/>
      <c r="J134" s="617"/>
      <c r="K134" s="617"/>
      <c r="L134" s="618"/>
      <c r="M134" s="17">
        <v>0.03</v>
      </c>
    </row>
    <row r="135" spans="2:14" ht="14.25" customHeight="1" x14ac:dyDescent="0.2">
      <c r="B135" s="15" t="s">
        <v>4</v>
      </c>
      <c r="C135" s="598" t="s">
        <v>322</v>
      </c>
      <c r="D135" s="599"/>
      <c r="E135" s="599"/>
      <c r="F135" s="599"/>
      <c r="G135" s="599"/>
      <c r="H135" s="599"/>
      <c r="I135" s="599"/>
      <c r="J135" s="599"/>
      <c r="K135" s="599"/>
      <c r="L135" s="599"/>
      <c r="M135" s="55">
        <f>'ALL-Opex Baseline'!$AA$10*(1+$M134)</f>
        <v>60637.37720000001</v>
      </c>
    </row>
    <row r="136" spans="2:14" ht="14.25" customHeight="1" x14ac:dyDescent="0.2">
      <c r="B136" s="15" t="s">
        <v>4</v>
      </c>
      <c r="C136" s="598" t="s">
        <v>323</v>
      </c>
      <c r="D136" s="599"/>
      <c r="E136" s="599"/>
      <c r="F136" s="599"/>
      <c r="G136" s="599"/>
      <c r="H136" s="599"/>
      <c r="I136" s="599"/>
      <c r="J136" s="599"/>
      <c r="K136" s="599"/>
      <c r="L136" s="599"/>
      <c r="M136" s="55">
        <f>'ALL-Opex Baseline'!$N$14*(1+$M134)</f>
        <v>123121.6989</v>
      </c>
    </row>
    <row r="137" spans="2:14" ht="14.25" customHeight="1" x14ac:dyDescent="0.2">
      <c r="B137" s="15" t="s">
        <v>4</v>
      </c>
      <c r="C137" s="598" t="s">
        <v>324</v>
      </c>
      <c r="D137" s="599"/>
      <c r="E137" s="599"/>
      <c r="F137" s="599"/>
      <c r="G137" s="599"/>
      <c r="H137" s="599"/>
      <c r="I137" s="599"/>
      <c r="J137" s="599"/>
      <c r="K137" s="599"/>
      <c r="L137" s="599"/>
      <c r="M137" s="55">
        <f>'ALL-Opex Baseline'!$AA$21*(1+$M134)</f>
        <v>260661.2245000001</v>
      </c>
    </row>
    <row r="138" spans="2:14" ht="14.25" customHeight="1" x14ac:dyDescent="0.2">
      <c r="B138" s="15" t="s">
        <v>4</v>
      </c>
      <c r="C138" s="598" t="s">
        <v>325</v>
      </c>
      <c r="D138" s="599"/>
      <c r="E138" s="599"/>
      <c r="F138" s="599"/>
      <c r="G138" s="599"/>
      <c r="H138" s="599"/>
      <c r="I138" s="599"/>
      <c r="J138" s="599"/>
      <c r="K138" s="599"/>
      <c r="L138" s="599"/>
      <c r="M138" s="55">
        <f>'ALL-Opex Baseline'!$N$32*(1+$M134)</f>
        <v>580910.69848962966</v>
      </c>
    </row>
    <row r="139" spans="2:14" ht="14.25" customHeight="1" x14ac:dyDescent="0.2">
      <c r="B139" s="15" t="s">
        <v>4</v>
      </c>
      <c r="C139" s="598" t="s">
        <v>326</v>
      </c>
      <c r="D139" s="599"/>
      <c r="E139" s="599"/>
      <c r="F139" s="599"/>
      <c r="G139" s="599"/>
      <c r="H139" s="599"/>
      <c r="I139" s="599"/>
      <c r="J139" s="599"/>
      <c r="K139" s="599"/>
      <c r="L139" s="599"/>
      <c r="M139" s="55">
        <f>'ALL-Opex Baseline'!$AA$39*(1+$M134)</f>
        <v>289559.37315000006</v>
      </c>
    </row>
    <row r="140" spans="2:14" ht="14.25" customHeight="1" x14ac:dyDescent="0.2">
      <c r="B140" s="15" t="s">
        <v>4</v>
      </c>
      <c r="C140" s="598" t="s">
        <v>327</v>
      </c>
      <c r="D140" s="599"/>
      <c r="E140" s="599"/>
      <c r="F140" s="599"/>
      <c r="G140" s="599"/>
      <c r="H140" s="599"/>
      <c r="I140" s="599"/>
      <c r="J140" s="599"/>
      <c r="K140" s="599"/>
      <c r="L140" s="599"/>
      <c r="M140" s="55">
        <f>'ALL-Opex Baseline'!$N$49*(1+$M134)</f>
        <v>598014.84670376685</v>
      </c>
    </row>
    <row r="141" spans="2:14" x14ac:dyDescent="0.2">
      <c r="B141" s="15" t="s">
        <v>4</v>
      </c>
      <c r="C141" s="598" t="s">
        <v>256</v>
      </c>
      <c r="D141" s="599"/>
      <c r="E141" s="599"/>
      <c r="F141" s="599"/>
      <c r="G141" s="599"/>
      <c r="H141" s="599"/>
      <c r="I141" s="599"/>
      <c r="J141" s="599"/>
      <c r="K141" s="599"/>
      <c r="L141" s="599"/>
      <c r="M141" s="55">
        <f>318872*(1+0.04)</f>
        <v>331626.88</v>
      </c>
    </row>
    <row r="142" spans="2:14" ht="27" customHeight="1" x14ac:dyDescent="0.2">
      <c r="B142" s="15" t="s">
        <v>4</v>
      </c>
      <c r="C142" s="598" t="s">
        <v>570</v>
      </c>
      <c r="D142" s="599"/>
      <c r="E142" s="599"/>
      <c r="F142" s="599"/>
      <c r="G142" s="599"/>
      <c r="H142" s="599"/>
      <c r="I142" s="599"/>
      <c r="J142" s="599"/>
      <c r="K142" s="599"/>
      <c r="L142" s="599"/>
      <c r="M142" s="55">
        <f>'ALL-Opex Baseline'!X10*(1+M134)</f>
        <v>44476.475803787871</v>
      </c>
      <c r="N142" s="16" t="s">
        <v>182</v>
      </c>
    </row>
    <row r="143" spans="2:14" ht="28.5" customHeight="1" x14ac:dyDescent="0.2">
      <c r="B143" s="15" t="s">
        <v>4</v>
      </c>
      <c r="C143" s="598" t="s">
        <v>576</v>
      </c>
      <c r="D143" s="599"/>
      <c r="E143" s="599"/>
      <c r="F143" s="599"/>
      <c r="G143" s="599"/>
      <c r="H143" s="599"/>
      <c r="I143" s="599"/>
      <c r="J143" s="599"/>
      <c r="K143" s="599"/>
      <c r="L143" s="599"/>
      <c r="M143" s="55">
        <f>'ALL-Opex Baseline'!K14*(1+M134)</f>
        <v>98977.470616666673</v>
      </c>
      <c r="N143" s="16" t="s">
        <v>182</v>
      </c>
    </row>
    <row r="144" spans="2:14" ht="28.5" customHeight="1" x14ac:dyDescent="0.2">
      <c r="B144" s="15" t="s">
        <v>4</v>
      </c>
      <c r="C144" s="598" t="s">
        <v>572</v>
      </c>
      <c r="D144" s="599"/>
      <c r="E144" s="599"/>
      <c r="F144" s="599"/>
      <c r="G144" s="599"/>
      <c r="H144" s="599"/>
      <c r="I144" s="599"/>
      <c r="J144" s="599"/>
      <c r="K144" s="599"/>
      <c r="L144" s="599"/>
      <c r="M144" s="55">
        <f>'ALL-Opex Baseline'!X21*(1+M134)</f>
        <v>203333.05147685928</v>
      </c>
      <c r="N144" s="16" t="s">
        <v>182</v>
      </c>
    </row>
    <row r="145" spans="1:14" ht="54.75" customHeight="1" x14ac:dyDescent="0.2">
      <c r="B145" s="15" t="s">
        <v>4</v>
      </c>
      <c r="C145" s="598" t="s">
        <v>577</v>
      </c>
      <c r="D145" s="599"/>
      <c r="E145" s="599"/>
      <c r="F145" s="599"/>
      <c r="G145" s="599"/>
      <c r="H145" s="599"/>
      <c r="I145" s="599"/>
      <c r="J145" s="599"/>
      <c r="K145" s="599"/>
      <c r="L145" s="599"/>
      <c r="M145" s="55">
        <f>'ALL-Opex Baseline'!K32*(1+M134)</f>
        <v>720561.57227582962</v>
      </c>
      <c r="N145" s="16" t="s">
        <v>182</v>
      </c>
    </row>
    <row r="146" spans="1:14" ht="28.5" customHeight="1" x14ac:dyDescent="0.2">
      <c r="B146" s="15" t="s">
        <v>4</v>
      </c>
      <c r="C146" s="598" t="s">
        <v>574</v>
      </c>
      <c r="D146" s="599"/>
      <c r="E146" s="599"/>
      <c r="F146" s="599"/>
      <c r="G146" s="599"/>
      <c r="H146" s="599"/>
      <c r="I146" s="599"/>
      <c r="J146" s="599"/>
      <c r="K146" s="599"/>
      <c r="L146" s="599"/>
      <c r="M146" s="55">
        <f>'ALL-Opex Baseline'!X39*(1+M134)</f>
        <v>42514.459986348142</v>
      </c>
      <c r="N146" s="16" t="s">
        <v>182</v>
      </c>
    </row>
    <row r="147" spans="1:14" ht="57" customHeight="1" x14ac:dyDescent="0.2">
      <c r="B147" s="15" t="s">
        <v>4</v>
      </c>
      <c r="C147" s="598" t="s">
        <v>578</v>
      </c>
      <c r="D147" s="599"/>
      <c r="E147" s="599"/>
      <c r="F147" s="599"/>
      <c r="G147" s="599"/>
      <c r="H147" s="599"/>
      <c r="I147" s="599"/>
      <c r="J147" s="599"/>
      <c r="K147" s="599"/>
      <c r="L147" s="599"/>
      <c r="M147" s="55">
        <f>'ALL-Opex Baseline'!K49*(1+M134)</f>
        <v>237454.56219057977</v>
      </c>
      <c r="N147" s="16" t="s">
        <v>182</v>
      </c>
    </row>
    <row r="148" spans="1:14" ht="55.5" customHeight="1" x14ac:dyDescent="0.2">
      <c r="B148" s="15" t="s">
        <v>4</v>
      </c>
      <c r="C148" s="603" t="s">
        <v>288</v>
      </c>
      <c r="D148" s="615"/>
      <c r="E148" s="615"/>
      <c r="F148" s="615"/>
      <c r="G148" s="615"/>
      <c r="H148" s="615"/>
      <c r="I148" s="615"/>
      <c r="J148" s="615"/>
      <c r="K148" s="615"/>
      <c r="L148" s="615"/>
      <c r="M148" s="55">
        <v>182000</v>
      </c>
    </row>
    <row r="149" spans="1:14" ht="28.5" customHeight="1" x14ac:dyDescent="0.2">
      <c r="B149" s="15" t="s">
        <v>4</v>
      </c>
      <c r="C149" s="603" t="s">
        <v>564</v>
      </c>
      <c r="D149" s="599"/>
      <c r="E149" s="599"/>
      <c r="F149" s="599"/>
      <c r="G149" s="599"/>
      <c r="H149" s="599"/>
      <c r="I149" s="599"/>
      <c r="J149" s="599"/>
      <c r="K149" s="599"/>
      <c r="L149" s="599"/>
      <c r="M149" s="55">
        <v>0</v>
      </c>
    </row>
    <row r="150" spans="1:14" x14ac:dyDescent="0.2">
      <c r="B150" s="15"/>
      <c r="C150" s="614"/>
      <c r="D150" s="615"/>
      <c r="E150" s="615"/>
      <c r="F150" s="615"/>
      <c r="G150" s="615"/>
      <c r="H150" s="615"/>
      <c r="I150" s="615"/>
      <c r="J150" s="615"/>
      <c r="K150" s="615"/>
      <c r="L150" s="615"/>
      <c r="M150" s="55"/>
    </row>
    <row r="151" spans="1:14" x14ac:dyDescent="0.2">
      <c r="C151" s="314"/>
      <c r="D151" s="314"/>
      <c r="E151" s="314"/>
      <c r="F151" s="314"/>
      <c r="G151" s="314"/>
      <c r="H151" s="314"/>
      <c r="I151" s="314"/>
      <c r="J151" s="314"/>
      <c r="K151" s="314"/>
      <c r="L151" s="314"/>
    </row>
    <row r="152" spans="1:14" x14ac:dyDescent="0.2">
      <c r="C152" s="314"/>
      <c r="D152" s="314"/>
      <c r="E152" s="314"/>
      <c r="F152" s="314"/>
      <c r="G152" s="314"/>
      <c r="H152" s="314"/>
      <c r="I152" s="314"/>
      <c r="J152" s="314"/>
      <c r="K152" s="314"/>
      <c r="L152" s="314"/>
    </row>
    <row r="153" spans="1:14" ht="15.75" x14ac:dyDescent="0.25">
      <c r="A153" s="2" t="s">
        <v>599</v>
      </c>
      <c r="C153" s="314"/>
      <c r="D153" s="314"/>
      <c r="E153" s="314"/>
      <c r="F153" s="314"/>
      <c r="G153" s="314"/>
      <c r="H153" s="314"/>
      <c r="I153" s="314"/>
      <c r="J153" s="314"/>
      <c r="K153" s="314"/>
      <c r="L153" s="314"/>
    </row>
    <row r="154" spans="1:14" x14ac:dyDescent="0.2">
      <c r="C154" s="314"/>
      <c r="D154" s="314"/>
      <c r="E154" s="314"/>
      <c r="F154" s="314"/>
      <c r="G154" s="314"/>
      <c r="H154" s="314"/>
      <c r="I154" s="314"/>
      <c r="J154" s="314"/>
      <c r="K154" s="314"/>
      <c r="L154" s="314"/>
    </row>
    <row r="155" spans="1:14" ht="15.75" x14ac:dyDescent="0.2">
      <c r="B155" s="8" t="s">
        <v>1</v>
      </c>
      <c r="C155" s="613" t="s">
        <v>450</v>
      </c>
      <c r="D155" s="613"/>
      <c r="E155" s="613"/>
      <c r="F155" s="613"/>
      <c r="G155" s="613"/>
      <c r="H155" s="613"/>
      <c r="I155" s="613"/>
      <c r="J155" s="613"/>
      <c r="K155" s="613"/>
      <c r="L155" s="613"/>
    </row>
    <row r="156" spans="1:14" ht="40.5" customHeight="1" x14ac:dyDescent="0.2">
      <c r="B156" s="15" t="s">
        <v>2</v>
      </c>
      <c r="C156" s="596" t="s">
        <v>451</v>
      </c>
      <c r="D156" s="596"/>
      <c r="E156" s="596"/>
      <c r="F156" s="596"/>
      <c r="G156" s="596"/>
      <c r="H156" s="596"/>
      <c r="I156" s="596"/>
      <c r="J156" s="596"/>
      <c r="K156" s="596"/>
      <c r="L156" s="597"/>
    </row>
    <row r="157" spans="1:14" ht="15.75" x14ac:dyDescent="0.25">
      <c r="B157" s="3"/>
      <c r="C157" s="313"/>
      <c r="D157" s="313"/>
      <c r="E157" s="313"/>
      <c r="F157" s="313"/>
      <c r="G157" s="313"/>
      <c r="H157" s="313"/>
      <c r="I157" s="313"/>
      <c r="J157" s="313"/>
      <c r="K157" s="313"/>
      <c r="L157" s="313"/>
    </row>
    <row r="158" spans="1:14" ht="15.75" x14ac:dyDescent="0.25">
      <c r="B158" s="7" t="s">
        <v>3</v>
      </c>
      <c r="C158" s="313"/>
      <c r="D158" s="313"/>
      <c r="E158" s="313"/>
      <c r="F158" s="313"/>
      <c r="G158" s="313"/>
      <c r="H158" s="313"/>
      <c r="I158" s="313"/>
      <c r="J158" s="313"/>
      <c r="K158" s="313"/>
      <c r="L158" s="313"/>
    </row>
    <row r="159" spans="1:14" ht="14.25" customHeight="1" x14ac:dyDescent="0.2">
      <c r="B159" s="15" t="s">
        <v>4</v>
      </c>
      <c r="C159" s="597" t="s">
        <v>14</v>
      </c>
      <c r="D159" s="600"/>
      <c r="E159" s="600"/>
      <c r="F159" s="600"/>
      <c r="G159" s="600"/>
      <c r="H159" s="600"/>
      <c r="I159" s="600"/>
      <c r="J159" s="600"/>
      <c r="K159" s="600"/>
      <c r="L159" s="600"/>
      <c r="M159" s="13" t="s">
        <v>13</v>
      </c>
    </row>
    <row r="160" spans="1:14" ht="14.25" customHeight="1" x14ac:dyDescent="0.2">
      <c r="B160" s="15" t="s">
        <v>4</v>
      </c>
      <c r="C160" s="597" t="s">
        <v>15</v>
      </c>
      <c r="D160" s="600"/>
      <c r="E160" s="600"/>
      <c r="F160" s="600"/>
      <c r="G160" s="600"/>
      <c r="H160" s="600"/>
      <c r="I160" s="600"/>
      <c r="J160" s="600"/>
      <c r="K160" s="600"/>
      <c r="L160" s="600"/>
      <c r="M160" s="13" t="s">
        <v>13</v>
      </c>
    </row>
    <row r="161" spans="2:14" ht="14.25" customHeight="1" x14ac:dyDescent="0.2">
      <c r="B161" s="15" t="s">
        <v>4</v>
      </c>
      <c r="C161" s="597" t="s">
        <v>20</v>
      </c>
      <c r="D161" s="600"/>
      <c r="E161" s="600"/>
      <c r="F161" s="600"/>
      <c r="G161" s="600"/>
      <c r="H161" s="600"/>
      <c r="I161" s="600"/>
      <c r="J161" s="600"/>
      <c r="K161" s="600"/>
      <c r="L161" s="600"/>
      <c r="M161" s="13" t="s">
        <v>13</v>
      </c>
    </row>
    <row r="162" spans="2:14" ht="14.25" customHeight="1" x14ac:dyDescent="0.2">
      <c r="B162" s="15" t="s">
        <v>4</v>
      </c>
      <c r="C162" s="597" t="s">
        <v>275</v>
      </c>
      <c r="D162" s="600"/>
      <c r="E162" s="600"/>
      <c r="F162" s="600"/>
      <c r="G162" s="600"/>
      <c r="H162" s="600"/>
      <c r="I162" s="600"/>
      <c r="J162" s="600"/>
      <c r="K162" s="600"/>
      <c r="L162" s="600"/>
      <c r="M162" s="13" t="s">
        <v>13</v>
      </c>
    </row>
    <row r="163" spans="2:14" ht="14.25" customHeight="1" x14ac:dyDescent="0.2">
      <c r="B163" s="15" t="s">
        <v>4</v>
      </c>
      <c r="C163" s="597" t="s">
        <v>16</v>
      </c>
      <c r="D163" s="600"/>
      <c r="E163" s="600"/>
      <c r="F163" s="600"/>
      <c r="G163" s="600"/>
      <c r="H163" s="600"/>
      <c r="I163" s="600"/>
      <c r="J163" s="600"/>
      <c r="K163" s="600"/>
      <c r="L163" s="600"/>
      <c r="M163" s="13" t="s">
        <v>13</v>
      </c>
    </row>
    <row r="164" spans="2:14" ht="14.25" customHeight="1" x14ac:dyDescent="0.2">
      <c r="B164" s="15" t="s">
        <v>4</v>
      </c>
      <c r="C164" s="597" t="s">
        <v>204</v>
      </c>
      <c r="D164" s="600"/>
      <c r="E164" s="600"/>
      <c r="F164" s="600"/>
      <c r="G164" s="600"/>
      <c r="H164" s="600"/>
      <c r="I164" s="600"/>
      <c r="J164" s="600"/>
      <c r="K164" s="600"/>
      <c r="L164" s="600"/>
      <c r="M164" s="13" t="s">
        <v>13</v>
      </c>
    </row>
    <row r="165" spans="2:14" ht="14.25" customHeight="1" x14ac:dyDescent="0.2">
      <c r="B165" s="15" t="s">
        <v>4</v>
      </c>
      <c r="C165" s="597" t="s">
        <v>17</v>
      </c>
      <c r="D165" s="600"/>
      <c r="E165" s="600"/>
      <c r="F165" s="600"/>
      <c r="G165" s="600"/>
      <c r="H165" s="600"/>
      <c r="I165" s="600"/>
      <c r="J165" s="600"/>
      <c r="K165" s="600"/>
      <c r="L165" s="600"/>
      <c r="M165" s="13" t="s">
        <v>13</v>
      </c>
    </row>
    <row r="166" spans="2:14" ht="14.25" customHeight="1" x14ac:dyDescent="0.2">
      <c r="B166" s="15" t="s">
        <v>4</v>
      </c>
      <c r="C166" s="597" t="s">
        <v>207</v>
      </c>
      <c r="D166" s="600"/>
      <c r="E166" s="600"/>
      <c r="F166" s="600"/>
      <c r="G166" s="600"/>
      <c r="H166" s="600"/>
      <c r="I166" s="600"/>
      <c r="J166" s="600"/>
      <c r="K166" s="600"/>
      <c r="L166" s="600"/>
      <c r="M166" s="13" t="s">
        <v>13</v>
      </c>
    </row>
    <row r="167" spans="2:14" ht="14.25" customHeight="1" x14ac:dyDescent="0.2">
      <c r="B167" s="15" t="s">
        <v>4</v>
      </c>
      <c r="C167" s="597" t="s">
        <v>205</v>
      </c>
      <c r="D167" s="600"/>
      <c r="E167" s="600"/>
      <c r="F167" s="600"/>
      <c r="G167" s="600"/>
      <c r="H167" s="600"/>
      <c r="I167" s="600"/>
      <c r="J167" s="600"/>
      <c r="K167" s="600"/>
      <c r="L167" s="600"/>
      <c r="M167" s="13" t="s">
        <v>13</v>
      </c>
    </row>
    <row r="168" spans="2:14" ht="14.25" customHeight="1" x14ac:dyDescent="0.2">
      <c r="B168" s="15" t="s">
        <v>4</v>
      </c>
      <c r="C168" s="597" t="s">
        <v>206</v>
      </c>
      <c r="D168" s="600"/>
      <c r="E168" s="600"/>
      <c r="F168" s="600"/>
      <c r="G168" s="600"/>
      <c r="H168" s="600"/>
      <c r="I168" s="600"/>
      <c r="J168" s="600"/>
      <c r="K168" s="600"/>
      <c r="L168" s="600"/>
      <c r="M168" s="13" t="s">
        <v>13</v>
      </c>
    </row>
    <row r="169" spans="2:14" ht="14.25" customHeight="1" x14ac:dyDescent="0.2">
      <c r="B169" s="15" t="s">
        <v>4</v>
      </c>
      <c r="C169" s="597" t="s">
        <v>277</v>
      </c>
      <c r="D169" s="600"/>
      <c r="E169" s="600"/>
      <c r="F169" s="600"/>
      <c r="G169" s="600"/>
      <c r="H169" s="600"/>
      <c r="I169" s="600"/>
      <c r="J169" s="600"/>
      <c r="K169" s="600"/>
      <c r="L169" s="600"/>
      <c r="M169" s="13" t="s">
        <v>13</v>
      </c>
    </row>
    <row r="170" spans="2:14" ht="14.25" customHeight="1" x14ac:dyDescent="0.2">
      <c r="B170" s="15" t="s">
        <v>4</v>
      </c>
      <c r="C170" s="597" t="s">
        <v>18</v>
      </c>
      <c r="D170" s="600"/>
      <c r="E170" s="600"/>
      <c r="F170" s="600"/>
      <c r="G170" s="600"/>
      <c r="H170" s="600"/>
      <c r="I170" s="600"/>
      <c r="J170" s="600"/>
      <c r="K170" s="600"/>
      <c r="L170" s="600"/>
      <c r="M170" s="13" t="s">
        <v>13</v>
      </c>
    </row>
    <row r="171" spans="2:14" ht="14.25" customHeight="1" x14ac:dyDescent="0.2">
      <c r="B171" s="15" t="s">
        <v>4</v>
      </c>
      <c r="C171" s="597" t="s">
        <v>19</v>
      </c>
      <c r="D171" s="600"/>
      <c r="E171" s="600"/>
      <c r="F171" s="600"/>
      <c r="G171" s="600"/>
      <c r="H171" s="600"/>
      <c r="I171" s="600"/>
      <c r="J171" s="600"/>
      <c r="K171" s="600"/>
      <c r="L171" s="600"/>
      <c r="M171" s="13" t="s">
        <v>13</v>
      </c>
    </row>
    <row r="172" spans="2:14" ht="14.25" customHeight="1" x14ac:dyDescent="0.2">
      <c r="B172" s="15" t="s">
        <v>4</v>
      </c>
      <c r="C172" s="597" t="s">
        <v>238</v>
      </c>
      <c r="D172" s="600"/>
      <c r="E172" s="600"/>
      <c r="F172" s="600"/>
      <c r="G172" s="600"/>
      <c r="H172" s="600"/>
      <c r="I172" s="600"/>
      <c r="J172" s="600"/>
      <c r="K172" s="600"/>
      <c r="L172" s="600"/>
      <c r="M172" s="13" t="s">
        <v>13</v>
      </c>
    </row>
    <row r="173" spans="2:14" ht="14.25" customHeight="1" x14ac:dyDescent="0.2">
      <c r="B173" s="15" t="s">
        <v>4</v>
      </c>
      <c r="C173" s="597" t="s">
        <v>239</v>
      </c>
      <c r="D173" s="600"/>
      <c r="E173" s="600"/>
      <c r="F173" s="600"/>
      <c r="G173" s="600"/>
      <c r="H173" s="600"/>
      <c r="I173" s="600"/>
      <c r="J173" s="600"/>
      <c r="K173" s="600"/>
      <c r="L173" s="600"/>
      <c r="M173" s="13" t="s">
        <v>13</v>
      </c>
      <c r="N173" s="244" t="s">
        <v>240</v>
      </c>
    </row>
    <row r="174" spans="2:14" x14ac:dyDescent="0.2">
      <c r="B174" s="15"/>
      <c r="C174" s="597"/>
      <c r="D174" s="600"/>
      <c r="E174" s="600"/>
      <c r="F174" s="600"/>
      <c r="G174" s="600"/>
      <c r="H174" s="600"/>
      <c r="I174" s="600"/>
      <c r="J174" s="600"/>
      <c r="K174" s="600"/>
      <c r="L174" s="600"/>
      <c r="M174" s="13"/>
    </row>
    <row r="175" spans="2:14" ht="15.75" x14ac:dyDescent="0.25">
      <c r="B175" s="7" t="s">
        <v>5</v>
      </c>
      <c r="C175" s="11"/>
      <c r="D175" s="11"/>
      <c r="E175" s="11"/>
      <c r="F175" s="11"/>
      <c r="G175" s="11"/>
      <c r="H175" s="11"/>
      <c r="I175" s="11"/>
      <c r="J175" s="11"/>
      <c r="K175" s="11"/>
      <c r="L175" s="11"/>
    </row>
    <row r="176" spans="2:14" ht="14.25" customHeight="1" x14ac:dyDescent="0.2">
      <c r="B176" s="15" t="s">
        <v>4</v>
      </c>
      <c r="C176" s="596" t="s">
        <v>471</v>
      </c>
      <c r="D176" s="596"/>
      <c r="E176" s="596"/>
      <c r="F176" s="596"/>
      <c r="G176" s="596"/>
      <c r="H176" s="596"/>
      <c r="I176" s="596"/>
      <c r="J176" s="596"/>
      <c r="K176" s="596"/>
      <c r="L176" s="597"/>
      <c r="M176" s="13" t="s">
        <v>22</v>
      </c>
      <c r="N176" s="16" t="s">
        <v>26</v>
      </c>
    </row>
    <row r="177" spans="2:14" ht="14.25" customHeight="1" x14ac:dyDescent="0.2">
      <c r="B177" s="15" t="s">
        <v>4</v>
      </c>
      <c r="C177" s="596" t="s">
        <v>303</v>
      </c>
      <c r="D177" s="596"/>
      <c r="E177" s="596"/>
      <c r="F177" s="596"/>
      <c r="G177" s="596"/>
      <c r="H177" s="596"/>
      <c r="I177" s="596"/>
      <c r="J177" s="596"/>
      <c r="K177" s="596"/>
      <c r="L177" s="597"/>
      <c r="M177" s="13" t="s">
        <v>22</v>
      </c>
      <c r="N177" s="243" t="s">
        <v>104</v>
      </c>
    </row>
    <row r="178" spans="2:14" ht="14.25" customHeight="1" x14ac:dyDescent="0.2">
      <c r="B178" s="15" t="s">
        <v>4</v>
      </c>
      <c r="C178" s="596" t="s">
        <v>304</v>
      </c>
      <c r="D178" s="596"/>
      <c r="E178" s="596"/>
      <c r="F178" s="596"/>
      <c r="G178" s="596"/>
      <c r="H178" s="596"/>
      <c r="I178" s="596"/>
      <c r="J178" s="596"/>
      <c r="K178" s="596"/>
      <c r="L178" s="597"/>
      <c r="M178" s="13" t="s">
        <v>23</v>
      </c>
    </row>
    <row r="179" spans="2:14" ht="14.25" customHeight="1" x14ac:dyDescent="0.2">
      <c r="B179" s="15" t="s">
        <v>4</v>
      </c>
      <c r="C179" s="596" t="s">
        <v>301</v>
      </c>
      <c r="D179" s="596"/>
      <c r="E179" s="596"/>
      <c r="F179" s="596"/>
      <c r="G179" s="596"/>
      <c r="H179" s="596"/>
      <c r="I179" s="596"/>
      <c r="J179" s="596"/>
      <c r="K179" s="596"/>
      <c r="L179" s="597"/>
      <c r="M179" s="13" t="s">
        <v>24</v>
      </c>
    </row>
    <row r="180" spans="2:14" ht="14.25" customHeight="1" x14ac:dyDescent="0.2">
      <c r="B180" s="15" t="s">
        <v>4</v>
      </c>
      <c r="C180" s="596" t="s">
        <v>305</v>
      </c>
      <c r="D180" s="596"/>
      <c r="E180" s="596"/>
      <c r="F180" s="596"/>
      <c r="G180" s="596"/>
      <c r="H180" s="596"/>
      <c r="I180" s="596"/>
      <c r="J180" s="596"/>
      <c r="K180" s="596"/>
      <c r="L180" s="597"/>
      <c r="M180" s="13" t="s">
        <v>24</v>
      </c>
    </row>
    <row r="181" spans="2:14" ht="14.25" customHeight="1" x14ac:dyDescent="0.2">
      <c r="B181" s="15" t="s">
        <v>4</v>
      </c>
      <c r="C181" s="596" t="s">
        <v>306</v>
      </c>
      <c r="D181" s="596"/>
      <c r="E181" s="596"/>
      <c r="F181" s="596"/>
      <c r="G181" s="596"/>
      <c r="H181" s="596"/>
      <c r="I181" s="596"/>
      <c r="J181" s="596"/>
      <c r="K181" s="596"/>
      <c r="L181" s="597"/>
      <c r="M181" s="13" t="s">
        <v>109</v>
      </c>
    </row>
    <row r="182" spans="2:14" ht="14.25" customHeight="1" x14ac:dyDescent="0.2">
      <c r="B182" s="15" t="s">
        <v>4</v>
      </c>
      <c r="C182" s="596" t="s">
        <v>307</v>
      </c>
      <c r="D182" s="596"/>
      <c r="E182" s="596"/>
      <c r="F182" s="596"/>
      <c r="G182" s="596"/>
      <c r="H182" s="596"/>
      <c r="I182" s="596"/>
      <c r="J182" s="596"/>
      <c r="K182" s="596"/>
      <c r="L182" s="597"/>
      <c r="M182" s="13" t="s">
        <v>23</v>
      </c>
    </row>
    <row r="183" spans="2:14" ht="14.25" customHeight="1" x14ac:dyDescent="0.2">
      <c r="B183" s="15" t="s">
        <v>4</v>
      </c>
      <c r="C183" s="596" t="s">
        <v>308</v>
      </c>
      <c r="D183" s="596"/>
      <c r="E183" s="596"/>
      <c r="F183" s="596"/>
      <c r="G183" s="596"/>
      <c r="H183" s="596"/>
      <c r="I183" s="596"/>
      <c r="J183" s="596"/>
      <c r="K183" s="596"/>
      <c r="L183" s="597"/>
      <c r="M183" s="13" t="s">
        <v>23</v>
      </c>
    </row>
    <row r="184" spans="2:14" ht="14.25" customHeight="1" x14ac:dyDescent="0.2">
      <c r="B184" s="15" t="s">
        <v>4</v>
      </c>
      <c r="C184" s="596" t="s">
        <v>309</v>
      </c>
      <c r="D184" s="596"/>
      <c r="E184" s="596"/>
      <c r="F184" s="596"/>
      <c r="G184" s="596"/>
      <c r="H184" s="596"/>
      <c r="I184" s="596"/>
      <c r="J184" s="596"/>
      <c r="K184" s="596"/>
      <c r="L184" s="597"/>
      <c r="M184" s="13" t="s">
        <v>109</v>
      </c>
    </row>
    <row r="185" spans="2:14" ht="14.25" customHeight="1" x14ac:dyDescent="0.2">
      <c r="B185" s="15" t="s">
        <v>4</v>
      </c>
      <c r="C185" s="596" t="s">
        <v>310</v>
      </c>
      <c r="D185" s="596"/>
      <c r="E185" s="596"/>
      <c r="F185" s="596"/>
      <c r="G185" s="596"/>
      <c r="H185" s="596"/>
      <c r="I185" s="596"/>
      <c r="J185" s="596"/>
      <c r="K185" s="596"/>
      <c r="L185" s="597"/>
      <c r="M185" s="13" t="s">
        <v>109</v>
      </c>
    </row>
    <row r="186" spans="2:14" ht="14.25" customHeight="1" x14ac:dyDescent="0.2">
      <c r="B186" s="15" t="s">
        <v>4</v>
      </c>
      <c r="C186" s="596" t="s">
        <v>107</v>
      </c>
      <c r="D186" s="596"/>
      <c r="E186" s="596"/>
      <c r="F186" s="596"/>
      <c r="G186" s="596"/>
      <c r="H186" s="596"/>
      <c r="I186" s="596"/>
      <c r="J186" s="596"/>
      <c r="K186" s="596"/>
      <c r="L186" s="597"/>
      <c r="M186" s="13" t="s">
        <v>299</v>
      </c>
    </row>
    <row r="187" spans="2:14" ht="14.25" customHeight="1" x14ac:dyDescent="0.2">
      <c r="B187" s="15" t="s">
        <v>4</v>
      </c>
      <c r="C187" s="596" t="s">
        <v>302</v>
      </c>
      <c r="D187" s="596"/>
      <c r="E187" s="596"/>
      <c r="F187" s="596"/>
      <c r="G187" s="596"/>
      <c r="H187" s="596"/>
      <c r="I187" s="596"/>
      <c r="J187" s="596"/>
      <c r="K187" s="596"/>
      <c r="L187" s="597"/>
      <c r="M187" s="13" t="s">
        <v>24</v>
      </c>
    </row>
    <row r="188" spans="2:14" ht="14.25" customHeight="1" x14ac:dyDescent="0.2">
      <c r="B188" s="15" t="s">
        <v>4</v>
      </c>
      <c r="C188" s="596" t="s">
        <v>285</v>
      </c>
      <c r="D188" s="596"/>
      <c r="E188" s="596"/>
      <c r="F188" s="596"/>
      <c r="G188" s="596"/>
      <c r="H188" s="596"/>
      <c r="I188" s="596"/>
      <c r="J188" s="596"/>
      <c r="K188" s="596"/>
      <c r="L188" s="597"/>
      <c r="M188" s="13" t="s">
        <v>24</v>
      </c>
    </row>
    <row r="189" spans="2:14" ht="14.25" customHeight="1" x14ac:dyDescent="0.2">
      <c r="B189" s="15" t="s">
        <v>4</v>
      </c>
      <c r="C189" s="596" t="s">
        <v>300</v>
      </c>
      <c r="D189" s="596"/>
      <c r="E189" s="596"/>
      <c r="F189" s="596"/>
      <c r="G189" s="596"/>
      <c r="H189" s="596"/>
      <c r="I189" s="596"/>
      <c r="J189" s="596"/>
      <c r="K189" s="596"/>
      <c r="L189" s="597"/>
      <c r="M189" s="13" t="s">
        <v>109</v>
      </c>
    </row>
    <row r="190" spans="2:14" ht="14.25" customHeight="1" x14ac:dyDescent="0.2">
      <c r="B190" s="15" t="s">
        <v>4</v>
      </c>
      <c r="C190" s="596" t="s">
        <v>311</v>
      </c>
      <c r="D190" s="596"/>
      <c r="E190" s="596"/>
      <c r="F190" s="596"/>
      <c r="G190" s="596"/>
      <c r="H190" s="596"/>
      <c r="I190" s="596"/>
      <c r="J190" s="596"/>
      <c r="K190" s="596"/>
      <c r="L190" s="597"/>
      <c r="M190" s="13" t="s">
        <v>23</v>
      </c>
    </row>
    <row r="191" spans="2:14" ht="14.25" customHeight="1" x14ac:dyDescent="0.2">
      <c r="B191" s="15" t="s">
        <v>4</v>
      </c>
      <c r="C191" s="595" t="s">
        <v>481</v>
      </c>
      <c r="D191" s="604"/>
      <c r="E191" s="604"/>
      <c r="F191" s="604"/>
      <c r="G191" s="604"/>
      <c r="H191" s="604"/>
      <c r="I191" s="604"/>
      <c r="J191" s="604"/>
      <c r="K191" s="604"/>
      <c r="L191" s="605"/>
      <c r="M191" s="13" t="s">
        <v>23</v>
      </c>
    </row>
    <row r="192" spans="2:14" x14ac:dyDescent="0.2">
      <c r="B192" s="15"/>
      <c r="C192" s="596"/>
      <c r="D192" s="596"/>
      <c r="E192" s="596"/>
      <c r="F192" s="596"/>
      <c r="G192" s="596"/>
      <c r="H192" s="596"/>
      <c r="I192" s="596"/>
      <c r="J192" s="596"/>
      <c r="K192" s="596"/>
      <c r="L192" s="597"/>
      <c r="M192" s="13"/>
    </row>
    <row r="193" spans="2:14" x14ac:dyDescent="0.2">
      <c r="B193" s="15"/>
      <c r="C193" s="596"/>
      <c r="D193" s="596"/>
      <c r="E193" s="596"/>
      <c r="F193" s="596"/>
      <c r="G193" s="596"/>
      <c r="H193" s="596"/>
      <c r="I193" s="596"/>
      <c r="J193" s="596"/>
      <c r="K193" s="596"/>
      <c r="L193" s="597"/>
      <c r="M193" s="13"/>
    </row>
    <row r="194" spans="2:14" ht="15.75" x14ac:dyDescent="0.25">
      <c r="B194" s="7" t="s">
        <v>7</v>
      </c>
      <c r="C194" s="313"/>
      <c r="D194" s="313"/>
      <c r="E194" s="313"/>
      <c r="F194" s="313"/>
      <c r="G194" s="313"/>
      <c r="H194" s="313"/>
      <c r="I194" s="313"/>
      <c r="J194" s="313"/>
      <c r="K194" s="313"/>
      <c r="L194" s="313"/>
    </row>
    <row r="195" spans="2:14" ht="15.75" x14ac:dyDescent="0.2">
      <c r="B195" s="10" t="s">
        <v>8</v>
      </c>
      <c r="C195" s="607"/>
      <c r="D195" s="596"/>
      <c r="E195" s="596"/>
      <c r="F195" s="596"/>
      <c r="G195" s="596"/>
      <c r="H195" s="596"/>
      <c r="I195" s="596"/>
      <c r="J195" s="596"/>
      <c r="K195" s="596"/>
      <c r="L195" s="597"/>
      <c r="M195" s="13"/>
    </row>
    <row r="196" spans="2:14" ht="14.25" customHeight="1" x14ac:dyDescent="0.2">
      <c r="B196" s="15" t="s">
        <v>4</v>
      </c>
      <c r="C196" s="597" t="s">
        <v>241</v>
      </c>
      <c r="D196" s="600"/>
      <c r="E196" s="600"/>
      <c r="F196" s="600"/>
      <c r="G196" s="600"/>
      <c r="H196" s="600"/>
      <c r="I196" s="600"/>
      <c r="J196" s="600"/>
      <c r="K196" s="600"/>
      <c r="L196" s="600"/>
      <c r="M196" s="13" t="s">
        <v>13</v>
      </c>
      <c r="N196" s="16" t="s">
        <v>27</v>
      </c>
    </row>
    <row r="197" spans="2:14" ht="24" customHeight="1" x14ac:dyDescent="0.2">
      <c r="B197" s="15" t="s">
        <v>4</v>
      </c>
      <c r="C197" s="608" t="s">
        <v>25</v>
      </c>
      <c r="D197" s="609"/>
      <c r="E197" s="610" t="s">
        <v>289</v>
      </c>
      <c r="F197" s="611"/>
      <c r="G197" s="611"/>
      <c r="H197" s="611"/>
      <c r="I197" s="611"/>
      <c r="J197" s="611"/>
      <c r="K197" s="611"/>
      <c r="L197" s="612"/>
      <c r="M197" s="55">
        <f>'OP1,3,8-Item Costs'!$B$10</f>
        <v>37967000</v>
      </c>
      <c r="N197" s="243" t="s">
        <v>104</v>
      </c>
    </row>
    <row r="198" spans="2:14" ht="14.25" customHeight="1" x14ac:dyDescent="0.2">
      <c r="B198" s="15" t="s">
        <v>4</v>
      </c>
      <c r="C198" s="595" t="s">
        <v>103</v>
      </c>
      <c r="D198" s="596"/>
      <c r="E198" s="596"/>
      <c r="F198" s="596"/>
      <c r="G198" s="596"/>
      <c r="H198" s="596"/>
      <c r="I198" s="596"/>
      <c r="J198" s="596"/>
      <c r="K198" s="596"/>
      <c r="L198" s="597"/>
      <c r="M198" s="55">
        <f>'OP1,3,8-Item Costs'!$B$23</f>
        <v>8786350</v>
      </c>
    </row>
    <row r="199" spans="2:14" ht="14.25" customHeight="1" x14ac:dyDescent="0.2">
      <c r="B199" s="15" t="s">
        <v>4</v>
      </c>
      <c r="C199" s="595" t="s">
        <v>106</v>
      </c>
      <c r="D199" s="596"/>
      <c r="E199" s="596"/>
      <c r="F199" s="596"/>
      <c r="G199" s="596"/>
      <c r="H199" s="596"/>
      <c r="I199" s="596"/>
      <c r="J199" s="596"/>
      <c r="K199" s="596"/>
      <c r="L199" s="597"/>
      <c r="M199" s="55">
        <v>0</v>
      </c>
    </row>
    <row r="200" spans="2:14" ht="14.25" customHeight="1" x14ac:dyDescent="0.2">
      <c r="B200" s="15" t="s">
        <v>4</v>
      </c>
      <c r="C200" s="595" t="s">
        <v>230</v>
      </c>
      <c r="D200" s="596"/>
      <c r="E200" s="596"/>
      <c r="F200" s="596"/>
      <c r="G200" s="596"/>
      <c r="H200" s="596"/>
      <c r="I200" s="596"/>
      <c r="J200" s="596"/>
      <c r="K200" s="596"/>
      <c r="L200" s="597"/>
      <c r="M200" s="55">
        <f>'OP1,3,8-Item Costs'!$B$27</f>
        <v>2233915.2999999998</v>
      </c>
    </row>
    <row r="201" spans="2:14" x14ac:dyDescent="0.2">
      <c r="B201" s="15" t="s">
        <v>4</v>
      </c>
      <c r="C201" s="595" t="s">
        <v>483</v>
      </c>
      <c r="D201" s="596"/>
      <c r="E201" s="596"/>
      <c r="F201" s="596"/>
      <c r="G201" s="596"/>
      <c r="H201" s="596"/>
      <c r="I201" s="596"/>
      <c r="J201" s="596"/>
      <c r="K201" s="596"/>
      <c r="L201" s="597"/>
      <c r="M201" s="55">
        <f>55000+420+'OP1,3,8-Project Cost'!$C$38*1.03</f>
        <v>299334.25612231513</v>
      </c>
    </row>
    <row r="202" spans="2:14" ht="28.5" customHeight="1" x14ac:dyDescent="0.2">
      <c r="B202" s="15" t="s">
        <v>4</v>
      </c>
      <c r="C202" s="595" t="s">
        <v>557</v>
      </c>
      <c r="D202" s="596"/>
      <c r="E202" s="596"/>
      <c r="F202" s="596"/>
      <c r="G202" s="596"/>
      <c r="H202" s="596"/>
      <c r="I202" s="596"/>
      <c r="J202" s="596"/>
      <c r="K202" s="596"/>
      <c r="L202" s="597"/>
      <c r="M202" s="55">
        <f>572196</f>
        <v>572196</v>
      </c>
    </row>
    <row r="203" spans="2:14" ht="14.25" customHeight="1" x14ac:dyDescent="0.2">
      <c r="B203" s="15" t="s">
        <v>4</v>
      </c>
      <c r="C203" s="595" t="s">
        <v>474</v>
      </c>
      <c r="D203" s="596"/>
      <c r="E203" s="596"/>
      <c r="F203" s="596"/>
      <c r="G203" s="596"/>
      <c r="H203" s="596"/>
      <c r="I203" s="596"/>
      <c r="J203" s="596"/>
      <c r="K203" s="596"/>
      <c r="L203" s="597"/>
      <c r="M203" s="55">
        <f>'OP1,3,8-Item Costs'!$B$29</f>
        <v>3373448.0985151711</v>
      </c>
      <c r="N203" s="16" t="s">
        <v>101</v>
      </c>
    </row>
    <row r="204" spans="2:14" ht="14.25" customHeight="1" x14ac:dyDescent="0.2">
      <c r="B204" s="15" t="s">
        <v>4</v>
      </c>
      <c r="C204" s="596" t="s">
        <v>231</v>
      </c>
      <c r="D204" s="596"/>
      <c r="E204" s="596"/>
      <c r="F204" s="596"/>
      <c r="G204" s="596"/>
      <c r="H204" s="596"/>
      <c r="I204" s="596"/>
      <c r="J204" s="596"/>
      <c r="K204" s="596"/>
      <c r="L204" s="597"/>
      <c r="M204" s="55">
        <f>'OP1,3,8-Item Costs'!$B$28</f>
        <v>24493632.649999999</v>
      </c>
      <c r="N204" s="16" t="s">
        <v>298</v>
      </c>
    </row>
    <row r="205" spans="2:14" ht="14.25" customHeight="1" x14ac:dyDescent="0.2">
      <c r="B205" s="15" t="s">
        <v>4</v>
      </c>
      <c r="C205" s="606" t="s">
        <v>105</v>
      </c>
      <c r="D205" s="596"/>
      <c r="E205" s="596"/>
      <c r="F205" s="596"/>
      <c r="G205" s="596"/>
      <c r="H205" s="596"/>
      <c r="I205" s="596"/>
      <c r="J205" s="596"/>
      <c r="K205" s="596"/>
      <c r="L205" s="597"/>
      <c r="M205" s="17">
        <v>0.5</v>
      </c>
    </row>
    <row r="206" spans="2:14" x14ac:dyDescent="0.2">
      <c r="B206" s="15" t="s">
        <v>4</v>
      </c>
      <c r="C206" s="595" t="s">
        <v>556</v>
      </c>
      <c r="D206" s="596"/>
      <c r="E206" s="596"/>
      <c r="F206" s="596"/>
      <c r="G206" s="596"/>
      <c r="H206" s="596"/>
      <c r="I206" s="596"/>
      <c r="J206" s="596"/>
      <c r="K206" s="596"/>
      <c r="L206" s="597"/>
      <c r="M206" s="447" t="s">
        <v>13</v>
      </c>
    </row>
    <row r="207" spans="2:14" x14ac:dyDescent="0.2">
      <c r="B207" s="15" t="s">
        <v>4</v>
      </c>
      <c r="C207" s="595" t="s">
        <v>555</v>
      </c>
      <c r="D207" s="596"/>
      <c r="E207" s="596"/>
      <c r="F207" s="596"/>
      <c r="G207" s="596"/>
      <c r="H207" s="596"/>
      <c r="I207" s="596"/>
      <c r="J207" s="596"/>
      <c r="K207" s="596"/>
      <c r="L207" s="597"/>
      <c r="M207" s="55">
        <f>M328</f>
        <v>432050.2843740001</v>
      </c>
    </row>
    <row r="208" spans="2:14" ht="14.25" customHeight="1" x14ac:dyDescent="0.2">
      <c r="B208" s="15" t="s">
        <v>4</v>
      </c>
      <c r="C208" s="595" t="s">
        <v>484</v>
      </c>
      <c r="D208" s="596"/>
      <c r="E208" s="596"/>
      <c r="F208" s="596"/>
      <c r="G208" s="596"/>
      <c r="H208" s="596"/>
      <c r="I208" s="596"/>
      <c r="J208" s="596"/>
      <c r="K208" s="596"/>
      <c r="L208" s="597"/>
      <c r="M208" s="441">
        <v>1.4999999999999999E-2</v>
      </c>
    </row>
    <row r="209" spans="2:14" x14ac:dyDescent="0.2">
      <c r="B209" s="15" t="s">
        <v>4</v>
      </c>
      <c r="C209" s="595" t="s">
        <v>108</v>
      </c>
      <c r="D209" s="596"/>
      <c r="E209" s="596"/>
      <c r="F209" s="596"/>
      <c r="G209" s="596"/>
      <c r="H209" s="596"/>
      <c r="I209" s="596"/>
      <c r="J209" s="596"/>
      <c r="K209" s="596"/>
      <c r="L209" s="597"/>
      <c r="M209" s="55">
        <f>4700000*1.02^6</f>
        <v>5292963.3705408005</v>
      </c>
    </row>
    <row r="210" spans="2:14" ht="15.75" customHeight="1" x14ac:dyDescent="0.25">
      <c r="B210" s="7" t="s">
        <v>9</v>
      </c>
      <c r="C210" s="616" t="s">
        <v>237</v>
      </c>
      <c r="D210" s="617"/>
      <c r="E210" s="617"/>
      <c r="F210" s="617"/>
      <c r="G210" s="617"/>
      <c r="H210" s="617"/>
      <c r="I210" s="617"/>
      <c r="J210" s="617"/>
      <c r="K210" s="617"/>
      <c r="L210" s="618"/>
      <c r="M210" s="17">
        <v>0.03</v>
      </c>
    </row>
    <row r="211" spans="2:14" ht="14.25" customHeight="1" x14ac:dyDescent="0.2">
      <c r="B211" s="15" t="s">
        <v>4</v>
      </c>
      <c r="C211" s="598" t="s">
        <v>322</v>
      </c>
      <c r="D211" s="599"/>
      <c r="E211" s="599"/>
      <c r="F211" s="599"/>
      <c r="G211" s="599"/>
      <c r="H211" s="599"/>
      <c r="I211" s="599"/>
      <c r="J211" s="599"/>
      <c r="K211" s="599"/>
      <c r="L211" s="599"/>
      <c r="M211" s="55">
        <f>'ALL-Opex Baseline'!$AA$10*(1+$M210)</f>
        <v>60637.37720000001</v>
      </c>
    </row>
    <row r="212" spans="2:14" ht="14.25" customHeight="1" x14ac:dyDescent="0.2">
      <c r="B212" s="15" t="s">
        <v>4</v>
      </c>
      <c r="C212" s="598" t="s">
        <v>323</v>
      </c>
      <c r="D212" s="599"/>
      <c r="E212" s="599"/>
      <c r="F212" s="599"/>
      <c r="G212" s="599"/>
      <c r="H212" s="599"/>
      <c r="I212" s="599"/>
      <c r="J212" s="599"/>
      <c r="K212" s="599"/>
      <c r="L212" s="599"/>
      <c r="M212" s="55">
        <f>'ALL-Opex Baseline'!$N$14*(1+$M210)</f>
        <v>123121.6989</v>
      </c>
    </row>
    <row r="213" spans="2:14" ht="14.25" customHeight="1" x14ac:dyDescent="0.2">
      <c r="B213" s="15" t="s">
        <v>4</v>
      </c>
      <c r="C213" s="598" t="s">
        <v>324</v>
      </c>
      <c r="D213" s="599"/>
      <c r="E213" s="599"/>
      <c r="F213" s="599"/>
      <c r="G213" s="599"/>
      <c r="H213" s="599"/>
      <c r="I213" s="599"/>
      <c r="J213" s="599"/>
      <c r="K213" s="599"/>
      <c r="L213" s="599"/>
      <c r="M213" s="55">
        <f>'ALL-Opex Baseline'!$AA$21*(1+$M210)</f>
        <v>260661.2245000001</v>
      </c>
    </row>
    <row r="214" spans="2:14" ht="14.25" customHeight="1" x14ac:dyDescent="0.2">
      <c r="B214" s="15" t="s">
        <v>4</v>
      </c>
      <c r="C214" s="598" t="s">
        <v>325</v>
      </c>
      <c r="D214" s="599"/>
      <c r="E214" s="599"/>
      <c r="F214" s="599"/>
      <c r="G214" s="599"/>
      <c r="H214" s="599"/>
      <c r="I214" s="599"/>
      <c r="J214" s="599"/>
      <c r="K214" s="599"/>
      <c r="L214" s="599"/>
      <c r="M214" s="55">
        <f>'ALL-Opex Baseline'!$N$32*(1+$M210)</f>
        <v>580910.69848962966</v>
      </c>
    </row>
    <row r="215" spans="2:14" ht="14.25" customHeight="1" x14ac:dyDescent="0.2">
      <c r="B215" s="15" t="s">
        <v>4</v>
      </c>
      <c r="C215" s="598" t="s">
        <v>326</v>
      </c>
      <c r="D215" s="599"/>
      <c r="E215" s="599"/>
      <c r="F215" s="599"/>
      <c r="G215" s="599"/>
      <c r="H215" s="599"/>
      <c r="I215" s="599"/>
      <c r="J215" s="599"/>
      <c r="K215" s="599"/>
      <c r="L215" s="599"/>
      <c r="M215" s="55">
        <f>'ALL-Opex Baseline'!$AA$39*(1+$M210)</f>
        <v>289559.37315000006</v>
      </c>
    </row>
    <row r="216" spans="2:14" ht="14.25" customHeight="1" x14ac:dyDescent="0.2">
      <c r="B216" s="15" t="s">
        <v>4</v>
      </c>
      <c r="C216" s="598" t="s">
        <v>327</v>
      </c>
      <c r="D216" s="599"/>
      <c r="E216" s="599"/>
      <c r="F216" s="599"/>
      <c r="G216" s="599"/>
      <c r="H216" s="599"/>
      <c r="I216" s="599"/>
      <c r="J216" s="599"/>
      <c r="K216" s="599"/>
      <c r="L216" s="599"/>
      <c r="M216" s="55">
        <f>'ALL-Opex Baseline'!$N$49*(1+$M210)</f>
        <v>598014.84670376685</v>
      </c>
    </row>
    <row r="217" spans="2:14" ht="14.25" customHeight="1" x14ac:dyDescent="0.2">
      <c r="B217" s="15" t="s">
        <v>4</v>
      </c>
      <c r="C217" s="598" t="s">
        <v>290</v>
      </c>
      <c r="D217" s="599"/>
      <c r="E217" s="599"/>
      <c r="F217" s="599"/>
      <c r="G217" s="599"/>
      <c r="H217" s="599"/>
      <c r="I217" s="599"/>
      <c r="J217" s="599"/>
      <c r="K217" s="599"/>
      <c r="L217" s="599"/>
      <c r="M217" s="55">
        <f>318872*(1+0.04)</f>
        <v>331626.88</v>
      </c>
    </row>
    <row r="218" spans="2:14" ht="30" customHeight="1" x14ac:dyDescent="0.2">
      <c r="B218" s="15" t="s">
        <v>4</v>
      </c>
      <c r="C218" s="598" t="s">
        <v>567</v>
      </c>
      <c r="D218" s="599"/>
      <c r="E218" s="599"/>
      <c r="F218" s="599"/>
      <c r="G218" s="599"/>
      <c r="H218" s="599"/>
      <c r="I218" s="599"/>
      <c r="J218" s="599"/>
      <c r="K218" s="599"/>
      <c r="L218" s="599"/>
      <c r="M218" s="55">
        <f>'ALL-Opex Baseline'!$Y$10*(1+M210)</f>
        <v>44476.475803787871</v>
      </c>
      <c r="N218" s="16" t="s">
        <v>182</v>
      </c>
    </row>
    <row r="219" spans="2:14" ht="28.5" customHeight="1" x14ac:dyDescent="0.2">
      <c r="B219" s="15" t="s">
        <v>4</v>
      </c>
      <c r="C219" s="598" t="s">
        <v>291</v>
      </c>
      <c r="D219" s="599"/>
      <c r="E219" s="599"/>
      <c r="F219" s="599"/>
      <c r="G219" s="599"/>
      <c r="H219" s="599"/>
      <c r="I219" s="599"/>
      <c r="J219" s="599"/>
      <c r="K219" s="599"/>
      <c r="L219" s="599"/>
      <c r="M219" s="55">
        <f>'ALL-Opex Baseline'!$L$14*(1+M210)</f>
        <v>98977.470616666673</v>
      </c>
      <c r="N219" s="16" t="s">
        <v>182</v>
      </c>
    </row>
    <row r="220" spans="2:14" ht="30" customHeight="1" x14ac:dyDescent="0.2">
      <c r="B220" s="15" t="s">
        <v>4</v>
      </c>
      <c r="C220" s="598" t="s">
        <v>568</v>
      </c>
      <c r="D220" s="599"/>
      <c r="E220" s="599"/>
      <c r="F220" s="599"/>
      <c r="G220" s="599"/>
      <c r="H220" s="599"/>
      <c r="I220" s="599"/>
      <c r="J220" s="599"/>
      <c r="K220" s="599"/>
      <c r="L220" s="599"/>
      <c r="M220" s="55">
        <f>'ALL-Opex Baseline'!$Y$21*(1+M210)</f>
        <v>98989.736200000101</v>
      </c>
      <c r="N220" s="16" t="s">
        <v>182</v>
      </c>
    </row>
    <row r="221" spans="2:14" ht="54" customHeight="1" x14ac:dyDescent="0.2">
      <c r="B221" s="15" t="s">
        <v>4</v>
      </c>
      <c r="C221" s="598" t="s">
        <v>579</v>
      </c>
      <c r="D221" s="599"/>
      <c r="E221" s="599"/>
      <c r="F221" s="599"/>
      <c r="G221" s="599"/>
      <c r="H221" s="599"/>
      <c r="I221" s="599"/>
      <c r="J221" s="599"/>
      <c r="K221" s="599"/>
      <c r="L221" s="599"/>
      <c r="M221" s="55">
        <f>'ALL-Opex Baseline'!$L$32*(1+M210)</f>
        <v>444485.94879199541</v>
      </c>
      <c r="N221" s="16" t="s">
        <v>182</v>
      </c>
    </row>
    <row r="222" spans="2:14" ht="29.25" customHeight="1" x14ac:dyDescent="0.2">
      <c r="B222" s="15" t="s">
        <v>4</v>
      </c>
      <c r="C222" s="598" t="s">
        <v>569</v>
      </c>
      <c r="D222" s="599"/>
      <c r="E222" s="599"/>
      <c r="F222" s="599"/>
      <c r="G222" s="599"/>
      <c r="H222" s="599"/>
      <c r="I222" s="599"/>
      <c r="J222" s="599"/>
      <c r="K222" s="599"/>
      <c r="L222" s="599"/>
      <c r="M222" s="55">
        <f>'ALL-Opex Baseline'!$Y$39*(1+M210)</f>
        <v>42514.459986348142</v>
      </c>
      <c r="N222" s="16" t="s">
        <v>182</v>
      </c>
    </row>
    <row r="223" spans="2:14" ht="54" customHeight="1" x14ac:dyDescent="0.2">
      <c r="B223" s="15" t="s">
        <v>4</v>
      </c>
      <c r="C223" s="598" t="s">
        <v>292</v>
      </c>
      <c r="D223" s="599"/>
      <c r="E223" s="599"/>
      <c r="F223" s="599"/>
      <c r="G223" s="599"/>
      <c r="H223" s="599"/>
      <c r="I223" s="599"/>
      <c r="J223" s="599"/>
      <c r="K223" s="599"/>
      <c r="L223" s="599"/>
      <c r="M223" s="55">
        <f>'ALL-Opex Baseline'!$L$49*(1+M210)</f>
        <v>237454.56219057977</v>
      </c>
      <c r="N223" s="16" t="s">
        <v>182</v>
      </c>
    </row>
    <row r="224" spans="2:14" ht="52.5" customHeight="1" x14ac:dyDescent="0.2">
      <c r="B224" s="15" t="s">
        <v>4</v>
      </c>
      <c r="C224" s="603" t="s">
        <v>288</v>
      </c>
      <c r="D224" s="615"/>
      <c r="E224" s="615"/>
      <c r="F224" s="615"/>
      <c r="G224" s="615"/>
      <c r="H224" s="615"/>
      <c r="I224" s="615"/>
      <c r="J224" s="615"/>
      <c r="K224" s="615"/>
      <c r="L224" s="615"/>
      <c r="M224" s="55">
        <v>182000</v>
      </c>
    </row>
    <row r="225" spans="1:13" x14ac:dyDescent="0.2">
      <c r="B225" s="15" t="s">
        <v>4</v>
      </c>
      <c r="C225" s="603" t="s">
        <v>564</v>
      </c>
      <c r="D225" s="599"/>
      <c r="E225" s="599"/>
      <c r="F225" s="599"/>
      <c r="G225" s="599"/>
      <c r="H225" s="599"/>
      <c r="I225" s="599"/>
      <c r="J225" s="599"/>
      <c r="K225" s="599"/>
      <c r="L225" s="599"/>
      <c r="M225" s="55">
        <v>0</v>
      </c>
    </row>
    <row r="226" spans="1:13" x14ac:dyDescent="0.2">
      <c r="B226" s="15"/>
      <c r="C226" s="614"/>
      <c r="D226" s="615"/>
      <c r="E226" s="615"/>
      <c r="F226" s="615"/>
      <c r="G226" s="615"/>
      <c r="H226" s="615"/>
      <c r="I226" s="615"/>
      <c r="J226" s="615"/>
      <c r="K226" s="615"/>
      <c r="L226" s="615"/>
      <c r="M226" s="55"/>
    </row>
    <row r="227" spans="1:13" x14ac:dyDescent="0.2">
      <c r="C227" s="314"/>
      <c r="D227" s="314"/>
      <c r="E227" s="314"/>
      <c r="F227" s="314"/>
      <c r="G227" s="314"/>
      <c r="H227" s="314"/>
      <c r="I227" s="314"/>
      <c r="J227" s="314"/>
      <c r="K227" s="314"/>
      <c r="L227" s="314"/>
    </row>
    <row r="228" spans="1:13" x14ac:dyDescent="0.2">
      <c r="C228" s="314"/>
      <c r="D228" s="314"/>
      <c r="E228" s="314"/>
      <c r="F228" s="314"/>
      <c r="G228" s="314"/>
      <c r="H228" s="314"/>
      <c r="I228" s="314"/>
      <c r="J228" s="314"/>
      <c r="K228" s="314"/>
      <c r="L228" s="314"/>
    </row>
    <row r="229" spans="1:13" ht="15.75" x14ac:dyDescent="0.25">
      <c r="A229" s="2" t="s">
        <v>600</v>
      </c>
      <c r="C229" s="314"/>
      <c r="D229" s="314"/>
      <c r="E229" s="314"/>
      <c r="F229" s="314"/>
      <c r="G229" s="314"/>
      <c r="H229" s="314"/>
      <c r="I229" s="314"/>
      <c r="J229" s="314"/>
      <c r="K229" s="314"/>
      <c r="L229" s="314"/>
    </row>
    <row r="230" spans="1:13" x14ac:dyDescent="0.2">
      <c r="C230" s="314"/>
      <c r="D230" s="314"/>
      <c r="E230" s="314"/>
      <c r="F230" s="314"/>
      <c r="G230" s="314"/>
      <c r="H230" s="314"/>
      <c r="I230" s="314"/>
      <c r="J230" s="314"/>
      <c r="K230" s="314"/>
      <c r="L230" s="314"/>
    </row>
    <row r="231" spans="1:13" ht="15.75" x14ac:dyDescent="0.2">
      <c r="B231" s="8" t="s">
        <v>1</v>
      </c>
      <c r="C231" s="613" t="s">
        <v>272</v>
      </c>
      <c r="D231" s="613"/>
      <c r="E231" s="613"/>
      <c r="F231" s="613"/>
      <c r="G231" s="613"/>
      <c r="H231" s="613"/>
      <c r="I231" s="613"/>
      <c r="J231" s="613"/>
      <c r="K231" s="613"/>
      <c r="L231" s="613"/>
    </row>
    <row r="232" spans="1:13" ht="41.25" customHeight="1" x14ac:dyDescent="0.2">
      <c r="B232" s="15" t="s">
        <v>4</v>
      </c>
      <c r="C232" s="596" t="s">
        <v>504</v>
      </c>
      <c r="D232" s="596"/>
      <c r="E232" s="596"/>
      <c r="F232" s="596"/>
      <c r="G232" s="596"/>
      <c r="H232" s="596"/>
      <c r="I232" s="596"/>
      <c r="J232" s="596"/>
      <c r="K232" s="596"/>
      <c r="L232" s="597"/>
    </row>
    <row r="233" spans="1:13" ht="15.75" x14ac:dyDescent="0.25">
      <c r="B233" s="3"/>
      <c r="C233" s="313"/>
      <c r="D233" s="313"/>
      <c r="E233" s="313"/>
      <c r="F233" s="313"/>
      <c r="G233" s="313"/>
      <c r="H233" s="313"/>
      <c r="I233" s="313"/>
      <c r="J233" s="313"/>
      <c r="K233" s="313"/>
      <c r="L233" s="313"/>
    </row>
    <row r="234" spans="1:13" ht="15.75" x14ac:dyDescent="0.25">
      <c r="B234" s="7" t="s">
        <v>3</v>
      </c>
      <c r="C234" s="313"/>
      <c r="D234" s="313"/>
      <c r="E234" s="313"/>
      <c r="F234" s="313"/>
      <c r="G234" s="313"/>
      <c r="H234" s="313"/>
      <c r="I234" s="313"/>
      <c r="J234" s="313"/>
      <c r="K234" s="313"/>
      <c r="L234" s="313"/>
    </row>
    <row r="235" spans="1:13" x14ac:dyDescent="0.2">
      <c r="B235" s="15" t="s">
        <v>4</v>
      </c>
      <c r="C235" s="597" t="s">
        <v>505</v>
      </c>
      <c r="D235" s="600"/>
      <c r="E235" s="600"/>
      <c r="F235" s="600"/>
      <c r="G235" s="600"/>
      <c r="H235" s="600"/>
      <c r="I235" s="600"/>
      <c r="J235" s="600"/>
      <c r="K235" s="600"/>
      <c r="L235" s="600"/>
      <c r="M235" s="13" t="s">
        <v>13</v>
      </c>
    </row>
    <row r="236" spans="1:13" x14ac:dyDescent="0.2">
      <c r="B236" s="15" t="s">
        <v>4</v>
      </c>
      <c r="C236" s="597" t="s">
        <v>15</v>
      </c>
      <c r="D236" s="600"/>
      <c r="E236" s="600"/>
      <c r="F236" s="600"/>
      <c r="G236" s="600"/>
      <c r="H236" s="600"/>
      <c r="I236" s="600"/>
      <c r="J236" s="600"/>
      <c r="K236" s="600"/>
      <c r="L236" s="600"/>
      <c r="M236" s="13" t="s">
        <v>13</v>
      </c>
    </row>
    <row r="237" spans="1:13" x14ac:dyDescent="0.2">
      <c r="B237" s="15" t="s">
        <v>4</v>
      </c>
      <c r="C237" s="597" t="s">
        <v>506</v>
      </c>
      <c r="D237" s="600"/>
      <c r="E237" s="600"/>
      <c r="F237" s="600"/>
      <c r="G237" s="600"/>
      <c r="H237" s="600"/>
      <c r="I237" s="600"/>
      <c r="J237" s="600"/>
      <c r="K237" s="600"/>
      <c r="L237" s="600"/>
      <c r="M237" s="13" t="s">
        <v>13</v>
      </c>
    </row>
    <row r="238" spans="1:13" x14ac:dyDescent="0.2">
      <c r="B238" s="15" t="s">
        <v>4</v>
      </c>
      <c r="C238" s="597" t="s">
        <v>20</v>
      </c>
      <c r="D238" s="600"/>
      <c r="E238" s="600"/>
      <c r="F238" s="600"/>
      <c r="G238" s="600"/>
      <c r="H238" s="600"/>
      <c r="I238" s="600"/>
      <c r="J238" s="600"/>
      <c r="K238" s="600"/>
      <c r="L238" s="600"/>
      <c r="M238" s="13" t="s">
        <v>13</v>
      </c>
    </row>
    <row r="239" spans="1:13" ht="14.25" customHeight="1" x14ac:dyDescent="0.2">
      <c r="B239" s="15" t="s">
        <v>4</v>
      </c>
      <c r="C239" s="595" t="s">
        <v>312</v>
      </c>
      <c r="D239" s="596"/>
      <c r="E239" s="596"/>
      <c r="F239" s="596"/>
      <c r="G239" s="596"/>
      <c r="H239" s="596"/>
      <c r="I239" s="596"/>
      <c r="J239" s="596"/>
      <c r="K239" s="596"/>
      <c r="L239" s="597"/>
      <c r="M239" s="13" t="s">
        <v>13</v>
      </c>
    </row>
    <row r="240" spans="1:13" ht="14.25" customHeight="1" x14ac:dyDescent="0.2">
      <c r="B240" s="15" t="s">
        <v>4</v>
      </c>
      <c r="C240" s="595" t="s">
        <v>16</v>
      </c>
      <c r="D240" s="596"/>
      <c r="E240" s="596"/>
      <c r="F240" s="596"/>
      <c r="G240" s="596"/>
      <c r="H240" s="596"/>
      <c r="I240" s="596"/>
      <c r="J240" s="596"/>
      <c r="K240" s="596"/>
      <c r="L240" s="597"/>
      <c r="M240" s="13" t="s">
        <v>13</v>
      </c>
    </row>
    <row r="241" spans="2:14" ht="14.25" customHeight="1" x14ac:dyDescent="0.2">
      <c r="B241" s="15" t="s">
        <v>4</v>
      </c>
      <c r="C241" s="595" t="s">
        <v>507</v>
      </c>
      <c r="D241" s="596"/>
      <c r="E241" s="596"/>
      <c r="F241" s="596"/>
      <c r="G241" s="596"/>
      <c r="H241" s="596"/>
      <c r="I241" s="596"/>
      <c r="J241" s="596"/>
      <c r="K241" s="596"/>
      <c r="L241" s="597"/>
      <c r="M241" s="13" t="s">
        <v>13</v>
      </c>
    </row>
    <row r="242" spans="2:14" ht="14.25" customHeight="1" x14ac:dyDescent="0.2">
      <c r="B242" s="15" t="s">
        <v>4</v>
      </c>
      <c r="C242" s="597" t="s">
        <v>508</v>
      </c>
      <c r="D242" s="600"/>
      <c r="E242" s="600"/>
      <c r="F242" s="600"/>
      <c r="G242" s="600"/>
      <c r="H242" s="600"/>
      <c r="I242" s="600"/>
      <c r="J242" s="600"/>
      <c r="K242" s="600"/>
      <c r="L242" s="600"/>
      <c r="M242" s="13" t="s">
        <v>13</v>
      </c>
    </row>
    <row r="243" spans="2:14" ht="14.25" customHeight="1" x14ac:dyDescent="0.2">
      <c r="B243" s="15" t="s">
        <v>4</v>
      </c>
      <c r="C243" s="595" t="s">
        <v>509</v>
      </c>
      <c r="D243" s="596"/>
      <c r="E243" s="596"/>
      <c r="F243" s="596"/>
      <c r="G243" s="596"/>
      <c r="H243" s="596"/>
      <c r="I243" s="596"/>
      <c r="J243" s="596"/>
      <c r="K243" s="596"/>
      <c r="L243" s="597"/>
      <c r="M243" s="13" t="s">
        <v>13</v>
      </c>
    </row>
    <row r="244" spans="2:14" ht="14.25" customHeight="1" x14ac:dyDescent="0.2">
      <c r="B244" s="15" t="s">
        <v>4</v>
      </c>
      <c r="C244" s="595" t="s">
        <v>510</v>
      </c>
      <c r="D244" s="596"/>
      <c r="E244" s="596"/>
      <c r="F244" s="596"/>
      <c r="G244" s="596"/>
      <c r="H244" s="596"/>
      <c r="I244" s="596"/>
      <c r="J244" s="596"/>
      <c r="K244" s="596"/>
      <c r="L244" s="597"/>
      <c r="M244" s="13" t="s">
        <v>13</v>
      </c>
    </row>
    <row r="245" spans="2:14" ht="14.25" customHeight="1" x14ac:dyDescent="0.2">
      <c r="B245" s="15" t="s">
        <v>4</v>
      </c>
      <c r="C245" s="595" t="s">
        <v>511</v>
      </c>
      <c r="D245" s="596"/>
      <c r="E245" s="596"/>
      <c r="F245" s="596"/>
      <c r="G245" s="596"/>
      <c r="H245" s="596"/>
      <c r="I245" s="596"/>
      <c r="J245" s="596"/>
      <c r="K245" s="596"/>
      <c r="L245" s="597"/>
      <c r="M245" s="13"/>
    </row>
    <row r="246" spans="2:14" ht="14.25" customHeight="1" x14ac:dyDescent="0.2">
      <c r="B246" s="15" t="s">
        <v>4</v>
      </c>
      <c r="C246" s="595" t="s">
        <v>512</v>
      </c>
      <c r="D246" s="596"/>
      <c r="E246" s="596"/>
      <c r="F246" s="596"/>
      <c r="G246" s="596"/>
      <c r="H246" s="596"/>
      <c r="I246" s="596"/>
      <c r="J246" s="596"/>
      <c r="K246" s="596"/>
      <c r="L246" s="597"/>
      <c r="M246" s="13" t="s">
        <v>13</v>
      </c>
    </row>
    <row r="247" spans="2:14" ht="14.25" customHeight="1" x14ac:dyDescent="0.2">
      <c r="B247" s="15" t="s">
        <v>4</v>
      </c>
      <c r="C247" s="597" t="s">
        <v>513</v>
      </c>
      <c r="D247" s="600"/>
      <c r="E247" s="600"/>
      <c r="F247" s="600"/>
      <c r="G247" s="600"/>
      <c r="H247" s="600"/>
      <c r="I247" s="600"/>
      <c r="J247" s="600"/>
      <c r="K247" s="600"/>
      <c r="L247" s="600"/>
      <c r="M247" s="13" t="s">
        <v>13</v>
      </c>
    </row>
    <row r="248" spans="2:14" ht="14.25" customHeight="1" x14ac:dyDescent="0.2">
      <c r="B248" s="15" t="s">
        <v>4</v>
      </c>
      <c r="C248" s="597" t="s">
        <v>514</v>
      </c>
      <c r="D248" s="600"/>
      <c r="E248" s="600"/>
      <c r="F248" s="600"/>
      <c r="G248" s="600"/>
      <c r="H248" s="600"/>
      <c r="I248" s="600"/>
      <c r="J248" s="600"/>
      <c r="K248" s="600"/>
      <c r="L248" s="600"/>
      <c r="M248" s="13" t="s">
        <v>13</v>
      </c>
      <c r="N248" s="438"/>
    </row>
    <row r="249" spans="2:14" x14ac:dyDescent="0.2">
      <c r="B249" s="15"/>
      <c r="C249" s="595"/>
      <c r="D249" s="596"/>
      <c r="E249" s="596"/>
      <c r="F249" s="596"/>
      <c r="G249" s="596"/>
      <c r="H249" s="596"/>
      <c r="I249" s="596"/>
      <c r="J249" s="596"/>
      <c r="K249" s="596"/>
      <c r="L249" s="597"/>
      <c r="M249" s="13"/>
      <c r="N249" s="437"/>
    </row>
    <row r="250" spans="2:14" ht="15.75" x14ac:dyDescent="0.25">
      <c r="B250" s="7" t="s">
        <v>5</v>
      </c>
      <c r="C250" s="11"/>
      <c r="D250" s="11"/>
      <c r="E250" s="11"/>
      <c r="F250" s="11"/>
      <c r="G250" s="11"/>
      <c r="H250" s="11"/>
      <c r="I250" s="11"/>
      <c r="J250" s="11"/>
      <c r="K250" s="11"/>
      <c r="L250" s="11"/>
      <c r="N250" s="437"/>
    </row>
    <row r="251" spans="2:14" x14ac:dyDescent="0.2">
      <c r="B251" s="15" t="s">
        <v>4</v>
      </c>
      <c r="C251" s="596" t="s">
        <v>687</v>
      </c>
      <c r="D251" s="596"/>
      <c r="E251" s="596"/>
      <c r="F251" s="596"/>
      <c r="G251" s="596"/>
      <c r="H251" s="596"/>
      <c r="I251" s="596"/>
      <c r="J251" s="596"/>
      <c r="K251" s="596"/>
      <c r="L251" s="597"/>
      <c r="M251" s="13" t="s">
        <v>21</v>
      </c>
      <c r="N251" s="317"/>
    </row>
    <row r="252" spans="2:14" x14ac:dyDescent="0.2">
      <c r="B252" s="15" t="s">
        <v>4</v>
      </c>
      <c r="C252" s="596" t="s">
        <v>515</v>
      </c>
      <c r="D252" s="596"/>
      <c r="E252" s="596"/>
      <c r="F252" s="596"/>
      <c r="G252" s="596"/>
      <c r="H252" s="596"/>
      <c r="I252" s="596"/>
      <c r="J252" s="596"/>
      <c r="K252" s="596"/>
      <c r="L252" s="597"/>
      <c r="M252" s="13" t="s">
        <v>22</v>
      </c>
      <c r="N252" s="317"/>
    </row>
    <row r="253" spans="2:14" x14ac:dyDescent="0.2">
      <c r="B253" s="15" t="s">
        <v>4</v>
      </c>
      <c r="C253" s="596" t="s">
        <v>516</v>
      </c>
      <c r="D253" s="596"/>
      <c r="E253" s="596"/>
      <c r="F253" s="596"/>
      <c r="G253" s="596"/>
      <c r="H253" s="596"/>
      <c r="I253" s="596"/>
      <c r="J253" s="596"/>
      <c r="K253" s="596"/>
      <c r="L253" s="597"/>
      <c r="M253" s="13" t="s">
        <v>22</v>
      </c>
      <c r="N253" s="316"/>
    </row>
    <row r="254" spans="2:14" x14ac:dyDescent="0.2">
      <c r="B254" s="15" t="s">
        <v>4</v>
      </c>
      <c r="C254" s="596" t="s">
        <v>521</v>
      </c>
      <c r="D254" s="596"/>
      <c r="E254" s="596"/>
      <c r="F254" s="596"/>
      <c r="G254" s="596"/>
      <c r="H254" s="596"/>
      <c r="I254" s="596"/>
      <c r="J254" s="596"/>
      <c r="K254" s="596"/>
      <c r="L254" s="597"/>
      <c r="M254" s="13" t="s">
        <v>24</v>
      </c>
    </row>
    <row r="255" spans="2:14" x14ac:dyDescent="0.2">
      <c r="B255" s="15" t="s">
        <v>4</v>
      </c>
      <c r="C255" s="596" t="s">
        <v>522</v>
      </c>
      <c r="D255" s="596"/>
      <c r="E255" s="596"/>
      <c r="F255" s="596"/>
      <c r="G255" s="596"/>
      <c r="H255" s="596"/>
      <c r="I255" s="596"/>
      <c r="J255" s="596"/>
      <c r="K255" s="596"/>
      <c r="L255" s="597"/>
      <c r="M255" s="13" t="s">
        <v>24</v>
      </c>
    </row>
    <row r="256" spans="2:14" x14ac:dyDescent="0.2">
      <c r="B256" s="15" t="s">
        <v>4</v>
      </c>
      <c r="C256" s="596" t="s">
        <v>693</v>
      </c>
      <c r="D256" s="596"/>
      <c r="E256" s="596"/>
      <c r="F256" s="596"/>
      <c r="G256" s="596"/>
      <c r="H256" s="596"/>
      <c r="I256" s="596"/>
      <c r="J256" s="596"/>
      <c r="K256" s="596"/>
      <c r="L256" s="597"/>
      <c r="M256" s="13" t="s">
        <v>605</v>
      </c>
    </row>
    <row r="257" spans="2:14" x14ac:dyDescent="0.2">
      <c r="B257" s="15" t="s">
        <v>4</v>
      </c>
      <c r="C257" s="596" t="s">
        <v>546</v>
      </c>
      <c r="D257" s="596"/>
      <c r="E257" s="596"/>
      <c r="F257" s="596"/>
      <c r="G257" s="596"/>
      <c r="H257" s="596"/>
      <c r="I257" s="596"/>
      <c r="J257" s="596"/>
      <c r="K257" s="596"/>
      <c r="L257" s="597"/>
      <c r="M257" s="13" t="s">
        <v>24</v>
      </c>
    </row>
    <row r="258" spans="2:14" x14ac:dyDescent="0.2">
      <c r="B258" s="15" t="s">
        <v>4</v>
      </c>
      <c r="C258" s="596" t="s">
        <v>547</v>
      </c>
      <c r="D258" s="596"/>
      <c r="E258" s="596"/>
      <c r="F258" s="596"/>
      <c r="G258" s="596"/>
      <c r="H258" s="596"/>
      <c r="I258" s="596"/>
      <c r="J258" s="596"/>
      <c r="K258" s="596"/>
      <c r="L258" s="597"/>
      <c r="M258" s="13" t="s">
        <v>109</v>
      </c>
    </row>
    <row r="259" spans="2:14" ht="14.25" customHeight="1" x14ac:dyDescent="0.2">
      <c r="B259" s="15" t="s">
        <v>4</v>
      </c>
      <c r="C259" s="596" t="s">
        <v>525</v>
      </c>
      <c r="D259" s="596"/>
      <c r="E259" s="596"/>
      <c r="F259" s="596"/>
      <c r="G259" s="596"/>
      <c r="H259" s="596"/>
      <c r="I259" s="596"/>
      <c r="J259" s="596"/>
      <c r="K259" s="596"/>
      <c r="L259" s="597"/>
      <c r="M259" s="13" t="s">
        <v>24</v>
      </c>
    </row>
    <row r="260" spans="2:14" x14ac:dyDescent="0.2">
      <c r="B260" s="15" t="s">
        <v>4</v>
      </c>
      <c r="C260" s="595" t="s">
        <v>255</v>
      </c>
      <c r="D260" s="596"/>
      <c r="E260" s="596"/>
      <c r="F260" s="596"/>
      <c r="G260" s="596"/>
      <c r="H260" s="596"/>
      <c r="I260" s="596"/>
      <c r="J260" s="596"/>
      <c r="K260" s="596"/>
      <c r="L260" s="597"/>
      <c r="M260" s="13" t="s">
        <v>22</v>
      </c>
    </row>
    <row r="261" spans="2:14" x14ac:dyDescent="0.2">
      <c r="B261" s="15"/>
      <c r="C261" s="596"/>
      <c r="D261" s="596"/>
      <c r="E261" s="596"/>
      <c r="F261" s="596"/>
      <c r="G261" s="596"/>
      <c r="H261" s="596"/>
      <c r="I261" s="596"/>
      <c r="J261" s="596"/>
      <c r="K261" s="596"/>
      <c r="L261" s="597"/>
      <c r="M261" s="13"/>
    </row>
    <row r="262" spans="2:14" ht="15.75" x14ac:dyDescent="0.25">
      <c r="B262" s="7" t="s">
        <v>7</v>
      </c>
      <c r="C262" s="313"/>
      <c r="D262" s="313"/>
      <c r="E262" s="313"/>
      <c r="F262" s="313"/>
      <c r="G262" s="313"/>
      <c r="H262" s="313"/>
      <c r="I262" s="313"/>
      <c r="J262" s="313"/>
      <c r="K262" s="313"/>
      <c r="L262" s="313"/>
    </row>
    <row r="263" spans="2:14" ht="15.75" x14ac:dyDescent="0.2">
      <c r="B263" s="10" t="s">
        <v>8</v>
      </c>
      <c r="C263" s="607"/>
      <c r="D263" s="596"/>
      <c r="E263" s="596"/>
      <c r="F263" s="596"/>
      <c r="G263" s="596"/>
      <c r="H263" s="596"/>
      <c r="I263" s="596"/>
      <c r="J263" s="596"/>
      <c r="K263" s="596"/>
      <c r="L263" s="597"/>
      <c r="M263" s="13"/>
    </row>
    <row r="264" spans="2:14" x14ac:dyDescent="0.2">
      <c r="B264" s="15"/>
      <c r="C264" s="597"/>
      <c r="D264" s="600"/>
      <c r="E264" s="600"/>
      <c r="F264" s="600"/>
      <c r="G264" s="600"/>
      <c r="H264" s="600"/>
      <c r="I264" s="600"/>
      <c r="J264" s="600"/>
      <c r="K264" s="600"/>
      <c r="L264" s="600"/>
      <c r="M264" s="55"/>
      <c r="N264" s="318"/>
    </row>
    <row r="265" spans="2:14" x14ac:dyDescent="0.2">
      <c r="B265" s="15" t="s">
        <v>4</v>
      </c>
      <c r="C265" s="597" t="s">
        <v>517</v>
      </c>
      <c r="D265" s="600"/>
      <c r="E265" s="600"/>
      <c r="F265" s="600"/>
      <c r="G265" s="600"/>
      <c r="H265" s="600"/>
      <c r="I265" s="600"/>
      <c r="J265" s="600"/>
      <c r="K265" s="600"/>
      <c r="L265" s="600"/>
      <c r="M265" s="13" t="s">
        <v>13</v>
      </c>
      <c r="N265" s="16"/>
    </row>
    <row r="266" spans="2:14" ht="29.25" customHeight="1" x14ac:dyDescent="0.2">
      <c r="B266" s="15" t="s">
        <v>4</v>
      </c>
      <c r="C266" s="608" t="s">
        <v>518</v>
      </c>
      <c r="D266" s="609"/>
      <c r="E266" s="610" t="s">
        <v>524</v>
      </c>
      <c r="F266" s="611"/>
      <c r="G266" s="611"/>
      <c r="H266" s="611"/>
      <c r="I266" s="611"/>
      <c r="J266" s="611"/>
      <c r="K266" s="611"/>
      <c r="L266" s="612"/>
      <c r="M266" s="55">
        <f>SUM('OP4-Item Costs'!B4:B5)</f>
        <v>79891600</v>
      </c>
      <c r="N266" s="318" t="s">
        <v>533</v>
      </c>
    </row>
    <row r="267" spans="2:14" x14ac:dyDescent="0.2">
      <c r="B267" s="15" t="s">
        <v>4</v>
      </c>
      <c r="C267" s="595" t="s">
        <v>103</v>
      </c>
      <c r="D267" s="596"/>
      <c r="E267" s="596"/>
      <c r="F267" s="596"/>
      <c r="G267" s="596"/>
      <c r="H267" s="596"/>
      <c r="I267" s="596"/>
      <c r="J267" s="596"/>
      <c r="K267" s="596"/>
      <c r="L267" s="597"/>
      <c r="M267" s="55">
        <f>SUM('OP4-Item Costs'!B18:B19)</f>
        <v>10826275.765000001</v>
      </c>
    </row>
    <row r="268" spans="2:14" x14ac:dyDescent="0.2">
      <c r="B268" s="15" t="s">
        <v>4</v>
      </c>
      <c r="C268" s="595" t="s">
        <v>526</v>
      </c>
      <c r="D268" s="596"/>
      <c r="E268" s="596"/>
      <c r="F268" s="596"/>
      <c r="G268" s="596"/>
      <c r="H268" s="596"/>
      <c r="I268" s="596"/>
      <c r="J268" s="596"/>
      <c r="K268" s="596"/>
      <c r="L268" s="597"/>
      <c r="M268" s="55">
        <f>'OP4-Item Costs'!B23</f>
        <v>6111921.7985498337</v>
      </c>
    </row>
    <row r="269" spans="2:14" x14ac:dyDescent="0.2">
      <c r="B269" s="15" t="s">
        <v>4</v>
      </c>
      <c r="C269" s="595" t="s">
        <v>539</v>
      </c>
      <c r="D269" s="596"/>
      <c r="E269" s="596"/>
      <c r="F269" s="596"/>
      <c r="G269" s="596"/>
      <c r="H269" s="596"/>
      <c r="I269" s="596"/>
      <c r="J269" s="596"/>
      <c r="K269" s="596"/>
      <c r="L269" s="597"/>
      <c r="M269" s="55">
        <f>'OP4-Item Costs'!B22</f>
        <v>2233915.2999999998</v>
      </c>
    </row>
    <row r="270" spans="2:14" ht="14.25" customHeight="1" x14ac:dyDescent="0.2">
      <c r="B270" s="15" t="s">
        <v>4</v>
      </c>
      <c r="C270" s="595" t="s">
        <v>538</v>
      </c>
      <c r="D270" s="596"/>
      <c r="E270" s="596"/>
      <c r="F270" s="596"/>
      <c r="G270" s="596"/>
      <c r="H270" s="596"/>
      <c r="I270" s="596"/>
      <c r="J270" s="596"/>
      <c r="K270" s="596"/>
      <c r="L270" s="597"/>
      <c r="M270" s="55">
        <f>'OP4-Item Costs'!B22</f>
        <v>2233915.2999999998</v>
      </c>
    </row>
    <row r="271" spans="2:14" x14ac:dyDescent="0.2">
      <c r="B271" s="15" t="s">
        <v>4</v>
      </c>
      <c r="C271" s="595" t="s">
        <v>523</v>
      </c>
      <c r="D271" s="596"/>
      <c r="E271" s="596"/>
      <c r="F271" s="596"/>
      <c r="G271" s="596"/>
      <c r="H271" s="596"/>
      <c r="I271" s="596"/>
      <c r="J271" s="596"/>
      <c r="K271" s="596"/>
      <c r="L271" s="597"/>
      <c r="M271" s="55">
        <f>'OP4-Item Costs'!B26</f>
        <v>6875315.8426920539</v>
      </c>
      <c r="N271" s="16" t="s">
        <v>101</v>
      </c>
    </row>
    <row r="272" spans="2:14" x14ac:dyDescent="0.2">
      <c r="B272" s="15" t="s">
        <v>4</v>
      </c>
      <c r="C272" s="596" t="s">
        <v>231</v>
      </c>
      <c r="D272" s="596"/>
      <c r="E272" s="596"/>
      <c r="F272" s="596"/>
      <c r="G272" s="596"/>
      <c r="H272" s="596"/>
      <c r="I272" s="596"/>
      <c r="J272" s="596"/>
      <c r="K272" s="596"/>
      <c r="L272" s="597"/>
      <c r="M272" s="55">
        <f>'OP4-Item Costs'!B25</f>
        <v>50648814.081774913</v>
      </c>
      <c r="N272" s="16" t="s">
        <v>102</v>
      </c>
    </row>
    <row r="273" spans="2:14" x14ac:dyDescent="0.2">
      <c r="B273" s="15" t="s">
        <v>4</v>
      </c>
      <c r="C273" s="606" t="s">
        <v>105</v>
      </c>
      <c r="D273" s="596"/>
      <c r="E273" s="596"/>
      <c r="F273" s="596"/>
      <c r="G273" s="596"/>
      <c r="H273" s="596"/>
      <c r="I273" s="596"/>
      <c r="J273" s="596"/>
      <c r="K273" s="596"/>
      <c r="L273" s="597"/>
      <c r="M273" s="17">
        <v>0.5</v>
      </c>
    </row>
    <row r="274" spans="2:14" ht="14.25" customHeight="1" x14ac:dyDescent="0.2">
      <c r="B274" s="15" t="s">
        <v>4</v>
      </c>
      <c r="C274" s="595" t="s">
        <v>535</v>
      </c>
      <c r="D274" s="596"/>
      <c r="E274" s="596"/>
      <c r="F274" s="596"/>
      <c r="G274" s="596"/>
      <c r="H274" s="596"/>
      <c r="I274" s="596"/>
      <c r="J274" s="596"/>
      <c r="K274" s="596"/>
      <c r="L274" s="597"/>
      <c r="M274" s="55">
        <f>'OP1,3,8-Item Costs'!B252</f>
        <v>0</v>
      </c>
    </row>
    <row r="275" spans="2:14" x14ac:dyDescent="0.2">
      <c r="B275" s="15" t="s">
        <v>4</v>
      </c>
      <c r="C275" s="595" t="s">
        <v>534</v>
      </c>
      <c r="D275" s="596"/>
      <c r="E275" s="596"/>
      <c r="F275" s="596"/>
      <c r="G275" s="596"/>
      <c r="H275" s="596"/>
      <c r="I275" s="596"/>
      <c r="J275" s="596"/>
      <c r="K275" s="596"/>
      <c r="L275" s="597"/>
      <c r="M275" s="55">
        <f>(16400000+6000000+7000000+8000000)*1.02^10</f>
        <v>45590391.307803914</v>
      </c>
    </row>
    <row r="276" spans="2:14" ht="15.75" x14ac:dyDescent="0.25">
      <c r="B276" s="7" t="s">
        <v>9</v>
      </c>
      <c r="C276" s="616" t="s">
        <v>237</v>
      </c>
      <c r="D276" s="617"/>
      <c r="E276" s="617"/>
      <c r="F276" s="617"/>
      <c r="G276" s="617"/>
      <c r="H276" s="617"/>
      <c r="I276" s="617"/>
      <c r="J276" s="617"/>
      <c r="K276" s="617"/>
      <c r="L276" s="618"/>
      <c r="M276" s="17">
        <v>0.03</v>
      </c>
    </row>
    <row r="277" spans="2:14" ht="14.25" customHeight="1" x14ac:dyDescent="0.2">
      <c r="B277" s="15" t="s">
        <v>4</v>
      </c>
      <c r="C277" s="598" t="s">
        <v>527</v>
      </c>
      <c r="D277" s="599"/>
      <c r="E277" s="599"/>
      <c r="F277" s="599"/>
      <c r="G277" s="599"/>
      <c r="H277" s="599"/>
      <c r="I277" s="599"/>
      <c r="J277" s="599"/>
      <c r="K277" s="599"/>
      <c r="L277" s="599"/>
      <c r="M277" s="55">
        <f>'ALL-Opex Baseline'!$AA$10*(1+$M276)</f>
        <v>60637.37720000001</v>
      </c>
    </row>
    <row r="278" spans="2:14" ht="14.25" customHeight="1" x14ac:dyDescent="0.2">
      <c r="B278" s="15" t="s">
        <v>4</v>
      </c>
      <c r="C278" s="598" t="s">
        <v>528</v>
      </c>
      <c r="D278" s="599"/>
      <c r="E278" s="599"/>
      <c r="F278" s="599"/>
      <c r="G278" s="599"/>
      <c r="H278" s="599"/>
      <c r="I278" s="599"/>
      <c r="J278" s="599"/>
      <c r="K278" s="599"/>
      <c r="L278" s="599"/>
      <c r="M278" s="55">
        <f>'ALL-Opex Baseline'!$N$14*(1+$M276)</f>
        <v>123121.6989</v>
      </c>
    </row>
    <row r="279" spans="2:14" ht="14.25" customHeight="1" x14ac:dyDescent="0.2">
      <c r="B279" s="15" t="s">
        <v>4</v>
      </c>
      <c r="C279" s="598" t="s">
        <v>529</v>
      </c>
      <c r="D279" s="599"/>
      <c r="E279" s="599"/>
      <c r="F279" s="599"/>
      <c r="G279" s="599"/>
      <c r="H279" s="599"/>
      <c r="I279" s="599"/>
      <c r="J279" s="599"/>
      <c r="K279" s="599"/>
      <c r="L279" s="599"/>
      <c r="M279" s="55">
        <f>'ALL-Opex Baseline'!$AA$21*(1+$M276)</f>
        <v>260661.2245000001</v>
      </c>
    </row>
    <row r="280" spans="2:14" ht="14.25" customHeight="1" x14ac:dyDescent="0.2">
      <c r="B280" s="15" t="s">
        <v>4</v>
      </c>
      <c r="C280" s="598" t="s">
        <v>530</v>
      </c>
      <c r="D280" s="599"/>
      <c r="E280" s="599"/>
      <c r="F280" s="599"/>
      <c r="G280" s="599"/>
      <c r="H280" s="599"/>
      <c r="I280" s="599"/>
      <c r="J280" s="599"/>
      <c r="K280" s="599"/>
      <c r="L280" s="599"/>
      <c r="M280" s="55">
        <f>'ALL-Opex Baseline'!$N$32*(1+$M276)</f>
        <v>580910.69848962966</v>
      </c>
    </row>
    <row r="281" spans="2:14" ht="14.25" customHeight="1" x14ac:dyDescent="0.2">
      <c r="B281" s="15" t="s">
        <v>4</v>
      </c>
      <c r="C281" s="598" t="s">
        <v>531</v>
      </c>
      <c r="D281" s="599"/>
      <c r="E281" s="599"/>
      <c r="F281" s="599"/>
      <c r="G281" s="599"/>
      <c r="H281" s="599"/>
      <c r="I281" s="599"/>
      <c r="J281" s="599"/>
      <c r="K281" s="599"/>
      <c r="L281" s="599"/>
      <c r="M281" s="55">
        <f>'ALL-Opex Baseline'!$AA$39*(1+$M276)</f>
        <v>289559.37315000006</v>
      </c>
    </row>
    <row r="282" spans="2:14" ht="14.25" customHeight="1" x14ac:dyDescent="0.2">
      <c r="B282" s="15" t="s">
        <v>4</v>
      </c>
      <c r="C282" s="598" t="s">
        <v>532</v>
      </c>
      <c r="D282" s="599"/>
      <c r="E282" s="599"/>
      <c r="F282" s="599"/>
      <c r="G282" s="599"/>
      <c r="H282" s="599"/>
      <c r="I282" s="599"/>
      <c r="J282" s="599"/>
      <c r="K282" s="599"/>
      <c r="L282" s="599"/>
      <c r="M282" s="55">
        <f>'ALL-Opex Baseline'!$N$49*(1+$M276)</f>
        <v>598014.84670376685</v>
      </c>
    </row>
    <row r="283" spans="2:14" x14ac:dyDescent="0.2">
      <c r="B283" s="15" t="s">
        <v>4</v>
      </c>
      <c r="C283" s="598" t="s">
        <v>256</v>
      </c>
      <c r="D283" s="599"/>
      <c r="E283" s="599"/>
      <c r="F283" s="599"/>
      <c r="G283" s="599"/>
      <c r="H283" s="599"/>
      <c r="I283" s="599"/>
      <c r="J283" s="599"/>
      <c r="K283" s="599"/>
      <c r="L283" s="599"/>
      <c r="M283" s="55">
        <f>318872*(1+0.04)</f>
        <v>331626.88</v>
      </c>
    </row>
    <row r="284" spans="2:14" ht="28.5" customHeight="1" x14ac:dyDescent="0.2">
      <c r="B284" s="15" t="s">
        <v>4</v>
      </c>
      <c r="C284" s="598" t="s">
        <v>548</v>
      </c>
      <c r="D284" s="599"/>
      <c r="E284" s="599"/>
      <c r="F284" s="599"/>
      <c r="G284" s="599"/>
      <c r="H284" s="599"/>
      <c r="I284" s="599"/>
      <c r="J284" s="599"/>
      <c r="K284" s="599"/>
      <c r="L284" s="599"/>
      <c r="M284" s="55">
        <f>'ALL-Opex Baseline'!N14+'ALL-Opex Baseline'!N22+'ALL-Opex Baseline'!N25+'ALL-Opex Baseline'!N40+'ALL-Opex Baseline'!N44</f>
        <v>342192.69</v>
      </c>
    </row>
    <row r="285" spans="2:14" ht="28.5" customHeight="1" x14ac:dyDescent="0.2">
      <c r="B285" s="15" t="s">
        <v>4</v>
      </c>
      <c r="C285" s="598" t="s">
        <v>540</v>
      </c>
      <c r="D285" s="599"/>
      <c r="E285" s="599"/>
      <c r="F285" s="599"/>
      <c r="G285" s="599"/>
      <c r="H285" s="599"/>
      <c r="I285" s="599"/>
      <c r="J285" s="599"/>
      <c r="K285" s="599"/>
      <c r="L285" s="599"/>
      <c r="M285" s="55">
        <f>'ALL-Opex Baseline'!Z10</f>
        <v>59151.57209583409</v>
      </c>
      <c r="N285" s="16" t="s">
        <v>182</v>
      </c>
    </row>
    <row r="286" spans="2:14" ht="26.25" customHeight="1" x14ac:dyDescent="0.2">
      <c r="B286" s="15" t="s">
        <v>4</v>
      </c>
      <c r="C286" s="598" t="s">
        <v>541</v>
      </c>
      <c r="D286" s="599"/>
      <c r="E286" s="599"/>
      <c r="F286" s="599"/>
      <c r="G286" s="599"/>
      <c r="H286" s="599"/>
      <c r="I286" s="599"/>
      <c r="J286" s="599"/>
      <c r="K286" s="599"/>
      <c r="L286" s="599"/>
      <c r="M286" s="55">
        <f>'ALL-Opex Baseline'!M14</f>
        <v>0</v>
      </c>
      <c r="N286" s="16" t="s">
        <v>182</v>
      </c>
    </row>
    <row r="287" spans="2:14" ht="29.25" customHeight="1" x14ac:dyDescent="0.2">
      <c r="B287" s="15" t="s">
        <v>4</v>
      </c>
      <c r="C287" s="598" t="s">
        <v>542</v>
      </c>
      <c r="D287" s="599"/>
      <c r="E287" s="599"/>
      <c r="F287" s="599"/>
      <c r="G287" s="599"/>
      <c r="H287" s="599"/>
      <c r="I287" s="599"/>
      <c r="J287" s="599"/>
      <c r="K287" s="599"/>
      <c r="L287" s="599"/>
      <c r="M287" s="55">
        <f>'ALL-Opex Baseline'!Z21</f>
        <v>99529.991892875812</v>
      </c>
      <c r="N287" s="16" t="s">
        <v>182</v>
      </c>
    </row>
    <row r="288" spans="2:14" ht="53.25" customHeight="1" x14ac:dyDescent="0.2">
      <c r="B288" s="15" t="s">
        <v>4</v>
      </c>
      <c r="C288" s="598" t="s">
        <v>543</v>
      </c>
      <c r="D288" s="599"/>
      <c r="E288" s="599"/>
      <c r="F288" s="599"/>
      <c r="G288" s="599"/>
      <c r="H288" s="599"/>
      <c r="I288" s="599"/>
      <c r="J288" s="599"/>
      <c r="K288" s="599"/>
      <c r="L288" s="599"/>
      <c r="M288" s="55">
        <f>'ALL-Opex Baseline'!M32</f>
        <v>598929.15115003253</v>
      </c>
      <c r="N288" s="16" t="s">
        <v>182</v>
      </c>
    </row>
    <row r="289" spans="1:14" ht="27.75" customHeight="1" x14ac:dyDescent="0.2">
      <c r="B289" s="15" t="s">
        <v>4</v>
      </c>
      <c r="C289" s="598" t="s">
        <v>544</v>
      </c>
      <c r="D289" s="599"/>
      <c r="E289" s="599"/>
      <c r="F289" s="599"/>
      <c r="G289" s="599"/>
      <c r="H289" s="599"/>
      <c r="I289" s="599"/>
      <c r="J289" s="599"/>
      <c r="K289" s="599"/>
      <c r="L289" s="599"/>
      <c r="M289" s="55">
        <f>'ALL-Opex Baseline'!Z41</f>
        <v>205808.53437109853</v>
      </c>
      <c r="N289" s="16"/>
    </row>
    <row r="290" spans="1:14" ht="42.75" customHeight="1" x14ac:dyDescent="0.2">
      <c r="B290" s="15" t="s">
        <v>4</v>
      </c>
      <c r="C290" s="598" t="s">
        <v>545</v>
      </c>
      <c r="D290" s="599"/>
      <c r="E290" s="599"/>
      <c r="F290" s="599"/>
      <c r="G290" s="599"/>
      <c r="H290" s="599"/>
      <c r="I290" s="599"/>
      <c r="J290" s="599"/>
      <c r="K290" s="599"/>
      <c r="L290" s="599"/>
      <c r="M290" s="55">
        <f>'ALL-Opex Baseline'!M49</f>
        <v>90598.56195992713</v>
      </c>
      <c r="N290" s="16" t="s">
        <v>182</v>
      </c>
    </row>
    <row r="291" spans="1:14" ht="54" customHeight="1" x14ac:dyDescent="0.2">
      <c r="B291" s="15" t="s">
        <v>4</v>
      </c>
      <c r="C291" s="603" t="s">
        <v>288</v>
      </c>
      <c r="D291" s="615"/>
      <c r="E291" s="615"/>
      <c r="F291" s="615"/>
      <c r="G291" s="615"/>
      <c r="H291" s="615"/>
      <c r="I291" s="615"/>
      <c r="J291" s="615"/>
      <c r="K291" s="615"/>
      <c r="L291" s="615"/>
      <c r="M291" s="55">
        <v>182000</v>
      </c>
    </row>
    <row r="292" spans="1:14" x14ac:dyDescent="0.2">
      <c r="B292" s="15"/>
      <c r="C292" s="603"/>
      <c r="D292" s="599"/>
      <c r="E292" s="599"/>
      <c r="F292" s="599"/>
      <c r="G292" s="599"/>
      <c r="H292" s="599"/>
      <c r="I292" s="599"/>
      <c r="J292" s="599"/>
      <c r="K292" s="599"/>
      <c r="L292" s="599"/>
      <c r="M292" s="55"/>
    </row>
    <row r="293" spans="1:14" x14ac:dyDescent="0.2">
      <c r="B293" s="15"/>
      <c r="C293" s="614"/>
      <c r="D293" s="615"/>
      <c r="E293" s="615"/>
      <c r="F293" s="615"/>
      <c r="G293" s="615"/>
      <c r="H293" s="615"/>
      <c r="I293" s="615"/>
      <c r="J293" s="615"/>
      <c r="K293" s="615"/>
      <c r="L293" s="615"/>
      <c r="M293" s="55"/>
    </row>
    <row r="294" spans="1:14" x14ac:dyDescent="0.2">
      <c r="C294" s="314"/>
      <c r="D294" s="314"/>
      <c r="E294" s="314"/>
      <c r="F294" s="314"/>
      <c r="G294" s="314"/>
      <c r="H294" s="314"/>
      <c r="I294" s="314"/>
      <c r="J294" s="314"/>
      <c r="K294" s="314"/>
      <c r="L294" s="314"/>
    </row>
    <row r="295" spans="1:14" x14ac:dyDescent="0.2">
      <c r="C295" s="314"/>
      <c r="D295" s="314"/>
      <c r="E295" s="314"/>
      <c r="F295" s="314"/>
      <c r="G295" s="314"/>
      <c r="H295" s="314"/>
      <c r="I295" s="314"/>
      <c r="J295" s="314"/>
      <c r="K295" s="314"/>
      <c r="L295" s="314"/>
    </row>
    <row r="296" spans="1:14" ht="15.75" x14ac:dyDescent="0.25">
      <c r="A296" s="2" t="s">
        <v>708</v>
      </c>
    </row>
    <row r="298" spans="1:14" ht="15.75" customHeight="1" x14ac:dyDescent="0.2">
      <c r="B298" s="8" t="s">
        <v>1</v>
      </c>
      <c r="C298" s="613" t="s">
        <v>273</v>
      </c>
      <c r="D298" s="613"/>
      <c r="E298" s="613"/>
      <c r="F298" s="613"/>
      <c r="G298" s="613"/>
      <c r="H298" s="613"/>
      <c r="I298" s="613"/>
      <c r="J298" s="613"/>
      <c r="K298" s="613"/>
      <c r="L298" s="613"/>
    </row>
    <row r="299" spans="1:14" ht="32.25" customHeight="1" x14ac:dyDescent="0.2">
      <c r="B299" s="15" t="s">
        <v>2</v>
      </c>
      <c r="C299" s="596" t="s">
        <v>489</v>
      </c>
      <c r="D299" s="596"/>
      <c r="E299" s="596"/>
      <c r="F299" s="596"/>
      <c r="G299" s="596"/>
      <c r="H299" s="596"/>
      <c r="I299" s="596"/>
      <c r="J299" s="596"/>
      <c r="K299" s="596"/>
      <c r="L299" s="597"/>
    </row>
    <row r="300" spans="1:14" ht="15.75" x14ac:dyDescent="0.25">
      <c r="B300" s="3"/>
      <c r="C300" s="313"/>
      <c r="D300" s="313"/>
      <c r="E300" s="313"/>
      <c r="F300" s="313"/>
      <c r="G300" s="313"/>
      <c r="H300" s="313"/>
      <c r="I300" s="313"/>
      <c r="J300" s="313"/>
      <c r="K300" s="313"/>
      <c r="L300" s="313"/>
    </row>
    <row r="301" spans="1:14" ht="15.75" x14ac:dyDescent="0.25">
      <c r="B301" s="7" t="s">
        <v>3</v>
      </c>
      <c r="C301" s="313"/>
      <c r="D301" s="313"/>
      <c r="E301" s="313"/>
      <c r="F301" s="313"/>
      <c r="G301" s="313"/>
      <c r="H301" s="313"/>
      <c r="I301" s="313"/>
      <c r="J301" s="313"/>
      <c r="K301" s="313"/>
      <c r="L301" s="313"/>
    </row>
    <row r="302" spans="1:14" ht="14.25" customHeight="1" x14ac:dyDescent="0.2">
      <c r="B302" s="15" t="s">
        <v>4</v>
      </c>
      <c r="C302" s="597" t="s">
        <v>14</v>
      </c>
      <c r="D302" s="600"/>
      <c r="E302" s="600"/>
      <c r="F302" s="600"/>
      <c r="G302" s="600"/>
      <c r="H302" s="600"/>
      <c r="I302" s="600"/>
      <c r="J302" s="600"/>
      <c r="K302" s="600"/>
      <c r="L302" s="600"/>
      <c r="M302" s="13" t="s">
        <v>13</v>
      </c>
    </row>
    <row r="303" spans="1:14" ht="14.25" customHeight="1" x14ac:dyDescent="0.2">
      <c r="B303" s="15" t="s">
        <v>4</v>
      </c>
      <c r="C303" s="597" t="s">
        <v>15</v>
      </c>
      <c r="D303" s="600"/>
      <c r="E303" s="600"/>
      <c r="F303" s="600"/>
      <c r="G303" s="600"/>
      <c r="H303" s="600"/>
      <c r="I303" s="600"/>
      <c r="J303" s="600"/>
      <c r="K303" s="600"/>
      <c r="L303" s="600"/>
      <c r="M303" s="13" t="s">
        <v>13</v>
      </c>
    </row>
    <row r="304" spans="1:14" ht="14.25" customHeight="1" x14ac:dyDescent="0.2">
      <c r="B304" s="15" t="s">
        <v>4</v>
      </c>
      <c r="C304" s="597" t="s">
        <v>20</v>
      </c>
      <c r="D304" s="600"/>
      <c r="E304" s="600"/>
      <c r="F304" s="600"/>
      <c r="G304" s="600"/>
      <c r="H304" s="600"/>
      <c r="I304" s="600"/>
      <c r="J304" s="600"/>
      <c r="K304" s="600"/>
      <c r="L304" s="600"/>
      <c r="M304" s="13" t="s">
        <v>13</v>
      </c>
    </row>
    <row r="305" spans="2:14" ht="14.25" customHeight="1" x14ac:dyDescent="0.2">
      <c r="B305" s="15" t="s">
        <v>4</v>
      </c>
      <c r="C305" s="597" t="s">
        <v>312</v>
      </c>
      <c r="D305" s="600"/>
      <c r="E305" s="600"/>
      <c r="F305" s="600"/>
      <c r="G305" s="600"/>
      <c r="H305" s="600"/>
      <c r="I305" s="600"/>
      <c r="J305" s="600"/>
      <c r="K305" s="600"/>
      <c r="L305" s="600"/>
      <c r="M305" s="13" t="s">
        <v>13</v>
      </c>
    </row>
    <row r="306" spans="2:14" ht="14.25" customHeight="1" x14ac:dyDescent="0.2">
      <c r="B306" s="15" t="s">
        <v>4</v>
      </c>
      <c r="C306" s="597" t="s">
        <v>16</v>
      </c>
      <c r="D306" s="600"/>
      <c r="E306" s="600"/>
      <c r="F306" s="600"/>
      <c r="G306" s="600"/>
      <c r="H306" s="600"/>
      <c r="I306" s="600"/>
      <c r="J306" s="600"/>
      <c r="K306" s="600"/>
      <c r="L306" s="600"/>
      <c r="M306" s="13" t="s">
        <v>13</v>
      </c>
    </row>
    <row r="307" spans="2:14" ht="14.25" customHeight="1" x14ac:dyDescent="0.2">
      <c r="B307" s="15" t="s">
        <v>4</v>
      </c>
      <c r="C307" s="597" t="s">
        <v>313</v>
      </c>
      <c r="D307" s="600"/>
      <c r="E307" s="600"/>
      <c r="F307" s="600"/>
      <c r="G307" s="600"/>
      <c r="H307" s="600"/>
      <c r="I307" s="600"/>
      <c r="J307" s="600"/>
      <c r="K307" s="600"/>
      <c r="L307" s="600"/>
      <c r="M307" s="13" t="s">
        <v>13</v>
      </c>
    </row>
    <row r="308" spans="2:14" ht="14.25" customHeight="1" x14ac:dyDescent="0.2">
      <c r="B308" s="15" t="s">
        <v>4</v>
      </c>
      <c r="C308" s="597" t="s">
        <v>314</v>
      </c>
      <c r="D308" s="600"/>
      <c r="E308" s="600"/>
      <c r="F308" s="600"/>
      <c r="G308" s="600"/>
      <c r="H308" s="600"/>
      <c r="I308" s="600"/>
      <c r="J308" s="600"/>
      <c r="K308" s="600"/>
      <c r="L308" s="600"/>
      <c r="M308" s="13" t="s">
        <v>13</v>
      </c>
    </row>
    <row r="309" spans="2:14" ht="14.25" customHeight="1" x14ac:dyDescent="0.2">
      <c r="B309" s="15" t="s">
        <v>4</v>
      </c>
      <c r="C309" s="597" t="s">
        <v>315</v>
      </c>
      <c r="D309" s="600"/>
      <c r="E309" s="600"/>
      <c r="F309" s="600"/>
      <c r="G309" s="600"/>
      <c r="H309" s="600"/>
      <c r="I309" s="600"/>
      <c r="J309" s="600"/>
      <c r="K309" s="600"/>
      <c r="L309" s="600"/>
      <c r="M309" s="13" t="s">
        <v>13</v>
      </c>
    </row>
    <row r="310" spans="2:14" ht="14.25" customHeight="1" x14ac:dyDescent="0.2">
      <c r="B310" s="15" t="s">
        <v>4</v>
      </c>
      <c r="C310" s="597" t="s">
        <v>205</v>
      </c>
      <c r="D310" s="600"/>
      <c r="E310" s="600"/>
      <c r="F310" s="600"/>
      <c r="G310" s="600"/>
      <c r="H310" s="600"/>
      <c r="I310" s="600"/>
      <c r="J310" s="600"/>
      <c r="K310" s="600"/>
      <c r="L310" s="600"/>
      <c r="M310" s="13" t="s">
        <v>13</v>
      </c>
    </row>
    <row r="311" spans="2:14" ht="14.25" customHeight="1" x14ac:dyDescent="0.2">
      <c r="B311" s="15" t="s">
        <v>4</v>
      </c>
      <c r="C311" s="597" t="s">
        <v>206</v>
      </c>
      <c r="D311" s="600"/>
      <c r="E311" s="600"/>
      <c r="F311" s="600"/>
      <c r="G311" s="600"/>
      <c r="H311" s="600"/>
      <c r="I311" s="600"/>
      <c r="J311" s="600"/>
      <c r="K311" s="600"/>
      <c r="L311" s="600"/>
      <c r="M311" s="13"/>
      <c r="N311" s="437"/>
    </row>
    <row r="312" spans="2:14" ht="14.25" customHeight="1" x14ac:dyDescent="0.2">
      <c r="B312" s="15"/>
      <c r="C312" s="597"/>
      <c r="D312" s="600"/>
      <c r="E312" s="600"/>
      <c r="F312" s="600"/>
      <c r="G312" s="600"/>
      <c r="H312" s="600"/>
      <c r="I312" s="600"/>
      <c r="J312" s="600"/>
      <c r="K312" s="600"/>
      <c r="L312" s="600"/>
      <c r="M312" s="13" t="s">
        <v>13</v>
      </c>
      <c r="N312" s="437"/>
    </row>
    <row r="313" spans="2:14" ht="14.25" customHeight="1" x14ac:dyDescent="0.2">
      <c r="B313" s="15" t="s">
        <v>4</v>
      </c>
      <c r="C313" s="597" t="s">
        <v>316</v>
      </c>
      <c r="D313" s="600"/>
      <c r="E313" s="600"/>
      <c r="F313" s="600"/>
      <c r="G313" s="600"/>
      <c r="H313" s="600"/>
      <c r="I313" s="600"/>
      <c r="J313" s="600"/>
      <c r="K313" s="600"/>
      <c r="L313" s="600"/>
      <c r="M313" s="13" t="s">
        <v>13</v>
      </c>
      <c r="N313" s="437"/>
    </row>
    <row r="314" spans="2:14" ht="14.25" customHeight="1" x14ac:dyDescent="0.2">
      <c r="B314" s="15" t="s">
        <v>4</v>
      </c>
      <c r="C314" s="597" t="s">
        <v>335</v>
      </c>
      <c r="D314" s="600"/>
      <c r="E314" s="600"/>
      <c r="F314" s="600"/>
      <c r="G314" s="600"/>
      <c r="H314" s="600"/>
      <c r="I314" s="600"/>
      <c r="J314" s="600"/>
      <c r="K314" s="600"/>
      <c r="L314" s="600"/>
      <c r="M314" s="13" t="s">
        <v>13</v>
      </c>
      <c r="N314" s="437"/>
    </row>
    <row r="315" spans="2:14" ht="14.25" customHeight="1" x14ac:dyDescent="0.2">
      <c r="B315" s="15" t="s">
        <v>4</v>
      </c>
      <c r="C315" s="597" t="s">
        <v>317</v>
      </c>
      <c r="D315" s="600"/>
      <c r="E315" s="600"/>
      <c r="F315" s="600"/>
      <c r="G315" s="600"/>
      <c r="H315" s="600"/>
      <c r="I315" s="600"/>
      <c r="J315" s="600"/>
      <c r="K315" s="600"/>
      <c r="L315" s="600"/>
      <c r="M315" s="13" t="s">
        <v>13</v>
      </c>
      <c r="N315" s="437"/>
    </row>
    <row r="316" spans="2:14" ht="14.25" customHeight="1" x14ac:dyDescent="0.2">
      <c r="B316" s="15" t="s">
        <v>4</v>
      </c>
      <c r="C316" s="597" t="s">
        <v>338</v>
      </c>
      <c r="D316" s="600"/>
      <c r="E316" s="600"/>
      <c r="F316" s="600"/>
      <c r="G316" s="600"/>
      <c r="H316" s="600"/>
      <c r="I316" s="600"/>
      <c r="J316" s="600"/>
      <c r="K316" s="600"/>
      <c r="L316" s="600"/>
      <c r="M316" s="13" t="s">
        <v>13</v>
      </c>
      <c r="N316" s="438"/>
    </row>
    <row r="317" spans="2:14" ht="14.25" customHeight="1" x14ac:dyDescent="0.2">
      <c r="B317" s="15" t="s">
        <v>4</v>
      </c>
      <c r="C317" s="597" t="s">
        <v>339</v>
      </c>
      <c r="D317" s="600"/>
      <c r="E317" s="600"/>
      <c r="F317" s="600"/>
      <c r="G317" s="600"/>
      <c r="H317" s="600"/>
      <c r="I317" s="600"/>
      <c r="J317" s="600"/>
      <c r="K317" s="600"/>
      <c r="L317" s="600"/>
      <c r="M317" s="13"/>
      <c r="N317" s="437"/>
    </row>
    <row r="318" spans="2:14" ht="15.75" x14ac:dyDescent="0.25">
      <c r="B318" s="7" t="s">
        <v>5</v>
      </c>
      <c r="C318" s="11"/>
      <c r="D318" s="11"/>
      <c r="E318" s="11"/>
      <c r="F318" s="11"/>
      <c r="G318" s="11"/>
      <c r="H318" s="11"/>
      <c r="I318" s="11"/>
      <c r="J318" s="11"/>
      <c r="K318" s="11"/>
      <c r="L318" s="11"/>
      <c r="N318" s="437"/>
    </row>
    <row r="319" spans="2:14" x14ac:dyDescent="0.2">
      <c r="B319" s="15" t="s">
        <v>4</v>
      </c>
      <c r="C319" s="596" t="s">
        <v>318</v>
      </c>
      <c r="D319" s="596"/>
      <c r="E319" s="596"/>
      <c r="F319" s="596"/>
      <c r="G319" s="596"/>
      <c r="H319" s="596"/>
      <c r="I319" s="596"/>
      <c r="J319" s="596"/>
      <c r="K319" s="596"/>
      <c r="L319" s="597"/>
      <c r="M319" s="315" t="s">
        <v>13</v>
      </c>
      <c r="N319" s="316"/>
    </row>
    <row r="320" spans="2:14" ht="14.25" customHeight="1" x14ac:dyDescent="0.2">
      <c r="B320" s="15" t="s">
        <v>4</v>
      </c>
      <c r="C320" s="596"/>
      <c r="D320" s="596"/>
      <c r="E320" s="596"/>
      <c r="F320" s="596"/>
      <c r="G320" s="596"/>
      <c r="H320" s="596"/>
      <c r="I320" s="596"/>
      <c r="J320" s="596"/>
      <c r="K320" s="596"/>
      <c r="L320" s="597"/>
      <c r="M320" s="13"/>
    </row>
    <row r="321" spans="2:14" ht="14.25" customHeight="1" x14ac:dyDescent="0.2">
      <c r="B321" s="15" t="s">
        <v>4</v>
      </c>
      <c r="C321" s="596" t="s">
        <v>107</v>
      </c>
      <c r="D321" s="596"/>
      <c r="E321" s="596"/>
      <c r="F321" s="596"/>
      <c r="G321" s="596"/>
      <c r="H321" s="596"/>
      <c r="I321" s="596"/>
      <c r="J321" s="596"/>
      <c r="K321" s="596"/>
      <c r="L321" s="597"/>
      <c r="M321" s="13" t="s">
        <v>109</v>
      </c>
    </row>
    <row r="322" spans="2:14" ht="14.25" customHeight="1" x14ac:dyDescent="0.2">
      <c r="B322" s="15" t="s">
        <v>4</v>
      </c>
      <c r="C322" s="595" t="s">
        <v>319</v>
      </c>
      <c r="D322" s="604"/>
      <c r="E322" s="604"/>
      <c r="F322" s="604"/>
      <c r="G322" s="604"/>
      <c r="H322" s="604"/>
      <c r="I322" s="604"/>
      <c r="J322" s="604"/>
      <c r="K322" s="604"/>
      <c r="L322" s="605"/>
      <c r="M322" s="13" t="s">
        <v>13</v>
      </c>
    </row>
    <row r="323" spans="2:14" ht="14.25" customHeight="1" x14ac:dyDescent="0.2">
      <c r="B323" s="15" t="s">
        <v>4</v>
      </c>
      <c r="C323" s="596" t="s">
        <v>336</v>
      </c>
      <c r="D323" s="596"/>
      <c r="E323" s="596"/>
      <c r="F323" s="596"/>
      <c r="G323" s="596"/>
      <c r="H323" s="596"/>
      <c r="I323" s="596"/>
      <c r="J323" s="596"/>
      <c r="K323" s="596"/>
      <c r="L323" s="597"/>
      <c r="M323" s="13" t="s">
        <v>22</v>
      </c>
    </row>
    <row r="324" spans="2:14" ht="14.25" customHeight="1" x14ac:dyDescent="0.2">
      <c r="B324" s="15" t="s">
        <v>4</v>
      </c>
      <c r="C324" s="597" t="s">
        <v>340</v>
      </c>
      <c r="D324" s="600"/>
      <c r="E324" s="600"/>
      <c r="F324" s="600"/>
      <c r="G324" s="600"/>
      <c r="H324" s="600"/>
      <c r="I324" s="600"/>
      <c r="J324" s="600"/>
      <c r="K324" s="600"/>
      <c r="L324" s="600"/>
      <c r="M324" s="13" t="s">
        <v>13</v>
      </c>
    </row>
    <row r="325" spans="2:14" ht="14.25" customHeight="1" x14ac:dyDescent="0.2">
      <c r="B325" s="15" t="s">
        <v>4</v>
      </c>
      <c r="C325" s="597" t="s">
        <v>341</v>
      </c>
      <c r="D325" s="600"/>
      <c r="E325" s="600"/>
      <c r="F325" s="600"/>
      <c r="G325" s="600"/>
      <c r="H325" s="600"/>
      <c r="I325" s="600"/>
      <c r="J325" s="600"/>
      <c r="K325" s="600"/>
      <c r="L325" s="600"/>
      <c r="M325" s="13" t="s">
        <v>13</v>
      </c>
    </row>
    <row r="326" spans="2:14" ht="15.75" x14ac:dyDescent="0.25">
      <c r="B326" s="7" t="s">
        <v>7</v>
      </c>
      <c r="C326" s="313"/>
      <c r="D326" s="313"/>
      <c r="E326" s="313"/>
      <c r="F326" s="313"/>
      <c r="G326" s="313"/>
      <c r="H326" s="313"/>
      <c r="I326" s="313"/>
      <c r="J326" s="313"/>
      <c r="K326" s="313"/>
      <c r="L326" s="313"/>
    </row>
    <row r="327" spans="2:14" ht="28.5" customHeight="1" x14ac:dyDescent="0.2">
      <c r="B327" s="10" t="s">
        <v>8</v>
      </c>
      <c r="C327" s="619" t="s">
        <v>491</v>
      </c>
      <c r="D327" s="619"/>
      <c r="E327" s="619"/>
      <c r="F327" s="619"/>
      <c r="G327" s="619"/>
      <c r="H327" s="619"/>
      <c r="I327" s="619"/>
      <c r="J327" s="619"/>
      <c r="K327" s="619"/>
      <c r="L327" s="619"/>
      <c r="M327" s="17">
        <v>0.06</v>
      </c>
    </row>
    <row r="328" spans="2:14" ht="14.25" customHeight="1" x14ac:dyDescent="0.2">
      <c r="B328" s="15" t="s">
        <v>4</v>
      </c>
      <c r="C328" s="597" t="s">
        <v>343</v>
      </c>
      <c r="D328" s="596"/>
      <c r="E328" s="596"/>
      <c r="F328" s="596"/>
      <c r="G328" s="596"/>
      <c r="H328" s="596"/>
      <c r="I328" s="596"/>
      <c r="J328" s="596"/>
      <c r="K328" s="596"/>
      <c r="L328" s="597"/>
      <c r="M328" s="55">
        <f>'OP5-Garbutt Projects'!C62*(1+$M$327)^3</f>
        <v>432050.2843740001</v>
      </c>
      <c r="N328" s="318" t="s">
        <v>342</v>
      </c>
    </row>
    <row r="329" spans="2:14" ht="28.5" customHeight="1" x14ac:dyDescent="0.2">
      <c r="B329" s="15" t="s">
        <v>4</v>
      </c>
      <c r="C329" s="597" t="s">
        <v>448</v>
      </c>
      <c r="D329" s="600"/>
      <c r="E329" s="600"/>
      <c r="F329" s="600"/>
      <c r="G329" s="600"/>
      <c r="H329" s="600"/>
      <c r="I329" s="600"/>
      <c r="J329" s="600"/>
      <c r="K329" s="600"/>
      <c r="L329" s="600"/>
      <c r="M329" s="55">
        <f>'OP5-Garbutt Projects'!B62*(1+$M$327)^3</f>
        <v>899475.53047200025</v>
      </c>
      <c r="N329" s="318" t="s">
        <v>342</v>
      </c>
    </row>
    <row r="330" spans="2:14" ht="14.25" customHeight="1" x14ac:dyDescent="0.2">
      <c r="B330" s="15"/>
      <c r="C330" s="595"/>
      <c r="D330" s="596"/>
      <c r="E330" s="596"/>
      <c r="F330" s="596"/>
      <c r="G330" s="596"/>
      <c r="H330" s="596"/>
      <c r="I330" s="596"/>
      <c r="J330" s="596"/>
      <c r="K330" s="596"/>
      <c r="L330" s="597"/>
      <c r="M330" s="55"/>
    </row>
    <row r="331" spans="2:14" x14ac:dyDescent="0.2">
      <c r="B331" s="15" t="s">
        <v>4</v>
      </c>
      <c r="C331" s="595" t="s">
        <v>320</v>
      </c>
      <c r="D331" s="596"/>
      <c r="E331" s="596"/>
      <c r="F331" s="596"/>
      <c r="G331" s="596"/>
      <c r="H331" s="596"/>
      <c r="I331" s="596"/>
      <c r="J331" s="596"/>
      <c r="K331" s="596"/>
      <c r="L331" s="597"/>
      <c r="M331" s="55">
        <f>'OP1,3,8-Item Costs'!$B$27</f>
        <v>2233915.2999999998</v>
      </c>
    </row>
    <row r="332" spans="2:14" ht="14.25" customHeight="1" x14ac:dyDescent="0.2">
      <c r="B332" s="15" t="s">
        <v>4</v>
      </c>
      <c r="C332" s="595" t="s">
        <v>108</v>
      </c>
      <c r="D332" s="596"/>
      <c r="E332" s="596"/>
      <c r="F332" s="596"/>
      <c r="G332" s="596"/>
      <c r="H332" s="596"/>
      <c r="I332" s="596"/>
      <c r="J332" s="596"/>
      <c r="K332" s="596"/>
      <c r="L332" s="597"/>
      <c r="M332" s="55">
        <f>4700000*1.02^6</f>
        <v>5292963.3705408005</v>
      </c>
    </row>
    <row r="333" spans="2:14" x14ac:dyDescent="0.2">
      <c r="B333" s="15"/>
      <c r="C333" s="595"/>
      <c r="D333" s="596"/>
      <c r="E333" s="596"/>
      <c r="F333" s="596"/>
      <c r="G333" s="596"/>
      <c r="H333" s="596"/>
      <c r="I333" s="596"/>
      <c r="J333" s="596"/>
      <c r="K333" s="596"/>
      <c r="L333" s="597"/>
      <c r="M333" s="55"/>
    </row>
    <row r="334" spans="2:14" ht="15.75" customHeight="1" x14ac:dyDescent="0.25">
      <c r="B334" s="7" t="s">
        <v>9</v>
      </c>
      <c r="C334" s="616" t="s">
        <v>237</v>
      </c>
      <c r="D334" s="617"/>
      <c r="E334" s="617"/>
      <c r="F334" s="617"/>
      <c r="G334" s="617"/>
      <c r="H334" s="617"/>
      <c r="I334" s="617"/>
      <c r="J334" s="617"/>
      <c r="K334" s="617"/>
      <c r="L334" s="618"/>
      <c r="M334" s="17">
        <v>0.03</v>
      </c>
    </row>
    <row r="335" spans="2:14" ht="14.25" customHeight="1" x14ac:dyDescent="0.2">
      <c r="B335" s="15" t="s">
        <v>4</v>
      </c>
      <c r="C335" s="598" t="s">
        <v>328</v>
      </c>
      <c r="D335" s="599"/>
      <c r="E335" s="599"/>
      <c r="F335" s="599"/>
      <c r="G335" s="599"/>
      <c r="H335" s="599"/>
      <c r="I335" s="599"/>
      <c r="J335" s="599"/>
      <c r="K335" s="599"/>
      <c r="L335" s="599"/>
      <c r="M335" s="55">
        <f>'ALL-Opex Baseline'!$AA$10*(1+$M334)</f>
        <v>60637.37720000001</v>
      </c>
    </row>
    <row r="336" spans="2:14" ht="14.25" customHeight="1" x14ac:dyDescent="0.2">
      <c r="B336" s="15" t="s">
        <v>4</v>
      </c>
      <c r="C336" s="598" t="s">
        <v>329</v>
      </c>
      <c r="D336" s="599"/>
      <c r="E336" s="599"/>
      <c r="F336" s="599"/>
      <c r="G336" s="599"/>
      <c r="H336" s="599"/>
      <c r="I336" s="599"/>
      <c r="J336" s="599"/>
      <c r="K336" s="599"/>
      <c r="L336" s="599"/>
      <c r="M336" s="55">
        <f>'ALL-Opex Baseline'!$N$14*(1+$M334)</f>
        <v>123121.6989</v>
      </c>
    </row>
    <row r="337" spans="1:14" ht="14.25" customHeight="1" x14ac:dyDescent="0.2">
      <c r="B337" s="15" t="s">
        <v>4</v>
      </c>
      <c r="C337" s="598" t="s">
        <v>330</v>
      </c>
      <c r="D337" s="599"/>
      <c r="E337" s="599"/>
      <c r="F337" s="599"/>
      <c r="G337" s="599"/>
      <c r="H337" s="599"/>
      <c r="I337" s="599"/>
      <c r="J337" s="599"/>
      <c r="K337" s="599"/>
      <c r="L337" s="599"/>
      <c r="M337" s="55">
        <f>'ALL-Opex Baseline'!$AA$21*(1+$M334)</f>
        <v>260661.2245000001</v>
      </c>
    </row>
    <row r="338" spans="1:14" ht="14.25" customHeight="1" x14ac:dyDescent="0.2">
      <c r="B338" s="15" t="s">
        <v>4</v>
      </c>
      <c r="C338" s="598" t="s">
        <v>331</v>
      </c>
      <c r="D338" s="599"/>
      <c r="E338" s="599"/>
      <c r="F338" s="599"/>
      <c r="G338" s="599"/>
      <c r="H338" s="599"/>
      <c r="I338" s="599"/>
      <c r="J338" s="599"/>
      <c r="K338" s="599"/>
      <c r="L338" s="599"/>
      <c r="M338" s="55">
        <f>'ALL-Opex Baseline'!$N$32*(1+$M334)</f>
        <v>580910.69848962966</v>
      </c>
    </row>
    <row r="339" spans="1:14" ht="14.25" customHeight="1" x14ac:dyDescent="0.2">
      <c r="B339" s="15" t="s">
        <v>4</v>
      </c>
      <c r="C339" s="598" t="s">
        <v>332</v>
      </c>
      <c r="D339" s="599"/>
      <c r="E339" s="599"/>
      <c r="F339" s="599"/>
      <c r="G339" s="599"/>
      <c r="H339" s="599"/>
      <c r="I339" s="599"/>
      <c r="J339" s="599"/>
      <c r="K339" s="599"/>
      <c r="L339" s="599"/>
      <c r="M339" s="55">
        <f>'ALL-Opex Baseline'!$AA$39*(1+$M334)</f>
        <v>289559.37315000006</v>
      </c>
    </row>
    <row r="340" spans="1:14" ht="14.25" customHeight="1" x14ac:dyDescent="0.2">
      <c r="B340" s="15" t="s">
        <v>4</v>
      </c>
      <c r="C340" s="598" t="s">
        <v>333</v>
      </c>
      <c r="D340" s="599"/>
      <c r="E340" s="599"/>
      <c r="F340" s="599"/>
      <c r="G340" s="599"/>
      <c r="H340" s="599"/>
      <c r="I340" s="599"/>
      <c r="J340" s="599"/>
      <c r="K340" s="599"/>
      <c r="L340" s="599"/>
      <c r="M340" s="55">
        <f>'ALL-Opex Baseline'!$N$49*(1+$M334)</f>
        <v>598014.84670376685</v>
      </c>
    </row>
    <row r="341" spans="1:14" ht="14.25" customHeight="1" x14ac:dyDescent="0.2">
      <c r="B341" s="15" t="s">
        <v>4</v>
      </c>
      <c r="C341" s="598" t="s">
        <v>256</v>
      </c>
      <c r="D341" s="599"/>
      <c r="E341" s="599"/>
      <c r="F341" s="599"/>
      <c r="G341" s="599"/>
      <c r="H341" s="599"/>
      <c r="I341" s="599"/>
      <c r="J341" s="599"/>
      <c r="K341" s="599"/>
      <c r="L341" s="599"/>
      <c r="M341" s="55">
        <f>318872*(1+0.04)</f>
        <v>331626.88</v>
      </c>
    </row>
    <row r="342" spans="1:14" ht="14.25" customHeight="1" x14ac:dyDescent="0.2">
      <c r="B342" s="15" t="s">
        <v>2</v>
      </c>
      <c r="C342" s="598" t="s">
        <v>537</v>
      </c>
      <c r="D342" s="599"/>
      <c r="E342" s="599"/>
      <c r="F342" s="599"/>
      <c r="G342" s="599"/>
      <c r="H342" s="599"/>
      <c r="I342" s="599"/>
      <c r="J342" s="599"/>
      <c r="K342" s="599"/>
      <c r="L342" s="599"/>
      <c r="M342" s="17" t="s">
        <v>536</v>
      </c>
      <c r="N342" s="317"/>
    </row>
    <row r="343" spans="1:14" ht="30" customHeight="1" x14ac:dyDescent="0.2">
      <c r="B343" s="15" t="s">
        <v>4</v>
      </c>
      <c r="C343" s="603" t="s">
        <v>337</v>
      </c>
      <c r="D343" s="615"/>
      <c r="E343" s="615"/>
      <c r="F343" s="615"/>
      <c r="G343" s="615"/>
      <c r="H343" s="615"/>
      <c r="I343" s="615"/>
      <c r="J343" s="615"/>
      <c r="K343" s="615"/>
      <c r="L343" s="615"/>
      <c r="M343" s="55">
        <v>182000</v>
      </c>
    </row>
    <row r="344" spans="1:14" x14ac:dyDescent="0.2">
      <c r="B344" s="15"/>
      <c r="C344" s="620"/>
      <c r="D344" s="621"/>
      <c r="E344" s="621"/>
      <c r="F344" s="621"/>
      <c r="G344" s="621"/>
      <c r="H344" s="621"/>
      <c r="I344" s="621"/>
      <c r="J344" s="621"/>
      <c r="K344" s="621"/>
      <c r="L344" s="621"/>
      <c r="M344" s="55"/>
    </row>
    <row r="345" spans="1:14" x14ac:dyDescent="0.2">
      <c r="B345" s="15"/>
      <c r="C345" s="614"/>
      <c r="D345" s="615"/>
      <c r="E345" s="615"/>
      <c r="F345" s="615"/>
      <c r="G345" s="615"/>
      <c r="H345" s="615"/>
      <c r="I345" s="615"/>
      <c r="J345" s="615"/>
      <c r="K345" s="615"/>
      <c r="L345" s="615"/>
      <c r="M345" s="55"/>
    </row>
    <row r="346" spans="1:14" x14ac:dyDescent="0.2">
      <c r="C346" s="314"/>
      <c r="D346" s="314"/>
      <c r="E346" s="314"/>
      <c r="F346" s="314"/>
      <c r="G346" s="314"/>
      <c r="H346" s="314"/>
      <c r="I346" s="314"/>
      <c r="J346" s="314"/>
      <c r="K346" s="314"/>
      <c r="L346" s="314"/>
    </row>
    <row r="347" spans="1:14" x14ac:dyDescent="0.2">
      <c r="C347" s="314"/>
      <c r="D347" s="314"/>
      <c r="E347" s="314"/>
      <c r="F347" s="314"/>
      <c r="G347" s="314"/>
      <c r="H347" s="314"/>
      <c r="I347" s="314"/>
      <c r="J347" s="314"/>
      <c r="K347" s="314"/>
      <c r="L347" s="314"/>
    </row>
    <row r="348" spans="1:14" ht="15.75" x14ac:dyDescent="0.25">
      <c r="A348" s="2" t="s">
        <v>601</v>
      </c>
    </row>
    <row r="350" spans="1:14" ht="15.75" customHeight="1" x14ac:dyDescent="0.2">
      <c r="B350" s="8" t="s">
        <v>1</v>
      </c>
      <c r="C350" s="613" t="s">
        <v>689</v>
      </c>
      <c r="D350" s="613"/>
      <c r="E350" s="613"/>
      <c r="F350" s="613"/>
      <c r="G350" s="613"/>
      <c r="H350" s="613"/>
      <c r="I350" s="613"/>
      <c r="J350" s="613"/>
      <c r="K350" s="613"/>
      <c r="L350" s="613"/>
    </row>
    <row r="351" spans="1:14" ht="40.5" customHeight="1" x14ac:dyDescent="0.2">
      <c r="B351" s="15" t="s">
        <v>2</v>
      </c>
      <c r="C351" s="596" t="s">
        <v>490</v>
      </c>
      <c r="D351" s="596"/>
      <c r="E351" s="596"/>
      <c r="F351" s="596"/>
      <c r="G351" s="596"/>
      <c r="H351" s="596"/>
      <c r="I351" s="596"/>
      <c r="J351" s="596"/>
      <c r="K351" s="596"/>
      <c r="L351" s="597"/>
    </row>
    <row r="352" spans="1:14" ht="15.75" x14ac:dyDescent="0.25">
      <c r="B352" s="3"/>
      <c r="C352" s="313"/>
      <c r="D352" s="313"/>
      <c r="E352" s="313"/>
      <c r="F352" s="313"/>
      <c r="G352" s="313"/>
      <c r="H352" s="313"/>
      <c r="I352" s="313"/>
      <c r="J352" s="313"/>
      <c r="K352" s="313"/>
      <c r="L352" s="313"/>
    </row>
    <row r="353" spans="2:13" ht="15.75" x14ac:dyDescent="0.25">
      <c r="B353" s="7" t="s">
        <v>3</v>
      </c>
      <c r="C353" s="313"/>
      <c r="D353" s="313"/>
      <c r="E353" s="313"/>
      <c r="F353" s="313"/>
      <c r="G353" s="313"/>
      <c r="H353" s="313"/>
      <c r="I353" s="313"/>
      <c r="J353" s="313"/>
      <c r="K353" s="313"/>
      <c r="L353" s="313"/>
    </row>
    <row r="354" spans="2:13" ht="14.25" customHeight="1" x14ac:dyDescent="0.2">
      <c r="B354" s="15" t="s">
        <v>4</v>
      </c>
      <c r="C354" s="597" t="s">
        <v>14</v>
      </c>
      <c r="D354" s="600"/>
      <c r="E354" s="600"/>
      <c r="F354" s="600"/>
      <c r="G354" s="600"/>
      <c r="H354" s="600"/>
      <c r="I354" s="600"/>
      <c r="J354" s="600"/>
      <c r="K354" s="600"/>
      <c r="L354" s="600"/>
      <c r="M354" s="13" t="s">
        <v>13</v>
      </c>
    </row>
    <row r="355" spans="2:13" ht="14.25" customHeight="1" x14ac:dyDescent="0.2">
      <c r="B355" s="15" t="s">
        <v>4</v>
      </c>
      <c r="C355" s="597" t="s">
        <v>15</v>
      </c>
      <c r="D355" s="600"/>
      <c r="E355" s="600"/>
      <c r="F355" s="600"/>
      <c r="G355" s="600"/>
      <c r="H355" s="600"/>
      <c r="I355" s="600"/>
      <c r="J355" s="600"/>
      <c r="K355" s="600"/>
      <c r="L355" s="600"/>
      <c r="M355" s="13" t="s">
        <v>13</v>
      </c>
    </row>
    <row r="356" spans="2:13" ht="14.25" customHeight="1" x14ac:dyDescent="0.2">
      <c r="B356" s="15" t="s">
        <v>4</v>
      </c>
      <c r="C356" s="597" t="s">
        <v>20</v>
      </c>
      <c r="D356" s="600"/>
      <c r="E356" s="600"/>
      <c r="F356" s="600"/>
      <c r="G356" s="600"/>
      <c r="H356" s="600"/>
      <c r="I356" s="600"/>
      <c r="J356" s="600"/>
      <c r="K356" s="600"/>
      <c r="L356" s="600"/>
      <c r="M356" s="13" t="s">
        <v>13</v>
      </c>
    </row>
    <row r="357" spans="2:13" ht="14.25" customHeight="1" x14ac:dyDescent="0.2">
      <c r="B357" s="15" t="s">
        <v>4</v>
      </c>
      <c r="C357" s="597" t="s">
        <v>493</v>
      </c>
      <c r="D357" s="600"/>
      <c r="E357" s="600"/>
      <c r="F357" s="600"/>
      <c r="G357" s="600"/>
      <c r="H357" s="600"/>
      <c r="I357" s="600"/>
      <c r="J357" s="600"/>
      <c r="K357" s="600"/>
      <c r="L357" s="600"/>
      <c r="M357" s="13" t="s">
        <v>13</v>
      </c>
    </row>
    <row r="358" spans="2:13" ht="14.25" customHeight="1" x14ac:dyDescent="0.2">
      <c r="B358" s="15" t="s">
        <v>4</v>
      </c>
      <c r="C358" s="597" t="s">
        <v>16</v>
      </c>
      <c r="D358" s="600"/>
      <c r="E358" s="600"/>
      <c r="F358" s="600"/>
      <c r="G358" s="600"/>
      <c r="H358" s="600"/>
      <c r="I358" s="600"/>
      <c r="J358" s="600"/>
      <c r="K358" s="600"/>
      <c r="L358" s="600"/>
      <c r="M358" s="13" t="s">
        <v>13</v>
      </c>
    </row>
    <row r="359" spans="2:13" ht="14.25" customHeight="1" x14ac:dyDescent="0.2">
      <c r="B359" s="15" t="s">
        <v>4</v>
      </c>
      <c r="C359" s="597" t="s">
        <v>313</v>
      </c>
      <c r="D359" s="600"/>
      <c r="E359" s="600"/>
      <c r="F359" s="600"/>
      <c r="G359" s="600"/>
      <c r="H359" s="600"/>
      <c r="I359" s="600"/>
      <c r="J359" s="600"/>
      <c r="K359" s="600"/>
      <c r="L359" s="600"/>
      <c r="M359" s="13" t="s">
        <v>13</v>
      </c>
    </row>
    <row r="360" spans="2:13" ht="14.25" customHeight="1" x14ac:dyDescent="0.2">
      <c r="B360" s="15" t="s">
        <v>4</v>
      </c>
      <c r="C360" s="597" t="s">
        <v>314</v>
      </c>
      <c r="D360" s="600"/>
      <c r="E360" s="600"/>
      <c r="F360" s="600"/>
      <c r="G360" s="600"/>
      <c r="H360" s="600"/>
      <c r="I360" s="600"/>
      <c r="J360" s="600"/>
      <c r="K360" s="600"/>
      <c r="L360" s="600"/>
      <c r="M360" s="13" t="s">
        <v>13</v>
      </c>
    </row>
    <row r="361" spans="2:13" ht="14.25" customHeight="1" x14ac:dyDescent="0.2">
      <c r="B361" s="15" t="s">
        <v>4</v>
      </c>
      <c r="C361" s="597" t="s">
        <v>475</v>
      </c>
      <c r="D361" s="600"/>
      <c r="E361" s="600"/>
      <c r="F361" s="600"/>
      <c r="G361" s="600"/>
      <c r="H361" s="600"/>
      <c r="I361" s="600"/>
      <c r="J361" s="600"/>
      <c r="K361" s="600"/>
      <c r="L361" s="600"/>
      <c r="M361" s="13" t="s">
        <v>13</v>
      </c>
    </row>
    <row r="362" spans="2:13" ht="14.25" customHeight="1" x14ac:dyDescent="0.2">
      <c r="B362" s="15" t="s">
        <v>4</v>
      </c>
      <c r="C362" s="597" t="s">
        <v>315</v>
      </c>
      <c r="D362" s="600"/>
      <c r="E362" s="600"/>
      <c r="F362" s="600"/>
      <c r="G362" s="600"/>
      <c r="H362" s="600"/>
      <c r="I362" s="600"/>
      <c r="J362" s="600"/>
      <c r="K362" s="600"/>
      <c r="L362" s="600"/>
      <c r="M362" s="13" t="s">
        <v>13</v>
      </c>
    </row>
    <row r="363" spans="2:13" ht="14.25" customHeight="1" x14ac:dyDescent="0.2">
      <c r="B363" s="15" t="s">
        <v>4</v>
      </c>
      <c r="C363" s="597" t="s">
        <v>205</v>
      </c>
      <c r="D363" s="600"/>
      <c r="E363" s="600"/>
      <c r="F363" s="600"/>
      <c r="G363" s="600"/>
      <c r="H363" s="600"/>
      <c r="I363" s="600"/>
      <c r="J363" s="600"/>
      <c r="K363" s="600"/>
      <c r="L363" s="600"/>
      <c r="M363" s="13" t="s">
        <v>13</v>
      </c>
    </row>
    <row r="364" spans="2:13" ht="14.25" customHeight="1" x14ac:dyDescent="0.2">
      <c r="B364" s="15" t="s">
        <v>4</v>
      </c>
      <c r="C364" s="597" t="s">
        <v>206</v>
      </c>
      <c r="D364" s="600"/>
      <c r="E364" s="600"/>
      <c r="F364" s="600"/>
      <c r="G364" s="600"/>
      <c r="H364" s="600"/>
      <c r="I364" s="600"/>
      <c r="J364" s="600"/>
      <c r="K364" s="600"/>
      <c r="L364" s="600"/>
      <c r="M364" s="13" t="s">
        <v>13</v>
      </c>
    </row>
    <row r="365" spans="2:13" ht="14.25" customHeight="1" x14ac:dyDescent="0.2">
      <c r="B365" s="15" t="s">
        <v>4</v>
      </c>
      <c r="C365" s="597" t="s">
        <v>316</v>
      </c>
      <c r="D365" s="600"/>
      <c r="E365" s="600"/>
      <c r="F365" s="600"/>
      <c r="G365" s="600"/>
      <c r="H365" s="600"/>
      <c r="I365" s="600"/>
      <c r="J365" s="600"/>
      <c r="K365" s="600"/>
      <c r="L365" s="600"/>
      <c r="M365" s="13" t="s">
        <v>13</v>
      </c>
    </row>
    <row r="366" spans="2:13" ht="14.25" customHeight="1" x14ac:dyDescent="0.2">
      <c r="B366" s="15" t="s">
        <v>4</v>
      </c>
      <c r="C366" s="597" t="s">
        <v>335</v>
      </c>
      <c r="D366" s="600"/>
      <c r="E366" s="600"/>
      <c r="F366" s="600"/>
      <c r="G366" s="600"/>
      <c r="H366" s="600"/>
      <c r="I366" s="600"/>
      <c r="J366" s="600"/>
      <c r="K366" s="600"/>
      <c r="L366" s="600"/>
      <c r="M366" s="13" t="s">
        <v>13</v>
      </c>
    </row>
    <row r="367" spans="2:13" ht="14.25" customHeight="1" x14ac:dyDescent="0.2">
      <c r="B367" s="15" t="s">
        <v>4</v>
      </c>
      <c r="C367" s="597" t="s">
        <v>317</v>
      </c>
      <c r="D367" s="600"/>
      <c r="E367" s="600"/>
      <c r="F367" s="600"/>
      <c r="G367" s="600"/>
      <c r="H367" s="600"/>
      <c r="I367" s="600"/>
      <c r="J367" s="600"/>
      <c r="K367" s="600"/>
      <c r="L367" s="600"/>
      <c r="M367" s="13" t="s">
        <v>13</v>
      </c>
    </row>
    <row r="368" spans="2:13" ht="14.25" customHeight="1" x14ac:dyDescent="0.2">
      <c r="B368" s="15" t="s">
        <v>4</v>
      </c>
      <c r="C368" s="597" t="s">
        <v>338</v>
      </c>
      <c r="D368" s="600"/>
      <c r="E368" s="600"/>
      <c r="F368" s="600"/>
      <c r="G368" s="600"/>
      <c r="H368" s="600"/>
      <c r="I368" s="600"/>
      <c r="J368" s="600"/>
      <c r="K368" s="600"/>
      <c r="L368" s="600"/>
      <c r="M368" s="13" t="s">
        <v>13</v>
      </c>
    </row>
    <row r="369" spans="2:14" ht="14.25" customHeight="1" x14ac:dyDescent="0.2">
      <c r="B369" s="15" t="s">
        <v>4</v>
      </c>
      <c r="C369" s="597" t="s">
        <v>339</v>
      </c>
      <c r="D369" s="600"/>
      <c r="E369" s="600"/>
      <c r="F369" s="600"/>
      <c r="G369" s="600"/>
      <c r="H369" s="600"/>
      <c r="I369" s="600"/>
      <c r="J369" s="600"/>
      <c r="K369" s="600"/>
      <c r="L369" s="600"/>
      <c r="M369" s="13" t="s">
        <v>13</v>
      </c>
      <c r="N369" s="244" t="s">
        <v>240</v>
      </c>
    </row>
    <row r="370" spans="2:14" ht="15.75" x14ac:dyDescent="0.25">
      <c r="B370" s="7" t="s">
        <v>5</v>
      </c>
      <c r="C370" s="11"/>
      <c r="D370" s="11"/>
      <c r="E370" s="11"/>
      <c r="F370" s="11"/>
      <c r="G370" s="11"/>
      <c r="H370" s="11"/>
      <c r="I370" s="11"/>
      <c r="J370" s="11"/>
      <c r="K370" s="11"/>
      <c r="L370" s="11"/>
    </row>
    <row r="371" spans="2:14" x14ac:dyDescent="0.2">
      <c r="B371" s="15" t="s">
        <v>4</v>
      </c>
      <c r="C371" s="596" t="s">
        <v>318</v>
      </c>
      <c r="D371" s="596"/>
      <c r="E371" s="596"/>
      <c r="F371" s="596"/>
      <c r="G371" s="596"/>
      <c r="H371" s="596"/>
      <c r="I371" s="596"/>
      <c r="J371" s="596"/>
      <c r="K371" s="596"/>
      <c r="L371" s="597"/>
      <c r="M371" s="13" t="s">
        <v>13</v>
      </c>
    </row>
    <row r="372" spans="2:14" x14ac:dyDescent="0.2">
      <c r="B372" s="15" t="s">
        <v>4</v>
      </c>
      <c r="C372" s="596" t="s">
        <v>634</v>
      </c>
      <c r="D372" s="596"/>
      <c r="E372" s="596"/>
      <c r="F372" s="596"/>
      <c r="G372" s="596"/>
      <c r="H372" s="596"/>
      <c r="I372" s="596"/>
      <c r="J372" s="596"/>
      <c r="K372" s="596"/>
      <c r="L372" s="597"/>
      <c r="M372" s="13" t="s">
        <v>21</v>
      </c>
      <c r="N372" s="318" t="s">
        <v>641</v>
      </c>
    </row>
    <row r="373" spans="2:14" x14ac:dyDescent="0.2">
      <c r="B373" s="15" t="s">
        <v>4</v>
      </c>
      <c r="C373" s="596" t="s">
        <v>635</v>
      </c>
      <c r="D373" s="596"/>
      <c r="E373" s="596"/>
      <c r="F373" s="596"/>
      <c r="G373" s="596"/>
      <c r="H373" s="596"/>
      <c r="I373" s="596"/>
      <c r="J373" s="596"/>
      <c r="K373" s="596"/>
      <c r="L373" s="597"/>
      <c r="M373" s="13" t="s">
        <v>22</v>
      </c>
      <c r="N373" s="318" t="s">
        <v>641</v>
      </c>
    </row>
    <row r="374" spans="2:14" x14ac:dyDescent="0.2">
      <c r="B374" s="15" t="s">
        <v>4</v>
      </c>
      <c r="C374" s="596" t="s">
        <v>636</v>
      </c>
      <c r="D374" s="596"/>
      <c r="E374" s="596"/>
      <c r="F374" s="596"/>
      <c r="G374" s="596"/>
      <c r="H374" s="596"/>
      <c r="I374" s="596"/>
      <c r="J374" s="596"/>
      <c r="K374" s="596"/>
      <c r="L374" s="597"/>
      <c r="M374" s="13" t="s">
        <v>22</v>
      </c>
      <c r="N374" s="318" t="s">
        <v>641</v>
      </c>
    </row>
    <row r="375" spans="2:14" x14ac:dyDescent="0.2">
      <c r="B375" s="15" t="s">
        <v>4</v>
      </c>
      <c r="C375" s="596" t="s">
        <v>637</v>
      </c>
      <c r="D375" s="596"/>
      <c r="E375" s="596"/>
      <c r="F375" s="596"/>
      <c r="G375" s="596"/>
      <c r="H375" s="596"/>
      <c r="I375" s="596"/>
      <c r="J375" s="596"/>
      <c r="K375" s="596"/>
      <c r="L375" s="597"/>
      <c r="M375" s="13" t="s">
        <v>23</v>
      </c>
      <c r="N375" s="318" t="s">
        <v>641</v>
      </c>
    </row>
    <row r="376" spans="2:14" ht="14.25" customHeight="1" x14ac:dyDescent="0.2">
      <c r="B376" s="15" t="s">
        <v>4</v>
      </c>
      <c r="C376" s="596" t="s">
        <v>631</v>
      </c>
      <c r="D376" s="596"/>
      <c r="E376" s="596"/>
      <c r="F376" s="596"/>
      <c r="G376" s="596"/>
      <c r="H376" s="596"/>
      <c r="I376" s="596"/>
      <c r="J376" s="596"/>
      <c r="K376" s="596"/>
      <c r="L376" s="597"/>
      <c r="M376" s="13" t="s">
        <v>22</v>
      </c>
      <c r="N376" s="452"/>
    </row>
    <row r="377" spans="2:14" x14ac:dyDescent="0.2">
      <c r="B377" s="15" t="s">
        <v>4</v>
      </c>
      <c r="C377" s="596" t="s">
        <v>107</v>
      </c>
      <c r="D377" s="596"/>
      <c r="E377" s="596"/>
      <c r="F377" s="596"/>
      <c r="G377" s="596"/>
      <c r="H377" s="596"/>
      <c r="I377" s="596"/>
      <c r="J377" s="596"/>
      <c r="K377" s="596"/>
      <c r="L377" s="597"/>
      <c r="M377" s="13" t="s">
        <v>109</v>
      </c>
      <c r="N377" s="316"/>
    </row>
    <row r="378" spans="2:14" ht="14.25" customHeight="1" x14ac:dyDescent="0.2">
      <c r="B378" s="15" t="s">
        <v>4</v>
      </c>
      <c r="C378" s="595" t="s">
        <v>319</v>
      </c>
      <c r="D378" s="604"/>
      <c r="E378" s="604"/>
      <c r="F378" s="604"/>
      <c r="G378" s="604"/>
      <c r="H378" s="604"/>
      <c r="I378" s="604"/>
      <c r="J378" s="604"/>
      <c r="K378" s="604"/>
      <c r="L378" s="605"/>
      <c r="M378" s="13" t="s">
        <v>13</v>
      </c>
    </row>
    <row r="379" spans="2:14" ht="14.25" customHeight="1" x14ac:dyDescent="0.2">
      <c r="B379" s="15" t="s">
        <v>4</v>
      </c>
      <c r="C379" s="596" t="s">
        <v>336</v>
      </c>
      <c r="D379" s="596"/>
      <c r="E379" s="596"/>
      <c r="F379" s="596"/>
      <c r="G379" s="596"/>
      <c r="H379" s="596"/>
      <c r="I379" s="596"/>
      <c r="J379" s="596"/>
      <c r="K379" s="596"/>
      <c r="L379" s="597"/>
      <c r="M379" s="13" t="s">
        <v>22</v>
      </c>
    </row>
    <row r="380" spans="2:14" ht="14.25" customHeight="1" x14ac:dyDescent="0.2">
      <c r="B380" s="15" t="s">
        <v>4</v>
      </c>
      <c r="C380" s="597" t="s">
        <v>632</v>
      </c>
      <c r="D380" s="600"/>
      <c r="E380" s="600"/>
      <c r="F380" s="600"/>
      <c r="G380" s="600"/>
      <c r="H380" s="600"/>
      <c r="I380" s="600"/>
      <c r="J380" s="600"/>
      <c r="K380" s="600"/>
      <c r="L380" s="600"/>
      <c r="M380" s="13" t="s">
        <v>13</v>
      </c>
    </row>
    <row r="381" spans="2:14" ht="14.25" customHeight="1" x14ac:dyDescent="0.2">
      <c r="B381" s="15" t="s">
        <v>4</v>
      </c>
      <c r="C381" s="597" t="s">
        <v>633</v>
      </c>
      <c r="D381" s="600"/>
      <c r="E381" s="600"/>
      <c r="F381" s="600"/>
      <c r="G381" s="600"/>
      <c r="H381" s="600"/>
      <c r="I381" s="600"/>
      <c r="J381" s="600"/>
      <c r="K381" s="600"/>
      <c r="L381" s="600"/>
      <c r="M381" s="13" t="s">
        <v>13</v>
      </c>
    </row>
    <row r="382" spans="2:14" ht="14.25" customHeight="1" x14ac:dyDescent="0.25">
      <c r="B382" s="7" t="s">
        <v>7</v>
      </c>
      <c r="C382" s="313"/>
      <c r="D382" s="313"/>
      <c r="E382" s="313"/>
      <c r="F382" s="313"/>
      <c r="G382" s="313"/>
      <c r="H382" s="313"/>
      <c r="I382" s="313"/>
      <c r="J382" s="313"/>
      <c r="K382" s="313"/>
      <c r="L382" s="313"/>
    </row>
    <row r="383" spans="2:14" ht="29.25" customHeight="1" x14ac:dyDescent="0.2">
      <c r="B383" s="8" t="s">
        <v>8</v>
      </c>
      <c r="C383" s="619" t="s">
        <v>491</v>
      </c>
      <c r="D383" s="619"/>
      <c r="E383" s="619"/>
      <c r="F383" s="619"/>
      <c r="G383" s="619"/>
      <c r="H383" s="619"/>
      <c r="I383" s="619"/>
      <c r="J383" s="619"/>
      <c r="K383" s="619"/>
      <c r="L383" s="619"/>
      <c r="M383" s="17">
        <v>0.06</v>
      </c>
    </row>
    <row r="384" spans="2:14" ht="14.25" customHeight="1" x14ac:dyDescent="0.2">
      <c r="B384" s="15" t="s">
        <v>4</v>
      </c>
      <c r="C384" s="597" t="s">
        <v>343</v>
      </c>
      <c r="D384" s="600"/>
      <c r="E384" s="600"/>
      <c r="F384" s="600"/>
      <c r="G384" s="600"/>
      <c r="H384" s="600"/>
      <c r="I384" s="600"/>
      <c r="J384" s="600"/>
      <c r="K384" s="600"/>
      <c r="L384" s="600"/>
      <c r="M384" s="55">
        <f>M$328</f>
        <v>432050.2843740001</v>
      </c>
      <c r="N384" s="318" t="s">
        <v>342</v>
      </c>
    </row>
    <row r="385" spans="2:14" ht="14.25" customHeight="1" x14ac:dyDescent="0.2">
      <c r="B385" s="15" t="s">
        <v>4</v>
      </c>
      <c r="C385" s="597" t="s">
        <v>448</v>
      </c>
      <c r="D385" s="600"/>
      <c r="E385" s="600"/>
      <c r="F385" s="600"/>
      <c r="G385" s="600"/>
      <c r="H385" s="600"/>
      <c r="I385" s="600"/>
      <c r="J385" s="600"/>
      <c r="K385" s="600"/>
      <c r="L385" s="600"/>
      <c r="M385" s="55">
        <f>M$329</f>
        <v>899475.53047200025</v>
      </c>
      <c r="N385" s="318" t="s">
        <v>342</v>
      </c>
    </row>
    <row r="386" spans="2:14" ht="28.5" customHeight="1" x14ac:dyDescent="0.2">
      <c r="B386" s="15" t="s">
        <v>321</v>
      </c>
      <c r="C386" s="608" t="s">
        <v>690</v>
      </c>
      <c r="D386" s="609"/>
      <c r="E386" s="610" t="s">
        <v>644</v>
      </c>
      <c r="F386" s="611"/>
      <c r="G386" s="611"/>
      <c r="H386" s="611"/>
      <c r="I386" s="611"/>
      <c r="J386" s="611"/>
      <c r="K386" s="611"/>
      <c r="L386" s="612"/>
      <c r="M386" s="55">
        <f>'OP6-Item Costs'!B21</f>
        <v>17501000</v>
      </c>
    </row>
    <row r="387" spans="2:14" ht="14.25" customHeight="1" x14ac:dyDescent="0.2">
      <c r="B387" s="15" t="s">
        <v>321</v>
      </c>
      <c r="C387" s="595" t="s">
        <v>103</v>
      </c>
      <c r="D387" s="596"/>
      <c r="E387" s="596"/>
      <c r="F387" s="596"/>
      <c r="G387" s="596"/>
      <c r="H387" s="596"/>
      <c r="I387" s="596"/>
      <c r="J387" s="596"/>
      <c r="K387" s="596"/>
      <c r="L387" s="597"/>
      <c r="M387" s="55">
        <f>'OP6-Item Costs'!B29</f>
        <v>2000000</v>
      </c>
    </row>
    <row r="388" spans="2:14" ht="14.25" customHeight="1" x14ac:dyDescent="0.2">
      <c r="B388" s="15" t="s">
        <v>4</v>
      </c>
      <c r="C388" s="595" t="s">
        <v>106</v>
      </c>
      <c r="D388" s="596"/>
      <c r="E388" s="596"/>
      <c r="F388" s="596"/>
      <c r="G388" s="596"/>
      <c r="H388" s="596"/>
      <c r="I388" s="596"/>
      <c r="J388" s="596"/>
      <c r="K388" s="596"/>
      <c r="L388" s="597"/>
      <c r="M388" s="55">
        <v>0</v>
      </c>
    </row>
    <row r="389" spans="2:14" ht="14.25" customHeight="1" x14ac:dyDescent="0.2">
      <c r="B389" s="15" t="s">
        <v>4</v>
      </c>
      <c r="C389" s="595" t="s">
        <v>645</v>
      </c>
      <c r="D389" s="596"/>
      <c r="E389" s="596"/>
      <c r="F389" s="596"/>
      <c r="G389" s="596"/>
      <c r="H389" s="596"/>
      <c r="I389" s="596"/>
      <c r="J389" s="596"/>
      <c r="K389" s="596"/>
      <c r="L389" s="597"/>
      <c r="M389" s="55">
        <f>'OP6-Item Costs'!B33</f>
        <v>1899509</v>
      </c>
    </row>
    <row r="390" spans="2:14" ht="14.25" customHeight="1" x14ac:dyDescent="0.2">
      <c r="B390" s="15" t="s">
        <v>4</v>
      </c>
      <c r="C390" s="595" t="s">
        <v>696</v>
      </c>
      <c r="D390" s="596"/>
      <c r="E390" s="596"/>
      <c r="F390" s="596"/>
      <c r="G390" s="596"/>
      <c r="H390" s="596"/>
      <c r="I390" s="596"/>
      <c r="J390" s="596"/>
      <c r="K390" s="596"/>
      <c r="L390" s="597"/>
      <c r="M390" s="441">
        <v>0.02</v>
      </c>
    </row>
    <row r="391" spans="2:14" ht="14.25" customHeight="1" x14ac:dyDescent="0.2">
      <c r="B391" s="15" t="s">
        <v>4</v>
      </c>
      <c r="C391" s="595" t="s">
        <v>474</v>
      </c>
      <c r="D391" s="596"/>
      <c r="E391" s="596"/>
      <c r="F391" s="596"/>
      <c r="G391" s="596"/>
      <c r="H391" s="596"/>
      <c r="I391" s="596"/>
      <c r="J391" s="596"/>
      <c r="K391" s="596"/>
      <c r="L391" s="597"/>
      <c r="M391" s="55">
        <f>'OP6-Item Costs'!B37</f>
        <v>3320419.1145967138</v>
      </c>
    </row>
    <row r="392" spans="2:14" ht="14.25" customHeight="1" x14ac:dyDescent="0.2">
      <c r="B392" s="15" t="s">
        <v>4</v>
      </c>
      <c r="C392" s="596" t="s">
        <v>231</v>
      </c>
      <c r="D392" s="596"/>
      <c r="E392" s="596"/>
      <c r="F392" s="596"/>
      <c r="G392" s="596"/>
      <c r="H392" s="596"/>
      <c r="I392" s="596"/>
      <c r="J392" s="596"/>
      <c r="K392" s="596"/>
      <c r="L392" s="597"/>
      <c r="M392" s="55">
        <f>'OP6-Item Costs'!B36</f>
        <v>11187779.5</v>
      </c>
    </row>
    <row r="393" spans="2:14" ht="14.25" customHeight="1" x14ac:dyDescent="0.2">
      <c r="B393" s="15" t="s">
        <v>4</v>
      </c>
      <c r="C393" s="606" t="s">
        <v>105</v>
      </c>
      <c r="D393" s="596"/>
      <c r="E393" s="596"/>
      <c r="F393" s="596"/>
      <c r="G393" s="596"/>
      <c r="H393" s="596"/>
      <c r="I393" s="596"/>
      <c r="J393" s="596"/>
      <c r="K393" s="596"/>
      <c r="L393" s="597"/>
      <c r="M393" s="17">
        <v>0.5</v>
      </c>
    </row>
    <row r="394" spans="2:14" ht="14.25" customHeight="1" x14ac:dyDescent="0.2">
      <c r="B394" s="15"/>
      <c r="C394" s="596"/>
      <c r="D394" s="596"/>
      <c r="E394" s="596"/>
      <c r="F394" s="596"/>
      <c r="G394" s="596"/>
      <c r="H394" s="596"/>
      <c r="I394" s="596"/>
      <c r="J394" s="596"/>
      <c r="K394" s="596"/>
      <c r="L394" s="597"/>
      <c r="M394" s="55"/>
    </row>
    <row r="395" spans="2:14" x14ac:dyDescent="0.2">
      <c r="B395" s="15" t="s">
        <v>4</v>
      </c>
      <c r="C395" s="595" t="s">
        <v>492</v>
      </c>
      <c r="D395" s="596"/>
      <c r="E395" s="596"/>
      <c r="F395" s="596"/>
      <c r="G395" s="596"/>
      <c r="H395" s="596"/>
      <c r="I395" s="596"/>
      <c r="J395" s="596"/>
      <c r="K395" s="596"/>
      <c r="L395" s="597"/>
      <c r="M395" s="55">
        <f>'OP6-Item Costs'!B33</f>
        <v>1899509</v>
      </c>
    </row>
    <row r="396" spans="2:14" x14ac:dyDescent="0.2">
      <c r="B396" s="15"/>
      <c r="C396" s="595"/>
      <c r="D396" s="596"/>
      <c r="E396" s="596"/>
      <c r="F396" s="596"/>
      <c r="G396" s="596"/>
      <c r="H396" s="596"/>
      <c r="I396" s="596"/>
      <c r="J396" s="596"/>
      <c r="K396" s="596"/>
      <c r="L396" s="597"/>
      <c r="M396" s="55"/>
    </row>
    <row r="397" spans="2:14" x14ac:dyDescent="0.2">
      <c r="B397" s="15"/>
      <c r="C397" s="595"/>
      <c r="D397" s="596"/>
      <c r="E397" s="596"/>
      <c r="F397" s="596"/>
      <c r="G397" s="596"/>
      <c r="H397" s="596"/>
      <c r="I397" s="596"/>
      <c r="J397" s="596"/>
      <c r="K397" s="596"/>
      <c r="L397" s="597"/>
      <c r="M397" s="55"/>
    </row>
    <row r="398" spans="2:14" ht="15.75" x14ac:dyDescent="0.25">
      <c r="B398" s="7" t="s">
        <v>9</v>
      </c>
      <c r="C398" s="616" t="s">
        <v>237</v>
      </c>
      <c r="D398" s="617"/>
      <c r="E398" s="617"/>
      <c r="F398" s="617"/>
      <c r="G398" s="617"/>
      <c r="H398" s="617"/>
      <c r="I398" s="617"/>
      <c r="J398" s="617"/>
      <c r="K398" s="617"/>
      <c r="L398" s="618"/>
      <c r="M398" s="17">
        <v>0.03</v>
      </c>
    </row>
    <row r="399" spans="2:14" ht="14.25" customHeight="1" x14ac:dyDescent="0.2">
      <c r="B399" s="15" t="s">
        <v>4</v>
      </c>
      <c r="C399" s="598" t="s">
        <v>322</v>
      </c>
      <c r="D399" s="599"/>
      <c r="E399" s="599"/>
      <c r="F399" s="599"/>
      <c r="G399" s="599"/>
      <c r="H399" s="599"/>
      <c r="I399" s="599"/>
      <c r="J399" s="599"/>
      <c r="K399" s="599"/>
      <c r="L399" s="599"/>
      <c r="M399" s="55">
        <f>'ALL-Opex Baseline'!$AA$10*(1+$M398)</f>
        <v>60637.37720000001</v>
      </c>
    </row>
    <row r="400" spans="2:14" ht="15" customHeight="1" x14ac:dyDescent="0.2">
      <c r="B400" s="15" t="s">
        <v>4</v>
      </c>
      <c r="C400" s="598" t="s">
        <v>323</v>
      </c>
      <c r="D400" s="599"/>
      <c r="E400" s="599"/>
      <c r="F400" s="599"/>
      <c r="G400" s="599"/>
      <c r="H400" s="599"/>
      <c r="I400" s="599"/>
      <c r="J400" s="599"/>
      <c r="K400" s="599"/>
      <c r="L400" s="599"/>
      <c r="M400" s="55">
        <f>'ALL-Opex Baseline'!$N$14*(1+$M398)</f>
        <v>123121.6989</v>
      </c>
    </row>
    <row r="401" spans="2:14" ht="14.25" customHeight="1" x14ac:dyDescent="0.2">
      <c r="B401" s="15" t="s">
        <v>4</v>
      </c>
      <c r="C401" s="598" t="s">
        <v>324</v>
      </c>
      <c r="D401" s="599"/>
      <c r="E401" s="599"/>
      <c r="F401" s="599"/>
      <c r="G401" s="599"/>
      <c r="H401" s="599"/>
      <c r="I401" s="599"/>
      <c r="J401" s="599"/>
      <c r="K401" s="599"/>
      <c r="L401" s="599"/>
      <c r="M401" s="55">
        <f>'ALL-Opex Baseline'!$AA$21*(1+$M398)</f>
        <v>260661.2245000001</v>
      </c>
    </row>
    <row r="402" spans="2:14" ht="14.25" customHeight="1" x14ac:dyDescent="0.2">
      <c r="B402" s="15" t="s">
        <v>4</v>
      </c>
      <c r="C402" s="598" t="s">
        <v>325</v>
      </c>
      <c r="D402" s="599"/>
      <c r="E402" s="599"/>
      <c r="F402" s="599"/>
      <c r="G402" s="599"/>
      <c r="H402" s="599"/>
      <c r="I402" s="599"/>
      <c r="J402" s="599"/>
      <c r="K402" s="599"/>
      <c r="L402" s="599"/>
      <c r="M402" s="55">
        <f>'ALL-Opex Baseline'!$N$32*(1+$M398)</f>
        <v>580910.69848962966</v>
      </c>
    </row>
    <row r="403" spans="2:14" ht="14.25" customHeight="1" x14ac:dyDescent="0.2">
      <c r="B403" s="15" t="s">
        <v>4</v>
      </c>
      <c r="C403" s="598" t="s">
        <v>326</v>
      </c>
      <c r="D403" s="599"/>
      <c r="E403" s="599"/>
      <c r="F403" s="599"/>
      <c r="G403" s="599"/>
      <c r="H403" s="599"/>
      <c r="I403" s="599"/>
      <c r="J403" s="599"/>
      <c r="K403" s="599"/>
      <c r="L403" s="599"/>
      <c r="M403" s="55">
        <f>'ALL-Opex Baseline'!$AA$39*(1+$M398)</f>
        <v>289559.37315000006</v>
      </c>
    </row>
    <row r="404" spans="2:14" ht="14.25" customHeight="1" x14ac:dyDescent="0.2">
      <c r="B404" s="15" t="s">
        <v>4</v>
      </c>
      <c r="C404" s="598" t="s">
        <v>327</v>
      </c>
      <c r="D404" s="599"/>
      <c r="E404" s="599"/>
      <c r="F404" s="599"/>
      <c r="G404" s="599"/>
      <c r="H404" s="599"/>
      <c r="I404" s="599"/>
      <c r="J404" s="599"/>
      <c r="K404" s="599"/>
      <c r="L404" s="599"/>
      <c r="M404" s="55">
        <f>'ALL-Opex Baseline'!$N$49*(1+$M398)</f>
        <v>598014.84670376685</v>
      </c>
    </row>
    <row r="405" spans="2:14" x14ac:dyDescent="0.2">
      <c r="B405" s="15" t="s">
        <v>4</v>
      </c>
      <c r="C405" s="598" t="s">
        <v>290</v>
      </c>
      <c r="D405" s="599"/>
      <c r="E405" s="599"/>
      <c r="F405" s="599"/>
      <c r="G405" s="599"/>
      <c r="H405" s="599"/>
      <c r="I405" s="599"/>
      <c r="J405" s="599"/>
      <c r="K405" s="599"/>
      <c r="L405" s="599"/>
      <c r="M405" s="55">
        <f>318872*(1+0.04)</f>
        <v>331626.88</v>
      </c>
    </row>
    <row r="406" spans="2:14" ht="27" customHeight="1" x14ac:dyDescent="0.2">
      <c r="B406" s="15" t="s">
        <v>501</v>
      </c>
      <c r="C406" s="598" t="s">
        <v>495</v>
      </c>
      <c r="D406" s="599"/>
      <c r="E406" s="599"/>
      <c r="F406" s="599"/>
      <c r="G406" s="599"/>
      <c r="H406" s="599"/>
      <c r="I406" s="599"/>
      <c r="J406" s="599"/>
      <c r="K406" s="599"/>
      <c r="L406" s="599"/>
      <c r="M406" s="55">
        <f>'ALL-Opex Baseline'!$AB$10*(1+M398)</f>
        <v>60637.37720000001</v>
      </c>
      <c r="N406" s="16" t="s">
        <v>182</v>
      </c>
    </row>
    <row r="407" spans="2:14" ht="27" customHeight="1" x14ac:dyDescent="0.2">
      <c r="B407" s="15" t="s">
        <v>501</v>
      </c>
      <c r="C407" s="598" t="s">
        <v>496</v>
      </c>
      <c r="D407" s="599"/>
      <c r="E407" s="599"/>
      <c r="F407" s="599"/>
      <c r="G407" s="599"/>
      <c r="H407" s="599"/>
      <c r="I407" s="599"/>
      <c r="J407" s="599"/>
      <c r="K407" s="599"/>
      <c r="L407" s="599"/>
      <c r="M407" s="55">
        <f>'ALL-Opex Baseline'!$O$14*(1+M398)</f>
        <v>123121.6989</v>
      </c>
      <c r="N407" s="16" t="s">
        <v>182</v>
      </c>
    </row>
    <row r="408" spans="2:14" ht="27.75" customHeight="1" x14ac:dyDescent="0.2">
      <c r="B408" s="15" t="s">
        <v>501</v>
      </c>
      <c r="C408" s="598" t="s">
        <v>497</v>
      </c>
      <c r="D408" s="599"/>
      <c r="E408" s="599"/>
      <c r="F408" s="599"/>
      <c r="G408" s="599"/>
      <c r="H408" s="599"/>
      <c r="I408" s="599"/>
      <c r="J408" s="599"/>
      <c r="K408" s="599"/>
      <c r="L408" s="599"/>
      <c r="M408" s="55">
        <f>'ALL-Opex Baseline'!$AB$21*(1+M398)</f>
        <v>260661.2245000001</v>
      </c>
      <c r="N408" s="16" t="s">
        <v>182</v>
      </c>
    </row>
    <row r="409" spans="2:14" ht="27" customHeight="1" x14ac:dyDescent="0.2">
      <c r="B409" s="15" t="s">
        <v>501</v>
      </c>
      <c r="C409" s="598" t="s">
        <v>498</v>
      </c>
      <c r="D409" s="599"/>
      <c r="E409" s="599"/>
      <c r="F409" s="599"/>
      <c r="G409" s="599"/>
      <c r="H409" s="599"/>
      <c r="I409" s="599"/>
      <c r="J409" s="599"/>
      <c r="K409" s="599"/>
      <c r="L409" s="599"/>
      <c r="M409" s="55">
        <f>'ALL-Opex Baseline'!$O$32*(1+M398)</f>
        <v>539531.19832962961</v>
      </c>
      <c r="N409" s="16" t="s">
        <v>182</v>
      </c>
    </row>
    <row r="410" spans="2:14" ht="28.5" customHeight="1" x14ac:dyDescent="0.2">
      <c r="B410" s="15" t="s">
        <v>501</v>
      </c>
      <c r="C410" s="598" t="s">
        <v>499</v>
      </c>
      <c r="D410" s="599"/>
      <c r="E410" s="599"/>
      <c r="F410" s="599"/>
      <c r="G410" s="599"/>
      <c r="H410" s="599"/>
      <c r="I410" s="599"/>
      <c r="J410" s="599"/>
      <c r="K410" s="599"/>
      <c r="L410" s="599"/>
      <c r="M410" s="55">
        <f>'ALL-Opex Baseline'!$AB$39*(1+M398)</f>
        <v>289559.37315000006</v>
      </c>
      <c r="N410" s="16" t="s">
        <v>182</v>
      </c>
    </row>
    <row r="411" spans="2:14" ht="26.25" customHeight="1" x14ac:dyDescent="0.2">
      <c r="B411" s="15" t="s">
        <v>501</v>
      </c>
      <c r="C411" s="598" t="s">
        <v>500</v>
      </c>
      <c r="D411" s="599"/>
      <c r="E411" s="599"/>
      <c r="F411" s="599"/>
      <c r="G411" s="599"/>
      <c r="H411" s="599"/>
      <c r="I411" s="599"/>
      <c r="J411" s="599"/>
      <c r="K411" s="599"/>
      <c r="L411" s="599"/>
      <c r="M411" s="55">
        <f>'ALL-Opex Baseline'!$O$49*(1+M398)</f>
        <v>584927.41229376686</v>
      </c>
      <c r="N411" s="16" t="s">
        <v>182</v>
      </c>
    </row>
    <row r="412" spans="2:14" ht="28.5" customHeight="1" x14ac:dyDescent="0.2">
      <c r="B412" s="15" t="s">
        <v>4</v>
      </c>
      <c r="C412" s="601" t="s">
        <v>477</v>
      </c>
      <c r="D412" s="602"/>
      <c r="E412" s="602"/>
      <c r="F412" s="602"/>
      <c r="G412" s="602"/>
      <c r="H412" s="602"/>
      <c r="I412" s="602"/>
      <c r="J412" s="602"/>
      <c r="K412" s="602"/>
      <c r="L412" s="603"/>
      <c r="M412" s="55">
        <v>182000</v>
      </c>
    </row>
    <row r="413" spans="2:14" ht="28.5" customHeight="1" x14ac:dyDescent="0.2">
      <c r="B413" s="15" t="s">
        <v>2</v>
      </c>
      <c r="C413" s="598" t="s">
        <v>537</v>
      </c>
      <c r="D413" s="599"/>
      <c r="E413" s="599"/>
      <c r="F413" s="599"/>
      <c r="G413" s="599"/>
      <c r="H413" s="599"/>
      <c r="I413" s="599"/>
      <c r="J413" s="599"/>
      <c r="K413" s="599"/>
      <c r="L413" s="599"/>
      <c r="M413" s="17" t="s">
        <v>536</v>
      </c>
    </row>
    <row r="414" spans="2:14" x14ac:dyDescent="0.2">
      <c r="B414" s="15"/>
      <c r="C414" s="603"/>
      <c r="D414" s="599"/>
      <c r="E414" s="599"/>
      <c r="F414" s="599"/>
      <c r="G414" s="599"/>
      <c r="H414" s="599"/>
      <c r="I414" s="599"/>
      <c r="J414" s="599"/>
      <c r="K414" s="599"/>
      <c r="L414" s="599"/>
      <c r="M414" s="55"/>
    </row>
    <row r="415" spans="2:14" ht="14.25" customHeight="1" x14ac:dyDescent="0.2">
      <c r="B415" s="15"/>
      <c r="C415" s="614"/>
      <c r="D415" s="615"/>
      <c r="E415" s="615"/>
      <c r="F415" s="615"/>
      <c r="G415" s="615"/>
      <c r="H415" s="615"/>
      <c r="I415" s="615"/>
      <c r="J415" s="615"/>
      <c r="K415" s="615"/>
      <c r="L415" s="615"/>
      <c r="M415" s="55"/>
    </row>
    <row r="416" spans="2:14" x14ac:dyDescent="0.2">
      <c r="C416" s="314"/>
      <c r="D416" s="314"/>
      <c r="E416" s="314"/>
      <c r="F416" s="314"/>
      <c r="G416" s="314"/>
      <c r="H416" s="314"/>
      <c r="I416" s="314"/>
      <c r="J416" s="314"/>
      <c r="K416" s="314"/>
      <c r="L416" s="314"/>
    </row>
    <row r="417" spans="1:13" x14ac:dyDescent="0.2">
      <c r="C417" s="314"/>
      <c r="D417" s="314"/>
      <c r="E417" s="314"/>
      <c r="F417" s="314"/>
      <c r="G417" s="314"/>
      <c r="H417" s="314"/>
      <c r="I417" s="314"/>
      <c r="J417" s="314"/>
      <c r="K417" s="314"/>
      <c r="L417" s="314"/>
    </row>
    <row r="418" spans="1:13" ht="15.75" x14ac:dyDescent="0.25">
      <c r="A418" s="2" t="s">
        <v>602</v>
      </c>
    </row>
    <row r="420" spans="1:13" ht="15.75" customHeight="1" x14ac:dyDescent="0.2">
      <c r="B420" s="8" t="s">
        <v>1</v>
      </c>
      <c r="C420" s="613" t="s">
        <v>449</v>
      </c>
      <c r="D420" s="613"/>
      <c r="E420" s="613"/>
      <c r="F420" s="613"/>
      <c r="G420" s="613"/>
      <c r="H420" s="613"/>
      <c r="I420" s="613"/>
      <c r="J420" s="613"/>
      <c r="K420" s="613"/>
      <c r="L420" s="613"/>
    </row>
    <row r="421" spans="1:13" ht="42.75" customHeight="1" x14ac:dyDescent="0.2">
      <c r="B421" s="15" t="s">
        <v>2</v>
      </c>
      <c r="C421" s="596" t="s">
        <v>478</v>
      </c>
      <c r="D421" s="596"/>
      <c r="E421" s="596"/>
      <c r="F421" s="596"/>
      <c r="G421" s="596"/>
      <c r="H421" s="596"/>
      <c r="I421" s="596"/>
      <c r="J421" s="596"/>
      <c r="K421" s="596"/>
      <c r="L421" s="597"/>
    </row>
    <row r="422" spans="1:13" ht="15.75" x14ac:dyDescent="0.25">
      <c r="B422" s="3"/>
      <c r="C422" s="313"/>
      <c r="D422" s="313"/>
      <c r="E422" s="313"/>
      <c r="F422" s="313"/>
      <c r="G422" s="313"/>
      <c r="H422" s="313"/>
      <c r="I422" s="313"/>
      <c r="J422" s="313"/>
      <c r="K422" s="313"/>
      <c r="L422" s="313"/>
    </row>
    <row r="423" spans="1:13" ht="15.75" x14ac:dyDescent="0.25">
      <c r="B423" s="7" t="s">
        <v>3</v>
      </c>
      <c r="C423" s="313"/>
      <c r="D423" s="313"/>
      <c r="E423" s="313"/>
      <c r="F423" s="313"/>
      <c r="G423" s="313"/>
      <c r="H423" s="313"/>
      <c r="I423" s="313"/>
      <c r="J423" s="313"/>
      <c r="K423" s="313"/>
      <c r="L423" s="313"/>
    </row>
    <row r="424" spans="1:13" ht="14.25" customHeight="1" x14ac:dyDescent="0.2">
      <c r="B424" s="15" t="s">
        <v>4</v>
      </c>
      <c r="C424" s="597" t="s">
        <v>14</v>
      </c>
      <c r="D424" s="600"/>
      <c r="E424" s="600"/>
      <c r="F424" s="600"/>
      <c r="G424" s="600"/>
      <c r="H424" s="600"/>
      <c r="I424" s="600"/>
      <c r="J424" s="600"/>
      <c r="K424" s="600"/>
      <c r="L424" s="600"/>
      <c r="M424" s="13" t="s">
        <v>13</v>
      </c>
    </row>
    <row r="425" spans="1:13" ht="14.25" customHeight="1" x14ac:dyDescent="0.2">
      <c r="B425" s="15" t="s">
        <v>4</v>
      </c>
      <c r="C425" s="597" t="s">
        <v>15</v>
      </c>
      <c r="D425" s="600"/>
      <c r="E425" s="600"/>
      <c r="F425" s="600"/>
      <c r="G425" s="600"/>
      <c r="H425" s="600"/>
      <c r="I425" s="600"/>
      <c r="J425" s="600"/>
      <c r="K425" s="600"/>
      <c r="L425" s="600"/>
      <c r="M425" s="13" t="s">
        <v>13</v>
      </c>
    </row>
    <row r="426" spans="1:13" ht="14.25" customHeight="1" x14ac:dyDescent="0.2">
      <c r="B426" s="15" t="s">
        <v>4</v>
      </c>
      <c r="C426" s="597" t="s">
        <v>20</v>
      </c>
      <c r="D426" s="600"/>
      <c r="E426" s="600"/>
      <c r="F426" s="600"/>
      <c r="G426" s="600"/>
      <c r="H426" s="600"/>
      <c r="I426" s="600"/>
      <c r="J426" s="600"/>
      <c r="K426" s="600"/>
      <c r="L426" s="600"/>
      <c r="M426" s="13" t="s">
        <v>13</v>
      </c>
    </row>
    <row r="427" spans="1:13" ht="14.25" customHeight="1" x14ac:dyDescent="0.2">
      <c r="B427" s="15" t="s">
        <v>4</v>
      </c>
      <c r="C427" s="597" t="s">
        <v>494</v>
      </c>
      <c r="D427" s="600"/>
      <c r="E427" s="600"/>
      <c r="F427" s="600"/>
      <c r="G427" s="600"/>
      <c r="H427" s="600"/>
      <c r="I427" s="600"/>
      <c r="J427" s="600"/>
      <c r="K427" s="600"/>
      <c r="L427" s="600"/>
      <c r="M427" s="13" t="s">
        <v>13</v>
      </c>
    </row>
    <row r="428" spans="1:13" ht="14.25" customHeight="1" x14ac:dyDescent="0.2">
      <c r="B428" s="15" t="s">
        <v>4</v>
      </c>
      <c r="C428" s="597" t="s">
        <v>16</v>
      </c>
      <c r="D428" s="600"/>
      <c r="E428" s="600"/>
      <c r="F428" s="600"/>
      <c r="G428" s="600"/>
      <c r="H428" s="600"/>
      <c r="I428" s="600"/>
      <c r="J428" s="600"/>
      <c r="K428" s="600"/>
      <c r="L428" s="600"/>
      <c r="M428" s="13" t="s">
        <v>13</v>
      </c>
    </row>
    <row r="429" spans="1:13" ht="14.25" customHeight="1" x14ac:dyDescent="0.2">
      <c r="B429" s="15" t="s">
        <v>4</v>
      </c>
      <c r="C429" s="597" t="s">
        <v>313</v>
      </c>
      <c r="D429" s="600"/>
      <c r="E429" s="600"/>
      <c r="F429" s="600"/>
      <c r="G429" s="600"/>
      <c r="H429" s="600"/>
      <c r="I429" s="600"/>
      <c r="J429" s="600"/>
      <c r="K429" s="600"/>
      <c r="L429" s="600"/>
      <c r="M429" s="13" t="s">
        <v>13</v>
      </c>
    </row>
    <row r="430" spans="1:13" ht="14.25" customHeight="1" x14ac:dyDescent="0.2">
      <c r="B430" s="15" t="s">
        <v>4</v>
      </c>
      <c r="C430" s="597" t="s">
        <v>479</v>
      </c>
      <c r="D430" s="600"/>
      <c r="E430" s="600"/>
      <c r="F430" s="600"/>
      <c r="G430" s="600"/>
      <c r="H430" s="600"/>
      <c r="I430" s="600"/>
      <c r="J430" s="600"/>
      <c r="K430" s="600"/>
      <c r="L430" s="600"/>
      <c r="M430" s="13" t="s">
        <v>13</v>
      </c>
    </row>
    <row r="431" spans="1:13" ht="14.25" customHeight="1" x14ac:dyDescent="0.2">
      <c r="B431" s="15" t="s">
        <v>4</v>
      </c>
      <c r="C431" s="597" t="s">
        <v>315</v>
      </c>
      <c r="D431" s="600"/>
      <c r="E431" s="600"/>
      <c r="F431" s="600"/>
      <c r="G431" s="600"/>
      <c r="H431" s="600"/>
      <c r="I431" s="600"/>
      <c r="J431" s="600"/>
      <c r="K431" s="600"/>
      <c r="L431" s="600"/>
      <c r="M431" s="13" t="s">
        <v>13</v>
      </c>
    </row>
    <row r="432" spans="1:13" ht="14.25" customHeight="1" x14ac:dyDescent="0.2">
      <c r="B432" s="15" t="s">
        <v>4</v>
      </c>
      <c r="C432" s="597" t="s">
        <v>205</v>
      </c>
      <c r="D432" s="600"/>
      <c r="E432" s="600"/>
      <c r="F432" s="600"/>
      <c r="G432" s="600"/>
      <c r="H432" s="600"/>
      <c r="I432" s="600"/>
      <c r="J432" s="600"/>
      <c r="K432" s="600"/>
      <c r="L432" s="600"/>
      <c r="M432" s="13" t="s">
        <v>13</v>
      </c>
    </row>
    <row r="433" spans="2:14" ht="14.25" customHeight="1" x14ac:dyDescent="0.2">
      <c r="B433" s="15" t="s">
        <v>4</v>
      </c>
      <c r="C433" s="597" t="s">
        <v>206</v>
      </c>
      <c r="D433" s="600"/>
      <c r="E433" s="600"/>
      <c r="F433" s="600"/>
      <c r="G433" s="600"/>
      <c r="H433" s="600"/>
      <c r="I433" s="600"/>
      <c r="J433" s="600"/>
      <c r="K433" s="600"/>
      <c r="L433" s="600"/>
      <c r="M433" s="13"/>
    </row>
    <row r="434" spans="2:14" ht="14.25" customHeight="1" x14ac:dyDescent="0.2">
      <c r="B434" s="15"/>
      <c r="C434" s="597"/>
      <c r="D434" s="600"/>
      <c r="E434" s="600"/>
      <c r="F434" s="600"/>
      <c r="G434" s="600"/>
      <c r="H434" s="600"/>
      <c r="I434" s="600"/>
      <c r="J434" s="600"/>
      <c r="K434" s="600"/>
      <c r="L434" s="600"/>
      <c r="M434" s="13" t="s">
        <v>13</v>
      </c>
    </row>
    <row r="435" spans="2:14" ht="14.25" customHeight="1" x14ac:dyDescent="0.2">
      <c r="B435" s="15" t="s">
        <v>4</v>
      </c>
      <c r="C435" s="597" t="s">
        <v>316</v>
      </c>
      <c r="D435" s="600"/>
      <c r="E435" s="600"/>
      <c r="F435" s="600"/>
      <c r="G435" s="600"/>
      <c r="H435" s="600"/>
      <c r="I435" s="600"/>
      <c r="J435" s="600"/>
      <c r="K435" s="600"/>
      <c r="L435" s="600"/>
      <c r="M435" s="13" t="s">
        <v>13</v>
      </c>
    </row>
    <row r="436" spans="2:14" ht="14.25" customHeight="1" x14ac:dyDescent="0.2">
      <c r="B436" s="15" t="s">
        <v>4</v>
      </c>
      <c r="C436" s="597" t="s">
        <v>476</v>
      </c>
      <c r="D436" s="600"/>
      <c r="E436" s="600"/>
      <c r="F436" s="600"/>
      <c r="G436" s="600"/>
      <c r="H436" s="600"/>
      <c r="I436" s="600"/>
      <c r="J436" s="600"/>
      <c r="K436" s="600"/>
      <c r="L436" s="600"/>
      <c r="M436" s="13" t="s">
        <v>13</v>
      </c>
    </row>
    <row r="437" spans="2:14" ht="14.25" customHeight="1" x14ac:dyDescent="0.2">
      <c r="B437" s="15" t="s">
        <v>4</v>
      </c>
      <c r="C437" s="597" t="s">
        <v>317</v>
      </c>
      <c r="D437" s="600"/>
      <c r="E437" s="600"/>
      <c r="F437" s="600"/>
      <c r="G437" s="600"/>
      <c r="H437" s="600"/>
      <c r="I437" s="600"/>
      <c r="J437" s="600"/>
      <c r="K437" s="600"/>
      <c r="L437" s="600"/>
      <c r="M437" s="13" t="s">
        <v>13</v>
      </c>
    </row>
    <row r="438" spans="2:14" ht="14.25" customHeight="1" x14ac:dyDescent="0.2">
      <c r="B438" s="15" t="s">
        <v>4</v>
      </c>
      <c r="C438" s="597" t="s">
        <v>338</v>
      </c>
      <c r="D438" s="600"/>
      <c r="E438" s="600"/>
      <c r="F438" s="600"/>
      <c r="G438" s="600"/>
      <c r="H438" s="600"/>
      <c r="I438" s="600"/>
      <c r="J438" s="600"/>
      <c r="K438" s="600"/>
      <c r="L438" s="600"/>
      <c r="M438" s="13" t="s">
        <v>13</v>
      </c>
    </row>
    <row r="439" spans="2:14" ht="14.25" customHeight="1" x14ac:dyDescent="0.2">
      <c r="B439" s="15" t="s">
        <v>4</v>
      </c>
      <c r="C439" s="597" t="s">
        <v>339</v>
      </c>
      <c r="D439" s="600"/>
      <c r="E439" s="600"/>
      <c r="F439" s="600"/>
      <c r="G439" s="600"/>
      <c r="H439" s="600"/>
      <c r="I439" s="600"/>
      <c r="J439" s="600"/>
      <c r="K439" s="600"/>
      <c r="L439" s="600"/>
      <c r="M439" s="13"/>
      <c r="N439" s="438"/>
    </row>
    <row r="440" spans="2:14" ht="15.75" x14ac:dyDescent="0.25">
      <c r="B440" s="7" t="s">
        <v>5</v>
      </c>
      <c r="C440" s="11"/>
      <c r="D440" s="11"/>
      <c r="E440" s="11"/>
      <c r="F440" s="11"/>
      <c r="G440" s="11"/>
      <c r="H440" s="11"/>
      <c r="I440" s="11"/>
      <c r="J440" s="11"/>
      <c r="K440" s="11"/>
      <c r="L440" s="11"/>
      <c r="N440" s="437"/>
    </row>
    <row r="441" spans="2:14" ht="14.25" customHeight="1" x14ac:dyDescent="0.2">
      <c r="B441" s="15" t="s">
        <v>4</v>
      </c>
      <c r="C441" s="596" t="s">
        <v>318</v>
      </c>
      <c r="D441" s="596"/>
      <c r="E441" s="596"/>
      <c r="F441" s="596"/>
      <c r="G441" s="596"/>
      <c r="H441" s="596"/>
      <c r="I441" s="596"/>
      <c r="J441" s="596"/>
      <c r="K441" s="596"/>
      <c r="L441" s="597"/>
      <c r="M441" s="13" t="s">
        <v>13</v>
      </c>
      <c r="N441" s="437"/>
    </row>
    <row r="442" spans="2:14" ht="14.25" customHeight="1" x14ac:dyDescent="0.2">
      <c r="B442" s="15" t="s">
        <v>4</v>
      </c>
      <c r="C442" s="596" t="s">
        <v>634</v>
      </c>
      <c r="D442" s="596"/>
      <c r="E442" s="596"/>
      <c r="F442" s="596"/>
      <c r="G442" s="596"/>
      <c r="H442" s="596"/>
      <c r="I442" s="596"/>
      <c r="J442" s="596"/>
      <c r="K442" s="596"/>
      <c r="L442" s="597"/>
      <c r="M442" s="13" t="s">
        <v>21</v>
      </c>
      <c r="N442" s="318" t="s">
        <v>642</v>
      </c>
    </row>
    <row r="443" spans="2:14" ht="14.25" customHeight="1" x14ac:dyDescent="0.2">
      <c r="B443" s="15" t="s">
        <v>4</v>
      </c>
      <c r="C443" s="596" t="s">
        <v>638</v>
      </c>
      <c r="D443" s="596"/>
      <c r="E443" s="596"/>
      <c r="F443" s="596"/>
      <c r="G443" s="596"/>
      <c r="H443" s="596"/>
      <c r="I443" s="596"/>
      <c r="J443" s="596"/>
      <c r="K443" s="596"/>
      <c r="L443" s="597"/>
      <c r="M443" s="13" t="s">
        <v>22</v>
      </c>
      <c r="N443" s="318" t="s">
        <v>642</v>
      </c>
    </row>
    <row r="444" spans="2:14" ht="14.25" customHeight="1" x14ac:dyDescent="0.2">
      <c r="B444" s="15" t="s">
        <v>4</v>
      </c>
      <c r="C444" s="596" t="s">
        <v>639</v>
      </c>
      <c r="D444" s="596"/>
      <c r="E444" s="596"/>
      <c r="F444" s="596"/>
      <c r="G444" s="596"/>
      <c r="H444" s="596"/>
      <c r="I444" s="596"/>
      <c r="J444" s="596"/>
      <c r="K444" s="596"/>
      <c r="L444" s="597"/>
      <c r="M444" s="13" t="s">
        <v>22</v>
      </c>
      <c r="N444" s="318" t="s">
        <v>642</v>
      </c>
    </row>
    <row r="445" spans="2:14" ht="14.25" customHeight="1" x14ac:dyDescent="0.2">
      <c r="B445" s="15" t="s">
        <v>4</v>
      </c>
      <c r="C445" s="596" t="s">
        <v>640</v>
      </c>
      <c r="D445" s="596"/>
      <c r="E445" s="596"/>
      <c r="F445" s="596"/>
      <c r="G445" s="596"/>
      <c r="H445" s="596"/>
      <c r="I445" s="596"/>
      <c r="J445" s="596"/>
      <c r="K445" s="596"/>
      <c r="L445" s="597"/>
      <c r="M445" s="13" t="s">
        <v>299</v>
      </c>
      <c r="N445" s="318" t="s">
        <v>642</v>
      </c>
    </row>
    <row r="446" spans="2:14" ht="14.25" customHeight="1" x14ac:dyDescent="0.2">
      <c r="B446" s="15" t="s">
        <v>4</v>
      </c>
      <c r="C446" s="596" t="s">
        <v>549</v>
      </c>
      <c r="D446" s="596"/>
      <c r="E446" s="596"/>
      <c r="F446" s="596"/>
      <c r="G446" s="596"/>
      <c r="H446" s="596"/>
      <c r="I446" s="596"/>
      <c r="J446" s="596"/>
      <c r="K446" s="596"/>
      <c r="L446" s="597"/>
      <c r="M446" s="13" t="s">
        <v>22</v>
      </c>
      <c r="N446" s="317"/>
    </row>
    <row r="447" spans="2:14" ht="14.25" customHeight="1" x14ac:dyDescent="0.2">
      <c r="B447" s="15" t="s">
        <v>4</v>
      </c>
      <c r="C447" s="596" t="s">
        <v>302</v>
      </c>
      <c r="D447" s="596"/>
      <c r="E447" s="596"/>
      <c r="F447" s="596"/>
      <c r="G447" s="596"/>
      <c r="H447" s="596"/>
      <c r="I447" s="596"/>
      <c r="J447" s="596"/>
      <c r="K447" s="596"/>
      <c r="L447" s="597"/>
      <c r="M447" s="13" t="s">
        <v>24</v>
      </c>
    </row>
    <row r="448" spans="2:14" ht="14.25" customHeight="1" x14ac:dyDescent="0.2">
      <c r="B448" s="15" t="s">
        <v>4</v>
      </c>
      <c r="C448" s="596" t="s">
        <v>285</v>
      </c>
      <c r="D448" s="596"/>
      <c r="E448" s="596"/>
      <c r="F448" s="596"/>
      <c r="G448" s="596"/>
      <c r="H448" s="596"/>
      <c r="I448" s="596"/>
      <c r="J448" s="596"/>
      <c r="K448" s="596"/>
      <c r="L448" s="597"/>
      <c r="M448" s="13" t="s">
        <v>24</v>
      </c>
    </row>
    <row r="449" spans="2:14" ht="14.25" customHeight="1" x14ac:dyDescent="0.2">
      <c r="B449" s="15" t="s">
        <v>4</v>
      </c>
      <c r="C449" s="596" t="s">
        <v>554</v>
      </c>
      <c r="D449" s="596"/>
      <c r="E449" s="596"/>
      <c r="F449" s="596"/>
      <c r="G449" s="596"/>
      <c r="H449" s="596"/>
      <c r="I449" s="596"/>
      <c r="J449" s="596"/>
      <c r="K449" s="596"/>
      <c r="L449" s="597"/>
      <c r="M449" s="13" t="s">
        <v>24</v>
      </c>
    </row>
    <row r="450" spans="2:14" x14ac:dyDescent="0.2">
      <c r="B450" s="15" t="s">
        <v>4</v>
      </c>
      <c r="C450" s="596" t="s">
        <v>107</v>
      </c>
      <c r="D450" s="596"/>
      <c r="E450" s="596"/>
      <c r="F450" s="596"/>
      <c r="G450" s="596"/>
      <c r="H450" s="596"/>
      <c r="I450" s="596"/>
      <c r="J450" s="596"/>
      <c r="K450" s="596"/>
      <c r="L450" s="597"/>
      <c r="M450" s="13" t="s">
        <v>109</v>
      </c>
      <c r="N450" s="316"/>
    </row>
    <row r="451" spans="2:14" ht="14.25" customHeight="1" x14ac:dyDescent="0.2">
      <c r="B451" s="15" t="s">
        <v>4</v>
      </c>
      <c r="C451" s="595" t="s">
        <v>319</v>
      </c>
      <c r="D451" s="604"/>
      <c r="E451" s="604"/>
      <c r="F451" s="604"/>
      <c r="G451" s="604"/>
      <c r="H451" s="604"/>
      <c r="I451" s="604"/>
      <c r="J451" s="604"/>
      <c r="K451" s="604"/>
      <c r="L451" s="605"/>
      <c r="M451" s="13" t="s">
        <v>13</v>
      </c>
    </row>
    <row r="452" spans="2:14" ht="14.25" customHeight="1" x14ac:dyDescent="0.2">
      <c r="B452" s="15" t="s">
        <v>4</v>
      </c>
      <c r="C452" s="595" t="s">
        <v>481</v>
      </c>
      <c r="D452" s="604"/>
      <c r="E452" s="604"/>
      <c r="F452" s="604"/>
      <c r="G452" s="604"/>
      <c r="H452" s="604"/>
      <c r="I452" s="604"/>
      <c r="J452" s="604"/>
      <c r="K452" s="604"/>
      <c r="L452" s="605"/>
      <c r="M452" s="13" t="s">
        <v>23</v>
      </c>
    </row>
    <row r="453" spans="2:14" ht="14.25" customHeight="1" x14ac:dyDescent="0.2">
      <c r="B453" s="15" t="s">
        <v>4</v>
      </c>
      <c r="C453" s="597" t="s">
        <v>551</v>
      </c>
      <c r="D453" s="600"/>
      <c r="E453" s="600"/>
      <c r="F453" s="600"/>
      <c r="G453" s="600"/>
      <c r="H453" s="600"/>
      <c r="I453" s="600"/>
      <c r="J453" s="600"/>
      <c r="K453" s="600"/>
      <c r="L453" s="600"/>
      <c r="M453" s="13" t="s">
        <v>13</v>
      </c>
    </row>
    <row r="454" spans="2:14" ht="14.25" customHeight="1" x14ac:dyDescent="0.2">
      <c r="B454" s="15" t="s">
        <v>4</v>
      </c>
      <c r="C454" s="597" t="s">
        <v>550</v>
      </c>
      <c r="D454" s="600"/>
      <c r="E454" s="600"/>
      <c r="F454" s="600"/>
      <c r="G454" s="600"/>
      <c r="H454" s="600"/>
      <c r="I454" s="600"/>
      <c r="J454" s="600"/>
      <c r="K454" s="600"/>
      <c r="L454" s="600"/>
      <c r="M454" s="13" t="s">
        <v>13</v>
      </c>
    </row>
    <row r="455" spans="2:14" ht="14.25" customHeight="1" x14ac:dyDescent="0.25">
      <c r="B455" s="7" t="s">
        <v>7</v>
      </c>
      <c r="C455" s="313"/>
      <c r="D455" s="313"/>
      <c r="E455" s="313"/>
      <c r="F455" s="313"/>
      <c r="G455" s="313"/>
      <c r="H455" s="313"/>
      <c r="I455" s="313"/>
      <c r="J455" s="313"/>
      <c r="K455" s="313"/>
      <c r="L455" s="313"/>
    </row>
    <row r="456" spans="2:14" ht="27.75" customHeight="1" x14ac:dyDescent="0.2">
      <c r="B456" s="10" t="s">
        <v>8</v>
      </c>
      <c r="C456" s="619" t="s">
        <v>447</v>
      </c>
      <c r="D456" s="619"/>
      <c r="E456" s="619"/>
      <c r="F456" s="619"/>
      <c r="G456" s="619"/>
      <c r="H456" s="619"/>
      <c r="I456" s="619"/>
      <c r="J456" s="619"/>
      <c r="K456" s="619"/>
      <c r="L456" s="619"/>
      <c r="M456" s="17">
        <v>0.06</v>
      </c>
    </row>
    <row r="457" spans="2:14" ht="14.25" customHeight="1" x14ac:dyDescent="0.2">
      <c r="B457" s="15" t="s">
        <v>4</v>
      </c>
      <c r="C457" s="597" t="s">
        <v>552</v>
      </c>
      <c r="D457" s="600"/>
      <c r="E457" s="600"/>
      <c r="F457" s="600"/>
      <c r="G457" s="600"/>
      <c r="H457" s="600"/>
      <c r="I457" s="600"/>
      <c r="J457" s="600"/>
      <c r="K457" s="600"/>
      <c r="L457" s="600"/>
      <c r="M457" s="55">
        <f>M$328</f>
        <v>432050.2843740001</v>
      </c>
      <c r="N457" s="318" t="s">
        <v>342</v>
      </c>
    </row>
    <row r="458" spans="2:14" ht="29.25" customHeight="1" x14ac:dyDescent="0.2">
      <c r="B458" s="15" t="s">
        <v>4</v>
      </c>
      <c r="C458" s="597" t="s">
        <v>553</v>
      </c>
      <c r="D458" s="600"/>
      <c r="E458" s="600"/>
      <c r="F458" s="600"/>
      <c r="G458" s="600"/>
      <c r="H458" s="600"/>
      <c r="I458" s="600"/>
      <c r="J458" s="600"/>
      <c r="K458" s="600"/>
      <c r="L458" s="600"/>
      <c r="M458" s="55">
        <f>M$329</f>
        <v>899475.53047200025</v>
      </c>
      <c r="N458" s="318" t="s">
        <v>342</v>
      </c>
    </row>
    <row r="459" spans="2:14" ht="28.5" customHeight="1" x14ac:dyDescent="0.2">
      <c r="B459" s="15" t="s">
        <v>321</v>
      </c>
      <c r="C459" s="608" t="s">
        <v>643</v>
      </c>
      <c r="D459" s="609"/>
      <c r="E459" s="610" t="s">
        <v>644</v>
      </c>
      <c r="F459" s="611"/>
      <c r="G459" s="611"/>
      <c r="H459" s="611"/>
      <c r="I459" s="611"/>
      <c r="J459" s="611"/>
      <c r="K459" s="611"/>
      <c r="L459" s="612"/>
      <c r="M459" s="55">
        <f>'OP7-Item Costs'!B19+'OP7-Item Costs'!C19</f>
        <v>36357000</v>
      </c>
    </row>
    <row r="460" spans="2:14" ht="14.25" customHeight="1" x14ac:dyDescent="0.2">
      <c r="B460" s="15" t="s">
        <v>321</v>
      </c>
      <c r="C460" s="595" t="s">
        <v>103</v>
      </c>
      <c r="D460" s="596"/>
      <c r="E460" s="596"/>
      <c r="F460" s="596"/>
      <c r="G460" s="596"/>
      <c r="H460" s="596"/>
      <c r="I460" s="596"/>
      <c r="J460" s="596"/>
      <c r="K460" s="596"/>
      <c r="L460" s="597"/>
      <c r="M460" s="55">
        <f>'OP7-Item Costs'!$B$29</f>
        <v>2000000</v>
      </c>
    </row>
    <row r="461" spans="2:14" ht="14.25" customHeight="1" x14ac:dyDescent="0.2">
      <c r="B461" s="15" t="s">
        <v>4</v>
      </c>
      <c r="C461" s="595" t="s">
        <v>106</v>
      </c>
      <c r="D461" s="596"/>
      <c r="E461" s="596"/>
      <c r="F461" s="596"/>
      <c r="G461" s="596"/>
      <c r="H461" s="596"/>
      <c r="I461" s="596"/>
      <c r="J461" s="596"/>
      <c r="K461" s="596"/>
      <c r="L461" s="597"/>
      <c r="M461" s="55">
        <v>0</v>
      </c>
    </row>
    <row r="462" spans="2:14" ht="14.25" customHeight="1" x14ac:dyDescent="0.2">
      <c r="B462" s="15" t="s">
        <v>4</v>
      </c>
      <c r="C462" s="595" t="s">
        <v>645</v>
      </c>
      <c r="D462" s="596"/>
      <c r="E462" s="596"/>
      <c r="F462" s="596"/>
      <c r="G462" s="596"/>
      <c r="H462" s="596"/>
      <c r="I462" s="596"/>
      <c r="J462" s="596"/>
      <c r="K462" s="596"/>
      <c r="L462" s="597"/>
      <c r="M462" s="55">
        <f>'OP7-Item Costs'!$B$33</f>
        <v>1899509</v>
      </c>
    </row>
    <row r="463" spans="2:14" ht="14.25" customHeight="1" x14ac:dyDescent="0.2">
      <c r="B463" s="15" t="s">
        <v>4</v>
      </c>
      <c r="C463" s="595" t="s">
        <v>696</v>
      </c>
      <c r="D463" s="596"/>
      <c r="E463" s="596"/>
      <c r="F463" s="596"/>
      <c r="G463" s="596"/>
      <c r="H463" s="596"/>
      <c r="I463" s="596"/>
      <c r="J463" s="596"/>
      <c r="K463" s="596"/>
      <c r="L463" s="597"/>
      <c r="M463" s="441">
        <v>0.02</v>
      </c>
    </row>
    <row r="464" spans="2:14" ht="14.25" customHeight="1" x14ac:dyDescent="0.2">
      <c r="B464" s="15" t="s">
        <v>4</v>
      </c>
      <c r="C464" s="595" t="s">
        <v>474</v>
      </c>
      <c r="D464" s="596"/>
      <c r="E464" s="596"/>
      <c r="F464" s="596"/>
      <c r="G464" s="596"/>
      <c r="H464" s="596"/>
      <c r="I464" s="596"/>
      <c r="J464" s="596"/>
      <c r="K464" s="596"/>
      <c r="L464" s="597"/>
      <c r="M464" s="55">
        <f>'OP7-Item Costs'!$B$37</f>
        <v>4477005.7740819026</v>
      </c>
    </row>
    <row r="465" spans="2:14" ht="14.25" customHeight="1" x14ac:dyDescent="0.2">
      <c r="B465" s="15" t="s">
        <v>4</v>
      </c>
      <c r="C465" s="596" t="s">
        <v>231</v>
      </c>
      <c r="D465" s="596"/>
      <c r="E465" s="596"/>
      <c r="F465" s="596"/>
      <c r="G465" s="596"/>
      <c r="H465" s="596"/>
      <c r="I465" s="596"/>
      <c r="J465" s="596"/>
      <c r="K465" s="596"/>
      <c r="L465" s="597"/>
      <c r="M465" s="55">
        <f>'OP7-Item Costs'!$B$36</f>
        <v>21027924.525605001</v>
      </c>
    </row>
    <row r="466" spans="2:14" ht="14.25" customHeight="1" x14ac:dyDescent="0.2">
      <c r="B466" s="15" t="s">
        <v>4</v>
      </c>
      <c r="C466" s="606" t="s">
        <v>105</v>
      </c>
      <c r="D466" s="596"/>
      <c r="E466" s="596"/>
      <c r="F466" s="596"/>
      <c r="G466" s="596"/>
      <c r="H466" s="596"/>
      <c r="I466" s="596"/>
      <c r="J466" s="596"/>
      <c r="K466" s="596"/>
      <c r="L466" s="597"/>
      <c r="M466" s="17">
        <v>0.5</v>
      </c>
    </row>
    <row r="467" spans="2:14" ht="14.25" customHeight="1" x14ac:dyDescent="0.2">
      <c r="B467" s="15"/>
      <c r="C467" s="596"/>
      <c r="D467" s="596"/>
      <c r="E467" s="596"/>
      <c r="F467" s="596"/>
      <c r="G467" s="596"/>
      <c r="H467" s="596"/>
      <c r="I467" s="596"/>
      <c r="J467" s="596"/>
      <c r="K467" s="596"/>
      <c r="L467" s="597"/>
      <c r="M467" s="55"/>
    </row>
    <row r="468" spans="2:14" x14ac:dyDescent="0.2">
      <c r="B468" s="15" t="s">
        <v>4</v>
      </c>
      <c r="C468" s="595" t="s">
        <v>320</v>
      </c>
      <c r="D468" s="596"/>
      <c r="E468" s="596"/>
      <c r="F468" s="596"/>
      <c r="G468" s="596"/>
      <c r="H468" s="596"/>
      <c r="I468" s="596"/>
      <c r="J468" s="596"/>
      <c r="K468" s="596"/>
      <c r="L468" s="597"/>
      <c r="M468" s="55">
        <f>'OP7-Item Costs'!B33</f>
        <v>1899509</v>
      </c>
    </row>
    <row r="469" spans="2:14" x14ac:dyDescent="0.2">
      <c r="B469" s="15"/>
      <c r="C469" s="595"/>
      <c r="D469" s="596"/>
      <c r="E469" s="596"/>
      <c r="F469" s="596"/>
      <c r="G469" s="596"/>
      <c r="H469" s="596"/>
      <c r="I469" s="596"/>
      <c r="J469" s="596"/>
      <c r="K469" s="596"/>
      <c r="L469" s="597"/>
      <c r="M469" s="55"/>
    </row>
    <row r="470" spans="2:14" x14ac:dyDescent="0.2">
      <c r="B470" s="15"/>
      <c r="C470" s="595"/>
      <c r="D470" s="596"/>
      <c r="E470" s="596"/>
      <c r="F470" s="596"/>
      <c r="G470" s="596"/>
      <c r="H470" s="596"/>
      <c r="I470" s="596"/>
      <c r="J470" s="596"/>
      <c r="K470" s="596"/>
      <c r="L470" s="597"/>
      <c r="M470" s="55"/>
    </row>
    <row r="471" spans="2:14" ht="15.75" customHeight="1" x14ac:dyDescent="0.25">
      <c r="B471" s="7" t="s">
        <v>9</v>
      </c>
      <c r="C471" s="616" t="s">
        <v>237</v>
      </c>
      <c r="D471" s="617"/>
      <c r="E471" s="617"/>
      <c r="F471" s="617"/>
      <c r="G471" s="617"/>
      <c r="H471" s="617"/>
      <c r="I471" s="617"/>
      <c r="J471" s="617"/>
      <c r="K471" s="617"/>
      <c r="L471" s="618"/>
      <c r="M471" s="17">
        <v>0.03</v>
      </c>
    </row>
    <row r="472" spans="2:14" ht="14.25" customHeight="1" x14ac:dyDescent="0.2">
      <c r="B472" s="15" t="s">
        <v>4</v>
      </c>
      <c r="C472" s="598" t="s">
        <v>322</v>
      </c>
      <c r="D472" s="599"/>
      <c r="E472" s="599"/>
      <c r="F472" s="599"/>
      <c r="G472" s="599"/>
      <c r="H472" s="599"/>
      <c r="I472" s="599"/>
      <c r="J472" s="599"/>
      <c r="K472" s="599"/>
      <c r="L472" s="599"/>
      <c r="M472" s="55">
        <f>'ALL-Opex Baseline'!$AA$10*(1+$M471)</f>
        <v>60637.37720000001</v>
      </c>
    </row>
    <row r="473" spans="2:14" ht="15" customHeight="1" x14ac:dyDescent="0.2">
      <c r="B473" s="15" t="s">
        <v>4</v>
      </c>
      <c r="C473" s="598" t="s">
        <v>323</v>
      </c>
      <c r="D473" s="599"/>
      <c r="E473" s="599"/>
      <c r="F473" s="599"/>
      <c r="G473" s="599"/>
      <c r="H473" s="599"/>
      <c r="I473" s="599"/>
      <c r="J473" s="599"/>
      <c r="K473" s="599"/>
      <c r="L473" s="599"/>
      <c r="M473" s="55">
        <f>'ALL-Opex Baseline'!$N$14*(1+$M471)</f>
        <v>123121.6989</v>
      </c>
    </row>
    <row r="474" spans="2:14" ht="14.25" customHeight="1" x14ac:dyDescent="0.2">
      <c r="B474" s="15" t="s">
        <v>4</v>
      </c>
      <c r="C474" s="598" t="s">
        <v>324</v>
      </c>
      <c r="D474" s="599"/>
      <c r="E474" s="599"/>
      <c r="F474" s="599"/>
      <c r="G474" s="599"/>
      <c r="H474" s="599"/>
      <c r="I474" s="599"/>
      <c r="J474" s="599"/>
      <c r="K474" s="599"/>
      <c r="L474" s="599"/>
      <c r="M474" s="55">
        <f>'ALL-Opex Baseline'!$AA$21*(1+$M471)</f>
        <v>260661.2245000001</v>
      </c>
    </row>
    <row r="475" spans="2:14" ht="14.25" customHeight="1" x14ac:dyDescent="0.2">
      <c r="B475" s="15" t="s">
        <v>4</v>
      </c>
      <c r="C475" s="598" t="s">
        <v>325</v>
      </c>
      <c r="D475" s="599"/>
      <c r="E475" s="599"/>
      <c r="F475" s="599"/>
      <c r="G475" s="599"/>
      <c r="H475" s="599"/>
      <c r="I475" s="599"/>
      <c r="J475" s="599"/>
      <c r="K475" s="599"/>
      <c r="L475" s="599"/>
      <c r="M475" s="55">
        <f>'ALL-Opex Baseline'!$N$32*(1+$M471)</f>
        <v>580910.69848962966</v>
      </c>
    </row>
    <row r="476" spans="2:14" ht="14.25" customHeight="1" x14ac:dyDescent="0.2">
      <c r="B476" s="15" t="s">
        <v>4</v>
      </c>
      <c r="C476" s="598" t="s">
        <v>326</v>
      </c>
      <c r="D476" s="599"/>
      <c r="E476" s="599"/>
      <c r="F476" s="599"/>
      <c r="G476" s="599"/>
      <c r="H476" s="599"/>
      <c r="I476" s="599"/>
      <c r="J476" s="599"/>
      <c r="K476" s="599"/>
      <c r="L476" s="599"/>
      <c r="M476" s="55">
        <f>'ALL-Opex Baseline'!$AA$39*(1+$M471)</f>
        <v>289559.37315000006</v>
      </c>
    </row>
    <row r="477" spans="2:14" ht="14.25" customHeight="1" x14ac:dyDescent="0.2">
      <c r="B477" s="15" t="s">
        <v>4</v>
      </c>
      <c r="C477" s="598" t="s">
        <v>327</v>
      </c>
      <c r="D477" s="599"/>
      <c r="E477" s="599"/>
      <c r="F477" s="599"/>
      <c r="G477" s="599"/>
      <c r="H477" s="599"/>
      <c r="I477" s="599"/>
      <c r="J477" s="599"/>
      <c r="K477" s="599"/>
      <c r="L477" s="599"/>
      <c r="M477" s="55">
        <f>'ALL-Opex Baseline'!$N$49*(1+$M471)</f>
        <v>598014.84670376685</v>
      </c>
    </row>
    <row r="478" spans="2:14" ht="14.25" customHeight="1" x14ac:dyDescent="0.2">
      <c r="B478" s="15" t="s">
        <v>4</v>
      </c>
      <c r="C478" s="598" t="s">
        <v>290</v>
      </c>
      <c r="D478" s="599"/>
      <c r="E478" s="599"/>
      <c r="F478" s="599"/>
      <c r="G478" s="599"/>
      <c r="H478" s="599"/>
      <c r="I478" s="599"/>
      <c r="J478" s="599"/>
      <c r="K478" s="599"/>
      <c r="L478" s="599"/>
      <c r="M478" s="55">
        <f>318872*(1+0.04)</f>
        <v>331626.88</v>
      </c>
    </row>
    <row r="479" spans="2:14" ht="28.5" customHeight="1" x14ac:dyDescent="0.2">
      <c r="B479" s="15" t="s">
        <v>4</v>
      </c>
      <c r="C479" s="598" t="s">
        <v>581</v>
      </c>
      <c r="D479" s="599"/>
      <c r="E479" s="599"/>
      <c r="F479" s="599"/>
      <c r="G479" s="599"/>
      <c r="H479" s="599"/>
      <c r="I479" s="599"/>
      <c r="J479" s="599"/>
      <c r="K479" s="599"/>
      <c r="L479" s="599"/>
      <c r="M479" s="55">
        <f>'ALL-Opex Baseline'!$AC$10*(1+M471)</f>
        <v>44163.433599999997</v>
      </c>
      <c r="N479" s="16" t="s">
        <v>182</v>
      </c>
    </row>
    <row r="480" spans="2:14" ht="28.5" customHeight="1" x14ac:dyDescent="0.2">
      <c r="B480" s="15" t="s">
        <v>4</v>
      </c>
      <c r="C480" s="598" t="s">
        <v>502</v>
      </c>
      <c r="D480" s="599"/>
      <c r="E480" s="599"/>
      <c r="F480" s="599"/>
      <c r="G480" s="599"/>
      <c r="H480" s="599"/>
      <c r="I480" s="599"/>
      <c r="J480" s="599"/>
      <c r="K480" s="599"/>
      <c r="L480" s="599"/>
      <c r="M480" s="55">
        <f>'ALL-Opex Baseline'!$P$14*(1+M471)</f>
        <v>123121.6989</v>
      </c>
      <c r="N480" s="16" t="s">
        <v>182</v>
      </c>
    </row>
    <row r="481" spans="1:14" ht="30" customHeight="1" x14ac:dyDescent="0.2">
      <c r="B481" s="15" t="s">
        <v>4</v>
      </c>
      <c r="C481" s="598" t="s">
        <v>582</v>
      </c>
      <c r="D481" s="599"/>
      <c r="E481" s="599"/>
      <c r="F481" s="599"/>
      <c r="G481" s="599"/>
      <c r="H481" s="599"/>
      <c r="I481" s="599"/>
      <c r="J481" s="599"/>
      <c r="K481" s="599"/>
      <c r="L481" s="599"/>
      <c r="M481" s="55">
        <f>'ALL-Opex Baseline'!$AC$21*(1+M471)</f>
        <v>162646.8262000001</v>
      </c>
      <c r="N481" s="16" t="s">
        <v>182</v>
      </c>
    </row>
    <row r="482" spans="1:14" ht="53.25" customHeight="1" x14ac:dyDescent="0.2">
      <c r="B482" s="15" t="s">
        <v>4</v>
      </c>
      <c r="C482" s="598" t="s">
        <v>583</v>
      </c>
      <c r="D482" s="599"/>
      <c r="E482" s="599"/>
      <c r="F482" s="599"/>
      <c r="G482" s="599"/>
      <c r="H482" s="599"/>
      <c r="I482" s="599"/>
      <c r="J482" s="599"/>
      <c r="K482" s="599"/>
      <c r="L482" s="599"/>
      <c r="M482" s="55">
        <f>'ALL-Opex Baseline'!$P$32*(1+M471)</f>
        <v>488125.39610222221</v>
      </c>
      <c r="N482" s="16" t="s">
        <v>182</v>
      </c>
    </row>
    <row r="483" spans="1:14" ht="27.75" customHeight="1" x14ac:dyDescent="0.2">
      <c r="B483" s="15" t="s">
        <v>4</v>
      </c>
      <c r="C483" s="598" t="s">
        <v>580</v>
      </c>
      <c r="D483" s="599"/>
      <c r="E483" s="599"/>
      <c r="F483" s="599"/>
      <c r="G483" s="599"/>
      <c r="H483" s="599"/>
      <c r="I483" s="599"/>
      <c r="J483" s="599"/>
      <c r="K483" s="599"/>
      <c r="L483" s="599"/>
      <c r="M483" s="55">
        <f>'ALL-Opex Baseline'!$AC$39*(1+M471)</f>
        <v>129700.79300000002</v>
      </c>
      <c r="N483" s="16" t="s">
        <v>182</v>
      </c>
    </row>
    <row r="484" spans="1:14" ht="54" customHeight="1" x14ac:dyDescent="0.2">
      <c r="B484" s="15" t="s">
        <v>4</v>
      </c>
      <c r="C484" s="598" t="s">
        <v>503</v>
      </c>
      <c r="D484" s="599"/>
      <c r="E484" s="599"/>
      <c r="F484" s="599"/>
      <c r="G484" s="599"/>
      <c r="H484" s="599"/>
      <c r="I484" s="599"/>
      <c r="J484" s="599"/>
      <c r="K484" s="599"/>
      <c r="L484" s="599"/>
      <c r="M484" s="55">
        <f>'ALL-Opex Baseline'!$P$49*(1+M471)</f>
        <v>525843.99300376687</v>
      </c>
      <c r="N484" s="16" t="s">
        <v>182</v>
      </c>
    </row>
    <row r="485" spans="1:14" ht="27.75" customHeight="1" x14ac:dyDescent="0.2">
      <c r="B485" s="15" t="s">
        <v>4</v>
      </c>
      <c r="C485" s="603" t="s">
        <v>477</v>
      </c>
      <c r="D485" s="615"/>
      <c r="E485" s="615"/>
      <c r="F485" s="615"/>
      <c r="G485" s="615"/>
      <c r="H485" s="615"/>
      <c r="I485" s="615"/>
      <c r="J485" s="615"/>
      <c r="K485" s="615"/>
      <c r="L485" s="615"/>
      <c r="M485" s="55">
        <v>182000</v>
      </c>
    </row>
    <row r="486" spans="1:14" ht="14.25" customHeight="1" x14ac:dyDescent="0.2">
      <c r="B486" s="15"/>
      <c r="C486" s="625" t="s">
        <v>334</v>
      </c>
      <c r="D486" s="626"/>
      <c r="E486" s="626"/>
      <c r="F486" s="626"/>
      <c r="G486" s="626"/>
      <c r="H486" s="626"/>
      <c r="I486" s="626"/>
      <c r="J486" s="626"/>
      <c r="K486" s="626"/>
      <c r="L486" s="627"/>
      <c r="M486" s="55"/>
    </row>
    <row r="487" spans="1:14" ht="14.25" customHeight="1" x14ac:dyDescent="0.2">
      <c r="B487" s="15" t="s">
        <v>4</v>
      </c>
      <c r="C487" s="603" t="s">
        <v>564</v>
      </c>
      <c r="D487" s="599"/>
      <c r="E487" s="599"/>
      <c r="F487" s="599"/>
      <c r="G487" s="599"/>
      <c r="H487" s="599"/>
      <c r="I487" s="599"/>
      <c r="J487" s="599"/>
      <c r="K487" s="599"/>
      <c r="L487" s="599"/>
      <c r="M487" s="55">
        <v>0</v>
      </c>
    </row>
    <row r="488" spans="1:14" ht="14.25" customHeight="1" x14ac:dyDescent="0.2">
      <c r="B488" s="15"/>
      <c r="C488" s="614"/>
      <c r="D488" s="615"/>
      <c r="E488" s="615"/>
      <c r="F488" s="615"/>
      <c r="G488" s="615"/>
      <c r="H488" s="615"/>
      <c r="I488" s="615"/>
      <c r="J488" s="615"/>
      <c r="K488" s="615"/>
      <c r="L488" s="615"/>
      <c r="M488" s="55"/>
    </row>
    <row r="489" spans="1:14" ht="14.25" customHeight="1" x14ac:dyDescent="0.2">
      <c r="C489" s="314"/>
      <c r="D489" s="314"/>
      <c r="E489" s="314"/>
      <c r="F489" s="314"/>
      <c r="G489" s="314"/>
      <c r="H489" s="314"/>
      <c r="I489" s="314"/>
      <c r="J489" s="314"/>
      <c r="K489" s="314"/>
      <c r="L489" s="314"/>
    </row>
    <row r="490" spans="1:14" ht="14.25" customHeight="1" x14ac:dyDescent="0.2">
      <c r="C490" s="314"/>
      <c r="D490" s="314"/>
      <c r="E490" s="314"/>
      <c r="F490" s="314"/>
      <c r="G490" s="314"/>
      <c r="H490" s="314"/>
      <c r="I490" s="314"/>
      <c r="J490" s="314"/>
      <c r="K490" s="314"/>
      <c r="L490" s="314"/>
    </row>
    <row r="491" spans="1:14" ht="15.75" customHeight="1" x14ac:dyDescent="0.25">
      <c r="A491" s="2" t="s">
        <v>603</v>
      </c>
      <c r="C491" s="314"/>
      <c r="D491" s="314"/>
      <c r="E491" s="314"/>
      <c r="F491" s="314"/>
      <c r="G491" s="314"/>
      <c r="H491" s="314"/>
      <c r="I491" s="314"/>
      <c r="J491" s="314"/>
      <c r="K491" s="314"/>
      <c r="L491" s="314"/>
    </row>
    <row r="492" spans="1:14" ht="14.25" customHeight="1" x14ac:dyDescent="0.2">
      <c r="C492" s="314"/>
      <c r="D492" s="314"/>
      <c r="E492" s="314"/>
      <c r="F492" s="314"/>
      <c r="G492" s="314"/>
      <c r="H492" s="314"/>
      <c r="I492" s="314"/>
      <c r="J492" s="314"/>
      <c r="K492" s="314"/>
      <c r="L492" s="314"/>
    </row>
    <row r="493" spans="1:14" ht="15.75" customHeight="1" x14ac:dyDescent="0.2">
      <c r="B493" s="8" t="s">
        <v>1</v>
      </c>
      <c r="C493" s="622" t="s">
        <v>452</v>
      </c>
      <c r="D493" s="623"/>
      <c r="E493" s="623"/>
      <c r="F493" s="623"/>
      <c r="G493" s="623"/>
      <c r="H493" s="623"/>
      <c r="I493" s="623"/>
      <c r="J493" s="623"/>
      <c r="K493" s="623"/>
      <c r="L493" s="624"/>
    </row>
    <row r="494" spans="1:14" ht="29.25" customHeight="1" x14ac:dyDescent="0.2">
      <c r="B494" s="15" t="s">
        <v>2</v>
      </c>
      <c r="C494" s="595" t="s">
        <v>486</v>
      </c>
      <c r="D494" s="604"/>
      <c r="E494" s="604"/>
      <c r="F494" s="604"/>
      <c r="G494" s="604"/>
      <c r="H494" s="604"/>
      <c r="I494" s="604"/>
      <c r="J494" s="604"/>
      <c r="K494" s="604"/>
      <c r="L494" s="605"/>
    </row>
    <row r="495" spans="1:14" ht="15.75" x14ac:dyDescent="0.25">
      <c r="B495" s="3"/>
      <c r="C495" s="313"/>
      <c r="D495" s="313"/>
      <c r="E495" s="313"/>
      <c r="F495" s="313"/>
      <c r="G495" s="313"/>
      <c r="H495" s="313"/>
      <c r="I495" s="313"/>
      <c r="J495" s="313"/>
      <c r="K495" s="313"/>
      <c r="L495" s="313"/>
    </row>
    <row r="496" spans="1:14" ht="15.75" x14ac:dyDescent="0.25">
      <c r="B496" s="7" t="s">
        <v>3</v>
      </c>
      <c r="C496" s="313"/>
      <c r="D496" s="313"/>
      <c r="E496" s="313"/>
      <c r="F496" s="313"/>
      <c r="G496" s="313"/>
      <c r="H496" s="313"/>
      <c r="I496" s="313"/>
      <c r="J496" s="313"/>
      <c r="K496" s="313"/>
      <c r="L496" s="313"/>
    </row>
    <row r="497" spans="2:14" ht="14.25" customHeight="1" x14ac:dyDescent="0.2">
      <c r="B497" s="15" t="s">
        <v>4</v>
      </c>
      <c r="C497" s="597" t="s">
        <v>14</v>
      </c>
      <c r="D497" s="600"/>
      <c r="E497" s="600"/>
      <c r="F497" s="600"/>
      <c r="G497" s="600"/>
      <c r="H497" s="600"/>
      <c r="I497" s="600"/>
      <c r="J497" s="600"/>
      <c r="K497" s="600"/>
      <c r="L497" s="600"/>
      <c r="M497" s="13" t="s">
        <v>13</v>
      </c>
    </row>
    <row r="498" spans="2:14" ht="14.25" customHeight="1" x14ac:dyDescent="0.2">
      <c r="B498" s="15" t="s">
        <v>4</v>
      </c>
      <c r="C498" s="597" t="s">
        <v>15</v>
      </c>
      <c r="D498" s="600"/>
      <c r="E498" s="600"/>
      <c r="F498" s="600"/>
      <c r="G498" s="600"/>
      <c r="H498" s="600"/>
      <c r="I498" s="600"/>
      <c r="J498" s="600"/>
      <c r="K498" s="600"/>
      <c r="L498" s="600"/>
      <c r="M498" s="13" t="s">
        <v>13</v>
      </c>
    </row>
    <row r="499" spans="2:14" ht="14.25" customHeight="1" x14ac:dyDescent="0.2">
      <c r="B499" s="15" t="s">
        <v>4</v>
      </c>
      <c r="C499" s="597" t="s">
        <v>20</v>
      </c>
      <c r="D499" s="600"/>
      <c r="E499" s="600"/>
      <c r="F499" s="600"/>
      <c r="G499" s="600"/>
      <c r="H499" s="600"/>
      <c r="I499" s="600"/>
      <c r="J499" s="600"/>
      <c r="K499" s="600"/>
      <c r="L499" s="600"/>
      <c r="M499" s="13" t="s">
        <v>13</v>
      </c>
    </row>
    <row r="500" spans="2:14" ht="14.25" customHeight="1" x14ac:dyDescent="0.2">
      <c r="B500" s="15" t="s">
        <v>4</v>
      </c>
      <c r="C500" s="597" t="s">
        <v>275</v>
      </c>
      <c r="D500" s="600"/>
      <c r="E500" s="600"/>
      <c r="F500" s="600"/>
      <c r="G500" s="600"/>
      <c r="H500" s="600"/>
      <c r="I500" s="600"/>
      <c r="J500" s="600"/>
      <c r="K500" s="600"/>
      <c r="L500" s="600"/>
      <c r="M500" s="13" t="s">
        <v>13</v>
      </c>
    </row>
    <row r="501" spans="2:14" ht="28.5" customHeight="1" x14ac:dyDescent="0.2">
      <c r="B501" s="15" t="s">
        <v>4</v>
      </c>
      <c r="C501" s="597" t="s">
        <v>16</v>
      </c>
      <c r="D501" s="600"/>
      <c r="E501" s="600"/>
      <c r="F501" s="600"/>
      <c r="G501" s="600"/>
      <c r="H501" s="600"/>
      <c r="I501" s="600"/>
      <c r="J501" s="600"/>
      <c r="K501" s="600"/>
      <c r="L501" s="600"/>
      <c r="M501" s="13" t="s">
        <v>13</v>
      </c>
    </row>
    <row r="502" spans="2:14" ht="14.25" customHeight="1" x14ac:dyDescent="0.2">
      <c r="B502" s="15" t="s">
        <v>4</v>
      </c>
      <c r="C502" s="597" t="s">
        <v>204</v>
      </c>
      <c r="D502" s="600"/>
      <c r="E502" s="600"/>
      <c r="F502" s="600"/>
      <c r="G502" s="600"/>
      <c r="H502" s="600"/>
      <c r="I502" s="600"/>
      <c r="J502" s="600"/>
      <c r="K502" s="600"/>
      <c r="L502" s="600"/>
      <c r="M502" s="13" t="s">
        <v>13</v>
      </c>
    </row>
    <row r="503" spans="2:14" ht="14.25" customHeight="1" x14ac:dyDescent="0.2">
      <c r="B503" s="15" t="s">
        <v>4</v>
      </c>
      <c r="C503" s="597" t="s">
        <v>453</v>
      </c>
      <c r="D503" s="600"/>
      <c r="E503" s="600"/>
      <c r="F503" s="600"/>
      <c r="G503" s="600"/>
      <c r="H503" s="600"/>
      <c r="I503" s="600"/>
      <c r="J503" s="600"/>
      <c r="K503" s="600"/>
      <c r="L503" s="600"/>
      <c r="M503" s="13" t="s">
        <v>13</v>
      </c>
    </row>
    <row r="504" spans="2:14" ht="14.25" customHeight="1" x14ac:dyDescent="0.2">
      <c r="B504" s="15" t="s">
        <v>4</v>
      </c>
      <c r="C504" s="597" t="s">
        <v>207</v>
      </c>
      <c r="D504" s="600"/>
      <c r="E504" s="600"/>
      <c r="F504" s="600"/>
      <c r="G504" s="600"/>
      <c r="H504" s="600"/>
      <c r="I504" s="600"/>
      <c r="J504" s="600"/>
      <c r="K504" s="600"/>
      <c r="L504" s="600"/>
      <c r="M504" s="13" t="s">
        <v>13</v>
      </c>
    </row>
    <row r="505" spans="2:14" ht="14.25" customHeight="1" x14ac:dyDescent="0.2">
      <c r="B505" s="15" t="s">
        <v>4</v>
      </c>
      <c r="C505" s="597" t="s">
        <v>205</v>
      </c>
      <c r="D505" s="600"/>
      <c r="E505" s="600"/>
      <c r="F505" s="600"/>
      <c r="G505" s="600"/>
      <c r="H505" s="600"/>
      <c r="I505" s="600"/>
      <c r="J505" s="600"/>
      <c r="K505" s="600"/>
      <c r="L505" s="600"/>
      <c r="M505" s="13" t="s">
        <v>13</v>
      </c>
    </row>
    <row r="506" spans="2:14" ht="14.25" customHeight="1" x14ac:dyDescent="0.2">
      <c r="B506" s="15" t="s">
        <v>4</v>
      </c>
      <c r="C506" s="597" t="s">
        <v>206</v>
      </c>
      <c r="D506" s="600"/>
      <c r="E506" s="600"/>
      <c r="F506" s="600"/>
      <c r="G506" s="600"/>
      <c r="H506" s="600"/>
      <c r="I506" s="600"/>
      <c r="J506" s="600"/>
      <c r="K506" s="600"/>
      <c r="L506" s="600"/>
      <c r="M506" s="13"/>
    </row>
    <row r="507" spans="2:14" ht="14.25" customHeight="1" x14ac:dyDescent="0.2">
      <c r="B507" s="15" t="s">
        <v>4</v>
      </c>
      <c r="C507" s="597" t="s">
        <v>277</v>
      </c>
      <c r="D507" s="600"/>
      <c r="E507" s="600"/>
      <c r="F507" s="600"/>
      <c r="G507" s="600"/>
      <c r="H507" s="600"/>
      <c r="I507" s="600"/>
      <c r="J507" s="600"/>
      <c r="K507" s="600"/>
      <c r="L507" s="600"/>
      <c r="M507" s="13" t="s">
        <v>13</v>
      </c>
    </row>
    <row r="508" spans="2:14" ht="14.25" customHeight="1" x14ac:dyDescent="0.2">
      <c r="B508" s="15" t="s">
        <v>4</v>
      </c>
      <c r="C508" s="597" t="s">
        <v>18</v>
      </c>
      <c r="D508" s="600"/>
      <c r="E508" s="600"/>
      <c r="F508" s="600"/>
      <c r="G508" s="600"/>
      <c r="H508" s="600"/>
      <c r="I508" s="600"/>
      <c r="J508" s="600"/>
      <c r="K508" s="600"/>
      <c r="L508" s="600"/>
      <c r="M508" s="13" t="s">
        <v>13</v>
      </c>
    </row>
    <row r="509" spans="2:14" ht="14.25" customHeight="1" x14ac:dyDescent="0.2">
      <c r="B509" s="15" t="s">
        <v>4</v>
      </c>
      <c r="C509" s="597" t="s">
        <v>19</v>
      </c>
      <c r="D509" s="600"/>
      <c r="E509" s="600"/>
      <c r="F509" s="600"/>
      <c r="G509" s="600"/>
      <c r="H509" s="600"/>
      <c r="I509" s="600"/>
      <c r="J509" s="600"/>
      <c r="K509" s="600"/>
      <c r="L509" s="600"/>
      <c r="M509" s="13" t="s">
        <v>13</v>
      </c>
    </row>
    <row r="510" spans="2:14" ht="14.25" customHeight="1" x14ac:dyDescent="0.2">
      <c r="B510" s="15" t="s">
        <v>4</v>
      </c>
      <c r="C510" s="597" t="s">
        <v>238</v>
      </c>
      <c r="D510" s="600"/>
      <c r="E510" s="600"/>
      <c r="F510" s="600"/>
      <c r="G510" s="600"/>
      <c r="H510" s="600"/>
      <c r="I510" s="600"/>
      <c r="J510" s="600"/>
      <c r="K510" s="600"/>
      <c r="L510" s="600"/>
      <c r="M510" s="13" t="s">
        <v>13</v>
      </c>
    </row>
    <row r="511" spans="2:14" ht="14.25" customHeight="1" x14ac:dyDescent="0.2">
      <c r="B511" s="15" t="s">
        <v>4</v>
      </c>
      <c r="C511" s="597" t="s">
        <v>239</v>
      </c>
      <c r="D511" s="600"/>
      <c r="E511" s="600"/>
      <c r="F511" s="600"/>
      <c r="G511" s="600"/>
      <c r="H511" s="600"/>
      <c r="I511" s="600"/>
      <c r="J511" s="600"/>
      <c r="K511" s="600"/>
      <c r="L511" s="600"/>
      <c r="M511" s="13" t="s">
        <v>13</v>
      </c>
      <c r="N511" s="244" t="s">
        <v>240</v>
      </c>
    </row>
    <row r="512" spans="2:14" x14ac:dyDescent="0.2">
      <c r="B512" s="15"/>
      <c r="C512" s="597"/>
      <c r="D512" s="600"/>
      <c r="E512" s="600"/>
      <c r="F512" s="600"/>
      <c r="G512" s="600"/>
      <c r="H512" s="600"/>
      <c r="I512" s="600"/>
      <c r="J512" s="600"/>
      <c r="K512" s="600"/>
      <c r="L512" s="600"/>
      <c r="M512" s="13"/>
    </row>
    <row r="513" spans="2:14" ht="15.75" x14ac:dyDescent="0.25">
      <c r="B513" s="7" t="s">
        <v>5</v>
      </c>
      <c r="C513" s="11"/>
      <c r="D513" s="11"/>
      <c r="E513" s="11"/>
      <c r="F513" s="11"/>
      <c r="G513" s="11"/>
      <c r="H513" s="11"/>
      <c r="I513" s="11"/>
      <c r="J513" s="11"/>
      <c r="K513" s="11"/>
      <c r="L513" s="11"/>
    </row>
    <row r="514" spans="2:14" ht="14.25" customHeight="1" x14ac:dyDescent="0.2">
      <c r="B514" s="15" t="s">
        <v>4</v>
      </c>
      <c r="C514" s="596" t="s">
        <v>470</v>
      </c>
      <c r="D514" s="596"/>
      <c r="E514" s="596"/>
      <c r="F514" s="596"/>
      <c r="G514" s="596"/>
      <c r="H514" s="596"/>
      <c r="I514" s="596"/>
      <c r="J514" s="596"/>
      <c r="K514" s="596"/>
      <c r="L514" s="597"/>
      <c r="M514" s="13" t="s">
        <v>24</v>
      </c>
      <c r="N514" s="16" t="s">
        <v>26</v>
      </c>
    </row>
    <row r="515" spans="2:14" ht="15" customHeight="1" x14ac:dyDescent="0.2">
      <c r="B515" s="15" t="s">
        <v>4</v>
      </c>
      <c r="C515" s="596" t="s">
        <v>469</v>
      </c>
      <c r="D515" s="596"/>
      <c r="E515" s="596"/>
      <c r="F515" s="596"/>
      <c r="G515" s="596"/>
      <c r="H515" s="596"/>
      <c r="I515" s="596"/>
      <c r="J515" s="596"/>
      <c r="K515" s="596"/>
      <c r="L515" s="597"/>
      <c r="M515" s="13" t="s">
        <v>24</v>
      </c>
      <c r="N515" s="243" t="s">
        <v>104</v>
      </c>
    </row>
    <row r="516" spans="2:14" ht="14.25" customHeight="1" x14ac:dyDescent="0.2">
      <c r="B516" s="15" t="s">
        <v>4</v>
      </c>
      <c r="C516" s="596" t="s">
        <v>465</v>
      </c>
      <c r="D516" s="596"/>
      <c r="E516" s="596"/>
      <c r="F516" s="596"/>
      <c r="G516" s="596"/>
      <c r="H516" s="596"/>
      <c r="I516" s="596"/>
      <c r="J516" s="596"/>
      <c r="K516" s="596"/>
      <c r="L516" s="597"/>
      <c r="M516" s="13" t="s">
        <v>109</v>
      </c>
    </row>
    <row r="517" spans="2:14" ht="14.25" customHeight="1" x14ac:dyDescent="0.2">
      <c r="B517" s="15" t="s">
        <v>4</v>
      </c>
      <c r="C517" s="596" t="s">
        <v>461</v>
      </c>
      <c r="D517" s="596"/>
      <c r="E517" s="596"/>
      <c r="F517" s="596"/>
      <c r="G517" s="596"/>
      <c r="H517" s="596"/>
      <c r="I517" s="596"/>
      <c r="J517" s="596"/>
      <c r="K517" s="596"/>
      <c r="L517" s="597"/>
      <c r="M517" s="13" t="s">
        <v>299</v>
      </c>
    </row>
    <row r="518" spans="2:14" ht="14.25" customHeight="1" x14ac:dyDescent="0.2">
      <c r="B518" s="15" t="s">
        <v>4</v>
      </c>
      <c r="C518" s="596" t="s">
        <v>462</v>
      </c>
      <c r="D518" s="596"/>
      <c r="E518" s="596"/>
      <c r="F518" s="596"/>
      <c r="G518" s="596"/>
      <c r="H518" s="596"/>
      <c r="I518" s="596"/>
      <c r="J518" s="596"/>
      <c r="K518" s="596"/>
      <c r="L518" s="597"/>
      <c r="M518" s="13" t="s">
        <v>299</v>
      </c>
    </row>
    <row r="519" spans="2:14" ht="14.25" customHeight="1" x14ac:dyDescent="0.2">
      <c r="B519" s="15" t="s">
        <v>4</v>
      </c>
      <c r="C519" s="596" t="s">
        <v>456</v>
      </c>
      <c r="D519" s="596"/>
      <c r="E519" s="596"/>
      <c r="F519" s="596"/>
      <c r="G519" s="596"/>
      <c r="H519" s="596"/>
      <c r="I519" s="596"/>
      <c r="J519" s="596"/>
      <c r="K519" s="596"/>
      <c r="L519" s="597"/>
      <c r="M519" s="13" t="s">
        <v>457</v>
      </c>
    </row>
    <row r="520" spans="2:14" ht="14.25" customHeight="1" x14ac:dyDescent="0.2">
      <c r="B520" s="15" t="s">
        <v>4</v>
      </c>
      <c r="C520" s="596" t="s">
        <v>466</v>
      </c>
      <c r="D520" s="596"/>
      <c r="E520" s="596"/>
      <c r="F520" s="596"/>
      <c r="G520" s="596"/>
      <c r="H520" s="596"/>
      <c r="I520" s="596"/>
      <c r="J520" s="596"/>
      <c r="K520" s="596"/>
      <c r="L520" s="597"/>
      <c r="M520" s="13" t="s">
        <v>109</v>
      </c>
    </row>
    <row r="521" spans="2:14" ht="14.25" customHeight="1" x14ac:dyDescent="0.2">
      <c r="B521" s="15" t="s">
        <v>4</v>
      </c>
      <c r="C521" s="596" t="s">
        <v>467</v>
      </c>
      <c r="D521" s="596"/>
      <c r="E521" s="596"/>
      <c r="F521" s="596"/>
      <c r="G521" s="596"/>
      <c r="H521" s="596"/>
      <c r="I521" s="596"/>
      <c r="J521" s="596"/>
      <c r="K521" s="596"/>
      <c r="L521" s="597"/>
      <c r="M521" s="13" t="s">
        <v>109</v>
      </c>
    </row>
    <row r="522" spans="2:14" ht="14.25" customHeight="1" x14ac:dyDescent="0.2">
      <c r="B522" s="15" t="s">
        <v>4</v>
      </c>
      <c r="C522" s="596" t="s">
        <v>458</v>
      </c>
      <c r="D522" s="596"/>
      <c r="E522" s="596"/>
      <c r="F522" s="596"/>
      <c r="G522" s="596"/>
      <c r="H522" s="596"/>
      <c r="I522" s="596"/>
      <c r="J522" s="596"/>
      <c r="K522" s="596"/>
      <c r="L522" s="597"/>
      <c r="M522" s="13" t="s">
        <v>457</v>
      </c>
    </row>
    <row r="523" spans="2:14" ht="14.25" customHeight="1" x14ac:dyDescent="0.2">
      <c r="B523" s="15" t="s">
        <v>4</v>
      </c>
      <c r="C523" s="596" t="s">
        <v>459</v>
      </c>
      <c r="D523" s="596"/>
      <c r="E523" s="596"/>
      <c r="F523" s="596"/>
      <c r="G523" s="596"/>
      <c r="H523" s="596"/>
      <c r="I523" s="596"/>
      <c r="J523" s="596"/>
      <c r="K523" s="596"/>
      <c r="L523" s="597"/>
      <c r="M523" s="13" t="s">
        <v>457</v>
      </c>
    </row>
    <row r="524" spans="2:14" ht="14.25" customHeight="1" x14ac:dyDescent="0.2">
      <c r="B524" s="15" t="s">
        <v>4</v>
      </c>
      <c r="C524" s="596" t="s">
        <v>454</v>
      </c>
      <c r="D524" s="596"/>
      <c r="E524" s="596"/>
      <c r="F524" s="596"/>
      <c r="G524" s="596"/>
      <c r="H524" s="596"/>
      <c r="I524" s="596"/>
      <c r="J524" s="596"/>
      <c r="K524" s="596"/>
      <c r="L524" s="597"/>
      <c r="M524" s="13" t="s">
        <v>455</v>
      </c>
    </row>
    <row r="525" spans="2:14" ht="14.25" customHeight="1" x14ac:dyDescent="0.2">
      <c r="B525" s="15" t="s">
        <v>4</v>
      </c>
      <c r="C525" s="596" t="s">
        <v>463</v>
      </c>
      <c r="D525" s="596"/>
      <c r="E525" s="596"/>
      <c r="F525" s="596"/>
      <c r="G525" s="596"/>
      <c r="H525" s="596"/>
      <c r="I525" s="596"/>
      <c r="J525" s="596"/>
      <c r="K525" s="596"/>
      <c r="L525" s="597"/>
      <c r="M525" s="13" t="s">
        <v>299</v>
      </c>
    </row>
    <row r="526" spans="2:14" ht="14.25" customHeight="1" x14ac:dyDescent="0.2">
      <c r="B526" s="15" t="s">
        <v>4</v>
      </c>
      <c r="C526" s="596" t="s">
        <v>464</v>
      </c>
      <c r="D526" s="596"/>
      <c r="E526" s="596"/>
      <c r="F526" s="596"/>
      <c r="G526" s="596"/>
      <c r="H526" s="596"/>
      <c r="I526" s="596"/>
      <c r="J526" s="596"/>
      <c r="K526" s="596"/>
      <c r="L526" s="597"/>
      <c r="M526" s="13" t="s">
        <v>299</v>
      </c>
    </row>
    <row r="527" spans="2:14" ht="28.5" customHeight="1" x14ac:dyDescent="0.2">
      <c r="B527" s="15" t="s">
        <v>4</v>
      </c>
      <c r="C527" s="596" t="s">
        <v>460</v>
      </c>
      <c r="D527" s="596"/>
      <c r="E527" s="596"/>
      <c r="F527" s="596"/>
      <c r="G527" s="596"/>
      <c r="H527" s="596"/>
      <c r="I527" s="596"/>
      <c r="J527" s="596"/>
      <c r="K527" s="596"/>
      <c r="L527" s="597"/>
      <c r="M527" s="13" t="s">
        <v>457</v>
      </c>
    </row>
    <row r="528" spans="2:14" ht="14.25" customHeight="1" x14ac:dyDescent="0.2">
      <c r="B528" s="15" t="s">
        <v>4</v>
      </c>
      <c r="C528" s="596" t="s">
        <v>468</v>
      </c>
      <c r="D528" s="596"/>
      <c r="E528" s="596"/>
      <c r="F528" s="596"/>
      <c r="G528" s="596"/>
      <c r="H528" s="596"/>
      <c r="I528" s="596"/>
      <c r="J528" s="596"/>
      <c r="K528" s="596"/>
      <c r="L528" s="597"/>
      <c r="M528" s="13" t="s">
        <v>109</v>
      </c>
    </row>
    <row r="529" spans="2:14" ht="14.25" customHeight="1" x14ac:dyDescent="0.2">
      <c r="B529" s="15" t="s">
        <v>4</v>
      </c>
      <c r="C529" s="596" t="s">
        <v>472</v>
      </c>
      <c r="D529" s="596"/>
      <c r="E529" s="596"/>
      <c r="F529" s="596"/>
      <c r="G529" s="596"/>
      <c r="H529" s="596"/>
      <c r="I529" s="596"/>
      <c r="J529" s="596"/>
      <c r="K529" s="596"/>
      <c r="L529" s="597"/>
      <c r="M529" s="13" t="s">
        <v>109</v>
      </c>
    </row>
    <row r="530" spans="2:14" x14ac:dyDescent="0.2">
      <c r="B530" s="15"/>
      <c r="C530" s="596"/>
      <c r="D530" s="596"/>
      <c r="E530" s="596"/>
      <c r="F530" s="596"/>
      <c r="G530" s="596"/>
      <c r="H530" s="596"/>
      <c r="I530" s="596"/>
      <c r="J530" s="596"/>
      <c r="K530" s="596"/>
      <c r="L530" s="597"/>
      <c r="M530" s="13"/>
    </row>
    <row r="531" spans="2:14" x14ac:dyDescent="0.2">
      <c r="B531" s="15"/>
      <c r="C531" s="596"/>
      <c r="D531" s="596"/>
      <c r="E531" s="596"/>
      <c r="F531" s="596"/>
      <c r="G531" s="596"/>
      <c r="H531" s="596"/>
      <c r="I531" s="596"/>
      <c r="J531" s="596"/>
      <c r="K531" s="596"/>
      <c r="L531" s="597"/>
      <c r="M531" s="13"/>
    </row>
    <row r="532" spans="2:14" ht="15.75" x14ac:dyDescent="0.25">
      <c r="B532" s="7" t="s">
        <v>7</v>
      </c>
      <c r="C532" s="313"/>
      <c r="D532" s="313"/>
      <c r="E532" s="313"/>
      <c r="F532" s="313"/>
      <c r="G532" s="313"/>
      <c r="H532" s="313"/>
      <c r="I532" s="313"/>
      <c r="J532" s="313"/>
      <c r="K532" s="313"/>
      <c r="L532" s="313"/>
    </row>
    <row r="533" spans="2:14" ht="15.75" x14ac:dyDescent="0.2">
      <c r="B533" s="10" t="s">
        <v>8</v>
      </c>
      <c r="C533" s="619"/>
      <c r="D533" s="619"/>
      <c r="E533" s="619"/>
      <c r="F533" s="619"/>
      <c r="G533" s="619"/>
      <c r="H533" s="619"/>
      <c r="I533" s="619"/>
      <c r="J533" s="619"/>
      <c r="K533" s="619"/>
      <c r="L533" s="619"/>
      <c r="M533" s="13"/>
    </row>
    <row r="534" spans="2:14" ht="14.25" customHeight="1" x14ac:dyDescent="0.2">
      <c r="B534" s="15" t="s">
        <v>4</v>
      </c>
      <c r="C534" s="597" t="s">
        <v>473</v>
      </c>
      <c r="D534" s="600"/>
      <c r="E534" s="600"/>
      <c r="F534" s="600"/>
      <c r="G534" s="600"/>
      <c r="H534" s="600"/>
      <c r="I534" s="600"/>
      <c r="J534" s="600"/>
      <c r="K534" s="600"/>
      <c r="L534" s="600"/>
      <c r="M534" s="13" t="s">
        <v>13</v>
      </c>
      <c r="N534" s="16" t="s">
        <v>27</v>
      </c>
    </row>
    <row r="535" spans="2:14" ht="24" customHeight="1" x14ac:dyDescent="0.2">
      <c r="B535" s="15" t="s">
        <v>4</v>
      </c>
      <c r="C535" s="608" t="s">
        <v>25</v>
      </c>
      <c r="D535" s="609"/>
      <c r="E535" s="610" t="s">
        <v>289</v>
      </c>
      <c r="F535" s="611"/>
      <c r="G535" s="611"/>
      <c r="H535" s="611"/>
      <c r="I535" s="611"/>
      <c r="J535" s="611"/>
      <c r="K535" s="611"/>
      <c r="L535" s="612"/>
      <c r="M535" s="55">
        <f>'OP1,3,8-Item Costs'!$B$10</f>
        <v>37967000</v>
      </c>
      <c r="N535" s="243" t="s">
        <v>104</v>
      </c>
    </row>
    <row r="536" spans="2:14" ht="14.25" customHeight="1" x14ac:dyDescent="0.2">
      <c r="B536" s="15" t="s">
        <v>4</v>
      </c>
      <c r="C536" s="595" t="s">
        <v>103</v>
      </c>
      <c r="D536" s="596"/>
      <c r="E536" s="596"/>
      <c r="F536" s="596"/>
      <c r="G536" s="596"/>
      <c r="H536" s="596"/>
      <c r="I536" s="596"/>
      <c r="J536" s="596"/>
      <c r="K536" s="596"/>
      <c r="L536" s="597"/>
      <c r="M536" s="55">
        <f>'OP1,3,8-Item Costs'!$B$23</f>
        <v>8786350</v>
      </c>
    </row>
    <row r="537" spans="2:14" ht="14.25" customHeight="1" x14ac:dyDescent="0.2">
      <c r="B537" s="15" t="s">
        <v>4</v>
      </c>
      <c r="C537" s="595" t="s">
        <v>106</v>
      </c>
      <c r="D537" s="596"/>
      <c r="E537" s="596"/>
      <c r="F537" s="596"/>
      <c r="G537" s="596"/>
      <c r="H537" s="596"/>
      <c r="I537" s="596"/>
      <c r="J537" s="596"/>
      <c r="K537" s="596"/>
      <c r="L537" s="597"/>
      <c r="M537" s="55">
        <v>0</v>
      </c>
    </row>
    <row r="538" spans="2:14" ht="14.25" customHeight="1" x14ac:dyDescent="0.2">
      <c r="B538" s="15" t="s">
        <v>4</v>
      </c>
      <c r="C538" s="595" t="s">
        <v>230</v>
      </c>
      <c r="D538" s="596"/>
      <c r="E538" s="596"/>
      <c r="F538" s="596"/>
      <c r="G538" s="596"/>
      <c r="H538" s="596"/>
      <c r="I538" s="596"/>
      <c r="J538" s="596"/>
      <c r="K538" s="596"/>
      <c r="L538" s="597"/>
      <c r="M538" s="55">
        <f>'OP1,3,8-Item Costs'!$B$27</f>
        <v>2233915.2999999998</v>
      </c>
    </row>
    <row r="539" spans="2:14" ht="14.25" customHeight="1" x14ac:dyDescent="0.2">
      <c r="B539" s="15" t="s">
        <v>2</v>
      </c>
      <c r="C539" s="595" t="s">
        <v>488</v>
      </c>
      <c r="D539" s="596"/>
      <c r="E539" s="596"/>
      <c r="F539" s="596"/>
      <c r="G539" s="596"/>
      <c r="H539" s="596"/>
      <c r="I539" s="596"/>
      <c r="J539" s="596"/>
      <c r="K539" s="596"/>
      <c r="L539" s="597"/>
      <c r="M539" s="55">
        <f>(55000*3)+420+5000+('OP1,3,8-Project Cost'!$C$38*3)</f>
        <v>880849.87220091792</v>
      </c>
    </row>
    <row r="540" spans="2:14" ht="26.25" customHeight="1" x14ac:dyDescent="0.2">
      <c r="B540" s="15" t="s">
        <v>4</v>
      </c>
      <c r="C540" s="595" t="s">
        <v>680</v>
      </c>
      <c r="D540" s="596"/>
      <c r="E540" s="596"/>
      <c r="F540" s="596"/>
      <c r="G540" s="596"/>
      <c r="H540" s="596"/>
      <c r="I540" s="596"/>
      <c r="J540" s="596"/>
      <c r="K540" s="596"/>
      <c r="L540" s="597"/>
      <c r="M540" s="55">
        <f>572196+(M538/2)</f>
        <v>1689153.65</v>
      </c>
    </row>
    <row r="541" spans="2:14" ht="14.25" customHeight="1" x14ac:dyDescent="0.2">
      <c r="B541" s="15" t="s">
        <v>4</v>
      </c>
      <c r="C541" s="595" t="s">
        <v>679</v>
      </c>
      <c r="D541" s="596"/>
      <c r="E541" s="596"/>
      <c r="F541" s="596"/>
      <c r="G541" s="596"/>
      <c r="H541" s="596"/>
      <c r="I541" s="596"/>
      <c r="J541" s="596"/>
      <c r="K541" s="596"/>
      <c r="L541" s="597"/>
      <c r="M541" s="441">
        <v>0.02</v>
      </c>
    </row>
    <row r="542" spans="2:14" ht="14.25" customHeight="1" x14ac:dyDescent="0.2">
      <c r="B542" s="15" t="s">
        <v>4</v>
      </c>
      <c r="C542" s="595" t="s">
        <v>474</v>
      </c>
      <c r="D542" s="596"/>
      <c r="E542" s="596"/>
      <c r="F542" s="596"/>
      <c r="G542" s="596"/>
      <c r="H542" s="596"/>
      <c r="I542" s="596"/>
      <c r="J542" s="596"/>
      <c r="K542" s="596"/>
      <c r="L542" s="597"/>
      <c r="M542" s="55">
        <f>'OP1,3,8-Item Costs'!$B$29</f>
        <v>3373448.0985151711</v>
      </c>
      <c r="N542" s="16" t="s">
        <v>101</v>
      </c>
    </row>
    <row r="543" spans="2:14" ht="14.25" customHeight="1" x14ac:dyDescent="0.2">
      <c r="B543" s="15" t="s">
        <v>4</v>
      </c>
      <c r="C543" s="596" t="s">
        <v>231</v>
      </c>
      <c r="D543" s="596"/>
      <c r="E543" s="596"/>
      <c r="F543" s="596"/>
      <c r="G543" s="596"/>
      <c r="H543" s="596"/>
      <c r="I543" s="596"/>
      <c r="J543" s="596"/>
      <c r="K543" s="596"/>
      <c r="L543" s="597"/>
      <c r="M543" s="55">
        <f>'OP1,3,8-Item Costs'!$B$28</f>
        <v>24493632.649999999</v>
      </c>
      <c r="N543" s="16" t="s">
        <v>298</v>
      </c>
    </row>
    <row r="544" spans="2:14" ht="14.25" customHeight="1" x14ac:dyDescent="0.2">
      <c r="B544" s="15" t="s">
        <v>4</v>
      </c>
      <c r="C544" s="606" t="s">
        <v>105</v>
      </c>
      <c r="D544" s="596"/>
      <c r="E544" s="596"/>
      <c r="F544" s="596"/>
      <c r="G544" s="596"/>
      <c r="H544" s="596"/>
      <c r="I544" s="596"/>
      <c r="J544" s="596"/>
      <c r="K544" s="596"/>
      <c r="L544" s="597"/>
      <c r="M544" s="17">
        <v>0.5</v>
      </c>
    </row>
    <row r="545" spans="2:14" x14ac:dyDescent="0.2">
      <c r="B545" s="15" t="s">
        <v>4</v>
      </c>
      <c r="C545" s="595" t="s">
        <v>487</v>
      </c>
      <c r="D545" s="596"/>
      <c r="E545" s="596"/>
      <c r="F545" s="596"/>
      <c r="G545" s="596"/>
      <c r="H545" s="596"/>
      <c r="I545" s="596"/>
      <c r="J545" s="596"/>
      <c r="K545" s="596"/>
      <c r="L545" s="597"/>
      <c r="M545" s="55">
        <f>M328</f>
        <v>432050.2843740001</v>
      </c>
    </row>
    <row r="546" spans="2:14" ht="14.25" customHeight="1" x14ac:dyDescent="0.2">
      <c r="B546" s="15" t="s">
        <v>4</v>
      </c>
      <c r="C546" s="595" t="s">
        <v>108</v>
      </c>
      <c r="D546" s="596"/>
      <c r="E546" s="596"/>
      <c r="F546" s="596"/>
      <c r="G546" s="596"/>
      <c r="H546" s="596"/>
      <c r="I546" s="596"/>
      <c r="J546" s="596"/>
      <c r="K546" s="596"/>
      <c r="L546" s="597"/>
      <c r="M546" s="55">
        <f>4700000*1.02^9</f>
        <v>5616935.0725248605</v>
      </c>
    </row>
    <row r="547" spans="2:14" x14ac:dyDescent="0.2">
      <c r="B547" s="15"/>
      <c r="C547" s="595"/>
      <c r="D547" s="596"/>
      <c r="E547" s="596"/>
      <c r="F547" s="596"/>
      <c r="G547" s="596"/>
      <c r="H547" s="596"/>
      <c r="I547" s="596"/>
      <c r="J547" s="596"/>
      <c r="K547" s="596"/>
      <c r="L547" s="597"/>
      <c r="M547" s="55"/>
    </row>
    <row r="548" spans="2:14" ht="15.75" customHeight="1" x14ac:dyDescent="0.25">
      <c r="B548" s="7" t="s">
        <v>9</v>
      </c>
      <c r="C548" s="616" t="s">
        <v>237</v>
      </c>
      <c r="D548" s="617"/>
      <c r="E548" s="617"/>
      <c r="F548" s="617"/>
      <c r="G548" s="617"/>
      <c r="H548" s="617"/>
      <c r="I548" s="617"/>
      <c r="J548" s="617"/>
      <c r="K548" s="617"/>
      <c r="L548" s="618"/>
      <c r="M548" s="17">
        <v>0.03</v>
      </c>
    </row>
    <row r="549" spans="2:14" ht="14.25" customHeight="1" x14ac:dyDescent="0.2">
      <c r="B549" s="15" t="s">
        <v>4</v>
      </c>
      <c r="C549" s="598" t="s">
        <v>322</v>
      </c>
      <c r="D549" s="599"/>
      <c r="E549" s="599"/>
      <c r="F549" s="599"/>
      <c r="G549" s="599"/>
      <c r="H549" s="599"/>
      <c r="I549" s="599"/>
      <c r="J549" s="599"/>
      <c r="K549" s="599"/>
      <c r="L549" s="599"/>
      <c r="M549" s="55">
        <f>'ALL-Opex Baseline'!$AA$10*(1+$M548)</f>
        <v>60637.37720000001</v>
      </c>
    </row>
    <row r="550" spans="2:14" ht="14.25" customHeight="1" x14ac:dyDescent="0.2">
      <c r="B550" s="15" t="s">
        <v>4</v>
      </c>
      <c r="C550" s="598" t="s">
        <v>323</v>
      </c>
      <c r="D550" s="599"/>
      <c r="E550" s="599"/>
      <c r="F550" s="599"/>
      <c r="G550" s="599"/>
      <c r="H550" s="599"/>
      <c r="I550" s="599"/>
      <c r="J550" s="599"/>
      <c r="K550" s="599"/>
      <c r="L550" s="599"/>
      <c r="M550" s="55">
        <f>'ALL-Opex Baseline'!$N$14*(1+$M548)</f>
        <v>123121.6989</v>
      </c>
    </row>
    <row r="551" spans="2:14" ht="14.25" customHeight="1" x14ac:dyDescent="0.2">
      <c r="B551" s="15" t="s">
        <v>4</v>
      </c>
      <c r="C551" s="598" t="s">
        <v>324</v>
      </c>
      <c r="D551" s="599"/>
      <c r="E551" s="599"/>
      <c r="F551" s="599"/>
      <c r="G551" s="599"/>
      <c r="H551" s="599"/>
      <c r="I551" s="599"/>
      <c r="J551" s="599"/>
      <c r="K551" s="599"/>
      <c r="L551" s="599"/>
      <c r="M551" s="55">
        <f>'ALL-Opex Baseline'!$AA$21*(1+$M548)</f>
        <v>260661.2245000001</v>
      </c>
    </row>
    <row r="552" spans="2:14" ht="14.25" customHeight="1" x14ac:dyDescent="0.2">
      <c r="B552" s="15" t="s">
        <v>4</v>
      </c>
      <c r="C552" s="598" t="s">
        <v>325</v>
      </c>
      <c r="D552" s="599"/>
      <c r="E552" s="599"/>
      <c r="F552" s="599"/>
      <c r="G552" s="599"/>
      <c r="H552" s="599"/>
      <c r="I552" s="599"/>
      <c r="J552" s="599"/>
      <c r="K552" s="599"/>
      <c r="L552" s="599"/>
      <c r="M552" s="55">
        <f>'ALL-Opex Baseline'!$N$32*(1+$M548)</f>
        <v>580910.69848962966</v>
      </c>
    </row>
    <row r="553" spans="2:14" ht="14.25" customHeight="1" x14ac:dyDescent="0.2">
      <c r="B553" s="15" t="s">
        <v>4</v>
      </c>
      <c r="C553" s="598" t="s">
        <v>326</v>
      </c>
      <c r="D553" s="599"/>
      <c r="E553" s="599"/>
      <c r="F553" s="599"/>
      <c r="G553" s="599"/>
      <c r="H553" s="599"/>
      <c r="I553" s="599"/>
      <c r="J553" s="599"/>
      <c r="K553" s="599"/>
      <c r="L553" s="599"/>
      <c r="M553" s="55">
        <f>'ALL-Opex Baseline'!$AA$39*(1+$M548)</f>
        <v>289559.37315000006</v>
      </c>
    </row>
    <row r="554" spans="2:14" ht="14.25" customHeight="1" x14ac:dyDescent="0.2">
      <c r="B554" s="15" t="s">
        <v>4</v>
      </c>
      <c r="C554" s="598" t="s">
        <v>327</v>
      </c>
      <c r="D554" s="599"/>
      <c r="E554" s="599"/>
      <c r="F554" s="599"/>
      <c r="G554" s="599"/>
      <c r="H554" s="599"/>
      <c r="I554" s="599"/>
      <c r="J554" s="599"/>
      <c r="K554" s="599"/>
      <c r="L554" s="599"/>
      <c r="M554" s="55">
        <f>'ALL-Opex Baseline'!$N$49*(1+$M548)</f>
        <v>598014.84670376685</v>
      </c>
    </row>
    <row r="555" spans="2:14" ht="14.25" customHeight="1" x14ac:dyDescent="0.2">
      <c r="B555" s="15" t="s">
        <v>4</v>
      </c>
      <c r="C555" s="598" t="s">
        <v>290</v>
      </c>
      <c r="D555" s="599"/>
      <c r="E555" s="599"/>
      <c r="F555" s="599"/>
      <c r="G555" s="599"/>
      <c r="H555" s="599"/>
      <c r="I555" s="599"/>
      <c r="J555" s="599"/>
      <c r="K555" s="599"/>
      <c r="L555" s="599"/>
      <c r="M555" s="55">
        <f>318872*(1+0.04)</f>
        <v>331626.88</v>
      </c>
    </row>
    <row r="556" spans="2:14" ht="28.5" customHeight="1" x14ac:dyDescent="0.2">
      <c r="B556" s="15" t="s">
        <v>4</v>
      </c>
      <c r="C556" s="598" t="s">
        <v>570</v>
      </c>
      <c r="D556" s="599"/>
      <c r="E556" s="599"/>
      <c r="F556" s="599"/>
      <c r="G556" s="599"/>
      <c r="H556" s="599"/>
      <c r="I556" s="599"/>
      <c r="J556" s="599"/>
      <c r="K556" s="599"/>
      <c r="L556" s="599"/>
      <c r="M556" s="55">
        <f>'ALL-Opex Baseline'!$AD$10*(1+M548)</f>
        <v>44476.475803787871</v>
      </c>
      <c r="N556" s="16" t="s">
        <v>182</v>
      </c>
    </row>
    <row r="557" spans="2:14" ht="27.75" customHeight="1" x14ac:dyDescent="0.2">
      <c r="B557" s="15" t="s">
        <v>4</v>
      </c>
      <c r="C557" s="598" t="s">
        <v>571</v>
      </c>
      <c r="D557" s="599"/>
      <c r="E557" s="599"/>
      <c r="F557" s="599"/>
      <c r="G557" s="599"/>
      <c r="H557" s="599"/>
      <c r="I557" s="599"/>
      <c r="J557" s="599"/>
      <c r="K557" s="599"/>
      <c r="L557" s="599"/>
      <c r="M557" s="55">
        <f>'ALL-Opex Baseline'!$Q$14*(1+M548)</f>
        <v>98977.470616666673</v>
      </c>
      <c r="N557" s="16" t="s">
        <v>182</v>
      </c>
    </row>
    <row r="558" spans="2:14" ht="29.25" customHeight="1" x14ac:dyDescent="0.2">
      <c r="B558" s="15" t="s">
        <v>4</v>
      </c>
      <c r="C558" s="598" t="s">
        <v>572</v>
      </c>
      <c r="D558" s="599"/>
      <c r="E558" s="599"/>
      <c r="F558" s="599"/>
      <c r="G558" s="599"/>
      <c r="H558" s="599"/>
      <c r="I558" s="599"/>
      <c r="J558" s="599"/>
      <c r="K558" s="599"/>
      <c r="L558" s="599"/>
      <c r="M558" s="55">
        <f>'ALL-Opex Baseline'!$AD$21*(1+M548)</f>
        <v>98989.736200000101</v>
      </c>
      <c r="N558" s="16" t="s">
        <v>182</v>
      </c>
    </row>
    <row r="559" spans="2:14" ht="53.25" customHeight="1" x14ac:dyDescent="0.2">
      <c r="B559" s="15" t="s">
        <v>4</v>
      </c>
      <c r="C559" s="598" t="s">
        <v>573</v>
      </c>
      <c r="D559" s="599"/>
      <c r="E559" s="599"/>
      <c r="F559" s="599"/>
      <c r="G559" s="599"/>
      <c r="H559" s="599"/>
      <c r="I559" s="599"/>
      <c r="J559" s="599"/>
      <c r="K559" s="599"/>
      <c r="L559" s="599"/>
      <c r="M559" s="55">
        <f>'ALL-Opex Baseline'!$Q$32*(1+M548)</f>
        <v>444485.94879199541</v>
      </c>
      <c r="N559" s="16" t="s">
        <v>182</v>
      </c>
    </row>
    <row r="560" spans="2:14" ht="28.5" customHeight="1" x14ac:dyDescent="0.2">
      <c r="B560" s="15" t="s">
        <v>4</v>
      </c>
      <c r="C560" s="598" t="s">
        <v>574</v>
      </c>
      <c r="D560" s="599"/>
      <c r="E560" s="599"/>
      <c r="F560" s="599"/>
      <c r="G560" s="599"/>
      <c r="H560" s="599"/>
      <c r="I560" s="599"/>
      <c r="J560" s="599"/>
      <c r="K560" s="599"/>
      <c r="L560" s="599"/>
      <c r="M560" s="55">
        <f>'ALL-Opex Baseline'!$AD$39*(1+M548)</f>
        <v>42514.459986348142</v>
      </c>
      <c r="N560" s="16" t="s">
        <v>182</v>
      </c>
    </row>
    <row r="561" spans="2:14" ht="54.75" customHeight="1" x14ac:dyDescent="0.2">
      <c r="B561" s="15" t="s">
        <v>4</v>
      </c>
      <c r="C561" s="598" t="s">
        <v>575</v>
      </c>
      <c r="D561" s="599"/>
      <c r="E561" s="599"/>
      <c r="F561" s="599"/>
      <c r="G561" s="599"/>
      <c r="H561" s="599"/>
      <c r="I561" s="599"/>
      <c r="J561" s="599"/>
      <c r="K561" s="599"/>
      <c r="L561" s="599"/>
      <c r="M561" s="55">
        <f>'ALL-Opex Baseline'!$Q$49*(1+M548)</f>
        <v>237454.56219057977</v>
      </c>
      <c r="N561" s="16" t="s">
        <v>182</v>
      </c>
    </row>
    <row r="562" spans="2:14" ht="54.75" customHeight="1" x14ac:dyDescent="0.2">
      <c r="B562" s="15" t="s">
        <v>4</v>
      </c>
      <c r="C562" s="603" t="s">
        <v>288</v>
      </c>
      <c r="D562" s="599"/>
      <c r="E562" s="599"/>
      <c r="F562" s="599"/>
      <c r="G562" s="599"/>
      <c r="H562" s="599"/>
      <c r="I562" s="599"/>
      <c r="J562" s="599"/>
      <c r="K562" s="599"/>
      <c r="L562" s="599"/>
      <c r="M562" s="55">
        <v>182000</v>
      </c>
    </row>
    <row r="563" spans="2:14" ht="14.25" customHeight="1" x14ac:dyDescent="0.2">
      <c r="B563" s="15" t="s">
        <v>4</v>
      </c>
      <c r="C563" s="603" t="s">
        <v>564</v>
      </c>
      <c r="D563" s="599"/>
      <c r="E563" s="599"/>
      <c r="F563" s="599"/>
      <c r="G563" s="599"/>
      <c r="H563" s="599"/>
      <c r="I563" s="599"/>
      <c r="J563" s="599"/>
      <c r="K563" s="599"/>
      <c r="L563" s="599"/>
      <c r="M563" s="55">
        <v>0</v>
      </c>
    </row>
    <row r="564" spans="2:14" x14ac:dyDescent="0.2">
      <c r="B564" s="15"/>
      <c r="C564" s="614"/>
      <c r="D564" s="615"/>
      <c r="E564" s="615"/>
      <c r="F564" s="615"/>
      <c r="G564" s="615"/>
      <c r="H564" s="615"/>
      <c r="I564" s="615"/>
      <c r="J564" s="615"/>
      <c r="K564" s="615"/>
      <c r="L564" s="615"/>
      <c r="M564" s="55"/>
    </row>
    <row r="565" spans="2:14" x14ac:dyDescent="0.2">
      <c r="B565" s="15"/>
      <c r="C565" s="614"/>
      <c r="D565" s="615"/>
      <c r="E565" s="615"/>
      <c r="F565" s="615"/>
      <c r="G565" s="615"/>
      <c r="H565" s="615"/>
      <c r="I565" s="615"/>
      <c r="J565" s="615"/>
      <c r="K565" s="615"/>
      <c r="L565" s="615"/>
      <c r="M565" s="55"/>
    </row>
  </sheetData>
  <dataConsolidate/>
  <mergeCells count="506">
    <mergeCell ref="C463:L463"/>
    <mergeCell ref="C390:L390"/>
    <mergeCell ref="C465:L465"/>
    <mergeCell ref="C467:L467"/>
    <mergeCell ref="C386:D386"/>
    <mergeCell ref="E386:L386"/>
    <mergeCell ref="C392:L392"/>
    <mergeCell ref="C394:L394"/>
    <mergeCell ref="C373:L373"/>
    <mergeCell ref="C374:L374"/>
    <mergeCell ref="C375:L375"/>
    <mergeCell ref="C444:L444"/>
    <mergeCell ref="C445:L445"/>
    <mergeCell ref="C459:D459"/>
    <mergeCell ref="E459:L459"/>
    <mergeCell ref="C464:L464"/>
    <mergeCell ref="C460:L460"/>
    <mergeCell ref="C461:L461"/>
    <mergeCell ref="C462:L462"/>
    <mergeCell ref="C466:L466"/>
    <mergeCell ref="C456:L456"/>
    <mergeCell ref="C457:L457"/>
    <mergeCell ref="C458:L458"/>
    <mergeCell ref="C434:L434"/>
    <mergeCell ref="C435:L435"/>
    <mergeCell ref="C436:L436"/>
    <mergeCell ref="C284:L284"/>
    <mergeCell ref="C447:L447"/>
    <mergeCell ref="C448:L448"/>
    <mergeCell ref="C449:L449"/>
    <mergeCell ref="C207:L207"/>
    <mergeCell ref="C206:L206"/>
    <mergeCell ref="C564:L564"/>
    <mergeCell ref="C549:L549"/>
    <mergeCell ref="C550:L550"/>
    <mergeCell ref="C551:L551"/>
    <mergeCell ref="C552:L552"/>
    <mergeCell ref="C553:L553"/>
    <mergeCell ref="C539:L539"/>
    <mergeCell ref="C545:L545"/>
    <mergeCell ref="C546:L546"/>
    <mergeCell ref="C547:L547"/>
    <mergeCell ref="C548:L548"/>
    <mergeCell ref="C541:L541"/>
    <mergeCell ref="C543:L543"/>
    <mergeCell ref="C542:L542"/>
    <mergeCell ref="C536:L536"/>
    <mergeCell ref="C537:L537"/>
    <mergeCell ref="C565:L565"/>
    <mergeCell ref="C559:L559"/>
    <mergeCell ref="C560:L560"/>
    <mergeCell ref="C561:L561"/>
    <mergeCell ref="C562:L562"/>
    <mergeCell ref="C563:L563"/>
    <mergeCell ref="C554:L554"/>
    <mergeCell ref="C555:L555"/>
    <mergeCell ref="C556:L556"/>
    <mergeCell ref="C557:L557"/>
    <mergeCell ref="C558:L558"/>
    <mergeCell ref="C538:L538"/>
    <mergeCell ref="C533:L533"/>
    <mergeCell ref="C534:L534"/>
    <mergeCell ref="C535:D535"/>
    <mergeCell ref="E535:L535"/>
    <mergeCell ref="C544:L544"/>
    <mergeCell ref="C528:L528"/>
    <mergeCell ref="C529:L529"/>
    <mergeCell ref="C530:L530"/>
    <mergeCell ref="C531:L531"/>
    <mergeCell ref="C540:L540"/>
    <mergeCell ref="C527:L527"/>
    <mergeCell ref="C506:L506"/>
    <mergeCell ref="C507:L507"/>
    <mergeCell ref="C508:L508"/>
    <mergeCell ref="C509:L509"/>
    <mergeCell ref="C510:L510"/>
    <mergeCell ref="C504:L504"/>
    <mergeCell ref="C505:L505"/>
    <mergeCell ref="C517:L517"/>
    <mergeCell ref="C518:L518"/>
    <mergeCell ref="C522:L522"/>
    <mergeCell ref="C523:L523"/>
    <mergeCell ref="C524:L524"/>
    <mergeCell ref="C525:L525"/>
    <mergeCell ref="C526:L526"/>
    <mergeCell ref="C519:L519"/>
    <mergeCell ref="C520:L520"/>
    <mergeCell ref="C521:L521"/>
    <mergeCell ref="C511:L511"/>
    <mergeCell ref="C512:L512"/>
    <mergeCell ref="C514:L514"/>
    <mergeCell ref="C515:L515"/>
    <mergeCell ref="C516:L516"/>
    <mergeCell ref="C500:L500"/>
    <mergeCell ref="C501:L501"/>
    <mergeCell ref="C502:L502"/>
    <mergeCell ref="C503:L503"/>
    <mergeCell ref="C497:L497"/>
    <mergeCell ref="C498:L498"/>
    <mergeCell ref="C499:L499"/>
    <mergeCell ref="C487:L487"/>
    <mergeCell ref="C483:L483"/>
    <mergeCell ref="C484:L484"/>
    <mergeCell ref="C480:L480"/>
    <mergeCell ref="C481:L481"/>
    <mergeCell ref="C488:L488"/>
    <mergeCell ref="C493:L493"/>
    <mergeCell ref="C494:L494"/>
    <mergeCell ref="C479:L479"/>
    <mergeCell ref="C482:L482"/>
    <mergeCell ref="C485:L485"/>
    <mergeCell ref="C486:L486"/>
    <mergeCell ref="C474:L474"/>
    <mergeCell ref="C475:L475"/>
    <mergeCell ref="C476:L476"/>
    <mergeCell ref="C477:L477"/>
    <mergeCell ref="C478:L478"/>
    <mergeCell ref="C468:L468"/>
    <mergeCell ref="C469:L469"/>
    <mergeCell ref="C471:L471"/>
    <mergeCell ref="C472:L472"/>
    <mergeCell ref="C470:L470"/>
    <mergeCell ref="C473:L473"/>
    <mergeCell ref="C450:L450"/>
    <mergeCell ref="C451:L451"/>
    <mergeCell ref="C452:L452"/>
    <mergeCell ref="C453:L453"/>
    <mergeCell ref="C437:L437"/>
    <mergeCell ref="C438:L438"/>
    <mergeCell ref="C439:L439"/>
    <mergeCell ref="C442:L442"/>
    <mergeCell ref="C441:L441"/>
    <mergeCell ref="C427:L427"/>
    <mergeCell ref="C428:L428"/>
    <mergeCell ref="C429:L429"/>
    <mergeCell ref="C420:L420"/>
    <mergeCell ref="C421:L421"/>
    <mergeCell ref="C424:L424"/>
    <mergeCell ref="C413:L413"/>
    <mergeCell ref="C432:L432"/>
    <mergeCell ref="C433:L433"/>
    <mergeCell ref="C415:L415"/>
    <mergeCell ref="C414:L414"/>
    <mergeCell ref="C430:L430"/>
    <mergeCell ref="C431:L431"/>
    <mergeCell ref="C404:L404"/>
    <mergeCell ref="C405:L405"/>
    <mergeCell ref="C406:L406"/>
    <mergeCell ref="C407:L407"/>
    <mergeCell ref="C408:L408"/>
    <mergeCell ref="C425:L425"/>
    <mergeCell ref="C426:L426"/>
    <mergeCell ref="C401:L401"/>
    <mergeCell ref="C402:L402"/>
    <mergeCell ref="C403:L403"/>
    <mergeCell ref="C393:L393"/>
    <mergeCell ref="C395:L395"/>
    <mergeCell ref="C396:L396"/>
    <mergeCell ref="C398:L398"/>
    <mergeCell ref="C399:L399"/>
    <mergeCell ref="C397:L397"/>
    <mergeCell ref="C400:L400"/>
    <mergeCell ref="C391:L391"/>
    <mergeCell ref="C387:L387"/>
    <mergeCell ref="C388:L388"/>
    <mergeCell ref="C389:L389"/>
    <mergeCell ref="C381:L381"/>
    <mergeCell ref="C383:L383"/>
    <mergeCell ref="C384:L384"/>
    <mergeCell ref="C385:L385"/>
    <mergeCell ref="C376:L376"/>
    <mergeCell ref="C377:L377"/>
    <mergeCell ref="C378:L378"/>
    <mergeCell ref="C379:L379"/>
    <mergeCell ref="C380:L380"/>
    <mergeCell ref="C366:L366"/>
    <mergeCell ref="C367:L367"/>
    <mergeCell ref="C368:L368"/>
    <mergeCell ref="C369:L369"/>
    <mergeCell ref="C371:L371"/>
    <mergeCell ref="C372:L372"/>
    <mergeCell ref="C362:L362"/>
    <mergeCell ref="C363:L363"/>
    <mergeCell ref="C364:L364"/>
    <mergeCell ref="C365:L365"/>
    <mergeCell ref="C342:L342"/>
    <mergeCell ref="C343:L343"/>
    <mergeCell ref="C344:L344"/>
    <mergeCell ref="C361:L361"/>
    <mergeCell ref="C333:L333"/>
    <mergeCell ref="C334:L334"/>
    <mergeCell ref="C335:L335"/>
    <mergeCell ref="C330:L330"/>
    <mergeCell ref="C341:L341"/>
    <mergeCell ref="C336:L336"/>
    <mergeCell ref="C337:L337"/>
    <mergeCell ref="C338:L338"/>
    <mergeCell ref="C339:L339"/>
    <mergeCell ref="C340:L340"/>
    <mergeCell ref="C356:L356"/>
    <mergeCell ref="C357:L357"/>
    <mergeCell ref="C358:L358"/>
    <mergeCell ref="C359:L359"/>
    <mergeCell ref="C360:L360"/>
    <mergeCell ref="C345:L345"/>
    <mergeCell ref="C350:L350"/>
    <mergeCell ref="C351:L351"/>
    <mergeCell ref="C354:L354"/>
    <mergeCell ref="C355:L355"/>
    <mergeCell ref="C327:L327"/>
    <mergeCell ref="C322:L322"/>
    <mergeCell ref="C329:L329"/>
    <mergeCell ref="C328:L328"/>
    <mergeCell ref="C323:L323"/>
    <mergeCell ref="C324:L324"/>
    <mergeCell ref="C325:L325"/>
    <mergeCell ref="C331:L331"/>
    <mergeCell ref="C332:L332"/>
    <mergeCell ref="C317:L317"/>
    <mergeCell ref="C319:L319"/>
    <mergeCell ref="C320:L320"/>
    <mergeCell ref="C312:L312"/>
    <mergeCell ref="C313:L313"/>
    <mergeCell ref="C314:L314"/>
    <mergeCell ref="C315:L315"/>
    <mergeCell ref="C316:L316"/>
    <mergeCell ref="C321:L321"/>
    <mergeCell ref="C308:L308"/>
    <mergeCell ref="C309:L309"/>
    <mergeCell ref="C310:L310"/>
    <mergeCell ref="C311:L311"/>
    <mergeCell ref="C303:L303"/>
    <mergeCell ref="C304:L304"/>
    <mergeCell ref="C305:L305"/>
    <mergeCell ref="C306:L306"/>
    <mergeCell ref="C307:L307"/>
    <mergeCell ref="C292:L292"/>
    <mergeCell ref="C293:L293"/>
    <mergeCell ref="C298:L298"/>
    <mergeCell ref="C299:L299"/>
    <mergeCell ref="C302:L302"/>
    <mergeCell ref="C231:L231"/>
    <mergeCell ref="C232:L232"/>
    <mergeCell ref="C248:L248"/>
    <mergeCell ref="C260:L260"/>
    <mergeCell ref="C263:L263"/>
    <mergeCell ref="C266:D266"/>
    <mergeCell ref="E266:L266"/>
    <mergeCell ref="C287:L287"/>
    <mergeCell ref="C288:L288"/>
    <mergeCell ref="C289:L289"/>
    <mergeCell ref="C290:L290"/>
    <mergeCell ref="C291:L291"/>
    <mergeCell ref="C281:L281"/>
    <mergeCell ref="C282:L282"/>
    <mergeCell ref="C283:L283"/>
    <mergeCell ref="C285:L285"/>
    <mergeCell ref="C286:L286"/>
    <mergeCell ref="C276:L276"/>
    <mergeCell ref="C277:L277"/>
    <mergeCell ref="C264:L264"/>
    <mergeCell ref="C258:L258"/>
    <mergeCell ref="C259:L259"/>
    <mergeCell ref="C261:L261"/>
    <mergeCell ref="C256:L256"/>
    <mergeCell ref="C257:L257"/>
    <mergeCell ref="C278:L278"/>
    <mergeCell ref="C279:L279"/>
    <mergeCell ref="C280:L280"/>
    <mergeCell ref="C270:L270"/>
    <mergeCell ref="C269:L269"/>
    <mergeCell ref="C274:L274"/>
    <mergeCell ref="C275:L275"/>
    <mergeCell ref="C273:L273"/>
    <mergeCell ref="C272:L272"/>
    <mergeCell ref="C271:L271"/>
    <mergeCell ref="C267:L267"/>
    <mergeCell ref="C268:L268"/>
    <mergeCell ref="C265:L265"/>
    <mergeCell ref="C244:L244"/>
    <mergeCell ref="C245:L245"/>
    <mergeCell ref="C246:L246"/>
    <mergeCell ref="C240:L240"/>
    <mergeCell ref="C241:L241"/>
    <mergeCell ref="C242:L242"/>
    <mergeCell ref="C243:L243"/>
    <mergeCell ref="C254:L254"/>
    <mergeCell ref="C255:L255"/>
    <mergeCell ref="C247:L247"/>
    <mergeCell ref="C249:L249"/>
    <mergeCell ref="C252:L252"/>
    <mergeCell ref="C253:L253"/>
    <mergeCell ref="C251:L251"/>
    <mergeCell ref="C235:L235"/>
    <mergeCell ref="C236:L236"/>
    <mergeCell ref="C238:L238"/>
    <mergeCell ref="C239:L239"/>
    <mergeCell ref="C225:L225"/>
    <mergeCell ref="C226:L226"/>
    <mergeCell ref="C221:L221"/>
    <mergeCell ref="C222:L222"/>
    <mergeCell ref="C223:L223"/>
    <mergeCell ref="C224:L224"/>
    <mergeCell ref="C237:L237"/>
    <mergeCell ref="C217:L217"/>
    <mergeCell ref="C218:L218"/>
    <mergeCell ref="C219:L219"/>
    <mergeCell ref="C220:L220"/>
    <mergeCell ref="C211:L211"/>
    <mergeCell ref="C212:L212"/>
    <mergeCell ref="C213:L213"/>
    <mergeCell ref="C214:L214"/>
    <mergeCell ref="C215:L215"/>
    <mergeCell ref="C208:L208"/>
    <mergeCell ref="C209:L209"/>
    <mergeCell ref="C210:L210"/>
    <mergeCell ref="C204:L204"/>
    <mergeCell ref="C203:L203"/>
    <mergeCell ref="C198:L198"/>
    <mergeCell ref="C199:L199"/>
    <mergeCell ref="C200:L200"/>
    <mergeCell ref="C216:L216"/>
    <mergeCell ref="C195:L195"/>
    <mergeCell ref="C196:L196"/>
    <mergeCell ref="C197:D197"/>
    <mergeCell ref="E197:L197"/>
    <mergeCell ref="C205:L205"/>
    <mergeCell ref="C189:L189"/>
    <mergeCell ref="C190:L190"/>
    <mergeCell ref="C191:L191"/>
    <mergeCell ref="C192:L192"/>
    <mergeCell ref="C193:L193"/>
    <mergeCell ref="C201:L201"/>
    <mergeCell ref="C202:L202"/>
    <mergeCell ref="C184:L184"/>
    <mergeCell ref="C185:L185"/>
    <mergeCell ref="C186:L186"/>
    <mergeCell ref="C187:L187"/>
    <mergeCell ref="C188:L188"/>
    <mergeCell ref="C179:L179"/>
    <mergeCell ref="C180:L180"/>
    <mergeCell ref="C181:L181"/>
    <mergeCell ref="C182:L182"/>
    <mergeCell ref="C183:L183"/>
    <mergeCell ref="C173:L173"/>
    <mergeCell ref="C174:L174"/>
    <mergeCell ref="C176:L176"/>
    <mergeCell ref="C177:L177"/>
    <mergeCell ref="C178:L178"/>
    <mergeCell ref="C168:L168"/>
    <mergeCell ref="C169:L169"/>
    <mergeCell ref="C170:L170"/>
    <mergeCell ref="C171:L171"/>
    <mergeCell ref="C172:L172"/>
    <mergeCell ref="C164:L164"/>
    <mergeCell ref="C165:L165"/>
    <mergeCell ref="C166:L166"/>
    <mergeCell ref="C167:L167"/>
    <mergeCell ref="C159:L159"/>
    <mergeCell ref="C160:L160"/>
    <mergeCell ref="C161:L161"/>
    <mergeCell ref="C162:L162"/>
    <mergeCell ref="C163:L163"/>
    <mergeCell ref="C149:L149"/>
    <mergeCell ref="C150:L150"/>
    <mergeCell ref="C155:L155"/>
    <mergeCell ref="C156:L156"/>
    <mergeCell ref="C144:L144"/>
    <mergeCell ref="C145:L145"/>
    <mergeCell ref="C146:L146"/>
    <mergeCell ref="C147:L147"/>
    <mergeCell ref="C148:L148"/>
    <mergeCell ref="C139:L139"/>
    <mergeCell ref="C140:L140"/>
    <mergeCell ref="C141:L141"/>
    <mergeCell ref="C142:L142"/>
    <mergeCell ref="C143:L143"/>
    <mergeCell ref="C134:L134"/>
    <mergeCell ref="C135:L135"/>
    <mergeCell ref="C136:L136"/>
    <mergeCell ref="C137:L137"/>
    <mergeCell ref="C138:L138"/>
    <mergeCell ref="C126:L126"/>
    <mergeCell ref="C130:L130"/>
    <mergeCell ref="C131:L131"/>
    <mergeCell ref="C132:L132"/>
    <mergeCell ref="C133:L133"/>
    <mergeCell ref="C129:L129"/>
    <mergeCell ref="C128:L128"/>
    <mergeCell ref="C127:L127"/>
    <mergeCell ref="C124:L124"/>
    <mergeCell ref="C125:L125"/>
    <mergeCell ref="C105:L105"/>
    <mergeCell ref="C106:L106"/>
    <mergeCell ref="C107:L107"/>
    <mergeCell ref="C118:L118"/>
    <mergeCell ref="C119:L119"/>
    <mergeCell ref="C121:L121"/>
    <mergeCell ref="C122:L122"/>
    <mergeCell ref="C123:D123"/>
    <mergeCell ref="E123:L123"/>
    <mergeCell ref="C113:L113"/>
    <mergeCell ref="C114:L114"/>
    <mergeCell ref="C115:L115"/>
    <mergeCell ref="C116:L116"/>
    <mergeCell ref="C117:L117"/>
    <mergeCell ref="C89:L89"/>
    <mergeCell ref="C90:L90"/>
    <mergeCell ref="C91:L91"/>
    <mergeCell ref="C57:L57"/>
    <mergeCell ref="C58:L58"/>
    <mergeCell ref="C80:L80"/>
    <mergeCell ref="C81:L81"/>
    <mergeCell ref="C84:L84"/>
    <mergeCell ref="C85:L85"/>
    <mergeCell ref="C86:L86"/>
    <mergeCell ref="C88:L88"/>
    <mergeCell ref="C75:L75"/>
    <mergeCell ref="C61:L61"/>
    <mergeCell ref="C73:L73"/>
    <mergeCell ref="C66:L66"/>
    <mergeCell ref="C59:L59"/>
    <mergeCell ref="C74:L74"/>
    <mergeCell ref="C87:L87"/>
    <mergeCell ref="C7:L7"/>
    <mergeCell ref="C8:L8"/>
    <mergeCell ref="C40:L40"/>
    <mergeCell ref="C16:L16"/>
    <mergeCell ref="C17:L17"/>
    <mergeCell ref="C25:L25"/>
    <mergeCell ref="C26:L26"/>
    <mergeCell ref="C13:L13"/>
    <mergeCell ref="C18:L18"/>
    <mergeCell ref="C34:L34"/>
    <mergeCell ref="C35:L35"/>
    <mergeCell ref="C23:L23"/>
    <mergeCell ref="C24:L24"/>
    <mergeCell ref="C19:L19"/>
    <mergeCell ref="C20:L20"/>
    <mergeCell ref="C11:L11"/>
    <mergeCell ref="C12:L12"/>
    <mergeCell ref="C14:L14"/>
    <mergeCell ref="C15:L15"/>
    <mergeCell ref="C21:L21"/>
    <mergeCell ref="C22:L22"/>
    <mergeCell ref="C28:L28"/>
    <mergeCell ref="C29:L29"/>
    <mergeCell ref="C30:L30"/>
    <mergeCell ref="C54:L54"/>
    <mergeCell ref="C31:L31"/>
    <mergeCell ref="C33:L33"/>
    <mergeCell ref="C36:L36"/>
    <mergeCell ref="C32:L32"/>
    <mergeCell ref="C38:L38"/>
    <mergeCell ref="C37:L37"/>
    <mergeCell ref="C55:L55"/>
    <mergeCell ref="C41:L41"/>
    <mergeCell ref="C42:L42"/>
    <mergeCell ref="C44:L44"/>
    <mergeCell ref="C47:L47"/>
    <mergeCell ref="C48:L48"/>
    <mergeCell ref="C53:L53"/>
    <mergeCell ref="C50:L50"/>
    <mergeCell ref="C51:L51"/>
    <mergeCell ref="C52:L52"/>
    <mergeCell ref="C43:L43"/>
    <mergeCell ref="C45:L45"/>
    <mergeCell ref="C49:D49"/>
    <mergeCell ref="C39:L39"/>
    <mergeCell ref="E49:L49"/>
    <mergeCell ref="C454:L454"/>
    <mergeCell ref="C446:L446"/>
    <mergeCell ref="C443:L443"/>
    <mergeCell ref="C409:L409"/>
    <mergeCell ref="C410:L410"/>
    <mergeCell ref="C411:L411"/>
    <mergeCell ref="C412:L412"/>
    <mergeCell ref="C92:L92"/>
    <mergeCell ref="C93:L93"/>
    <mergeCell ref="C94:L94"/>
    <mergeCell ref="C95:L95"/>
    <mergeCell ref="C96:L96"/>
    <mergeCell ref="C97:L97"/>
    <mergeCell ref="C98:L98"/>
    <mergeCell ref="C99:L99"/>
    <mergeCell ref="C100:L100"/>
    <mergeCell ref="C102:L102"/>
    <mergeCell ref="C108:L108"/>
    <mergeCell ref="C109:L109"/>
    <mergeCell ref="C110:L110"/>
    <mergeCell ref="C111:L111"/>
    <mergeCell ref="C112:L112"/>
    <mergeCell ref="C103:L103"/>
    <mergeCell ref="C104:L104"/>
    <mergeCell ref="C56:L56"/>
    <mergeCell ref="C72:L72"/>
    <mergeCell ref="C60:L60"/>
    <mergeCell ref="C70:L70"/>
    <mergeCell ref="C71:L71"/>
    <mergeCell ref="C65:L65"/>
    <mergeCell ref="C67:L67"/>
    <mergeCell ref="C68:L68"/>
    <mergeCell ref="C69:L69"/>
    <mergeCell ref="C64:L64"/>
    <mergeCell ref="C62:L62"/>
    <mergeCell ref="C63:L63"/>
  </mergeCells>
  <dataValidations count="1">
    <dataValidation type="list" allowBlank="1" showInputMessage="1" showErrorMessage="1" sqref="B472:B488 B497:B512 B549:B565 B211:B226 B514:B531 B135:B150 B494 B328:B333 B424:B439 B84:B100 B81 B102:B119 B399:B415 B11:B26 B8 B159:B174 B277:B293 B232 B421 B176:B193 B371:B381 B319:B325 B156 B441:B454 B354:B369 B351 B299 B28:B45 B302:B317 B335:B345 B264:B275 B60:B75 B235:B249 B48:B58 B122:B133 B196:B209 B457:B470 B251:B261 B534:B547 B384:B397">
      <formula1>$O$1:$O$78</formula1>
    </dataValidation>
  </dataValidations>
  <hyperlinks>
    <hyperlink ref="N49" r:id="rId1"/>
    <hyperlink ref="N29" r:id="rId2"/>
    <hyperlink ref="N103" r:id="rId3"/>
    <hyperlink ref="N177" r:id="rId4"/>
    <hyperlink ref="N197" r:id="rId5"/>
    <hyperlink ref="N515" r:id="rId6"/>
    <hyperlink ref="N535" r:id="rId7"/>
  </hyperlinks>
  <pageMargins left="0.23622047244094491" right="0.23622047244094491" top="0.74803149606299213" bottom="0.94488188976377963" header="0.31496062992125984" footer="0.31496062992125984"/>
  <pageSetup paperSize="8" scale="84" fitToHeight="0" orientation="portrait"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52"/>
  <sheetViews>
    <sheetView zoomScaleNormal="100" workbookViewId="0"/>
  </sheetViews>
  <sheetFormatPr defaultRowHeight="15" x14ac:dyDescent="0.25"/>
  <cols>
    <col min="1" max="1" width="23.42578125" customWidth="1"/>
    <col min="2" max="2" width="11.140625" customWidth="1"/>
    <col min="3" max="3" width="10.7109375" customWidth="1"/>
    <col min="7" max="7" width="26.5703125" bestFit="1" customWidth="1"/>
    <col min="8" max="8" width="6.140625" style="201" customWidth="1"/>
    <col min="9" max="17" width="12.140625" customWidth="1"/>
    <col min="19" max="19" width="20" style="246" customWidth="1"/>
    <col min="20" max="20" width="9.7109375" customWidth="1"/>
    <col min="21" max="21" width="12.140625" style="246" customWidth="1"/>
    <col min="22" max="30" width="12.140625" customWidth="1"/>
  </cols>
  <sheetData>
    <row r="1" spans="1:30" ht="23.25" x14ac:dyDescent="0.35">
      <c r="A1" s="200" t="s">
        <v>187</v>
      </c>
      <c r="J1" s="439" t="s">
        <v>260</v>
      </c>
      <c r="K1" s="439" t="s">
        <v>260</v>
      </c>
      <c r="L1" s="439" t="s">
        <v>260</v>
      </c>
      <c r="M1" s="439" t="s">
        <v>260</v>
      </c>
      <c r="N1" s="439" t="s">
        <v>260</v>
      </c>
      <c r="O1" s="439" t="s">
        <v>260</v>
      </c>
      <c r="P1" s="439" t="s">
        <v>260</v>
      </c>
      <c r="Q1" s="439" t="s">
        <v>260</v>
      </c>
      <c r="R1" s="440"/>
      <c r="S1" s="440"/>
      <c r="T1" s="440"/>
      <c r="U1" s="440"/>
      <c r="V1" s="440"/>
      <c r="W1" s="439" t="s">
        <v>260</v>
      </c>
      <c r="X1" s="439" t="s">
        <v>260</v>
      </c>
      <c r="Y1" s="439" t="s">
        <v>260</v>
      </c>
      <c r="Z1" s="439" t="s">
        <v>260</v>
      </c>
      <c r="AA1" s="439" t="s">
        <v>260</v>
      </c>
      <c r="AB1" s="439" t="s">
        <v>260</v>
      </c>
      <c r="AC1" s="439" t="s">
        <v>260</v>
      </c>
      <c r="AD1" s="439" t="s">
        <v>260</v>
      </c>
    </row>
    <row r="2" spans="1:30" ht="15.75" x14ac:dyDescent="0.25">
      <c r="G2" s="633" t="s">
        <v>203</v>
      </c>
      <c r="H2" s="633"/>
      <c r="I2" s="633"/>
      <c r="J2" s="633"/>
      <c r="K2" s="633"/>
      <c r="L2" s="633"/>
      <c r="M2" s="633"/>
      <c r="N2" s="633"/>
      <c r="O2" s="633"/>
      <c r="P2" s="633"/>
      <c r="Q2" s="633"/>
      <c r="R2" s="633"/>
      <c r="S2" s="633"/>
      <c r="T2" s="633"/>
      <c r="U2" s="633"/>
      <c r="V2" s="633"/>
      <c r="W2" s="633"/>
      <c r="X2" s="633"/>
      <c r="Y2" s="633"/>
      <c r="Z2" s="633"/>
      <c r="AA2" s="633"/>
      <c r="AB2" s="633"/>
      <c r="AC2" s="633"/>
      <c r="AD2" s="633"/>
    </row>
    <row r="3" spans="1:30" ht="15.75" x14ac:dyDescent="0.25">
      <c r="A3" s="628" t="s">
        <v>188</v>
      </c>
      <c r="B3" s="629"/>
      <c r="C3" s="629"/>
      <c r="D3" s="630"/>
      <c r="G3" s="634" t="s">
        <v>297</v>
      </c>
      <c r="H3" s="635"/>
      <c r="I3" s="635"/>
      <c r="J3" s="635"/>
      <c r="K3" s="635"/>
      <c r="L3" s="635"/>
      <c r="M3" s="635"/>
      <c r="N3" s="635"/>
      <c r="O3" s="635"/>
      <c r="P3" s="635"/>
      <c r="Q3" s="636"/>
      <c r="S3" s="637" t="s">
        <v>124</v>
      </c>
      <c r="T3" s="637"/>
      <c r="U3" s="637"/>
      <c r="V3" s="637"/>
      <c r="W3" s="637"/>
      <c r="X3" s="637"/>
      <c r="Y3" s="637"/>
      <c r="Z3" s="637"/>
      <c r="AA3" s="637"/>
      <c r="AB3" s="637"/>
      <c r="AC3" s="637"/>
      <c r="AD3" s="637"/>
    </row>
    <row r="4" spans="1:30" x14ac:dyDescent="0.25">
      <c r="G4" s="246"/>
      <c r="I4" s="246"/>
      <c r="J4" s="246"/>
      <c r="K4" s="246"/>
      <c r="L4" s="246"/>
      <c r="M4" s="246"/>
      <c r="N4" s="246"/>
      <c r="O4" s="246"/>
      <c r="P4" s="246"/>
      <c r="Q4" s="246"/>
      <c r="T4" s="253"/>
      <c r="U4" s="253"/>
    </row>
    <row r="5" spans="1:30" ht="24.75" x14ac:dyDescent="0.25">
      <c r="A5" s="178" t="s">
        <v>113</v>
      </c>
      <c r="B5" s="196" t="s">
        <v>120</v>
      </c>
      <c r="C5" s="196" t="s">
        <v>123</v>
      </c>
      <c r="G5" s="133" t="s">
        <v>185</v>
      </c>
      <c r="H5" s="225" t="s">
        <v>201</v>
      </c>
      <c r="I5" s="199" t="s">
        <v>141</v>
      </c>
      <c r="J5" s="259" t="s">
        <v>584</v>
      </c>
      <c r="K5" s="260" t="s">
        <v>598</v>
      </c>
      <c r="L5" s="259" t="s">
        <v>599</v>
      </c>
      <c r="M5" s="261" t="s">
        <v>709</v>
      </c>
      <c r="N5" s="262" t="s">
        <v>710</v>
      </c>
      <c r="O5" s="262" t="s">
        <v>601</v>
      </c>
      <c r="P5" s="262" t="s">
        <v>602</v>
      </c>
      <c r="Q5" s="259" t="s">
        <v>603</v>
      </c>
      <c r="S5" s="133" t="s">
        <v>185</v>
      </c>
      <c r="T5" s="225" t="s">
        <v>201</v>
      </c>
      <c r="U5" s="225" t="s">
        <v>267</v>
      </c>
      <c r="V5" s="199" t="s">
        <v>141</v>
      </c>
      <c r="W5" s="259" t="s">
        <v>584</v>
      </c>
      <c r="X5" s="260" t="s">
        <v>598</v>
      </c>
      <c r="Y5" s="259" t="s">
        <v>599</v>
      </c>
      <c r="Z5" s="261" t="s">
        <v>709</v>
      </c>
      <c r="AA5" s="262" t="s">
        <v>710</v>
      </c>
      <c r="AB5" s="262" t="s">
        <v>601</v>
      </c>
      <c r="AC5" s="262" t="s">
        <v>602</v>
      </c>
      <c r="AD5" s="259" t="s">
        <v>603</v>
      </c>
    </row>
    <row r="6" spans="1:30" x14ac:dyDescent="0.25">
      <c r="G6" s="193" t="s">
        <v>125</v>
      </c>
      <c r="H6" s="226" t="s">
        <v>202</v>
      </c>
      <c r="I6" s="197">
        <v>0</v>
      </c>
      <c r="J6" s="282">
        <f>I6</f>
        <v>0</v>
      </c>
      <c r="K6" s="280">
        <f>J6</f>
        <v>0</v>
      </c>
      <c r="L6" s="280">
        <f>J6</f>
        <v>0</v>
      </c>
      <c r="M6" s="280"/>
      <c r="N6" s="280">
        <f>I6</f>
        <v>0</v>
      </c>
      <c r="O6" s="280"/>
      <c r="P6" s="280"/>
      <c r="Q6" s="280">
        <f>J6</f>
        <v>0</v>
      </c>
      <c r="S6" s="299" t="s">
        <v>265</v>
      </c>
      <c r="T6" s="226" t="s">
        <v>269</v>
      </c>
      <c r="U6" s="309">
        <f>75011.24-U7</f>
        <v>34981.240000000005</v>
      </c>
      <c r="V6" s="197">
        <v>21133.54</v>
      </c>
      <c r="W6" s="282">
        <f>V6-2698-196-2078-81-1042-8918</f>
        <v>6120.5400000000009</v>
      </c>
      <c r="X6" s="273">
        <f>$W6/'ALL-Garbutt Site Details'!$L6*'ALL-Garbutt Site Details'!$Q6</f>
        <v>6120.5400000000009</v>
      </c>
      <c r="Y6" s="311">
        <f>$W6</f>
        <v>6120.5400000000009</v>
      </c>
      <c r="Z6" s="273">
        <f>$W6/'ALL-Garbutt Site Details'!L6*'ALL-Garbutt Site Details'!V6</f>
        <v>4098.9414031592432</v>
      </c>
      <c r="AA6" s="222">
        <f>V6</f>
        <v>21133.54</v>
      </c>
      <c r="AB6" s="280">
        <f>$AA6</f>
        <v>21133.54</v>
      </c>
      <c r="AC6" s="280">
        <f>$AA6-2698-196-2078</f>
        <v>16161.54</v>
      </c>
      <c r="AD6" s="311">
        <f>W6</f>
        <v>6120.5400000000009</v>
      </c>
    </row>
    <row r="7" spans="1:30" x14ac:dyDescent="0.25">
      <c r="A7" s="183" t="s">
        <v>110</v>
      </c>
      <c r="B7" s="297" t="s">
        <v>111</v>
      </c>
      <c r="G7" s="193" t="s">
        <v>128</v>
      </c>
      <c r="H7" s="226" t="s">
        <v>202</v>
      </c>
      <c r="I7" s="197">
        <v>1832.19</v>
      </c>
      <c r="J7" s="275">
        <f>$I7</f>
        <v>1832.19</v>
      </c>
      <c r="K7" s="195">
        <f t="shared" ref="K7:K13" si="0">J7</f>
        <v>1832.19</v>
      </c>
      <c r="L7" s="195">
        <f>J7</f>
        <v>1832.19</v>
      </c>
      <c r="M7" s="309">
        <v>0</v>
      </c>
      <c r="N7" s="195">
        <f t="shared" ref="N7:N13" si="1">I7</f>
        <v>1832.19</v>
      </c>
      <c r="O7" s="195">
        <f t="shared" ref="O7:P13" si="2">$N7</f>
        <v>1832.19</v>
      </c>
      <c r="P7" s="195">
        <f t="shared" si="2"/>
        <v>1832.19</v>
      </c>
      <c r="Q7" s="195">
        <f t="shared" ref="Q7:Q13" si="3">J7</f>
        <v>1832.19</v>
      </c>
      <c r="S7" s="299" t="s">
        <v>266</v>
      </c>
      <c r="T7" s="226" t="s">
        <v>268</v>
      </c>
      <c r="U7" s="309">
        <v>40030</v>
      </c>
      <c r="V7" s="197">
        <v>0</v>
      </c>
      <c r="W7" s="275">
        <v>0</v>
      </c>
      <c r="X7" s="309">
        <v>0</v>
      </c>
      <c r="Y7" s="309">
        <v>0</v>
      </c>
      <c r="Z7" s="309">
        <v>0</v>
      </c>
      <c r="AA7" s="300">
        <f>(U7+V7)/2</f>
        <v>20015</v>
      </c>
      <c r="AB7" s="309">
        <f>AA7</f>
        <v>20015</v>
      </c>
      <c r="AC7" s="298">
        <f>$AA7*0.5</f>
        <v>10007.5</v>
      </c>
      <c r="AD7" s="300">
        <v>0</v>
      </c>
    </row>
    <row r="8" spans="1:30" x14ac:dyDescent="0.25">
      <c r="A8" t="s">
        <v>115</v>
      </c>
      <c r="B8" s="184">
        <v>21133.54</v>
      </c>
      <c r="G8" s="193" t="s">
        <v>130</v>
      </c>
      <c r="H8" s="226" t="s">
        <v>202</v>
      </c>
      <c r="I8" s="197">
        <v>40233.120000000003</v>
      </c>
      <c r="J8" s="275">
        <f>(25246*2)+(1300*4)</f>
        <v>55692</v>
      </c>
      <c r="K8" s="195">
        <f t="shared" si="0"/>
        <v>55692</v>
      </c>
      <c r="L8" s="195">
        <f>J8</f>
        <v>55692</v>
      </c>
      <c r="M8" s="195">
        <v>0</v>
      </c>
      <c r="N8" s="195">
        <f t="shared" si="1"/>
        <v>40233.120000000003</v>
      </c>
      <c r="O8" s="195">
        <f t="shared" si="2"/>
        <v>40233.120000000003</v>
      </c>
      <c r="P8" s="195">
        <f t="shared" si="2"/>
        <v>40233.120000000003</v>
      </c>
      <c r="Q8" s="195">
        <f t="shared" si="3"/>
        <v>55692</v>
      </c>
      <c r="S8" s="299" t="s">
        <v>116</v>
      </c>
      <c r="T8" s="226" t="s">
        <v>268</v>
      </c>
      <c r="U8" s="309">
        <v>1084.49</v>
      </c>
      <c r="V8" s="197">
        <v>944.75</v>
      </c>
      <c r="W8" s="275">
        <v>0</v>
      </c>
      <c r="X8" s="309">
        <v>0</v>
      </c>
      <c r="Y8" s="309">
        <v>0</v>
      </c>
      <c r="Z8" s="309">
        <v>0</v>
      </c>
      <c r="AA8" s="222">
        <f>SUM($U8:$V8)/2</f>
        <v>1014.62</v>
      </c>
      <c r="AB8" s="309">
        <f>$AA8</f>
        <v>1014.62</v>
      </c>
      <c r="AC8" s="442"/>
      <c r="AD8" s="300">
        <v>0</v>
      </c>
    </row>
    <row r="9" spans="1:30" x14ac:dyDescent="0.25">
      <c r="A9" t="s">
        <v>116</v>
      </c>
      <c r="B9" s="185">
        <v>944.75</v>
      </c>
      <c r="G9" s="193" t="s">
        <v>142</v>
      </c>
      <c r="H9" s="226" t="s">
        <v>202</v>
      </c>
      <c r="I9" s="197">
        <v>0</v>
      </c>
      <c r="J9" s="275">
        <f>$I9</f>
        <v>0</v>
      </c>
      <c r="K9" s="195">
        <f t="shared" si="0"/>
        <v>0</v>
      </c>
      <c r="L9" s="195">
        <f t="shared" ref="L9:L13" si="4">J9</f>
        <v>0</v>
      </c>
      <c r="M9" s="195">
        <v>0</v>
      </c>
      <c r="N9" s="195">
        <f t="shared" si="1"/>
        <v>0</v>
      </c>
      <c r="O9" s="195">
        <f t="shared" si="2"/>
        <v>0</v>
      </c>
      <c r="P9" s="195">
        <f t="shared" si="2"/>
        <v>0</v>
      </c>
      <c r="Q9" s="195">
        <f t="shared" si="3"/>
        <v>0</v>
      </c>
      <c r="S9" s="301" t="s">
        <v>117</v>
      </c>
      <c r="T9" s="302" t="s">
        <v>181</v>
      </c>
      <c r="U9" s="277">
        <v>5613.38</v>
      </c>
      <c r="V9" s="197">
        <v>16708.079999999998</v>
      </c>
      <c r="W9" s="306">
        <f>($V9/'ALL-Garbutt Site Details'!$G6)*'ALL-Garbutt Site Details'!$L6</f>
        <v>37060.504469696963</v>
      </c>
      <c r="X9" s="278">
        <f>($V9/'ALL-Garbutt Site Details'!$G6)*'ALL-Garbutt Site Details'!$Q6</f>
        <v>37060.504469696963</v>
      </c>
      <c r="Y9" s="277">
        <f>$W9</f>
        <v>37060.504469696963</v>
      </c>
      <c r="Z9" s="278">
        <f>($W9/'ALL-Garbutt Site Details'!$G6)*'ALL-Garbutt Site Details'!$V6</f>
        <v>55052.630692674844</v>
      </c>
      <c r="AA9" s="277">
        <f>$V9</f>
        <v>16708.079999999998</v>
      </c>
      <c r="AB9" s="277">
        <f>$AA9</f>
        <v>16708.079999999998</v>
      </c>
      <c r="AC9" s="277">
        <f>$AA9</f>
        <v>16708.079999999998</v>
      </c>
      <c r="AD9" s="277">
        <f>$W9</f>
        <v>37060.504469696963</v>
      </c>
    </row>
    <row r="10" spans="1:30" x14ac:dyDescent="0.25">
      <c r="A10" t="s">
        <v>117</v>
      </c>
      <c r="B10" s="186">
        <v>16708.080000000002</v>
      </c>
      <c r="C10" s="187">
        <f>SUM(B8:B10)</f>
        <v>38786.370000000003</v>
      </c>
      <c r="D10" s="179" t="s">
        <v>124</v>
      </c>
      <c r="G10" s="193" t="s">
        <v>139</v>
      </c>
      <c r="H10" s="226" t="s">
        <v>202</v>
      </c>
      <c r="I10" s="197">
        <v>77036.320000000007</v>
      </c>
      <c r="J10" s="275">
        <v>38518</v>
      </c>
      <c r="K10" s="195">
        <f t="shared" si="0"/>
        <v>38518</v>
      </c>
      <c r="L10" s="195">
        <f>J10</f>
        <v>38518</v>
      </c>
      <c r="M10" s="195">
        <v>0</v>
      </c>
      <c r="N10" s="195">
        <f t="shared" si="1"/>
        <v>77036.320000000007</v>
      </c>
      <c r="O10" s="195">
        <f t="shared" si="2"/>
        <v>77036.320000000007</v>
      </c>
      <c r="P10" s="195">
        <f t="shared" si="2"/>
        <v>77036.320000000007</v>
      </c>
      <c r="Q10" s="195">
        <f t="shared" si="3"/>
        <v>38518</v>
      </c>
      <c r="T10" s="253"/>
      <c r="U10" s="303">
        <f>SUM(U6:U9)</f>
        <v>81709.110000000015</v>
      </c>
      <c r="V10" s="304">
        <f>SUM(V6:V9)</f>
        <v>38786.369999999995</v>
      </c>
      <c r="W10" s="281">
        <f t="shared" ref="W10:AC10" si="5">SUM(W6:W9)</f>
        <v>43181.044469696964</v>
      </c>
      <c r="X10" s="281">
        <f t="shared" si="5"/>
        <v>43181.044469696964</v>
      </c>
      <c r="Y10" s="281">
        <f t="shared" si="5"/>
        <v>43181.044469696964</v>
      </c>
      <c r="Z10" s="281">
        <f t="shared" si="5"/>
        <v>59151.57209583409</v>
      </c>
      <c r="AA10" s="281">
        <f t="shared" si="5"/>
        <v>58871.240000000005</v>
      </c>
      <c r="AB10" s="281">
        <f t="shared" si="5"/>
        <v>58871.240000000005</v>
      </c>
      <c r="AC10" s="281">
        <f t="shared" si="5"/>
        <v>42877.119999999995</v>
      </c>
      <c r="AD10" s="281">
        <f>SUM(AD6:AD9)</f>
        <v>43181.044469696964</v>
      </c>
    </row>
    <row r="11" spans="1:30" x14ac:dyDescent="0.25">
      <c r="A11" t="s">
        <v>118</v>
      </c>
      <c r="B11" s="177">
        <v>119535.63</v>
      </c>
      <c r="C11" s="187">
        <f>B11</f>
        <v>119535.63</v>
      </c>
      <c r="D11" s="179" t="s">
        <v>118</v>
      </c>
      <c r="G11" s="193" t="s">
        <v>132</v>
      </c>
      <c r="H11" s="226" t="s">
        <v>181</v>
      </c>
      <c r="I11" s="197">
        <v>0</v>
      </c>
      <c r="J11" s="275">
        <f>$I11</f>
        <v>0</v>
      </c>
      <c r="K11" s="195">
        <f t="shared" si="0"/>
        <v>0</v>
      </c>
      <c r="L11" s="195">
        <f t="shared" si="4"/>
        <v>0</v>
      </c>
      <c r="M11" s="195">
        <v>0</v>
      </c>
      <c r="N11" s="195">
        <f t="shared" si="1"/>
        <v>0</v>
      </c>
      <c r="O11" s="195">
        <f t="shared" si="2"/>
        <v>0</v>
      </c>
      <c r="P11" s="195">
        <f t="shared" si="2"/>
        <v>0</v>
      </c>
      <c r="Q11" s="195">
        <f t="shared" si="3"/>
        <v>0</v>
      </c>
    </row>
    <row r="12" spans="1:30" x14ac:dyDescent="0.25">
      <c r="A12" s="180" t="s">
        <v>112</v>
      </c>
      <c r="B12" s="181">
        <v>158322</v>
      </c>
      <c r="G12" s="193" t="s">
        <v>134</v>
      </c>
      <c r="H12" s="226" t="s">
        <v>189</v>
      </c>
      <c r="I12" s="197">
        <v>434</v>
      </c>
      <c r="J12" s="275">
        <f>($I12/'ALL-Garbutt Site Details'!G12)*('ALL-Garbutt Site Details'!L12+('ALL-Garbutt Site Details'!M12*0.3))</f>
        <v>52.441666666666663</v>
      </c>
      <c r="K12" s="195">
        <f t="shared" si="0"/>
        <v>52.441666666666663</v>
      </c>
      <c r="L12" s="195">
        <f>J12</f>
        <v>52.441666666666663</v>
      </c>
      <c r="M12" s="195">
        <v>0</v>
      </c>
      <c r="N12" s="195">
        <f t="shared" si="1"/>
        <v>434</v>
      </c>
      <c r="O12" s="195">
        <f t="shared" si="2"/>
        <v>434</v>
      </c>
      <c r="P12" s="195">
        <f t="shared" si="2"/>
        <v>434</v>
      </c>
      <c r="Q12" s="195">
        <f t="shared" si="3"/>
        <v>52.441666666666663</v>
      </c>
      <c r="U12" s="310" t="s">
        <v>270</v>
      </c>
    </row>
    <row r="13" spans="1:30" ht="15.75" thickBot="1" x14ac:dyDescent="0.3">
      <c r="A13" s="188"/>
      <c r="B13" s="189"/>
      <c r="G13" s="194" t="s">
        <v>137</v>
      </c>
      <c r="H13" s="227" t="s">
        <v>202</v>
      </c>
      <c r="I13" s="198">
        <v>0</v>
      </c>
      <c r="J13" s="276">
        <f t="shared" ref="J13" si="6">I13</f>
        <v>0</v>
      </c>
      <c r="K13" s="277">
        <f t="shared" si="0"/>
        <v>0</v>
      </c>
      <c r="L13" s="277">
        <f t="shared" si="4"/>
        <v>0</v>
      </c>
      <c r="M13" s="277">
        <v>0</v>
      </c>
      <c r="N13" s="277">
        <f t="shared" si="1"/>
        <v>0</v>
      </c>
      <c r="O13" s="277">
        <f t="shared" si="2"/>
        <v>0</v>
      </c>
      <c r="P13" s="277">
        <f t="shared" si="2"/>
        <v>0</v>
      </c>
      <c r="Q13" s="277">
        <f t="shared" si="3"/>
        <v>0</v>
      </c>
    </row>
    <row r="14" spans="1:30" ht="15" customHeight="1" x14ac:dyDescent="0.25">
      <c r="A14" s="188"/>
      <c r="B14" s="189"/>
      <c r="G14" s="631" t="s">
        <v>250</v>
      </c>
      <c r="H14" s="631"/>
      <c r="I14" s="224">
        <f>SUM(I6:I13)</f>
        <v>119535.63</v>
      </c>
      <c r="J14" s="281">
        <f>SUM(J6:J13)</f>
        <v>96094.631666666668</v>
      </c>
      <c r="K14" s="281">
        <f t="shared" ref="K14:Q14" si="7">SUM(K6:K13)</f>
        <v>96094.631666666668</v>
      </c>
      <c r="L14" s="281">
        <f t="shared" si="7"/>
        <v>96094.631666666668</v>
      </c>
      <c r="M14" s="281">
        <f t="shared" si="7"/>
        <v>0</v>
      </c>
      <c r="N14" s="281">
        <f t="shared" si="7"/>
        <v>119535.63</v>
      </c>
      <c r="O14" s="281">
        <f t="shared" si="7"/>
        <v>119535.63</v>
      </c>
      <c r="P14" s="281">
        <f t="shared" si="7"/>
        <v>119535.63</v>
      </c>
      <c r="Q14" s="281">
        <f t="shared" si="7"/>
        <v>96094.631666666668</v>
      </c>
    </row>
    <row r="15" spans="1:30" x14ac:dyDescent="0.25">
      <c r="A15" s="178" t="s">
        <v>113</v>
      </c>
      <c r="B15" s="196" t="s">
        <v>114</v>
      </c>
      <c r="C15" s="196" t="s">
        <v>122</v>
      </c>
      <c r="G15" s="632"/>
      <c r="H15" s="632"/>
    </row>
    <row r="16" spans="1:30" ht="24.75" x14ac:dyDescent="0.25">
      <c r="G16" s="133" t="s">
        <v>184</v>
      </c>
      <c r="H16" s="225" t="s">
        <v>201</v>
      </c>
      <c r="I16" s="199" t="s">
        <v>141</v>
      </c>
      <c r="J16" s="259" t="s">
        <v>584</v>
      </c>
      <c r="K16" s="260" t="s">
        <v>598</v>
      </c>
      <c r="L16" s="259" t="s">
        <v>599</v>
      </c>
      <c r="M16" s="261" t="s">
        <v>709</v>
      </c>
      <c r="N16" s="262" t="s">
        <v>710</v>
      </c>
      <c r="O16" s="262" t="s">
        <v>601</v>
      </c>
      <c r="P16" s="262" t="s">
        <v>602</v>
      </c>
      <c r="Q16" s="259" t="s">
        <v>603</v>
      </c>
      <c r="S16" s="133" t="s">
        <v>184</v>
      </c>
      <c r="T16" s="225" t="s">
        <v>201</v>
      </c>
      <c r="U16" s="225" t="s">
        <v>267</v>
      </c>
      <c r="V16" s="199" t="s">
        <v>141</v>
      </c>
      <c r="W16" s="259" t="s">
        <v>584</v>
      </c>
      <c r="X16" s="260" t="s">
        <v>598</v>
      </c>
      <c r="Y16" s="259" t="s">
        <v>599</v>
      </c>
      <c r="Z16" s="261" t="s">
        <v>709</v>
      </c>
      <c r="AA16" s="262" t="s">
        <v>710</v>
      </c>
      <c r="AB16" s="262" t="s">
        <v>601</v>
      </c>
      <c r="AC16" s="262" t="s">
        <v>602</v>
      </c>
      <c r="AD16" s="259" t="s">
        <v>603</v>
      </c>
    </row>
    <row r="17" spans="1:30" x14ac:dyDescent="0.25">
      <c r="A17" s="183" t="s">
        <v>110</v>
      </c>
      <c r="B17" s="297" t="s">
        <v>111</v>
      </c>
      <c r="G17" s="193" t="s">
        <v>125</v>
      </c>
      <c r="H17" s="226" t="s">
        <v>202</v>
      </c>
      <c r="I17" s="197">
        <v>0</v>
      </c>
      <c r="J17" s="272">
        <f>I17</f>
        <v>0</v>
      </c>
      <c r="K17" s="184">
        <f t="shared" ref="K17:L17" si="8">J17</f>
        <v>0</v>
      </c>
      <c r="L17" s="184">
        <f t="shared" si="8"/>
        <v>0</v>
      </c>
      <c r="M17" s="273">
        <f>J17+J35+J6</f>
        <v>2049.69</v>
      </c>
      <c r="N17" s="184">
        <f>I17</f>
        <v>0</v>
      </c>
      <c r="O17" s="184">
        <f>$N17</f>
        <v>0</v>
      </c>
      <c r="P17" s="184">
        <f>$N17</f>
        <v>0</v>
      </c>
      <c r="Q17" s="184">
        <f>J17</f>
        <v>0</v>
      </c>
      <c r="S17" s="299" t="s">
        <v>265</v>
      </c>
      <c r="T17" s="226" t="s">
        <v>269</v>
      </c>
      <c r="U17" s="308">
        <v>150482.17000000001</v>
      </c>
      <c r="V17" s="197">
        <v>143812.13999999998</v>
      </c>
      <c r="W17" s="282">
        <v>28146</v>
      </c>
      <c r="X17" s="312">
        <f>W17/'ALL-Garbutt Site Details'!L5*'ALL-Garbutt Site Details'!Q5</f>
        <v>57814.196567862717</v>
      </c>
      <c r="Y17" s="280">
        <f>W17</f>
        <v>28146</v>
      </c>
      <c r="Z17" s="273">
        <f>W17/'ALL-Garbutt Site Details'!L5*'ALL-Garbutt Site Details'!V5</f>
        <v>29148.600624024963</v>
      </c>
      <c r="AA17" s="222">
        <f>V17</f>
        <v>143812.13999999998</v>
      </c>
      <c r="AB17" s="280">
        <f>$AA17</f>
        <v>143812.13999999998</v>
      </c>
      <c r="AC17" s="280">
        <v>84949</v>
      </c>
      <c r="AD17" s="311">
        <f>$W17</f>
        <v>28146</v>
      </c>
    </row>
    <row r="18" spans="1:30" x14ac:dyDescent="0.25">
      <c r="A18" t="s">
        <v>115</v>
      </c>
      <c r="B18" s="177">
        <v>143812.13999999998</v>
      </c>
      <c r="G18" s="193" t="s">
        <v>126</v>
      </c>
      <c r="H18" s="226" t="s">
        <v>189</v>
      </c>
      <c r="I18" s="197">
        <v>26721.64</v>
      </c>
      <c r="J18" s="274">
        <f>(($I18/'ALL-Garbutt Site Details'!$G11)*'ALL-Garbutt Site Details'!L11)*0.8</f>
        <v>15280.819318518521</v>
      </c>
      <c r="K18" s="223">
        <f>(($I18/'ALL-Garbutt Site Details'!$G11)*'ALL-Garbutt Site Details'!Q11)*0.9</f>
        <v>17190.921733333336</v>
      </c>
      <c r="L18" s="222">
        <f>J18</f>
        <v>15280.819318518521</v>
      </c>
      <c r="M18" s="222">
        <f>J18+J36</f>
        <v>34620.727769560843</v>
      </c>
      <c r="N18" s="223">
        <f>($I18/'ALL-Garbutt Site Details'!$G$11)*'ALL-Garbutt Site Details'!$L$11</f>
        <v>19101.02414814815</v>
      </c>
      <c r="O18" s="222">
        <f t="shared" ref="O18:O31" si="9">$N18</f>
        <v>19101.02414814815</v>
      </c>
      <c r="P18" s="223">
        <f>N18*0.8</f>
        <v>15280.819318518521</v>
      </c>
      <c r="Q18" s="222">
        <f>J18</f>
        <v>15280.819318518521</v>
      </c>
      <c r="S18" s="299" t="s">
        <v>266</v>
      </c>
      <c r="T18" s="226" t="s">
        <v>268</v>
      </c>
      <c r="U18" s="308">
        <v>0</v>
      </c>
      <c r="V18" s="197">
        <v>0</v>
      </c>
      <c r="W18" s="275">
        <v>0</v>
      </c>
      <c r="X18" s="309">
        <v>0</v>
      </c>
      <c r="Y18" s="309">
        <v>0</v>
      </c>
      <c r="Z18" s="309">
        <v>0</v>
      </c>
      <c r="AA18" s="300">
        <v>20000</v>
      </c>
      <c r="AB18" s="309">
        <f>$AA18</f>
        <v>20000</v>
      </c>
      <c r="AC18" s="298">
        <f>$AA18*0.25</f>
        <v>5000</v>
      </c>
      <c r="AD18" s="300">
        <v>0</v>
      </c>
    </row>
    <row r="19" spans="1:30" x14ac:dyDescent="0.25">
      <c r="A19" t="s">
        <v>116</v>
      </c>
      <c r="B19" s="177">
        <v>5954.56</v>
      </c>
      <c r="G19" s="193" t="s">
        <v>127</v>
      </c>
      <c r="H19" s="226" t="s">
        <v>181</v>
      </c>
      <c r="I19" s="197">
        <v>36264.1</v>
      </c>
      <c r="J19" s="274">
        <f>(($I19/'ALL-Garbutt Site Details'!$G$5)*'ALL-Garbutt Site Details'!L$5)*0.9</f>
        <v>32637.69</v>
      </c>
      <c r="K19" s="223">
        <f>(($I19/'ALL-Garbutt Site Details'!$G$5)*'ALL-Garbutt Site Details'!Q$5)*0.9</f>
        <v>67040.496879875194</v>
      </c>
      <c r="L19" s="222">
        <f t="shared" ref="L19:L25" si="10">J19</f>
        <v>32637.69</v>
      </c>
      <c r="M19" s="222">
        <f>((J19+J37)/SUM('ALL-Garbutt Site Details'!L5:L7))*SUM('ALL-Garbutt Site Details'!V5:V7)</f>
        <v>87253.836090530182</v>
      </c>
      <c r="N19" s="222">
        <f t="shared" ref="N19:N31" si="11">I19</f>
        <v>36264.1</v>
      </c>
      <c r="O19" s="222">
        <f t="shared" si="9"/>
        <v>36264.1</v>
      </c>
      <c r="P19" s="223">
        <f>$N19*0.9</f>
        <v>32637.69</v>
      </c>
      <c r="Q19" s="222">
        <f t="shared" ref="Q19:Q31" si="12">J19</f>
        <v>32637.69</v>
      </c>
      <c r="S19" s="299" t="s">
        <v>116</v>
      </c>
      <c r="T19" s="226" t="s">
        <v>268</v>
      </c>
      <c r="U19" s="308">
        <v>36638.380000000005</v>
      </c>
      <c r="V19" s="197">
        <v>5954.56</v>
      </c>
      <c r="W19" s="275">
        <v>0</v>
      </c>
      <c r="X19" s="309">
        <v>0</v>
      </c>
      <c r="Y19" s="309">
        <v>0</v>
      </c>
      <c r="Z19" s="309">
        <v>0</v>
      </c>
      <c r="AA19" s="222">
        <f>SUM($U19:$V19)/2</f>
        <v>21296.47</v>
      </c>
      <c r="AB19" s="222">
        <f>$AA19</f>
        <v>21296.47</v>
      </c>
      <c r="AC19" s="442">
        <v>0</v>
      </c>
      <c r="AD19" s="300">
        <v>0</v>
      </c>
    </row>
    <row r="20" spans="1:30" x14ac:dyDescent="0.25">
      <c r="A20" t="s">
        <v>117</v>
      </c>
      <c r="B20" s="186">
        <v>67960.540000000008</v>
      </c>
      <c r="C20" s="187">
        <f>SUM(B18:B20)</f>
        <v>217727.24</v>
      </c>
      <c r="D20" s="179" t="s">
        <v>124</v>
      </c>
      <c r="G20" s="193" t="s">
        <v>128</v>
      </c>
      <c r="H20" s="226" t="s">
        <v>202</v>
      </c>
      <c r="I20" s="197">
        <v>1832.29</v>
      </c>
      <c r="J20" s="274">
        <f>$I20*1</f>
        <v>1832.29</v>
      </c>
      <c r="K20" s="222">
        <f>J20</f>
        <v>1832.29</v>
      </c>
      <c r="L20" s="222">
        <f t="shared" si="10"/>
        <v>1832.29</v>
      </c>
      <c r="M20" s="222">
        <f>J20+J38+J7</f>
        <v>5548</v>
      </c>
      <c r="N20" s="222">
        <f t="shared" si="11"/>
        <v>1832.29</v>
      </c>
      <c r="O20" s="222">
        <f t="shared" si="9"/>
        <v>1832.29</v>
      </c>
      <c r="P20" s="222">
        <f>$N20</f>
        <v>1832.29</v>
      </c>
      <c r="Q20" s="222">
        <f t="shared" si="12"/>
        <v>1832.29</v>
      </c>
      <c r="S20" s="301" t="s">
        <v>117</v>
      </c>
      <c r="T20" s="302" t="s">
        <v>181</v>
      </c>
      <c r="U20" s="277">
        <v>100154.27000000003</v>
      </c>
      <c r="V20" s="197">
        <v>67960.540000000095</v>
      </c>
      <c r="W20" s="306">
        <f>$V20/'ALL-Garbutt Site Details'!$G5*'ALL-Garbutt Site Details'!$L5</f>
        <v>67960.540000000095</v>
      </c>
      <c r="X20" s="278">
        <f>$V20/'ALL-Garbutt Site Details'!$G5*'ALL-Garbutt Site Details'!$Q5</f>
        <v>139596.53302132105</v>
      </c>
      <c r="Y20" s="277">
        <f>$W20</f>
        <v>67960.540000000095</v>
      </c>
      <c r="Z20" s="278">
        <f>$W20/'ALL-Garbutt Site Details'!$G5*'ALL-Garbutt Site Details'!$V5</f>
        <v>70381.391268850843</v>
      </c>
      <c r="AA20" s="277">
        <f>$V20</f>
        <v>67960.540000000095</v>
      </c>
      <c r="AB20" s="277">
        <f>$AA20</f>
        <v>67960.540000000095</v>
      </c>
      <c r="AC20" s="277">
        <f>$AA20</f>
        <v>67960.540000000095</v>
      </c>
      <c r="AD20" s="277">
        <f>$W20</f>
        <v>67960.540000000095</v>
      </c>
    </row>
    <row r="21" spans="1:30" x14ac:dyDescent="0.25">
      <c r="A21" t="s">
        <v>118</v>
      </c>
      <c r="B21" s="177">
        <v>706260.53</v>
      </c>
      <c r="C21" s="187">
        <f>B21</f>
        <v>706260.53</v>
      </c>
      <c r="D21" s="179" t="s">
        <v>118</v>
      </c>
      <c r="G21" s="193" t="s">
        <v>129</v>
      </c>
      <c r="H21" s="226" t="s">
        <v>189</v>
      </c>
      <c r="I21" s="197">
        <v>3384.88</v>
      </c>
      <c r="J21" s="275">
        <f>(($I21/'ALL-Garbutt Site Details'!$G$11)*'ALL-Garbutt Site Details'!L$11)*0.6</f>
        <v>1451.7374222222222</v>
      </c>
      <c r="K21" s="195">
        <f>J21</f>
        <v>1451.7374222222222</v>
      </c>
      <c r="L21" s="195">
        <f t="shared" si="10"/>
        <v>1451.7374222222222</v>
      </c>
      <c r="M21" s="222">
        <f>J21</f>
        <v>1451.7374222222222</v>
      </c>
      <c r="N21" s="223">
        <f>($I21/'ALL-Garbutt Site Details'!$G$11)*'ALL-Garbutt Site Details'!$L$11</f>
        <v>2419.5623703703704</v>
      </c>
      <c r="O21" s="222">
        <f t="shared" si="9"/>
        <v>2419.5623703703704</v>
      </c>
      <c r="P21" s="222">
        <f>N21*0.6</f>
        <v>1451.7374222222222</v>
      </c>
      <c r="Q21" s="222">
        <f t="shared" si="12"/>
        <v>1451.7374222222222</v>
      </c>
      <c r="T21" s="253"/>
      <c r="U21" s="303">
        <f>SUM(U17:U20)</f>
        <v>287274.82000000007</v>
      </c>
      <c r="V21" s="304">
        <f>SUM(V17:V20)</f>
        <v>217727.24000000008</v>
      </c>
      <c r="W21" s="281">
        <f t="shared" ref="W21" si="13">SUM(W17:W20)</f>
        <v>96106.540000000095</v>
      </c>
      <c r="X21" s="281">
        <f t="shared" ref="X21" si="14">SUM(X17:X20)</f>
        <v>197410.72958918376</v>
      </c>
      <c r="Y21" s="281">
        <f t="shared" ref="Y21" si="15">SUM(Y17:Y20)</f>
        <v>96106.540000000095</v>
      </c>
      <c r="Z21" s="281">
        <f t="shared" ref="Z21" si="16">SUM(Z17:Z20)</f>
        <v>99529.991892875812</v>
      </c>
      <c r="AA21" s="281">
        <f t="shared" ref="AA21" si="17">SUM(AA17:AA20)</f>
        <v>253069.15000000008</v>
      </c>
      <c r="AB21" s="281">
        <f>SUM(AB17:AB20)</f>
        <v>253069.15000000008</v>
      </c>
      <c r="AC21" s="281">
        <f t="shared" ref="AC21" si="18">SUM(AC17:AC20)</f>
        <v>157909.5400000001</v>
      </c>
      <c r="AD21" s="281">
        <f>SUM(AD17:AD20)</f>
        <v>96106.540000000095</v>
      </c>
    </row>
    <row r="22" spans="1:30" x14ac:dyDescent="0.25">
      <c r="A22" s="180" t="s">
        <v>112</v>
      </c>
      <c r="B22" s="181">
        <v>923987.77</v>
      </c>
      <c r="G22" s="193" t="s">
        <v>130</v>
      </c>
      <c r="H22" s="226" t="s">
        <v>202</v>
      </c>
      <c r="I22" s="197">
        <v>112699.98</v>
      </c>
      <c r="J22" s="275">
        <f>(25611*2)+(2700*4)</f>
        <v>62022</v>
      </c>
      <c r="K22" s="195">
        <f t="shared" ref="K22:M27" si="19">J22</f>
        <v>62022</v>
      </c>
      <c r="L22" s="195">
        <f>J22</f>
        <v>62022</v>
      </c>
      <c r="M22" s="222">
        <f>45262+(2700*4)+(1300*4)+(1800*4)</f>
        <v>68462</v>
      </c>
      <c r="N22" s="223">
        <f>(25611*2)+(2700*4)</f>
        <v>62022</v>
      </c>
      <c r="O22" s="222">
        <f t="shared" si="9"/>
        <v>62022</v>
      </c>
      <c r="P22" s="222">
        <f>$N22</f>
        <v>62022</v>
      </c>
      <c r="Q22" s="222">
        <f t="shared" si="12"/>
        <v>62022</v>
      </c>
    </row>
    <row r="23" spans="1:30" x14ac:dyDescent="0.25">
      <c r="G23" s="193" t="s">
        <v>138</v>
      </c>
      <c r="H23" s="226" t="s">
        <v>189</v>
      </c>
      <c r="I23" s="197">
        <v>4616</v>
      </c>
      <c r="J23" s="275">
        <f>(($I23/'ALL-Garbutt Site Details'!$G$11)*'ALL-Garbutt Site Details'!L$11)*0.6</f>
        <v>1979.7511111111107</v>
      </c>
      <c r="K23" s="195">
        <f>J23</f>
        <v>1979.7511111111107</v>
      </c>
      <c r="L23" s="195">
        <f t="shared" si="10"/>
        <v>1979.7511111111107</v>
      </c>
      <c r="M23" s="222">
        <f>J23</f>
        <v>1979.7511111111107</v>
      </c>
      <c r="N23" s="223">
        <f>($I23/'ALL-Garbutt Site Details'!$G$11)*'ALL-Garbutt Site Details'!$L$11</f>
        <v>3299.5851851851849</v>
      </c>
      <c r="O23" s="222">
        <f t="shared" si="9"/>
        <v>3299.5851851851849</v>
      </c>
      <c r="P23" s="222">
        <f>N23*0.6</f>
        <v>1979.7511111111107</v>
      </c>
      <c r="Q23" s="222">
        <f t="shared" si="12"/>
        <v>1979.7511111111107</v>
      </c>
    </row>
    <row r="24" spans="1:30" x14ac:dyDescent="0.25">
      <c r="G24" s="193" t="s">
        <v>131</v>
      </c>
      <c r="H24" s="226" t="s">
        <v>202</v>
      </c>
      <c r="I24" s="197">
        <v>46800</v>
      </c>
      <c r="J24" s="275">
        <v>0</v>
      </c>
      <c r="K24" s="222">
        <f>J24</f>
        <v>0</v>
      </c>
      <c r="L24" s="222">
        <v>0</v>
      </c>
      <c r="M24" s="222">
        <v>0</v>
      </c>
      <c r="N24" s="222">
        <v>0</v>
      </c>
      <c r="O24" s="222">
        <f t="shared" si="9"/>
        <v>0</v>
      </c>
      <c r="P24" s="222">
        <f>$N24</f>
        <v>0</v>
      </c>
      <c r="Q24" s="222">
        <f t="shared" si="12"/>
        <v>0</v>
      </c>
    </row>
    <row r="25" spans="1:30" x14ac:dyDescent="0.25">
      <c r="A25" s="178" t="s">
        <v>113</v>
      </c>
      <c r="B25" s="196" t="s">
        <v>119</v>
      </c>
      <c r="C25" s="196" t="s">
        <v>121</v>
      </c>
      <c r="G25" s="193" t="s">
        <v>139</v>
      </c>
      <c r="H25" s="226" t="s">
        <v>202</v>
      </c>
      <c r="I25" s="197">
        <v>67159.86</v>
      </c>
      <c r="J25" s="274">
        <f>I25/2</f>
        <v>33579.93</v>
      </c>
      <c r="K25" s="195">
        <f>J25</f>
        <v>33579.93</v>
      </c>
      <c r="L25" s="195">
        <f t="shared" si="10"/>
        <v>33579.93</v>
      </c>
      <c r="M25" s="222">
        <v>61234</v>
      </c>
      <c r="N25" s="222">
        <f>I25/2</f>
        <v>33579.93</v>
      </c>
      <c r="O25" s="222">
        <f t="shared" si="9"/>
        <v>33579.93</v>
      </c>
      <c r="P25" s="222">
        <f>$N25</f>
        <v>33579.93</v>
      </c>
      <c r="Q25" s="222">
        <f t="shared" si="12"/>
        <v>33579.93</v>
      </c>
    </row>
    <row r="26" spans="1:30" x14ac:dyDescent="0.25">
      <c r="G26" s="193" t="s">
        <v>132</v>
      </c>
      <c r="H26" s="226" t="s">
        <v>181</v>
      </c>
      <c r="I26" s="197">
        <v>0</v>
      </c>
      <c r="J26" s="275">
        <f>$I26</f>
        <v>0</v>
      </c>
      <c r="K26" s="195">
        <f t="shared" si="19"/>
        <v>0</v>
      </c>
      <c r="L26" s="222">
        <f t="shared" ref="L26:L31" si="20">J26</f>
        <v>0</v>
      </c>
      <c r="M26" s="195">
        <f t="shared" si="19"/>
        <v>0</v>
      </c>
      <c r="N26" s="222">
        <f t="shared" si="11"/>
        <v>0</v>
      </c>
      <c r="O26" s="222">
        <f t="shared" si="9"/>
        <v>0</v>
      </c>
      <c r="P26" s="222">
        <f>$N26</f>
        <v>0</v>
      </c>
      <c r="Q26" s="222">
        <f t="shared" si="12"/>
        <v>0</v>
      </c>
    </row>
    <row r="27" spans="1:30" x14ac:dyDescent="0.25">
      <c r="A27" s="182" t="s">
        <v>110</v>
      </c>
      <c r="B27" s="297" t="s">
        <v>111</v>
      </c>
      <c r="G27" s="193" t="s">
        <v>134</v>
      </c>
      <c r="H27" s="226" t="s">
        <v>202</v>
      </c>
      <c r="I27" s="197">
        <v>418</v>
      </c>
      <c r="J27" s="275">
        <f>I27</f>
        <v>418</v>
      </c>
      <c r="K27" s="195">
        <f t="shared" si="19"/>
        <v>418</v>
      </c>
      <c r="L27" s="222">
        <f t="shared" si="20"/>
        <v>418</v>
      </c>
      <c r="M27" s="222">
        <f>I27+I12+I45</f>
        <v>1431</v>
      </c>
      <c r="N27" s="222">
        <f t="shared" si="11"/>
        <v>418</v>
      </c>
      <c r="O27" s="222">
        <f t="shared" si="9"/>
        <v>418</v>
      </c>
      <c r="P27" s="222">
        <f>$N27</f>
        <v>418</v>
      </c>
      <c r="Q27" s="222">
        <f t="shared" si="12"/>
        <v>418</v>
      </c>
    </row>
    <row r="28" spans="1:30" x14ac:dyDescent="0.25">
      <c r="A28" t="s">
        <v>115</v>
      </c>
      <c r="B28" s="177">
        <v>116782.74999999999</v>
      </c>
      <c r="G28" s="193" t="s">
        <v>135</v>
      </c>
      <c r="H28" s="226" t="s">
        <v>181</v>
      </c>
      <c r="I28" s="197">
        <v>401742.72</v>
      </c>
      <c r="J28" s="274">
        <f>(($I28/(1059+3846+262+3168+190+868))*SUM('ALL-Garbutt Site Details'!L5:L6))*0.6</f>
        <v>279025.78055317787</v>
      </c>
      <c r="K28" s="223">
        <f>(($I28/(1059+3846+262+3168+190+868))*SUM('ALL-Garbutt Site Details'!Q5:Q6))*0.8</f>
        <v>510747.45716512296</v>
      </c>
      <c r="L28" s="222">
        <f>J28</f>
        <v>279025.78055317787</v>
      </c>
      <c r="M28" s="222">
        <f>((J28+J46)/SUM('ALL-Garbutt Site Details'!L5:L7))*SUM('ALL-Garbutt Site Details'!V5:V7)</f>
        <v>329769.58476076968</v>
      </c>
      <c r="N28" s="222">
        <f t="shared" si="11"/>
        <v>401742.72</v>
      </c>
      <c r="O28" s="222">
        <f>$N28*0.9</f>
        <v>361568.44799999997</v>
      </c>
      <c r="P28" s="223">
        <f>N28*0.8</f>
        <v>321394.17599999998</v>
      </c>
      <c r="Q28" s="222">
        <f t="shared" si="12"/>
        <v>279025.78055317787</v>
      </c>
    </row>
    <row r="29" spans="1:30" x14ac:dyDescent="0.25">
      <c r="A29" t="s">
        <v>116</v>
      </c>
      <c r="B29" s="177">
        <v>14453.329999999998</v>
      </c>
      <c r="G29" s="193" t="s">
        <v>140</v>
      </c>
      <c r="H29" s="226" t="s">
        <v>202</v>
      </c>
      <c r="I29" s="197">
        <v>0</v>
      </c>
      <c r="J29" s="275">
        <f>$I29</f>
        <v>0</v>
      </c>
      <c r="K29" s="195">
        <f>$I29</f>
        <v>0</v>
      </c>
      <c r="L29" s="222">
        <f t="shared" si="20"/>
        <v>0</v>
      </c>
      <c r="M29" s="222"/>
      <c r="N29" s="222">
        <f t="shared" si="11"/>
        <v>0</v>
      </c>
      <c r="O29" s="222">
        <f t="shared" si="9"/>
        <v>0</v>
      </c>
      <c r="P29" s="222">
        <f>$N29</f>
        <v>0</v>
      </c>
      <c r="Q29" s="222">
        <f t="shared" si="12"/>
        <v>0</v>
      </c>
    </row>
    <row r="30" spans="1:30" x14ac:dyDescent="0.25">
      <c r="A30" t="s">
        <v>117</v>
      </c>
      <c r="B30" s="186">
        <v>62495.600000000006</v>
      </c>
      <c r="C30" s="187">
        <f>SUM(B28:B30)</f>
        <v>193731.68</v>
      </c>
      <c r="D30" s="179" t="s">
        <v>124</v>
      </c>
      <c r="G30" s="193" t="s">
        <v>136</v>
      </c>
      <c r="H30" s="226" t="s">
        <v>189</v>
      </c>
      <c r="I30" s="197">
        <v>4591.0600000000004</v>
      </c>
      <c r="J30" s="275">
        <f>(($I30/'ALL-Garbutt Site Details'!$G$11)*'ALL-Garbutt Site Details'!L$11)</f>
        <v>3281.757703703704</v>
      </c>
      <c r="K30" s="195">
        <f>J30</f>
        <v>3281.757703703704</v>
      </c>
      <c r="L30" s="195">
        <f>J30</f>
        <v>3281.757703703704</v>
      </c>
      <c r="M30" s="195">
        <f>J30+J47</f>
        <v>5098.8239958385357</v>
      </c>
      <c r="N30" s="223">
        <f>($I30/'ALL-Garbutt Site Details'!$G$11)*'ALL-Garbutt Site Details'!$L$11</f>
        <v>3281.757703703704</v>
      </c>
      <c r="O30" s="222">
        <f t="shared" si="9"/>
        <v>3281.757703703704</v>
      </c>
      <c r="P30" s="222">
        <f>$N30</f>
        <v>3281.757703703704</v>
      </c>
      <c r="Q30" s="222">
        <f t="shared" si="12"/>
        <v>3281.757703703704</v>
      </c>
    </row>
    <row r="31" spans="1:30" ht="15.75" thickBot="1" x14ac:dyDescent="0.3">
      <c r="A31" t="s">
        <v>118</v>
      </c>
      <c r="B31" s="177">
        <v>668519.05999999994</v>
      </c>
      <c r="C31" s="187">
        <f>B31</f>
        <v>668519.05999999994</v>
      </c>
      <c r="D31" s="179" t="s">
        <v>118</v>
      </c>
      <c r="G31" s="194" t="s">
        <v>137</v>
      </c>
      <c r="H31" s="227" t="s">
        <v>202</v>
      </c>
      <c r="I31" s="198">
        <v>30</v>
      </c>
      <c r="J31" s="276">
        <f>$I31*1</f>
        <v>30</v>
      </c>
      <c r="K31" s="277">
        <f>J31</f>
        <v>30</v>
      </c>
      <c r="L31" s="277">
        <f t="shared" si="20"/>
        <v>30</v>
      </c>
      <c r="M31" s="277">
        <f>I31</f>
        <v>30</v>
      </c>
      <c r="N31" s="277">
        <f t="shared" si="11"/>
        <v>30</v>
      </c>
      <c r="O31" s="278">
        <f t="shared" si="9"/>
        <v>30</v>
      </c>
      <c r="P31" s="278">
        <f>$N31</f>
        <v>30</v>
      </c>
      <c r="Q31" s="278">
        <f t="shared" si="12"/>
        <v>30</v>
      </c>
    </row>
    <row r="32" spans="1:30" x14ac:dyDescent="0.25">
      <c r="A32" s="180" t="s">
        <v>112</v>
      </c>
      <c r="B32" s="181">
        <v>862250.74</v>
      </c>
      <c r="H32" s="228"/>
      <c r="I32" s="224">
        <f>SUM(I18:I31)</f>
        <v>706260.53</v>
      </c>
      <c r="J32" s="271">
        <f>SUM(J17:J31)</f>
        <v>431539.75610873342</v>
      </c>
      <c r="K32" s="271">
        <f t="shared" ref="K32:Q32" si="21">SUM(K17:K31)</f>
        <v>699574.34201536851</v>
      </c>
      <c r="L32" s="271">
        <f t="shared" si="21"/>
        <v>431539.75610873342</v>
      </c>
      <c r="M32" s="271">
        <f t="shared" si="21"/>
        <v>598929.15115003253</v>
      </c>
      <c r="N32" s="271">
        <f t="shared" si="21"/>
        <v>563990.96940740745</v>
      </c>
      <c r="O32" s="271">
        <f t="shared" si="21"/>
        <v>523816.6974074074</v>
      </c>
      <c r="P32" s="271">
        <f t="shared" si="21"/>
        <v>473908.15155555552</v>
      </c>
      <c r="Q32" s="271">
        <f t="shared" si="21"/>
        <v>431539.75610873342</v>
      </c>
    </row>
    <row r="33" spans="1:30" x14ac:dyDescent="0.25">
      <c r="H33" s="228"/>
    </row>
    <row r="34" spans="1:30" ht="24.75" x14ac:dyDescent="0.25">
      <c r="A34" s="296" t="s">
        <v>252</v>
      </c>
      <c r="G34" s="133" t="s">
        <v>186</v>
      </c>
      <c r="H34" s="225" t="s">
        <v>201</v>
      </c>
      <c r="I34" s="199" t="s">
        <v>141</v>
      </c>
      <c r="J34" s="259" t="s">
        <v>584</v>
      </c>
      <c r="K34" s="260" t="s">
        <v>598</v>
      </c>
      <c r="L34" s="259" t="s">
        <v>599</v>
      </c>
      <c r="M34" s="261" t="s">
        <v>709</v>
      </c>
      <c r="N34" s="262" t="s">
        <v>710</v>
      </c>
      <c r="O34" s="262" t="s">
        <v>601</v>
      </c>
      <c r="P34" s="262" t="s">
        <v>602</v>
      </c>
      <c r="Q34" s="259" t="s">
        <v>603</v>
      </c>
      <c r="S34" s="133" t="s">
        <v>186</v>
      </c>
      <c r="T34" s="225" t="s">
        <v>201</v>
      </c>
      <c r="U34" s="225" t="s">
        <v>267</v>
      </c>
      <c r="V34" s="199" t="s">
        <v>141</v>
      </c>
      <c r="W34" s="259" t="s">
        <v>584</v>
      </c>
      <c r="X34" s="260" t="s">
        <v>598</v>
      </c>
      <c r="Y34" s="259" t="s">
        <v>599</v>
      </c>
      <c r="Z34" s="261" t="s">
        <v>709</v>
      </c>
      <c r="AA34" s="262" t="s">
        <v>710</v>
      </c>
      <c r="AB34" s="262" t="s">
        <v>601</v>
      </c>
      <c r="AC34" s="262" t="s">
        <v>602</v>
      </c>
      <c r="AD34" s="259" t="s">
        <v>603</v>
      </c>
    </row>
    <row r="35" spans="1:30" x14ac:dyDescent="0.25">
      <c r="A35" s="288" t="s">
        <v>711</v>
      </c>
      <c r="B35" s="289"/>
      <c r="G35" s="193" t="s">
        <v>125</v>
      </c>
      <c r="H35" s="226" t="s">
        <v>202</v>
      </c>
      <c r="I35" s="197">
        <v>2049.69</v>
      </c>
      <c r="J35" s="279">
        <f>$I35</f>
        <v>2049.69</v>
      </c>
      <c r="K35" s="273">
        <f>$J35</f>
        <v>2049.69</v>
      </c>
      <c r="L35" s="273">
        <f>$J35</f>
        <v>2049.69</v>
      </c>
      <c r="M35" s="280">
        <v>0</v>
      </c>
      <c r="N35" s="280">
        <f>I35</f>
        <v>2049.69</v>
      </c>
      <c r="O35" s="280">
        <f>$N35</f>
        <v>2049.69</v>
      </c>
      <c r="P35" s="280">
        <f>$N35</f>
        <v>2049.69</v>
      </c>
      <c r="Q35" s="273">
        <f>J35</f>
        <v>2049.69</v>
      </c>
      <c r="S35" s="299" t="s">
        <v>265</v>
      </c>
      <c r="T35" s="226" t="s">
        <v>269</v>
      </c>
      <c r="U35" s="307">
        <f>242301.13-U36</f>
        <v>207763.13</v>
      </c>
      <c r="V35" s="197">
        <v>116782.75000000003</v>
      </c>
      <c r="W35" s="282">
        <v>12472</v>
      </c>
      <c r="X35" s="311">
        <f>$W35/'ALL-Garbutt Site Details'!L7*'ALL-Garbutt Site Details'!Q7</f>
        <v>12472</v>
      </c>
      <c r="Y35" s="280">
        <f>W35</f>
        <v>12472</v>
      </c>
      <c r="Z35" s="273">
        <f>W35/'ALL-Garbutt Site Details'!L7*'ALL-Garbutt Site Details'!V7</f>
        <v>22827.855763039279</v>
      </c>
      <c r="AA35" s="222">
        <f>SUM($U35:$V35)/2</f>
        <v>162272.94</v>
      </c>
      <c r="AB35" s="280">
        <f>$AA35</f>
        <v>162272.94</v>
      </c>
      <c r="AC35" s="280">
        <v>54793</v>
      </c>
      <c r="AD35" s="280">
        <f>W35</f>
        <v>12472</v>
      </c>
    </row>
    <row r="36" spans="1:30" x14ac:dyDescent="0.25">
      <c r="A36" s="292" t="s">
        <v>712</v>
      </c>
      <c r="B36" s="293"/>
      <c r="G36" s="193" t="s">
        <v>126</v>
      </c>
      <c r="H36" s="226" t="s">
        <v>189</v>
      </c>
      <c r="I36" s="197">
        <v>137534.03</v>
      </c>
      <c r="J36" s="274">
        <f>($I36/('ALL-Garbutt Site Details'!$G$13+('ALL-Garbutt Site Details'!$H13*0.3)))*('ALL-Garbutt Site Details'!$L$13+('ALL-Garbutt Site Details'!$M$13*0.3))*0.2</f>
        <v>19339.908451042324</v>
      </c>
      <c r="K36" s="195">
        <f>J36</f>
        <v>19339.908451042324</v>
      </c>
      <c r="L36" s="195">
        <f>J36</f>
        <v>19339.908451042324</v>
      </c>
      <c r="M36" s="195">
        <v>0</v>
      </c>
      <c r="N36" s="223">
        <f>($I36/('ALL-Garbutt Site Details'!$G$13+('ALL-Garbutt Site Details'!$H13*0.3)))*('ALL-Garbutt Site Details'!$L$13+('ALL-Garbutt Site Details'!$M$13*0.3))</f>
        <v>96699.542255211607</v>
      </c>
      <c r="O36" s="443">
        <f>N36</f>
        <v>96699.542255211607</v>
      </c>
      <c r="P36" s="443">
        <f>N36</f>
        <v>96699.542255211607</v>
      </c>
      <c r="Q36" s="222">
        <f t="shared" ref="Q36:Q48" si="22">J36</f>
        <v>19339.908451042324</v>
      </c>
      <c r="S36" s="299" t="s">
        <v>266</v>
      </c>
      <c r="T36" s="226" t="s">
        <v>268</v>
      </c>
      <c r="U36" s="307">
        <v>34538</v>
      </c>
      <c r="V36" s="197">
        <v>0</v>
      </c>
      <c r="W36" s="275">
        <v>0</v>
      </c>
      <c r="X36" s="300">
        <v>0</v>
      </c>
      <c r="Y36" s="300">
        <v>0</v>
      </c>
      <c r="Z36" s="300">
        <v>0</v>
      </c>
      <c r="AA36" s="300">
        <f>U36</f>
        <v>34538</v>
      </c>
      <c r="AB36" s="309">
        <f>$AA36</f>
        <v>34538</v>
      </c>
      <c r="AC36" s="298">
        <f>$AA36*0.25</f>
        <v>8634.5</v>
      </c>
      <c r="AD36" s="300">
        <v>0</v>
      </c>
    </row>
    <row r="37" spans="1:30" x14ac:dyDescent="0.25">
      <c r="A37" s="288" t="s">
        <v>713</v>
      </c>
      <c r="B37" s="289"/>
      <c r="G37" s="193" t="s">
        <v>127</v>
      </c>
      <c r="H37" s="226" t="s">
        <v>181</v>
      </c>
      <c r="I37" s="197">
        <v>223281.48</v>
      </c>
      <c r="J37" s="274">
        <f>($I37/SUM('ALL-Garbutt Site Details'!$H$6:$H$7))*SUM('ALL-Garbutt Site Details'!$M$6:$M$7)*0.6</f>
        <v>52218.395620531628</v>
      </c>
      <c r="K37" s="222">
        <f t="shared" ref="K37:L48" si="23">$J37</f>
        <v>52218.395620531628</v>
      </c>
      <c r="L37" s="222">
        <f t="shared" si="23"/>
        <v>52218.395620531628</v>
      </c>
      <c r="M37" s="195">
        <v>0</v>
      </c>
      <c r="N37" s="195">
        <f t="shared" ref="N37:N48" si="24">I37</f>
        <v>223281.48</v>
      </c>
      <c r="O37" s="195">
        <f t="shared" ref="O37:P48" si="25">$N37</f>
        <v>223281.48</v>
      </c>
      <c r="P37" s="298">
        <f>$N37*0.8</f>
        <v>178625.18400000001</v>
      </c>
      <c r="Q37" s="222">
        <f t="shared" si="22"/>
        <v>52218.395620531628</v>
      </c>
      <c r="S37" s="299" t="s">
        <v>116</v>
      </c>
      <c r="T37" s="226" t="s">
        <v>268</v>
      </c>
      <c r="U37" s="307">
        <v>29184.799999999999</v>
      </c>
      <c r="V37" s="197">
        <v>14453.330000000002</v>
      </c>
      <c r="W37" s="275">
        <v>0</v>
      </c>
      <c r="X37" s="300">
        <v>0</v>
      </c>
      <c r="Y37" s="300">
        <v>0</v>
      </c>
      <c r="Z37" s="300">
        <v>0</v>
      </c>
      <c r="AA37" s="222">
        <f>SUM($U37:$V37)/2</f>
        <v>21819.065000000002</v>
      </c>
      <c r="AB37" s="222">
        <f>$AA37</f>
        <v>21819.065000000002</v>
      </c>
      <c r="AC37" s="442">
        <v>0</v>
      </c>
      <c r="AD37" s="300">
        <v>0</v>
      </c>
    </row>
    <row r="38" spans="1:30" x14ac:dyDescent="0.25">
      <c r="A38" s="290" t="s">
        <v>718</v>
      </c>
      <c r="B38" s="291"/>
      <c r="G38" s="193" t="s">
        <v>128</v>
      </c>
      <c r="H38" s="226" t="s">
        <v>202</v>
      </c>
      <c r="I38" s="197">
        <v>1883.52</v>
      </c>
      <c r="J38" s="274">
        <f>$I38</f>
        <v>1883.52</v>
      </c>
      <c r="K38" s="222">
        <f t="shared" si="23"/>
        <v>1883.52</v>
      </c>
      <c r="L38" s="222">
        <f t="shared" si="23"/>
        <v>1883.52</v>
      </c>
      <c r="M38" s="195">
        <v>0</v>
      </c>
      <c r="N38" s="195">
        <f t="shared" si="24"/>
        <v>1883.52</v>
      </c>
      <c r="O38" s="195">
        <f t="shared" si="25"/>
        <v>1883.52</v>
      </c>
      <c r="P38" s="195">
        <f t="shared" si="25"/>
        <v>1883.52</v>
      </c>
      <c r="Q38" s="222">
        <f t="shared" si="22"/>
        <v>1883.52</v>
      </c>
      <c r="S38" s="301" t="s">
        <v>117</v>
      </c>
      <c r="T38" s="302" t="s">
        <v>181</v>
      </c>
      <c r="U38" s="277">
        <v>107545.12999999999</v>
      </c>
      <c r="V38" s="197">
        <v>62495.60000000002</v>
      </c>
      <c r="W38" s="306">
        <f>($V38/'ALL-Garbutt Site Details'!$G7)*'ALL-Garbutt Site Details'!$L7</f>
        <v>28804.174744027314</v>
      </c>
      <c r="X38" s="278">
        <f>($V38/'ALL-Garbutt Site Details'!$G7)*'ALL-Garbutt Site Details'!$Q7</f>
        <v>28804.174744027314</v>
      </c>
      <c r="Y38" s="277">
        <f>$W38</f>
        <v>28804.174744027314</v>
      </c>
      <c r="Z38" s="278">
        <f>($W38/'ALL-Garbutt Site Details'!$G7)*'ALL-Garbutt Site Details'!$V7</f>
        <v>24299.114619349351</v>
      </c>
      <c r="AA38" s="277">
        <f>$V38</f>
        <v>62495.60000000002</v>
      </c>
      <c r="AB38" s="277">
        <f>$AA38</f>
        <v>62495.60000000002</v>
      </c>
      <c r="AC38" s="277">
        <f>$AA38</f>
        <v>62495.60000000002</v>
      </c>
      <c r="AD38" s="277">
        <f>$W38</f>
        <v>28804.174744027314</v>
      </c>
    </row>
    <row r="39" spans="1:30" x14ac:dyDescent="0.25">
      <c r="A39" s="294" t="s">
        <v>714</v>
      </c>
      <c r="B39" s="295"/>
      <c r="G39" s="193" t="s">
        <v>129</v>
      </c>
      <c r="H39" s="226" t="s">
        <v>189</v>
      </c>
      <c r="I39" s="197">
        <v>0</v>
      </c>
      <c r="J39" s="274">
        <f>$I39</f>
        <v>0</v>
      </c>
      <c r="K39" s="222">
        <f t="shared" si="23"/>
        <v>0</v>
      </c>
      <c r="L39" s="195">
        <f t="shared" si="23"/>
        <v>0</v>
      </c>
      <c r="M39" s="195">
        <v>0</v>
      </c>
      <c r="N39" s="195">
        <f t="shared" si="24"/>
        <v>0</v>
      </c>
      <c r="O39" s="195">
        <f t="shared" si="25"/>
        <v>0</v>
      </c>
      <c r="P39" s="195">
        <f t="shared" si="25"/>
        <v>0</v>
      </c>
      <c r="Q39" s="222">
        <f t="shared" si="22"/>
        <v>0</v>
      </c>
      <c r="T39" s="253"/>
      <c r="U39" s="303">
        <f>SUM(U35:U38)</f>
        <v>379031.06</v>
      </c>
      <c r="V39" s="304">
        <f>SUM(V35:V38)</f>
        <v>193731.68000000005</v>
      </c>
      <c r="W39" s="281">
        <f t="shared" ref="W39" si="26">SUM(W35:W38)</f>
        <v>41276.174744027318</v>
      </c>
      <c r="X39" s="281">
        <f t="shared" ref="X39" si="27">SUM(X35:X38)</f>
        <v>41276.174744027318</v>
      </c>
      <c r="Y39" s="281">
        <f t="shared" ref="Y39" si="28">SUM(Y35:Y38)</f>
        <v>41276.174744027318</v>
      </c>
      <c r="Z39" s="281">
        <f t="shared" ref="Z39" si="29">SUM(Z35:Z38)</f>
        <v>47126.97038238863</v>
      </c>
      <c r="AA39" s="281">
        <f t="shared" ref="AA39" si="30">SUM(AA35:AA38)</f>
        <v>281125.60500000004</v>
      </c>
      <c r="AB39" s="281">
        <f t="shared" ref="AB39" si="31">SUM(AB35:AB38)</f>
        <v>281125.60500000004</v>
      </c>
      <c r="AC39" s="281">
        <f t="shared" ref="AC39" si="32">SUM(AC35:AC38)</f>
        <v>125923.10000000002</v>
      </c>
      <c r="AD39" s="281">
        <f>SUM(AD35:AD38)</f>
        <v>41276.174744027318</v>
      </c>
    </row>
    <row r="40" spans="1:30" x14ac:dyDescent="0.25">
      <c r="A40" s="294" t="s">
        <v>715</v>
      </c>
      <c r="B40" s="295"/>
      <c r="G40" s="193" t="s">
        <v>130</v>
      </c>
      <c r="H40" s="226" t="s">
        <v>202</v>
      </c>
      <c r="I40" s="197">
        <v>84935.89</v>
      </c>
      <c r="J40" s="274">
        <f>17596*2</f>
        <v>35192</v>
      </c>
      <c r="K40" s="222">
        <f t="shared" si="23"/>
        <v>35192</v>
      </c>
      <c r="L40" s="222">
        <f t="shared" si="23"/>
        <v>35192</v>
      </c>
      <c r="M40" s="195">
        <v>0</v>
      </c>
      <c r="N40" s="195">
        <f t="shared" si="24"/>
        <v>84935.89</v>
      </c>
      <c r="O40" s="195">
        <f t="shared" si="25"/>
        <v>84935.89</v>
      </c>
      <c r="P40" s="195">
        <f t="shared" si="25"/>
        <v>84935.89</v>
      </c>
      <c r="Q40" s="222">
        <f t="shared" si="22"/>
        <v>35192</v>
      </c>
    </row>
    <row r="41" spans="1:30" x14ac:dyDescent="0.25">
      <c r="A41" s="294" t="s">
        <v>716</v>
      </c>
      <c r="B41" s="295"/>
      <c r="G41" s="193" t="s">
        <v>131</v>
      </c>
      <c r="H41" s="226" t="s">
        <v>202</v>
      </c>
      <c r="I41" s="197">
        <v>45054.25</v>
      </c>
      <c r="J41" s="274">
        <v>0</v>
      </c>
      <c r="K41" s="222">
        <f t="shared" si="23"/>
        <v>0</v>
      </c>
      <c r="L41" s="222">
        <f t="shared" si="23"/>
        <v>0</v>
      </c>
      <c r="M41" s="195">
        <v>0</v>
      </c>
      <c r="N41" s="222">
        <f>J41</f>
        <v>0</v>
      </c>
      <c r="O41" s="195">
        <f t="shared" si="25"/>
        <v>0</v>
      </c>
      <c r="P41" s="195">
        <f t="shared" si="25"/>
        <v>0</v>
      </c>
      <c r="Q41" s="222">
        <f t="shared" si="22"/>
        <v>0</v>
      </c>
      <c r="U41" s="305">
        <f>U10+U21+U39</f>
        <v>748014.99</v>
      </c>
      <c r="V41" s="284">
        <f>V10+V21+V39</f>
        <v>450245.29000000015</v>
      </c>
      <c r="W41" s="283">
        <f>W10+W21+W39</f>
        <v>180563.75921372438</v>
      </c>
      <c r="X41" s="283">
        <f t="shared" ref="X41:AD41" si="33">X10+X21+X39</f>
        <v>281867.94880290807</v>
      </c>
      <c r="Y41" s="283">
        <f t="shared" si="33"/>
        <v>180563.75921372438</v>
      </c>
      <c r="Z41" s="283">
        <f t="shared" si="33"/>
        <v>205808.53437109853</v>
      </c>
      <c r="AA41" s="283">
        <f t="shared" si="33"/>
        <v>593065.99500000011</v>
      </c>
      <c r="AB41" s="283">
        <f t="shared" si="33"/>
        <v>593065.99500000011</v>
      </c>
      <c r="AC41" s="283">
        <f t="shared" si="33"/>
        <v>326709.76000000013</v>
      </c>
      <c r="AD41" s="283">
        <f t="shared" si="33"/>
        <v>180563.75921372438</v>
      </c>
    </row>
    <row r="42" spans="1:30" x14ac:dyDescent="0.25">
      <c r="A42" s="288" t="s">
        <v>717</v>
      </c>
      <c r="B42" s="289"/>
      <c r="G42" s="193" t="s">
        <v>139</v>
      </c>
      <c r="H42" s="226" t="s">
        <v>202</v>
      </c>
      <c r="I42" s="197">
        <v>0</v>
      </c>
      <c r="J42" s="274">
        <v>33580</v>
      </c>
      <c r="K42" s="222">
        <f t="shared" si="23"/>
        <v>33580</v>
      </c>
      <c r="L42" s="195">
        <f t="shared" si="23"/>
        <v>33580</v>
      </c>
      <c r="M42" s="195">
        <v>0</v>
      </c>
      <c r="N42" s="195">
        <f t="shared" si="24"/>
        <v>0</v>
      </c>
      <c r="O42" s="195">
        <f t="shared" si="25"/>
        <v>0</v>
      </c>
      <c r="P42" s="195">
        <f t="shared" si="25"/>
        <v>0</v>
      </c>
      <c r="Q42" s="222">
        <f t="shared" si="22"/>
        <v>33580</v>
      </c>
      <c r="V42" s="246"/>
      <c r="W42" s="201">
        <f>RANK(W41,$W$41:$AD$41,1)</f>
        <v>1</v>
      </c>
      <c r="X42" s="201">
        <f t="shared" ref="X42:AD42" si="34">RANK(X41,$W$41:$AD$41,1)</f>
        <v>5</v>
      </c>
      <c r="Y42" s="201">
        <f t="shared" si="34"/>
        <v>1</v>
      </c>
      <c r="Z42" s="201">
        <f t="shared" si="34"/>
        <v>4</v>
      </c>
      <c r="AA42" s="201">
        <f t="shared" si="34"/>
        <v>7</v>
      </c>
      <c r="AB42" s="201">
        <f t="shared" si="34"/>
        <v>7</v>
      </c>
      <c r="AC42" s="201">
        <f t="shared" si="34"/>
        <v>6</v>
      </c>
      <c r="AD42" s="201">
        <f t="shared" si="34"/>
        <v>1</v>
      </c>
    </row>
    <row r="43" spans="1:30" x14ac:dyDescent="0.25">
      <c r="G43" s="193" t="s">
        <v>132</v>
      </c>
      <c r="H43" s="226" t="s">
        <v>181</v>
      </c>
      <c r="I43" s="197">
        <v>169.04</v>
      </c>
      <c r="J43" s="274">
        <f>($I43/'ALL-Garbutt Site Details'!$G$7)*'ALL-Garbutt Site Details'!$L$7</f>
        <v>77.910408072414299</v>
      </c>
      <c r="K43" s="222">
        <f t="shared" si="23"/>
        <v>77.910408072414299</v>
      </c>
      <c r="L43" s="222">
        <f t="shared" si="23"/>
        <v>77.910408072414299</v>
      </c>
      <c r="M43" s="195"/>
      <c r="N43" s="195">
        <f t="shared" si="24"/>
        <v>169.04</v>
      </c>
      <c r="O43" s="195">
        <f t="shared" si="25"/>
        <v>169.04</v>
      </c>
      <c r="P43" s="195">
        <f t="shared" si="25"/>
        <v>169.04</v>
      </c>
      <c r="Q43" s="222">
        <f t="shared" si="22"/>
        <v>77.910408072414299</v>
      </c>
    </row>
    <row r="44" spans="1:30" x14ac:dyDescent="0.25">
      <c r="G44" s="193" t="s">
        <v>133</v>
      </c>
      <c r="H44" s="226" t="s">
        <v>202</v>
      </c>
      <c r="I44" s="197">
        <v>42119.24</v>
      </c>
      <c r="J44" s="274">
        <f>I44</f>
        <v>42119.24</v>
      </c>
      <c r="K44" s="195">
        <f t="shared" si="23"/>
        <v>42119.24</v>
      </c>
      <c r="L44" s="222">
        <f t="shared" si="23"/>
        <v>42119.24</v>
      </c>
      <c r="M44" s="195">
        <f>(J44/5490)*11809</f>
        <v>90598.56195992713</v>
      </c>
      <c r="N44" s="222">
        <f>$I44</f>
        <v>42119.24</v>
      </c>
      <c r="O44" s="195">
        <f t="shared" si="25"/>
        <v>42119.24</v>
      </c>
      <c r="P44" s="195">
        <f t="shared" si="25"/>
        <v>42119.24</v>
      </c>
      <c r="Q44" s="222">
        <f t="shared" si="22"/>
        <v>42119.24</v>
      </c>
    </row>
    <row r="45" spans="1:30" x14ac:dyDescent="0.25">
      <c r="G45" s="193" t="s">
        <v>134</v>
      </c>
      <c r="H45" s="226" t="s">
        <v>202</v>
      </c>
      <c r="I45" s="197">
        <v>579</v>
      </c>
      <c r="J45" s="274">
        <f>$I45</f>
        <v>579</v>
      </c>
      <c r="K45" s="222">
        <f t="shared" si="23"/>
        <v>579</v>
      </c>
      <c r="L45" s="222">
        <f t="shared" si="23"/>
        <v>579</v>
      </c>
      <c r="M45" s="195">
        <v>0</v>
      </c>
      <c r="N45" s="195">
        <f t="shared" si="24"/>
        <v>579</v>
      </c>
      <c r="O45" s="195">
        <f t="shared" si="25"/>
        <v>579</v>
      </c>
      <c r="P45" s="195">
        <f t="shared" si="25"/>
        <v>579</v>
      </c>
      <c r="Q45" s="222">
        <f t="shared" si="22"/>
        <v>579</v>
      </c>
    </row>
    <row r="46" spans="1:30" x14ac:dyDescent="0.25">
      <c r="G46" s="193" t="s">
        <v>135</v>
      </c>
      <c r="H46" s="226" t="s">
        <v>181</v>
      </c>
      <c r="I46" s="197">
        <v>127062.47</v>
      </c>
      <c r="J46" s="274">
        <f>(($I46/('ALL-Garbutt Site Details'!$G$7-(190+868)))*'ALL-Garbutt Site Details'!$L$7)*0.6</f>
        <v>41681.679121985573</v>
      </c>
      <c r="K46" s="222">
        <f t="shared" si="23"/>
        <v>41681.679121985573</v>
      </c>
      <c r="L46" s="222">
        <f t="shared" si="23"/>
        <v>41681.679121985573</v>
      </c>
      <c r="M46" s="195">
        <v>0</v>
      </c>
      <c r="N46" s="195">
        <f t="shared" si="24"/>
        <v>127062.47</v>
      </c>
      <c r="O46" s="195">
        <f>$N46*0.9</f>
        <v>114356.223</v>
      </c>
      <c r="P46" s="298">
        <f>$N46*0.8</f>
        <v>101649.97600000001</v>
      </c>
      <c r="Q46" s="222">
        <f t="shared" si="22"/>
        <v>41681.679121985573</v>
      </c>
    </row>
    <row r="47" spans="1:30" x14ac:dyDescent="0.25">
      <c r="G47" s="193" t="s">
        <v>136</v>
      </c>
      <c r="H47" s="226" t="s">
        <v>189</v>
      </c>
      <c r="I47" s="197">
        <v>3850.45</v>
      </c>
      <c r="J47" s="274">
        <f>($I47/'ALL-Garbutt Site Details'!$G$13)*'ALL-Garbutt Site Details'!$L$13</f>
        <v>1817.0662921348314</v>
      </c>
      <c r="K47" s="222">
        <f t="shared" si="23"/>
        <v>1817.0662921348314</v>
      </c>
      <c r="L47" s="222">
        <f t="shared" si="23"/>
        <v>1817.0662921348314</v>
      </c>
      <c r="M47" s="195">
        <v>0</v>
      </c>
      <c r="N47" s="222">
        <f>(I47/'ALL-Garbutt Site Details'!G13)*'ALL-Garbutt Site Details'!L13</f>
        <v>1817.0662921348314</v>
      </c>
      <c r="O47" s="195">
        <f t="shared" si="25"/>
        <v>1817.0662921348314</v>
      </c>
      <c r="P47" s="195">
        <f t="shared" si="25"/>
        <v>1817.0662921348314</v>
      </c>
      <c r="Q47" s="222">
        <f t="shared" si="22"/>
        <v>1817.0662921348314</v>
      </c>
    </row>
    <row r="48" spans="1:30" ht="15.75" thickBot="1" x14ac:dyDescent="0.3">
      <c r="G48" s="194" t="s">
        <v>137</v>
      </c>
      <c r="H48" s="227" t="s">
        <v>202</v>
      </c>
      <c r="I48" s="198">
        <v>0</v>
      </c>
      <c r="J48" s="276">
        <f>$I48*1</f>
        <v>0</v>
      </c>
      <c r="K48" s="277">
        <f t="shared" si="23"/>
        <v>0</v>
      </c>
      <c r="L48" s="277">
        <f t="shared" si="23"/>
        <v>0</v>
      </c>
      <c r="M48" s="277">
        <v>0</v>
      </c>
      <c r="N48" s="277">
        <f t="shared" si="24"/>
        <v>0</v>
      </c>
      <c r="O48" s="277">
        <f t="shared" si="25"/>
        <v>0</v>
      </c>
      <c r="P48" s="277">
        <f t="shared" si="25"/>
        <v>0</v>
      </c>
      <c r="Q48" s="278">
        <f t="shared" si="22"/>
        <v>0</v>
      </c>
    </row>
    <row r="49" spans="9:17" x14ac:dyDescent="0.25">
      <c r="I49" s="224">
        <f>SUM(I35:I48)</f>
        <v>668519.05999999994</v>
      </c>
      <c r="J49" s="271">
        <f>SUM(J35:J48)</f>
        <v>230538.40989376677</v>
      </c>
      <c r="K49" s="271">
        <f t="shared" ref="K49:Q49" si="35">SUM(K35:K48)</f>
        <v>230538.40989376677</v>
      </c>
      <c r="L49" s="271">
        <f t="shared" si="35"/>
        <v>230538.40989376677</v>
      </c>
      <c r="M49" s="271">
        <f t="shared" si="35"/>
        <v>90598.56195992713</v>
      </c>
      <c r="N49" s="271">
        <f t="shared" si="35"/>
        <v>580596.93854734639</v>
      </c>
      <c r="O49" s="271">
        <f t="shared" si="35"/>
        <v>567890.69154734642</v>
      </c>
      <c r="P49" s="271">
        <f t="shared" si="35"/>
        <v>510528.14854734647</v>
      </c>
      <c r="Q49" s="271">
        <f t="shared" si="35"/>
        <v>230538.40989376677</v>
      </c>
    </row>
    <row r="50" spans="9:17" ht="7.5" customHeight="1" x14ac:dyDescent="0.25"/>
    <row r="51" spans="9:17" x14ac:dyDescent="0.25">
      <c r="I51" s="284">
        <f>I14+I32+I49</f>
        <v>1494315.22</v>
      </c>
      <c r="J51" s="283">
        <f>J14+J32+J49</f>
        <v>758172.79766916682</v>
      </c>
      <c r="K51" s="283">
        <f t="shared" ref="K51:Q51" si="36">K14+K32+K49</f>
        <v>1026207.383575802</v>
      </c>
      <c r="L51" s="283">
        <f t="shared" si="36"/>
        <v>758172.79766916682</v>
      </c>
      <c r="M51" s="283">
        <f t="shared" si="36"/>
        <v>689527.71310995962</v>
      </c>
      <c r="N51" s="283">
        <f t="shared" si="36"/>
        <v>1264123.5379547537</v>
      </c>
      <c r="O51" s="283">
        <f t="shared" si="36"/>
        <v>1211243.0189547539</v>
      </c>
      <c r="P51" s="283">
        <f t="shared" si="36"/>
        <v>1103971.930102902</v>
      </c>
      <c r="Q51" s="283">
        <f t="shared" si="36"/>
        <v>758172.79766916682</v>
      </c>
    </row>
    <row r="52" spans="9:17" x14ac:dyDescent="0.25">
      <c r="J52" s="201">
        <f t="shared" ref="J52:L52" si="37">RANK(J51,$J$51:$Q$51,1)</f>
        <v>2</v>
      </c>
      <c r="K52" s="201">
        <f t="shared" si="37"/>
        <v>5</v>
      </c>
      <c r="L52" s="201">
        <f t="shared" si="37"/>
        <v>2</v>
      </c>
      <c r="M52" s="201">
        <f>RANK(M51,$J$51:$Q$51,1)</f>
        <v>1</v>
      </c>
      <c r="N52" s="201">
        <f t="shared" ref="N52" si="38">RANK(N51,$J$51:$Q$51,1)</f>
        <v>8</v>
      </c>
      <c r="O52" s="201">
        <f t="shared" ref="O52" si="39">RANK(O51,$J$51:$Q$51,1)</f>
        <v>7</v>
      </c>
      <c r="P52" s="201">
        <f t="shared" ref="P52" si="40">RANK(P51,$J$51:$Q$51,1)</f>
        <v>6</v>
      </c>
      <c r="Q52" s="201">
        <f>RANK(Q51,$J$51:$Q$51,1)</f>
        <v>2</v>
      </c>
    </row>
  </sheetData>
  <mergeCells count="5">
    <mergeCell ref="A3:D3"/>
    <mergeCell ref="G14:H15"/>
    <mergeCell ref="G2:AD2"/>
    <mergeCell ref="G3:Q3"/>
    <mergeCell ref="S3:AD3"/>
  </mergeCells>
  <pageMargins left="0.7" right="0.7" top="0.75" bottom="0.75" header="0.3" footer="0.3"/>
  <pageSetup paperSize="9" orientation="portrait" r:id="rId1"/>
  <ignoredErrors>
    <ignoredError sqref="J8" 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58"/>
  <sheetViews>
    <sheetView zoomScale="85" zoomScaleNormal="85" workbookViewId="0">
      <selection sqref="A1:C1"/>
    </sheetView>
  </sheetViews>
  <sheetFormatPr defaultRowHeight="15" x14ac:dyDescent="0.25"/>
  <cols>
    <col min="1" max="1" width="30" customWidth="1"/>
    <col min="2" max="2" width="13.5703125" bestFit="1" customWidth="1"/>
    <col min="3" max="3" width="16" customWidth="1"/>
    <col min="4" max="4" width="10.5703125" customWidth="1"/>
    <col min="6" max="6" width="14.42578125" customWidth="1"/>
    <col min="7" max="8" width="8.42578125" style="201" customWidth="1"/>
    <col min="9" max="9" width="6.7109375" customWidth="1"/>
    <col min="10" max="10" width="4.140625" customWidth="1"/>
    <col min="11" max="11" width="13.7109375" customWidth="1"/>
    <col min="12" max="13" width="8.42578125" style="201" customWidth="1"/>
    <col min="14" max="14" width="6.7109375" customWidth="1"/>
    <col min="15" max="15" width="4.140625" customWidth="1"/>
    <col min="16" max="16" width="13.7109375" customWidth="1"/>
    <col min="17" max="18" width="8.42578125" style="201" customWidth="1"/>
    <col min="19" max="19" width="6.7109375" customWidth="1"/>
    <col min="20" max="20" width="4.85546875" customWidth="1"/>
    <col min="21" max="21" width="12.140625" customWidth="1"/>
  </cols>
  <sheetData>
    <row r="1" spans="1:24" ht="15.75" x14ac:dyDescent="0.25">
      <c r="A1" s="655" t="s">
        <v>178</v>
      </c>
      <c r="B1" s="656"/>
      <c r="C1" s="657"/>
    </row>
    <row r="2" spans="1:24" x14ac:dyDescent="0.25">
      <c r="A2" s="647" t="s">
        <v>143</v>
      </c>
      <c r="B2" s="647" t="s">
        <v>144</v>
      </c>
      <c r="C2" s="647" t="s">
        <v>179</v>
      </c>
      <c r="D2" s="648"/>
    </row>
    <row r="3" spans="1:24" ht="15.75" x14ac:dyDescent="0.25">
      <c r="A3" s="647"/>
      <c r="B3" s="647"/>
      <c r="C3" s="647"/>
      <c r="D3" s="648"/>
      <c r="F3" s="649" t="s">
        <v>261</v>
      </c>
      <c r="G3" s="650"/>
      <c r="H3" s="650"/>
      <c r="I3" s="651"/>
      <c r="K3" s="649" t="s">
        <v>258</v>
      </c>
      <c r="L3" s="650"/>
      <c r="M3" s="650"/>
      <c r="N3" s="651"/>
      <c r="P3" s="649" t="s">
        <v>190</v>
      </c>
      <c r="Q3" s="650"/>
      <c r="R3" s="650"/>
      <c r="S3" s="651"/>
      <c r="U3" s="649" t="s">
        <v>257</v>
      </c>
      <c r="V3" s="650"/>
      <c r="W3" s="650"/>
      <c r="X3" s="651"/>
    </row>
    <row r="4" spans="1:24" x14ac:dyDescent="0.25">
      <c r="A4" s="190" t="s">
        <v>145</v>
      </c>
      <c r="B4" s="285">
        <v>270</v>
      </c>
      <c r="C4" s="257" t="s">
        <v>147</v>
      </c>
      <c r="D4" s="266" t="s">
        <v>122</v>
      </c>
      <c r="F4" s="202" t="s">
        <v>251</v>
      </c>
      <c r="G4" s="203" t="s">
        <v>56</v>
      </c>
      <c r="H4" s="235" t="s">
        <v>213</v>
      </c>
      <c r="I4" s="234"/>
      <c r="K4" s="202" t="s">
        <v>251</v>
      </c>
      <c r="L4" s="203" t="s">
        <v>56</v>
      </c>
      <c r="M4" s="235" t="s">
        <v>213</v>
      </c>
      <c r="N4" s="234"/>
      <c r="P4" s="202" t="s">
        <v>251</v>
      </c>
      <c r="Q4" s="203" t="s">
        <v>56</v>
      </c>
      <c r="R4" s="235" t="s">
        <v>213</v>
      </c>
      <c r="S4" s="234"/>
      <c r="U4" s="202" t="s">
        <v>251</v>
      </c>
      <c r="V4" s="203" t="s">
        <v>56</v>
      </c>
      <c r="W4" s="235" t="s">
        <v>213</v>
      </c>
      <c r="X4" s="234"/>
    </row>
    <row r="5" spans="1:24" x14ac:dyDescent="0.25">
      <c r="A5" s="192" t="s">
        <v>146</v>
      </c>
      <c r="B5" s="286"/>
      <c r="C5" s="192"/>
      <c r="D5" s="265"/>
      <c r="F5" s="204" t="s">
        <v>197</v>
      </c>
      <c r="G5" s="219">
        <f>3846</f>
        <v>3846</v>
      </c>
      <c r="H5" s="219"/>
      <c r="I5" s="205" t="s">
        <v>181</v>
      </c>
      <c r="K5" s="210" t="s">
        <v>197</v>
      </c>
      <c r="L5" s="216">
        <v>3846</v>
      </c>
      <c r="M5" s="216">
        <v>2567</v>
      </c>
      <c r="N5" s="211" t="s">
        <v>181</v>
      </c>
      <c r="P5" s="210" t="s">
        <v>197</v>
      </c>
      <c r="Q5" s="216">
        <v>7900</v>
      </c>
      <c r="R5" s="216">
        <v>6069</v>
      </c>
      <c r="S5" s="211" t="s">
        <v>181</v>
      </c>
      <c r="T5" s="229"/>
      <c r="U5" s="210" t="s">
        <v>197</v>
      </c>
      <c r="V5" s="216">
        <v>3983</v>
      </c>
      <c r="W5" s="216">
        <v>3592</v>
      </c>
      <c r="X5" s="211" t="s">
        <v>181</v>
      </c>
    </row>
    <row r="6" spans="1:24" x14ac:dyDescent="0.25">
      <c r="A6" s="190" t="s">
        <v>33</v>
      </c>
      <c r="B6" s="285">
        <v>48</v>
      </c>
      <c r="C6" s="268" t="s">
        <v>195</v>
      </c>
      <c r="D6" s="266" t="s">
        <v>123</v>
      </c>
      <c r="F6" s="206" t="s">
        <v>198</v>
      </c>
      <c r="G6" s="220">
        <v>3168</v>
      </c>
      <c r="H6" s="220">
        <v>612</v>
      </c>
      <c r="I6" s="207" t="s">
        <v>181</v>
      </c>
      <c r="K6" s="212" t="s">
        <v>200</v>
      </c>
      <c r="L6" s="217">
        <v>7027</v>
      </c>
      <c r="M6" s="217">
        <v>157</v>
      </c>
      <c r="N6" s="213" t="s">
        <v>181</v>
      </c>
      <c r="P6" s="212" t="s">
        <v>200</v>
      </c>
      <c r="Q6" s="217">
        <v>7027</v>
      </c>
      <c r="R6" s="217">
        <v>157</v>
      </c>
      <c r="S6" s="213" t="s">
        <v>181</v>
      </c>
      <c r="U6" s="212" t="s">
        <v>200</v>
      </c>
      <c r="V6" s="217">
        <v>4706</v>
      </c>
      <c r="W6" s="264">
        <v>4</v>
      </c>
      <c r="X6" s="213" t="s">
        <v>181</v>
      </c>
    </row>
    <row r="7" spans="1:24" ht="15.75" customHeight="1" x14ac:dyDescent="0.25">
      <c r="A7" s="192" t="s">
        <v>148</v>
      </c>
      <c r="B7" s="286"/>
      <c r="C7" s="269" t="s">
        <v>196</v>
      </c>
      <c r="D7" s="265"/>
      <c r="F7" s="208" t="s">
        <v>235</v>
      </c>
      <c r="G7" s="231">
        <v>6739</v>
      </c>
      <c r="H7" s="231">
        <v>3752</v>
      </c>
      <c r="I7" s="209" t="s">
        <v>181</v>
      </c>
      <c r="K7" s="214" t="s">
        <v>199</v>
      </c>
      <c r="L7" s="218">
        <v>3106</v>
      </c>
      <c r="M7" s="218">
        <v>1544</v>
      </c>
      <c r="N7" s="215" t="s">
        <v>181</v>
      </c>
      <c r="P7" s="214" t="s">
        <v>199</v>
      </c>
      <c r="Q7" s="218">
        <v>3106</v>
      </c>
      <c r="R7" s="218">
        <v>1544</v>
      </c>
      <c r="S7" s="215" t="s">
        <v>181</v>
      </c>
      <c r="U7" s="214" t="s">
        <v>199</v>
      </c>
      <c r="V7" s="218">
        <f>1599+2564+1522</f>
        <v>5685</v>
      </c>
      <c r="W7" s="218">
        <f>304+800</f>
        <v>1104</v>
      </c>
      <c r="X7" s="215" t="s">
        <v>181</v>
      </c>
    </row>
    <row r="8" spans="1:24" x14ac:dyDescent="0.25">
      <c r="A8" s="190" t="s">
        <v>34</v>
      </c>
      <c r="B8" s="285" t="s">
        <v>150</v>
      </c>
      <c r="C8" s="257" t="s">
        <v>151</v>
      </c>
      <c r="D8" s="266" t="s">
        <v>121</v>
      </c>
      <c r="F8" s="652" t="s">
        <v>233</v>
      </c>
      <c r="G8" s="241" t="s">
        <v>234</v>
      </c>
      <c r="H8" s="240"/>
      <c r="I8" s="240"/>
      <c r="J8" s="240"/>
      <c r="K8" s="240"/>
      <c r="L8" s="240"/>
      <c r="M8" s="240"/>
      <c r="N8" s="240"/>
      <c r="O8" s="240"/>
      <c r="P8" s="240"/>
      <c r="Q8" s="240"/>
      <c r="R8" s="240"/>
      <c r="S8" s="240"/>
      <c r="U8" s="240"/>
      <c r="V8" s="240"/>
      <c r="W8" s="240"/>
      <c r="X8" s="240"/>
    </row>
    <row r="9" spans="1:24" x14ac:dyDescent="0.25">
      <c r="A9" s="192" t="s">
        <v>149</v>
      </c>
      <c r="B9" s="286"/>
      <c r="C9" s="192"/>
      <c r="D9" s="265"/>
      <c r="F9" s="653"/>
      <c r="G9" s="241" t="s">
        <v>232</v>
      </c>
      <c r="H9" s="232"/>
      <c r="U9" s="246"/>
      <c r="V9" s="201"/>
      <c r="W9" s="201"/>
      <c r="X9" s="246"/>
    </row>
    <row r="10" spans="1:24" x14ac:dyDescent="0.25">
      <c r="A10" s="257" t="s">
        <v>152</v>
      </c>
      <c r="B10" s="285" t="s">
        <v>150</v>
      </c>
      <c r="C10" s="257" t="s">
        <v>154</v>
      </c>
      <c r="D10" s="266" t="s">
        <v>121</v>
      </c>
      <c r="F10" s="202" t="s">
        <v>211</v>
      </c>
      <c r="G10" s="203" t="s">
        <v>122</v>
      </c>
      <c r="H10" s="203" t="s">
        <v>210</v>
      </c>
      <c r="I10" s="234"/>
      <c r="K10" s="202" t="s">
        <v>212</v>
      </c>
      <c r="L10" s="203" t="s">
        <v>122</v>
      </c>
      <c r="M10" s="203" t="s">
        <v>210</v>
      </c>
      <c r="N10" s="234"/>
      <c r="P10" s="202" t="s">
        <v>212</v>
      </c>
      <c r="Q10" s="203" t="s">
        <v>122</v>
      </c>
      <c r="R10" s="203" t="s">
        <v>210</v>
      </c>
      <c r="S10" s="234"/>
      <c r="U10" s="202" t="s">
        <v>212</v>
      </c>
      <c r="V10" s="203" t="s">
        <v>122</v>
      </c>
      <c r="W10" s="203" t="s">
        <v>210</v>
      </c>
      <c r="X10" s="234"/>
    </row>
    <row r="11" spans="1:24" x14ac:dyDescent="0.25">
      <c r="A11" s="192" t="s">
        <v>153</v>
      </c>
      <c r="B11" s="286"/>
      <c r="C11" s="192"/>
      <c r="D11" s="265"/>
      <c r="F11" s="204" t="s">
        <v>197</v>
      </c>
      <c r="G11" s="219">
        <v>270</v>
      </c>
      <c r="H11" s="219">
        <v>0</v>
      </c>
      <c r="I11" s="205" t="s">
        <v>189</v>
      </c>
      <c r="K11" s="210" t="s">
        <v>197</v>
      </c>
      <c r="L11" s="216">
        <v>193</v>
      </c>
      <c r="M11" s="216">
        <v>0</v>
      </c>
      <c r="N11" s="211" t="s">
        <v>189</v>
      </c>
      <c r="P11" s="210" t="s">
        <v>197</v>
      </c>
      <c r="Q11" s="216">
        <f>L11</f>
        <v>193</v>
      </c>
      <c r="R11" s="216">
        <v>0</v>
      </c>
      <c r="S11" s="211" t="s">
        <v>189</v>
      </c>
      <c r="U11" s="210" t="s">
        <v>197</v>
      </c>
      <c r="V11" s="216">
        <f>L11</f>
        <v>193</v>
      </c>
      <c r="W11" s="216">
        <f>M11</f>
        <v>0</v>
      </c>
      <c r="X11" s="211" t="s">
        <v>189</v>
      </c>
    </row>
    <row r="12" spans="1:24" x14ac:dyDescent="0.25">
      <c r="A12" s="660" t="s">
        <v>155</v>
      </c>
      <c r="B12" s="285">
        <v>50</v>
      </c>
      <c r="C12" s="257" t="s">
        <v>156</v>
      </c>
      <c r="D12" s="266" t="s">
        <v>121</v>
      </c>
      <c r="F12" s="206" t="s">
        <v>198</v>
      </c>
      <c r="G12" s="220">
        <v>48</v>
      </c>
      <c r="H12" s="220">
        <v>0</v>
      </c>
      <c r="I12" s="207" t="s">
        <v>189</v>
      </c>
      <c r="K12" s="212" t="s">
        <v>200</v>
      </c>
      <c r="L12" s="217">
        <v>4</v>
      </c>
      <c r="M12" s="217">
        <v>6</v>
      </c>
      <c r="N12" s="213" t="s">
        <v>189</v>
      </c>
      <c r="O12" s="230"/>
      <c r="P12" s="212" t="s">
        <v>200</v>
      </c>
      <c r="Q12" s="217">
        <f>L12</f>
        <v>4</v>
      </c>
      <c r="R12" s="217">
        <v>6</v>
      </c>
      <c r="S12" s="213" t="s">
        <v>189</v>
      </c>
      <c r="U12" s="212" t="s">
        <v>200</v>
      </c>
      <c r="V12" s="217">
        <f t="shared" ref="V12:W13" si="0">L12</f>
        <v>4</v>
      </c>
      <c r="W12" s="217">
        <f t="shared" si="0"/>
        <v>6</v>
      </c>
      <c r="X12" s="213" t="s">
        <v>189</v>
      </c>
    </row>
    <row r="13" spans="1:24" x14ac:dyDescent="0.25">
      <c r="A13" s="661"/>
      <c r="B13" s="286"/>
      <c r="C13" s="192"/>
      <c r="D13" s="265"/>
      <c r="F13" s="208" t="s">
        <v>235</v>
      </c>
      <c r="G13" s="231">
        <v>89</v>
      </c>
      <c r="H13" s="231">
        <v>231</v>
      </c>
      <c r="I13" s="209" t="s">
        <v>189</v>
      </c>
      <c r="K13" s="214" t="s">
        <v>199</v>
      </c>
      <c r="L13" s="218">
        <v>42</v>
      </c>
      <c r="M13" s="218">
        <v>231</v>
      </c>
      <c r="N13" s="215" t="s">
        <v>189</v>
      </c>
      <c r="P13" s="214" t="s">
        <v>199</v>
      </c>
      <c r="Q13" s="218">
        <f>L13</f>
        <v>42</v>
      </c>
      <c r="R13" s="218">
        <v>231</v>
      </c>
      <c r="S13" s="215" t="s">
        <v>189</v>
      </c>
      <c r="U13" s="214" t="s">
        <v>199</v>
      </c>
      <c r="V13" s="218">
        <f t="shared" si="0"/>
        <v>42</v>
      </c>
      <c r="W13" s="218">
        <f t="shared" si="0"/>
        <v>231</v>
      </c>
      <c r="X13" s="215" t="s">
        <v>189</v>
      </c>
    </row>
    <row r="14" spans="1:24" x14ac:dyDescent="0.25">
      <c r="A14" s="662"/>
      <c r="B14" s="287"/>
      <c r="C14" s="258"/>
      <c r="D14" s="267"/>
      <c r="F14" s="652" t="s">
        <v>233</v>
      </c>
      <c r="G14" s="233" t="s">
        <v>208</v>
      </c>
      <c r="J14" s="230"/>
    </row>
    <row r="15" spans="1:24" x14ac:dyDescent="0.25">
      <c r="A15" s="190" t="s">
        <v>157</v>
      </c>
      <c r="B15" s="285">
        <v>15</v>
      </c>
      <c r="C15" s="257" t="s">
        <v>159</v>
      </c>
      <c r="D15" s="266" t="s">
        <v>121</v>
      </c>
      <c r="F15" s="654"/>
      <c r="G15" s="233" t="s">
        <v>209</v>
      </c>
    </row>
    <row r="16" spans="1:24" x14ac:dyDescent="0.25">
      <c r="A16" s="191" t="s">
        <v>158</v>
      </c>
      <c r="B16" s="287"/>
      <c r="C16" s="258"/>
      <c r="D16" s="267"/>
      <c r="G16" s="233"/>
    </row>
    <row r="17" spans="1:24" ht="15.75" x14ac:dyDescent="0.25">
      <c r="A17" s="192" t="s">
        <v>160</v>
      </c>
      <c r="B17" s="285">
        <v>60</v>
      </c>
      <c r="C17" s="257" t="s">
        <v>162</v>
      </c>
      <c r="D17" s="266" t="s">
        <v>121</v>
      </c>
      <c r="F17" s="242" t="s">
        <v>261</v>
      </c>
      <c r="X17" s="242" t="s">
        <v>263</v>
      </c>
    </row>
    <row r="18" spans="1:24" ht="25.5" x14ac:dyDescent="0.25">
      <c r="A18" s="192" t="s">
        <v>161</v>
      </c>
      <c r="B18" s="287"/>
      <c r="C18" s="258"/>
      <c r="D18" s="267"/>
    </row>
    <row r="19" spans="1:24" x14ac:dyDescent="0.25">
      <c r="A19" s="190" t="s">
        <v>163</v>
      </c>
      <c r="B19" s="285">
        <v>50</v>
      </c>
      <c r="C19" s="257" t="s">
        <v>166</v>
      </c>
      <c r="D19" s="266" t="s">
        <v>121</v>
      </c>
    </row>
    <row r="20" spans="1:24" x14ac:dyDescent="0.25">
      <c r="A20" s="192" t="s">
        <v>164</v>
      </c>
      <c r="B20" s="286"/>
      <c r="C20" s="192"/>
      <c r="D20" s="265"/>
    </row>
    <row r="21" spans="1:24" x14ac:dyDescent="0.25">
      <c r="A21" s="191" t="s">
        <v>165</v>
      </c>
      <c r="B21" s="287"/>
      <c r="C21" s="258"/>
      <c r="D21" s="267"/>
    </row>
    <row r="22" spans="1:24" x14ac:dyDescent="0.25">
      <c r="A22" s="192" t="s">
        <v>167</v>
      </c>
      <c r="B22" s="285">
        <v>6</v>
      </c>
      <c r="C22" s="257" t="s">
        <v>169</v>
      </c>
      <c r="D22" s="266" t="s">
        <v>121</v>
      </c>
    </row>
    <row r="23" spans="1:24" x14ac:dyDescent="0.25">
      <c r="A23" s="192" t="s">
        <v>168</v>
      </c>
      <c r="B23" s="287"/>
      <c r="C23" s="258"/>
      <c r="D23" s="267"/>
    </row>
    <row r="24" spans="1:24" x14ac:dyDescent="0.25">
      <c r="A24" s="192" t="s">
        <v>170</v>
      </c>
      <c r="B24" s="285">
        <v>15</v>
      </c>
      <c r="C24" s="257" t="s">
        <v>173</v>
      </c>
      <c r="D24" s="266" t="s">
        <v>121</v>
      </c>
    </row>
    <row r="25" spans="1:24" x14ac:dyDescent="0.25">
      <c r="A25" s="192" t="s">
        <v>171</v>
      </c>
      <c r="B25" s="201"/>
      <c r="C25" s="270"/>
    </row>
    <row r="26" spans="1:24" x14ac:dyDescent="0.25">
      <c r="A26" s="192" t="s">
        <v>174</v>
      </c>
      <c r="B26" s="285">
        <v>15</v>
      </c>
      <c r="C26" s="257" t="s">
        <v>176</v>
      </c>
      <c r="D26" s="266" t="s">
        <v>121</v>
      </c>
    </row>
    <row r="27" spans="1:24" ht="25.5" x14ac:dyDescent="0.25">
      <c r="A27" s="192" t="s">
        <v>175</v>
      </c>
      <c r="B27" s="287"/>
      <c r="C27" s="258"/>
      <c r="D27" s="267"/>
    </row>
    <row r="28" spans="1:24" x14ac:dyDescent="0.25">
      <c r="A28" s="658" t="s">
        <v>236</v>
      </c>
      <c r="B28" s="285">
        <v>20</v>
      </c>
      <c r="C28" s="257" t="s">
        <v>177</v>
      </c>
      <c r="D28" s="266"/>
    </row>
    <row r="29" spans="1:24" x14ac:dyDescent="0.25">
      <c r="A29" s="659"/>
      <c r="B29" s="287"/>
      <c r="C29" s="258"/>
      <c r="D29" s="267"/>
    </row>
    <row r="30" spans="1:24" x14ac:dyDescent="0.25">
      <c r="A30" s="638" t="s">
        <v>180</v>
      </c>
      <c r="B30" s="641">
        <v>0</v>
      </c>
      <c r="C30" s="257" t="s">
        <v>191</v>
      </c>
      <c r="D30" s="644" t="s">
        <v>194</v>
      </c>
    </row>
    <row r="31" spans="1:24" x14ac:dyDescent="0.25">
      <c r="A31" s="639"/>
      <c r="B31" s="642"/>
      <c r="C31" s="192" t="s">
        <v>192</v>
      </c>
      <c r="D31" s="645"/>
    </row>
    <row r="32" spans="1:24" x14ac:dyDescent="0.25">
      <c r="A32" s="640"/>
      <c r="B32" s="643"/>
      <c r="C32" s="258" t="s">
        <v>193</v>
      </c>
      <c r="D32" s="646"/>
    </row>
    <row r="33" spans="1:4" x14ac:dyDescent="0.25">
      <c r="A33" s="255" t="s">
        <v>172</v>
      </c>
      <c r="B33" s="256"/>
      <c r="C33" s="256"/>
      <c r="D33" s="265"/>
    </row>
    <row r="34" spans="1:4" x14ac:dyDescent="0.25">
      <c r="A34" s="221"/>
      <c r="B34" s="221"/>
      <c r="C34" s="221"/>
      <c r="D34" s="221"/>
    </row>
    <row r="35" spans="1:4" x14ac:dyDescent="0.25">
      <c r="A35" s="221"/>
      <c r="B35" s="221"/>
      <c r="C35" s="221"/>
      <c r="D35" s="221"/>
    </row>
    <row r="36" spans="1:4" ht="25.5" customHeight="1" x14ac:dyDescent="0.25"/>
    <row r="38" spans="1:4" ht="15" customHeight="1" x14ac:dyDescent="0.25"/>
    <row r="58" spans="6:6" ht="15.75" x14ac:dyDescent="0.25">
      <c r="F58" s="242" t="s">
        <v>262</v>
      </c>
    </row>
  </sheetData>
  <mergeCells count="16">
    <mergeCell ref="U3:X3"/>
    <mergeCell ref="F8:F9"/>
    <mergeCell ref="F14:F15"/>
    <mergeCell ref="A1:C1"/>
    <mergeCell ref="A28:A29"/>
    <mergeCell ref="A12:A14"/>
    <mergeCell ref="F3:I3"/>
    <mergeCell ref="K3:N3"/>
    <mergeCell ref="P3:S3"/>
    <mergeCell ref="A30:A32"/>
    <mergeCell ref="B30:B32"/>
    <mergeCell ref="D30:D32"/>
    <mergeCell ref="A2:A3"/>
    <mergeCell ref="B2:B3"/>
    <mergeCell ref="C2:C3"/>
    <mergeCell ref="D2:D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33"/>
  <sheetViews>
    <sheetView workbookViewId="0"/>
  </sheetViews>
  <sheetFormatPr defaultRowHeight="15" x14ac:dyDescent="0.25"/>
  <cols>
    <col min="1" max="1" width="44" customWidth="1"/>
    <col min="2" max="2" width="18.7109375" customWidth="1"/>
    <col min="3" max="3" width="11" customWidth="1"/>
  </cols>
  <sheetData>
    <row r="1" spans="1:2" ht="45" x14ac:dyDescent="0.25">
      <c r="A1" s="18" t="s">
        <v>28</v>
      </c>
      <c r="B1" s="19" t="s">
        <v>295</v>
      </c>
    </row>
    <row r="2" spans="1:2" x14ac:dyDescent="0.25">
      <c r="A2" s="20" t="s">
        <v>30</v>
      </c>
      <c r="B2" s="21"/>
    </row>
    <row r="3" spans="1:2" x14ac:dyDescent="0.25">
      <c r="A3" s="21" t="s">
        <v>31</v>
      </c>
      <c r="B3" s="22"/>
    </row>
    <row r="4" spans="1:2" x14ac:dyDescent="0.25">
      <c r="A4" s="21" t="s">
        <v>32</v>
      </c>
      <c r="B4" s="22">
        <v>9487000</v>
      </c>
    </row>
    <row r="5" spans="1:2" x14ac:dyDescent="0.25">
      <c r="A5" s="21" t="s">
        <v>33</v>
      </c>
      <c r="B5" s="22">
        <v>12840000</v>
      </c>
    </row>
    <row r="6" spans="1:2" x14ac:dyDescent="0.25">
      <c r="A6" s="21" t="s">
        <v>34</v>
      </c>
      <c r="B6" s="22">
        <v>5865000</v>
      </c>
    </row>
    <row r="7" spans="1:2" x14ac:dyDescent="0.25">
      <c r="A7" s="21" t="s">
        <v>35</v>
      </c>
      <c r="B7" s="22">
        <v>7705000</v>
      </c>
    </row>
    <row r="8" spans="1:2" ht="15.75" thickBot="1" x14ac:dyDescent="0.3">
      <c r="A8" s="23" t="s">
        <v>36</v>
      </c>
      <c r="B8" s="24">
        <f>SUM(B3:B7)</f>
        <v>35897000</v>
      </c>
    </row>
    <row r="9" spans="1:2" ht="15.75" thickBot="1" x14ac:dyDescent="0.3">
      <c r="A9" s="21" t="s">
        <v>37</v>
      </c>
      <c r="B9" s="22">
        <v>2070000</v>
      </c>
    </row>
    <row r="10" spans="1:2" ht="15.75" thickBot="1" x14ac:dyDescent="0.3">
      <c r="A10" s="26" t="s">
        <v>36</v>
      </c>
      <c r="B10" s="27">
        <f>SUM(B8:B9)</f>
        <v>37967000</v>
      </c>
    </row>
    <row r="11" spans="1:2" x14ac:dyDescent="0.25">
      <c r="A11" s="20" t="s">
        <v>618</v>
      </c>
      <c r="B11" s="462"/>
    </row>
    <row r="12" spans="1:2" x14ac:dyDescent="0.25">
      <c r="A12" s="21" t="s">
        <v>293</v>
      </c>
      <c r="B12" s="22">
        <v>160000</v>
      </c>
    </row>
    <row r="13" spans="1:2" x14ac:dyDescent="0.25">
      <c r="A13" s="21" t="s">
        <v>38</v>
      </c>
      <c r="B13" s="22">
        <v>2150000</v>
      </c>
    </row>
    <row r="14" spans="1:2" x14ac:dyDescent="0.25">
      <c r="A14" s="21" t="s">
        <v>39</v>
      </c>
      <c r="B14" s="22">
        <v>1000000</v>
      </c>
    </row>
    <row r="15" spans="1:2" x14ac:dyDescent="0.25">
      <c r="A15" s="21" t="s">
        <v>40</v>
      </c>
      <c r="B15" s="22">
        <v>1500000</v>
      </c>
    </row>
    <row r="16" spans="1:2" x14ac:dyDescent="0.25">
      <c r="A16" s="21" t="s">
        <v>41</v>
      </c>
      <c r="B16" s="22">
        <v>100000</v>
      </c>
    </row>
    <row r="17" spans="1:3" x14ac:dyDescent="0.25">
      <c r="A17" s="21" t="s">
        <v>42</v>
      </c>
      <c r="B17" s="22">
        <v>250000</v>
      </c>
    </row>
    <row r="18" spans="1:3" x14ac:dyDescent="0.25">
      <c r="A18" s="21" t="s">
        <v>43</v>
      </c>
      <c r="B18" s="22">
        <v>150000</v>
      </c>
    </row>
    <row r="19" spans="1:3" x14ac:dyDescent="0.25">
      <c r="A19" s="21" t="s">
        <v>44</v>
      </c>
      <c r="B19" s="22">
        <v>250000</v>
      </c>
    </row>
    <row r="20" spans="1:3" x14ac:dyDescent="0.25">
      <c r="A20" s="21" t="s">
        <v>45</v>
      </c>
      <c r="B20" s="22">
        <v>400000</v>
      </c>
    </row>
    <row r="21" spans="1:3" x14ac:dyDescent="0.25">
      <c r="A21" s="21" t="s">
        <v>46</v>
      </c>
      <c r="B21" s="22">
        <v>600000</v>
      </c>
    </row>
    <row r="22" spans="1:3" s="246" customFormat="1" ht="15.75" thickBot="1" x14ac:dyDescent="0.3">
      <c r="A22" s="21" t="s">
        <v>294</v>
      </c>
      <c r="B22" s="22">
        <f>(SUM(B12:B21)+B10)*0.05</f>
        <v>2226350</v>
      </c>
    </row>
    <row r="23" spans="1:3" ht="15.75" thickBot="1" x14ac:dyDescent="0.3">
      <c r="A23" s="26" t="s">
        <v>47</v>
      </c>
      <c r="B23" s="31">
        <f>SUM(B11:B22)</f>
        <v>8786350</v>
      </c>
    </row>
    <row r="24" spans="1:3" ht="6.75" customHeight="1" x14ac:dyDescent="0.25">
      <c r="A24" s="32"/>
      <c r="B24" s="33"/>
    </row>
    <row r="25" spans="1:3" ht="15.75" thickBot="1" x14ac:dyDescent="0.3">
      <c r="A25" s="34" t="s">
        <v>48</v>
      </c>
      <c r="B25" s="35">
        <f>B10+B23</f>
        <v>46753350</v>
      </c>
      <c r="C25" s="36"/>
    </row>
    <row r="26" spans="1:3" ht="5.25" customHeight="1" thickBot="1" x14ac:dyDescent="0.3">
      <c r="C26" s="36"/>
    </row>
    <row r="27" spans="1:3" x14ac:dyDescent="0.25">
      <c r="A27" s="37" t="s">
        <v>219</v>
      </c>
      <c r="B27" s="38">
        <f>1733915.3+500000</f>
        <v>2233915.2999999998</v>
      </c>
    </row>
    <row r="28" spans="1:3" x14ac:dyDescent="0.25">
      <c r="A28" s="41" t="s">
        <v>62</v>
      </c>
      <c r="B28" s="42">
        <f>'OP1,3,8-Project Cost'!I37</f>
        <v>24493632.649999999</v>
      </c>
      <c r="C28" s="43"/>
    </row>
    <row r="29" spans="1:3" ht="15" customHeight="1" thickBot="1" x14ac:dyDescent="0.3">
      <c r="A29" s="47" t="s">
        <v>64</v>
      </c>
      <c r="B29" s="48">
        <f>'OP1,3,8-Project Cost'!I38</f>
        <v>3373448.0985151711</v>
      </c>
    </row>
    <row r="30" spans="1:3" ht="3.75" customHeight="1" x14ac:dyDescent="0.25">
      <c r="A30" s="49"/>
      <c r="B30" s="50"/>
    </row>
    <row r="31" spans="1:3" ht="15.75" thickBot="1" x14ac:dyDescent="0.3">
      <c r="A31" s="51" t="s">
        <v>50</v>
      </c>
      <c r="B31" s="52">
        <f>SUM(B25:B29)</f>
        <v>76854346.048515156</v>
      </c>
      <c r="C31" s="53"/>
    </row>
    <row r="32" spans="1:3" x14ac:dyDescent="0.25">
      <c r="C32" s="54"/>
    </row>
    <row r="33" spans="3:3" x14ac:dyDescent="0.25">
      <c r="C33" s="43"/>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G91"/>
  <sheetViews>
    <sheetView workbookViewId="0">
      <selection sqref="A1:J1"/>
    </sheetView>
  </sheetViews>
  <sheetFormatPr defaultRowHeight="12.75" x14ac:dyDescent="0.2"/>
  <cols>
    <col min="1" max="1" width="4.5703125" style="58" customWidth="1"/>
    <col min="2" max="6" width="12" style="58" customWidth="1"/>
    <col min="7" max="7" width="7" style="58" customWidth="1"/>
    <col min="8" max="8" width="11.28515625" style="58" bestFit="1" customWidth="1"/>
    <col min="9" max="9" width="13.7109375" style="58" customWidth="1"/>
    <col min="10" max="10" width="3.42578125" style="58" customWidth="1"/>
    <col min="11" max="11" width="10.5703125" style="58" customWidth="1"/>
    <col min="12" max="12" width="10.5703125" style="63" customWidth="1"/>
    <col min="13" max="22" width="10.42578125" style="58" customWidth="1"/>
    <col min="23" max="23" width="11.28515625" style="58" customWidth="1"/>
    <col min="24" max="33" width="10.140625" style="58" customWidth="1"/>
    <col min="34" max="16384" width="9.140625" style="58"/>
  </cols>
  <sheetData>
    <row r="1" spans="1:33" ht="21" customHeight="1" thickBot="1" x14ac:dyDescent="0.25">
      <c r="A1" s="669" t="s">
        <v>51</v>
      </c>
      <c r="B1" s="670"/>
      <c r="C1" s="670"/>
      <c r="D1" s="670"/>
      <c r="E1" s="670"/>
      <c r="F1" s="670"/>
      <c r="G1" s="670"/>
      <c r="H1" s="670"/>
      <c r="I1" s="670"/>
      <c r="J1" s="671"/>
      <c r="K1" s="56"/>
      <c r="L1" s="57"/>
    </row>
    <row r="2" spans="1:33" x14ac:dyDescent="0.2">
      <c r="A2" s="59" t="s">
        <v>52</v>
      </c>
      <c r="J2" s="60"/>
      <c r="K2" s="61"/>
      <c r="L2" s="61"/>
      <c r="V2" s="62"/>
    </row>
    <row r="3" spans="1:33" x14ac:dyDescent="0.2">
      <c r="X3" s="64" t="s">
        <v>53</v>
      </c>
      <c r="Y3" s="65"/>
      <c r="Z3" s="65"/>
      <c r="AA3" s="65"/>
      <c r="AB3" s="65"/>
      <c r="AC3" s="65"/>
      <c r="AD3" s="65"/>
      <c r="AE3" s="66"/>
      <c r="AF3" s="67" t="s">
        <v>54</v>
      </c>
      <c r="AG3" s="68">
        <v>2</v>
      </c>
    </row>
    <row r="4" spans="1:33" x14ac:dyDescent="0.2">
      <c r="B4" s="62" t="s">
        <v>55</v>
      </c>
      <c r="X4" s="69">
        <v>1</v>
      </c>
      <c r="Y4" s="70">
        <v>2</v>
      </c>
      <c r="Z4" s="70">
        <v>3</v>
      </c>
      <c r="AA4" s="70">
        <v>4</v>
      </c>
      <c r="AB4" s="70">
        <v>5</v>
      </c>
      <c r="AC4" s="70" t="s">
        <v>56</v>
      </c>
      <c r="AD4" s="71"/>
      <c r="AE4" s="72"/>
      <c r="AF4" s="71" t="s">
        <v>57</v>
      </c>
      <c r="AG4" s="73">
        <v>3</v>
      </c>
    </row>
    <row r="5" spans="1:33" x14ac:dyDescent="0.2">
      <c r="A5" s="672">
        <v>1</v>
      </c>
      <c r="B5" s="74">
        <f>'OP1,3,8-Item Costs'!B27</f>
        <v>2233915.2999999998</v>
      </c>
      <c r="C5" s="75" t="s">
        <v>58</v>
      </c>
      <c r="X5" s="69"/>
      <c r="Y5" s="70"/>
      <c r="Z5" s="70"/>
      <c r="AA5" s="70"/>
      <c r="AB5" s="70"/>
      <c r="AC5" s="70"/>
      <c r="AD5" s="71"/>
      <c r="AE5" s="72"/>
      <c r="AF5" s="71"/>
      <c r="AG5" s="73">
        <v>4</v>
      </c>
    </row>
    <row r="6" spans="1:33" x14ac:dyDescent="0.2">
      <c r="A6" s="673"/>
      <c r="B6" s="74">
        <f>'OP1,3,8-Item Costs'!B10</f>
        <v>37967000</v>
      </c>
      <c r="C6" s="76" t="s">
        <v>59</v>
      </c>
      <c r="X6" s="77">
        <f>B20*B13</f>
        <v>1420630.6936999999</v>
      </c>
      <c r="Y6" s="78">
        <f>C20*$B13</f>
        <v>1255053.7369859999</v>
      </c>
      <c r="Z6" s="78">
        <f>D20*$B13</f>
        <v>18155660.265485998</v>
      </c>
      <c r="AA6" s="78">
        <f>E20*$B13</f>
        <v>21799333.058499999</v>
      </c>
      <c r="AB6" s="78">
        <f>F20*$B13</f>
        <v>6356587.5453279987</v>
      </c>
      <c r="AC6" s="79">
        <f>SUM(X6:AB6)</f>
        <v>48987265.299999997</v>
      </c>
      <c r="AD6" s="71"/>
      <c r="AE6" s="72"/>
      <c r="AF6" s="71"/>
      <c r="AG6" s="73">
        <v>5</v>
      </c>
    </row>
    <row r="7" spans="1:33" x14ac:dyDescent="0.2">
      <c r="A7" s="80"/>
      <c r="X7" s="81">
        <v>0</v>
      </c>
      <c r="Y7" s="82">
        <f>Y6*B28</f>
        <v>0</v>
      </c>
      <c r="Z7" s="82">
        <f>Z6*($B$28*2)</f>
        <v>0</v>
      </c>
      <c r="AA7" s="82">
        <f>AA6*($B$28*3)</f>
        <v>0</v>
      </c>
      <c r="AB7" s="82">
        <f>AB6*($B$28*3)</f>
        <v>0</v>
      </c>
      <c r="AC7" s="83">
        <f>SUM(X7:AB7)</f>
        <v>0</v>
      </c>
      <c r="AD7" s="84" t="s">
        <v>61</v>
      </c>
      <c r="AE7" s="72"/>
      <c r="AF7" s="71"/>
      <c r="AG7" s="85"/>
    </row>
    <row r="8" spans="1:33" ht="9.75" customHeight="1" x14ac:dyDescent="0.25">
      <c r="H8" s="86"/>
      <c r="I8" s="87"/>
      <c r="J8" s="87"/>
      <c r="X8" s="81">
        <f>$B25*SUM(X6:X7)</f>
        <v>710315.34684999997</v>
      </c>
      <c r="Y8" s="82">
        <f>$B25*SUM(Y6:Y7)</f>
        <v>627526.86849299993</v>
      </c>
      <c r="Z8" s="82">
        <f>$B25*SUM(Z6:Z7)</f>
        <v>9077830.1327429991</v>
      </c>
      <c r="AA8" s="82">
        <f>$B25*SUM(AA6:AA7)</f>
        <v>10899666.52925</v>
      </c>
      <c r="AB8" s="82">
        <f>$B25*SUM(AB6:AB7)</f>
        <v>3178293.7726639993</v>
      </c>
      <c r="AC8" s="83">
        <f>SUM(X8:AB8)</f>
        <v>24493632.649999999</v>
      </c>
      <c r="AD8" s="84" t="s">
        <v>62</v>
      </c>
      <c r="AE8" s="71"/>
      <c r="AF8" s="71"/>
      <c r="AG8" s="85"/>
    </row>
    <row r="9" spans="1:33" ht="15" x14ac:dyDescent="0.25">
      <c r="B9" s="88" t="s">
        <v>63</v>
      </c>
      <c r="H9" s="86"/>
      <c r="I9" s="87"/>
      <c r="J9" s="87"/>
      <c r="X9" s="89">
        <f>Y25</f>
        <v>83877.681503646978</v>
      </c>
      <c r="Y9" s="90">
        <f>AA25</f>
        <v>236809.95740030595</v>
      </c>
      <c r="Z9" s="90">
        <f>AC25</f>
        <v>1390362.6588858338</v>
      </c>
      <c r="AA9" s="90">
        <f>AE25</f>
        <v>1287088.5610042382</v>
      </c>
      <c r="AB9" s="90">
        <f>AG25</f>
        <v>375309.23972114583</v>
      </c>
      <c r="AC9" s="83">
        <f>SUM(X9:AB9)</f>
        <v>3373448.0985151711</v>
      </c>
      <c r="AD9" s="84" t="s">
        <v>64</v>
      </c>
      <c r="AE9" s="71"/>
      <c r="AF9" s="71"/>
      <c r="AG9" s="85"/>
    </row>
    <row r="10" spans="1:33" ht="15" x14ac:dyDescent="0.25">
      <c r="A10" s="91">
        <v>2</v>
      </c>
      <c r="B10" s="92">
        <f>'OP1,3,8-Item Costs'!B23</f>
        <v>8786350</v>
      </c>
      <c r="C10" s="75" t="s">
        <v>65</v>
      </c>
      <c r="H10" s="86"/>
      <c r="I10" s="87"/>
      <c r="J10" s="87"/>
      <c r="X10" s="93"/>
      <c r="Y10" s="71"/>
      <c r="Z10" s="71"/>
      <c r="AA10" s="71"/>
      <c r="AB10" s="71"/>
      <c r="AC10" s="94">
        <f>SUM(AC6:AC9)</f>
        <v>76854346.048515156</v>
      </c>
      <c r="AD10" s="71"/>
      <c r="AE10" s="71"/>
      <c r="AF10" s="71"/>
      <c r="AG10" s="85"/>
    </row>
    <row r="11" spans="1:33" ht="15" x14ac:dyDescent="0.25">
      <c r="A11" s="91">
        <v>3</v>
      </c>
      <c r="B11" s="92"/>
      <c r="C11" s="75"/>
      <c r="H11" s="86"/>
      <c r="I11" s="87"/>
      <c r="J11" s="87"/>
      <c r="X11" s="95" t="b">
        <v>0</v>
      </c>
      <c r="Y11" s="71"/>
      <c r="Z11" s="96" t="b">
        <v>0</v>
      </c>
      <c r="AA11" s="71"/>
      <c r="AB11" s="96" t="b">
        <v>1</v>
      </c>
      <c r="AC11" s="71"/>
      <c r="AD11" s="96" t="b">
        <v>1</v>
      </c>
      <c r="AE11" s="71"/>
      <c r="AF11" s="71"/>
      <c r="AG11" s="85"/>
    </row>
    <row r="12" spans="1:33" x14ac:dyDescent="0.2">
      <c r="A12" s="91">
        <v>4</v>
      </c>
      <c r="B12" s="92"/>
      <c r="C12" s="75"/>
      <c r="H12" s="97"/>
      <c r="I12" s="98"/>
      <c r="J12" s="87"/>
      <c r="X12" s="99">
        <f>SUM(X6:X8)</f>
        <v>2130946.04055</v>
      </c>
      <c r="Y12" s="71"/>
      <c r="Z12" s="100">
        <f>SUM(Y6:Y8)</f>
        <v>1882580.6054789997</v>
      </c>
      <c r="AA12" s="71"/>
      <c r="AB12" s="100">
        <f>IF(AND($B$16&gt;2,D20&gt;0),SUM(Z6:Z8),0)</f>
        <v>27233490.398228996</v>
      </c>
      <c r="AC12" s="71"/>
      <c r="AD12" s="101">
        <f>IF(AND($B$16&gt;3,E20&gt;0),SUM(AA6:AA8),0)</f>
        <v>32698999.587749999</v>
      </c>
      <c r="AE12" s="82"/>
      <c r="AF12" s="101">
        <f>IF(AND($B$16&gt;4,F20&gt;0),SUM(AB6:AB8),0)</f>
        <v>9534881.317991998</v>
      </c>
      <c r="AG12" s="102"/>
    </row>
    <row r="13" spans="1:33" x14ac:dyDescent="0.2">
      <c r="B13" s="103">
        <f>SUM($B$5:$B$6)+SUM($B$10:$B$12)</f>
        <v>48987265.299999997</v>
      </c>
      <c r="C13" s="104" t="s">
        <v>66</v>
      </c>
      <c r="X13" s="105">
        <f>X$12/12</f>
        <v>177578.83671249999</v>
      </c>
      <c r="Y13" s="90">
        <f t="shared" ref="Y13:Y24" si="0">X13*(0.0711/12)</f>
        <v>1052.1546075215624</v>
      </c>
      <c r="Z13" s="105">
        <f>IF(X11,(Z$12/12),SUM($X$24:$Y$24)+(Z$12/12))</f>
        <v>2371705.439176898</v>
      </c>
      <c r="AA13" s="90">
        <f t="shared" ref="AA13:AA24" si="1">Z13*(0.0711/12)</f>
        <v>14052.35472712312</v>
      </c>
      <c r="AB13" s="105">
        <f>IF(Z11,IF($B$16&gt;2,(AB$12/12),0),IF($B$16&gt;2,SUM($Z$24:$AA$24)+(AB$12/12),0))</f>
        <v>6603671.8181187045</v>
      </c>
      <c r="AC13" s="90">
        <f t="shared" ref="AC13:AC24" si="2">AB13*(0.0711/12)</f>
        <v>39126.75552235332</v>
      </c>
      <c r="AD13" s="106">
        <f>IF(AB11,IF($B$16&gt;3,(AD$12/12),0),IF($B$16&gt;3,SUM($AB$24:$AC$24)+(AD$12/12),0))</f>
        <v>2724916.6323124999</v>
      </c>
      <c r="AE13" s="90">
        <f t="shared" ref="AE13:AE24" si="3">AD13*(0.0711/12)</f>
        <v>16145.131046451561</v>
      </c>
      <c r="AF13" s="105">
        <f>IF(AD11,IF($B$16&gt;4,(AF$12/12),0),IF($B$16&gt;4,SUM($AD$24:$AE$24)+(AF$12/12),0))</f>
        <v>794573.44316599984</v>
      </c>
      <c r="AG13" s="102">
        <f t="shared" ref="AG13:AG24" si="4">AF13*(0.0711/12)</f>
        <v>4707.8476507585492</v>
      </c>
    </row>
    <row r="14" spans="1:33" x14ac:dyDescent="0.2">
      <c r="X14" s="81">
        <f>(X$12/12)+X13+Y13</f>
        <v>356209.82803252153</v>
      </c>
      <c r="Y14" s="90">
        <f t="shared" si="0"/>
        <v>2110.5432310926899</v>
      </c>
      <c r="Z14" s="81">
        <f>(Z$12/12)+Z13+AA13</f>
        <v>2542639.5110272709</v>
      </c>
      <c r="AA14" s="90">
        <f t="shared" si="1"/>
        <v>15065.13910283658</v>
      </c>
      <c r="AB14" s="81">
        <f>(AB$12/12)+AB13+AC13</f>
        <v>8912256.1068268083</v>
      </c>
      <c r="AC14" s="90">
        <f t="shared" si="2"/>
        <v>52805.117432948835</v>
      </c>
      <c r="AD14" s="81">
        <f>(AD$12/12)+AD13+AE13</f>
        <v>5465978.3956714515</v>
      </c>
      <c r="AE14" s="90">
        <f t="shared" si="3"/>
        <v>32385.92199435335</v>
      </c>
      <c r="AF14" s="81">
        <f>(AF$12/12)+AF13+AG13</f>
        <v>1593854.7339827581</v>
      </c>
      <c r="AG14" s="102">
        <f t="shared" si="4"/>
        <v>9443.5892988478408</v>
      </c>
    </row>
    <row r="15" spans="1:33" x14ac:dyDescent="0.2">
      <c r="B15" s="62" t="s">
        <v>67</v>
      </c>
      <c r="X15" s="81">
        <f>(X$12/12)+X14+Y14</f>
        <v>535899.20797611424</v>
      </c>
      <c r="Y15" s="90">
        <f t="shared" si="0"/>
        <v>3175.2028072584767</v>
      </c>
      <c r="Z15" s="81">
        <f>(Z$12/12)+Z14+AA14</f>
        <v>2714586.3672533575</v>
      </c>
      <c r="AA15" s="90">
        <f t="shared" si="1"/>
        <v>16083.924225976143</v>
      </c>
      <c r="AB15" s="81">
        <f>(AB$12/12)+AB14+AC14</f>
        <v>11234518.757445507</v>
      </c>
      <c r="AC15" s="90">
        <f t="shared" si="2"/>
        <v>66564.523637864622</v>
      </c>
      <c r="AD15" s="81">
        <f t="shared" ref="AD15:AD24" si="5">(AD$12/12)+AD14+AE14</f>
        <v>8223280.949978305</v>
      </c>
      <c r="AE15" s="90">
        <f t="shared" si="3"/>
        <v>48722.939628621454</v>
      </c>
      <c r="AF15" s="81">
        <f t="shared" ref="AF15:AF24" si="6">(AF$12/12)+AF14+AG14</f>
        <v>2397871.766447606</v>
      </c>
      <c r="AG15" s="102">
        <f t="shared" si="4"/>
        <v>14207.390216202066</v>
      </c>
    </row>
    <row r="16" spans="1:33" x14ac:dyDescent="0.2">
      <c r="A16" s="91">
        <v>5</v>
      </c>
      <c r="B16" s="107">
        <v>5</v>
      </c>
      <c r="C16" s="75" t="s">
        <v>68</v>
      </c>
      <c r="X16" s="81">
        <f t="shared" ref="X16:X24" si="7">(X$12/12)+X15+Y15</f>
        <v>716653.24749587267</v>
      </c>
      <c r="Y16" s="90">
        <f t="shared" si="0"/>
        <v>4246.1704914130451</v>
      </c>
      <c r="Z16" s="81">
        <f t="shared" ref="Z16:Z24" si="8">(Z$12/12)+Z15+AA15</f>
        <v>2887552.0086025838</v>
      </c>
      <c r="AA16" s="90">
        <f t="shared" si="1"/>
        <v>17108.745650970308</v>
      </c>
      <c r="AB16" s="81">
        <f t="shared" ref="AB16:AB24" si="9">(AB$12/12)+AB15+AC15</f>
        <v>13570540.814269122</v>
      </c>
      <c r="AC16" s="90">
        <f t="shared" si="2"/>
        <v>80405.454324544538</v>
      </c>
      <c r="AD16" s="81">
        <f t="shared" si="5"/>
        <v>10996920.521919427</v>
      </c>
      <c r="AE16" s="90">
        <f t="shared" si="3"/>
        <v>65156.754092372605</v>
      </c>
      <c r="AF16" s="81">
        <f t="shared" si="6"/>
        <v>3206652.5998298079</v>
      </c>
      <c r="AG16" s="102">
        <f t="shared" si="4"/>
        <v>18999.416653991611</v>
      </c>
    </row>
    <row r="17" spans="1:33" x14ac:dyDescent="0.2">
      <c r="H17" s="238">
        <f>1-G20</f>
        <v>0</v>
      </c>
      <c r="X17" s="81">
        <f t="shared" si="7"/>
        <v>898478.25469978573</v>
      </c>
      <c r="Y17" s="90">
        <f t="shared" si="0"/>
        <v>5323.4836590962304</v>
      </c>
      <c r="Z17" s="81">
        <f t="shared" si="8"/>
        <v>3061542.4713768042</v>
      </c>
      <c r="AA17" s="90">
        <f t="shared" si="1"/>
        <v>18139.639142907563</v>
      </c>
      <c r="AB17" s="81">
        <f t="shared" si="9"/>
        <v>15920403.801779417</v>
      </c>
      <c r="AC17" s="90">
        <f t="shared" si="2"/>
        <v>94328.392525543037</v>
      </c>
      <c r="AD17" s="81">
        <f t="shared" si="5"/>
        <v>13786993.908324301</v>
      </c>
      <c r="AE17" s="90">
        <f t="shared" si="3"/>
        <v>81687.93890682148</v>
      </c>
      <c r="AF17" s="81">
        <f t="shared" si="6"/>
        <v>4020225.4596497994</v>
      </c>
      <c r="AG17" s="102">
        <f t="shared" si="4"/>
        <v>23819.83584842506</v>
      </c>
    </row>
    <row r="18" spans="1:33" x14ac:dyDescent="0.2">
      <c r="B18" s="62" t="s">
        <v>69</v>
      </c>
      <c r="G18" s="108"/>
      <c r="X18" s="81">
        <f t="shared" si="7"/>
        <v>1081380.5750713821</v>
      </c>
      <c r="Y18" s="90">
        <f t="shared" si="0"/>
        <v>6407.1799072979384</v>
      </c>
      <c r="Z18" s="81">
        <f t="shared" si="8"/>
        <v>3236563.8276429619</v>
      </c>
      <c r="AA18" s="90">
        <f t="shared" si="1"/>
        <v>19176.640678784548</v>
      </c>
      <c r="AB18" s="81">
        <f t="shared" si="9"/>
        <v>18284189.727490708</v>
      </c>
      <c r="AC18" s="90">
        <f t="shared" si="2"/>
        <v>108333.82413538244</v>
      </c>
      <c r="AD18" s="81">
        <f t="shared" si="5"/>
        <v>16593598.479543623</v>
      </c>
      <c r="AE18" s="90">
        <f t="shared" si="3"/>
        <v>98317.070991295957</v>
      </c>
      <c r="AF18" s="81">
        <f t="shared" si="6"/>
        <v>4838618.7386642247</v>
      </c>
      <c r="AG18" s="102">
        <f t="shared" si="4"/>
        <v>28668.816026585529</v>
      </c>
    </row>
    <row r="19" spans="1:33" x14ac:dyDescent="0.2">
      <c r="A19" s="674">
        <v>6</v>
      </c>
      <c r="B19" s="109" t="s">
        <v>70</v>
      </c>
      <c r="C19" s="110" t="s">
        <v>71</v>
      </c>
      <c r="D19" s="110" t="s">
        <v>72</v>
      </c>
      <c r="E19" s="110" t="s">
        <v>73</v>
      </c>
      <c r="F19" s="110" t="s">
        <v>74</v>
      </c>
      <c r="G19" s="111"/>
      <c r="X19" s="81">
        <f t="shared" si="7"/>
        <v>1265366.5916911801</v>
      </c>
      <c r="Y19" s="90">
        <f t="shared" si="0"/>
        <v>7497.297055770242</v>
      </c>
      <c r="Z19" s="81">
        <f t="shared" si="8"/>
        <v>3412622.1854449962</v>
      </c>
      <c r="AA19" s="90">
        <f t="shared" si="1"/>
        <v>20219.786448761603</v>
      </c>
      <c r="AB19" s="81">
        <f t="shared" si="9"/>
        <v>20661981.08481184</v>
      </c>
      <c r="AC19" s="90">
        <f t="shared" si="2"/>
        <v>122422.23792751014</v>
      </c>
      <c r="AD19" s="81">
        <f t="shared" si="5"/>
        <v>19416832.182847418</v>
      </c>
      <c r="AE19" s="90">
        <f t="shared" si="3"/>
        <v>115044.73068337094</v>
      </c>
      <c r="AF19" s="81">
        <f t="shared" si="6"/>
        <v>5661860.9978568098</v>
      </c>
      <c r="AG19" s="102">
        <f t="shared" si="4"/>
        <v>33546.526412301595</v>
      </c>
    </row>
    <row r="20" spans="1:33" ht="15" x14ac:dyDescent="0.25">
      <c r="A20" s="674"/>
      <c r="B20" s="112">
        <v>2.9000000000000001E-2</v>
      </c>
      <c r="C20" s="112">
        <v>2.562E-2</v>
      </c>
      <c r="D20" s="112">
        <v>0.37062</v>
      </c>
      <c r="E20" s="112">
        <v>0.44500000000000001</v>
      </c>
      <c r="F20" s="113">
        <v>0.12975999999999999</v>
      </c>
      <c r="G20" s="114">
        <f>SUM(B20:F20)</f>
        <v>1</v>
      </c>
      <c r="H20" s="80" t="s">
        <v>75</v>
      </c>
      <c r="X20" s="81">
        <f t="shared" si="7"/>
        <v>1450442.7254594504</v>
      </c>
      <c r="Y20" s="90">
        <f t="shared" si="0"/>
        <v>8593.8731483472438</v>
      </c>
      <c r="Z20" s="81">
        <f t="shared" si="8"/>
        <v>3589723.6890170081</v>
      </c>
      <c r="AA20" s="90">
        <f t="shared" si="1"/>
        <v>21269.112857425771</v>
      </c>
      <c r="AB20" s="81">
        <f t="shared" si="9"/>
        <v>23053860.855925102</v>
      </c>
      <c r="AC20" s="90">
        <f t="shared" si="2"/>
        <v>136594.12557135621</v>
      </c>
      <c r="AD20" s="81">
        <f t="shared" si="5"/>
        <v>22256793.545843288</v>
      </c>
      <c r="AE20" s="90">
        <f t="shared" si="3"/>
        <v>131871.50175912149</v>
      </c>
      <c r="AF20" s="81">
        <f t="shared" si="6"/>
        <v>6489980.9674351113</v>
      </c>
      <c r="AG20" s="102">
        <f t="shared" si="4"/>
        <v>38453.137232053035</v>
      </c>
    </row>
    <row r="21" spans="1:33" ht="2.25" customHeight="1" x14ac:dyDescent="0.2">
      <c r="G21" s="115"/>
      <c r="X21" s="81">
        <f t="shared" si="7"/>
        <v>1636615.4353202977</v>
      </c>
      <c r="Y21" s="90">
        <f t="shared" si="0"/>
        <v>9696.9464542727637</v>
      </c>
      <c r="Z21" s="81">
        <f t="shared" si="8"/>
        <v>3767874.5189976837</v>
      </c>
      <c r="AA21" s="90">
        <f t="shared" si="1"/>
        <v>22324.656525061273</v>
      </c>
      <c r="AB21" s="81">
        <f t="shared" si="9"/>
        <v>25459912.514682207</v>
      </c>
      <c r="AC21" s="90">
        <f t="shared" si="2"/>
        <v>150849.98164949208</v>
      </c>
      <c r="AD21" s="81">
        <f t="shared" si="5"/>
        <v>25113581.67991491</v>
      </c>
      <c r="AE21" s="90">
        <f t="shared" si="3"/>
        <v>148797.97145349585</v>
      </c>
      <c r="AF21" s="81">
        <f t="shared" si="6"/>
        <v>7323007.5478331642</v>
      </c>
      <c r="AG21" s="102">
        <f t="shared" si="4"/>
        <v>43388.819720911495</v>
      </c>
    </row>
    <row r="22" spans="1:33" ht="12.75" customHeight="1" x14ac:dyDescent="0.2">
      <c r="A22" s="116">
        <v>7</v>
      </c>
      <c r="B22" s="117" t="s">
        <v>54</v>
      </c>
      <c r="C22" s="117"/>
      <c r="D22" s="117"/>
      <c r="E22" s="117"/>
      <c r="F22" s="118" t="s">
        <v>76</v>
      </c>
      <c r="G22" s="115"/>
      <c r="X22" s="81">
        <f t="shared" si="7"/>
        <v>1823891.2184870706</v>
      </c>
      <c r="Y22" s="90">
        <f t="shared" si="0"/>
        <v>10806.555469535893</v>
      </c>
      <c r="Z22" s="81">
        <f t="shared" si="8"/>
        <v>3947080.8926459951</v>
      </c>
      <c r="AA22" s="90">
        <f t="shared" si="1"/>
        <v>23386.454288927522</v>
      </c>
      <c r="AB22" s="81">
        <f t="shared" si="9"/>
        <v>27880220.029517449</v>
      </c>
      <c r="AC22" s="90">
        <f t="shared" si="2"/>
        <v>165190.30367489089</v>
      </c>
      <c r="AD22" s="81">
        <f t="shared" si="5"/>
        <v>27987296.283680905</v>
      </c>
      <c r="AE22" s="90">
        <f t="shared" si="3"/>
        <v>165824.73048080935</v>
      </c>
      <c r="AF22" s="81">
        <f t="shared" si="6"/>
        <v>8160969.8107200759</v>
      </c>
      <c r="AG22" s="102">
        <f t="shared" si="4"/>
        <v>48353.746128516446</v>
      </c>
    </row>
    <row r="23" spans="1:33" ht="15" customHeight="1" x14ac:dyDescent="0.25">
      <c r="G23" s="115"/>
      <c r="M23" s="246"/>
      <c r="N23" s="246"/>
      <c r="X23" s="81">
        <f t="shared" si="7"/>
        <v>2012276.6106691067</v>
      </c>
      <c r="Y23" s="90">
        <f t="shared" si="0"/>
        <v>11922.738918214456</v>
      </c>
      <c r="Z23" s="81">
        <f t="shared" si="8"/>
        <v>4127349.0640581725</v>
      </c>
      <c r="AA23" s="90">
        <f t="shared" si="1"/>
        <v>24454.543204544672</v>
      </c>
      <c r="AB23" s="81">
        <f t="shared" si="9"/>
        <v>30314867.866378091</v>
      </c>
      <c r="AC23" s="90">
        <f t="shared" si="2"/>
        <v>179615.59210829018</v>
      </c>
      <c r="AD23" s="81">
        <f t="shared" si="5"/>
        <v>30878037.646474212</v>
      </c>
      <c r="AE23" s="90">
        <f t="shared" si="3"/>
        <v>182952.3730553597</v>
      </c>
      <c r="AF23" s="81">
        <f t="shared" si="6"/>
        <v>9003897.000014592</v>
      </c>
      <c r="AG23" s="102">
        <f t="shared" si="4"/>
        <v>53348.089725086458</v>
      </c>
    </row>
    <row r="24" spans="1:33" ht="15" customHeight="1" x14ac:dyDescent="0.3">
      <c r="B24" s="62" t="s">
        <v>77</v>
      </c>
      <c r="L24" s="248" t="s">
        <v>242</v>
      </c>
      <c r="M24" s="246"/>
      <c r="N24" s="246"/>
      <c r="X24" s="81">
        <f t="shared" si="7"/>
        <v>2201778.1862998214</v>
      </c>
      <c r="Y24" s="90">
        <f t="shared" si="0"/>
        <v>13045.535753826442</v>
      </c>
      <c r="Z24" s="81">
        <f t="shared" si="8"/>
        <v>4308685.3243859671</v>
      </c>
      <c r="AA24" s="90">
        <f t="shared" si="1"/>
        <v>25528.960546986855</v>
      </c>
      <c r="AB24" s="81">
        <f t="shared" si="9"/>
        <v>32763940.991672132</v>
      </c>
      <c r="AC24" s="90">
        <f t="shared" si="2"/>
        <v>194126.35037565738</v>
      </c>
      <c r="AD24" s="81">
        <f t="shared" si="5"/>
        <v>33785906.651842073</v>
      </c>
      <c r="AE24" s="90">
        <f t="shared" si="3"/>
        <v>200181.49691216426</v>
      </c>
      <c r="AF24" s="81">
        <f t="shared" si="6"/>
        <v>9851818.5329056773</v>
      </c>
      <c r="AG24" s="102">
        <f t="shared" si="4"/>
        <v>58372.024807466136</v>
      </c>
    </row>
    <row r="25" spans="1:33" ht="15" x14ac:dyDescent="0.25">
      <c r="A25" s="91">
        <v>8</v>
      </c>
      <c r="B25" s="119">
        <v>0.5</v>
      </c>
      <c r="L25" s="247" t="s">
        <v>243</v>
      </c>
      <c r="M25" s="246"/>
      <c r="N25" s="246"/>
      <c r="X25" s="120" t="s">
        <v>78</v>
      </c>
      <c r="Y25" s="121">
        <f>SUM(Y13:Y24)</f>
        <v>83877.681503646978</v>
      </c>
      <c r="Z25" s="122"/>
      <c r="AA25" s="121">
        <f>SUM(AA13:AA24)</f>
        <v>236809.95740030595</v>
      </c>
      <c r="AB25" s="122"/>
      <c r="AC25" s="121">
        <f>SUM(AC13:AC24)</f>
        <v>1390362.6588858338</v>
      </c>
      <c r="AD25" s="122"/>
      <c r="AE25" s="121">
        <f>SUM(AE13:AE24)</f>
        <v>1287088.5610042382</v>
      </c>
      <c r="AF25" s="122"/>
      <c r="AG25" s="123">
        <f>SUM(AG13:AG24)</f>
        <v>375309.23972114583</v>
      </c>
    </row>
    <row r="26" spans="1:33" ht="15" x14ac:dyDescent="0.25">
      <c r="L26" s="246"/>
      <c r="M26" s="249">
        <v>0.53559999999999997</v>
      </c>
      <c r="N26" s="250" t="s">
        <v>244</v>
      </c>
    </row>
    <row r="27" spans="1:33" ht="15" x14ac:dyDescent="0.25">
      <c r="B27" s="62" t="s">
        <v>79</v>
      </c>
      <c r="L27" s="246"/>
      <c r="M27" s="249">
        <v>0.51049999999999995</v>
      </c>
      <c r="N27" s="250" t="s">
        <v>245</v>
      </c>
    </row>
    <row r="28" spans="1:33" ht="15" x14ac:dyDescent="0.25">
      <c r="A28" s="91">
        <v>9</v>
      </c>
      <c r="B28" s="119"/>
      <c r="L28" s="246"/>
      <c r="M28" s="249">
        <v>0.51670000000000005</v>
      </c>
      <c r="N28" s="250" t="s">
        <v>246</v>
      </c>
      <c r="O28" s="124"/>
      <c r="P28" s="124"/>
      <c r="Q28" s="124"/>
      <c r="R28" s="124"/>
      <c r="S28" s="124"/>
      <c r="T28" s="124"/>
      <c r="U28" s="124"/>
      <c r="V28" s="124"/>
      <c r="W28" s="124"/>
      <c r="X28" s="124"/>
      <c r="Y28" s="124"/>
      <c r="Z28" s="124"/>
      <c r="AA28" s="124"/>
    </row>
    <row r="29" spans="1:33" ht="15" x14ac:dyDescent="0.25">
      <c r="A29" s="80" t="s">
        <v>80</v>
      </c>
      <c r="L29" s="246"/>
      <c r="M29" s="249">
        <v>0.52900000000000003</v>
      </c>
      <c r="N29" s="250" t="s">
        <v>247</v>
      </c>
      <c r="O29" s="124"/>
      <c r="P29" s="124"/>
      <c r="Q29" s="124"/>
      <c r="R29" s="124"/>
      <c r="S29" s="124"/>
      <c r="T29" s="124"/>
      <c r="U29" s="124"/>
      <c r="V29" s="124"/>
      <c r="W29" s="124"/>
      <c r="X29" s="124"/>
      <c r="Y29" s="124"/>
      <c r="Z29" s="124"/>
      <c r="AA29" s="124"/>
    </row>
    <row r="30" spans="1:33" ht="15" x14ac:dyDescent="0.25">
      <c r="L30" s="246"/>
      <c r="M30" s="249">
        <v>0.48599999999999999</v>
      </c>
      <c r="N30" s="250" t="s">
        <v>248</v>
      </c>
      <c r="O30" s="124"/>
      <c r="P30" s="124"/>
      <c r="Q30" s="124"/>
      <c r="R30" s="124"/>
      <c r="S30" s="124"/>
      <c r="T30" s="124"/>
      <c r="U30" s="124"/>
      <c r="V30" s="124"/>
      <c r="W30" s="124"/>
      <c r="X30" s="124"/>
      <c r="Y30" s="124"/>
      <c r="Z30" s="124"/>
      <c r="AA30" s="124"/>
    </row>
    <row r="31" spans="1:33" ht="15.75" thickBot="1" x14ac:dyDescent="0.3">
      <c r="L31" s="246"/>
      <c r="M31" s="254">
        <f>AVERAGE(M26:M30)</f>
        <v>0.51556000000000002</v>
      </c>
      <c r="N31" s="250" t="s">
        <v>254</v>
      </c>
      <c r="O31" s="124"/>
      <c r="P31" s="124"/>
      <c r="Q31" s="124"/>
      <c r="R31" s="124"/>
      <c r="S31" s="124"/>
      <c r="T31" s="124"/>
      <c r="U31" s="124"/>
      <c r="V31" s="124"/>
      <c r="W31" s="124"/>
      <c r="X31" s="124"/>
      <c r="Y31" s="124"/>
      <c r="Z31" s="124"/>
      <c r="AA31" s="124"/>
    </row>
    <row r="32" spans="1:33" ht="15.75" x14ac:dyDescent="0.25">
      <c r="B32" s="675" t="s">
        <v>81</v>
      </c>
      <c r="C32" s="676"/>
      <c r="D32" s="676"/>
      <c r="E32" s="676"/>
      <c r="F32" s="676"/>
      <c r="G32" s="676"/>
      <c r="H32" s="676"/>
      <c r="I32" s="676"/>
      <c r="J32" s="677"/>
      <c r="L32" s="246"/>
      <c r="M32" s="245">
        <v>0.5</v>
      </c>
      <c r="N32" s="251" t="s">
        <v>249</v>
      </c>
    </row>
    <row r="33" spans="2:21" ht="18" customHeight="1" x14ac:dyDescent="0.25">
      <c r="B33" s="678" t="s">
        <v>82</v>
      </c>
      <c r="C33" s="665"/>
      <c r="D33" s="125"/>
      <c r="E33" s="125"/>
      <c r="F33" s="125"/>
      <c r="G33" s="125"/>
      <c r="H33" s="666" t="s">
        <v>83</v>
      </c>
      <c r="I33" s="666"/>
      <c r="J33" s="126"/>
      <c r="L33" s="246"/>
    </row>
    <row r="34" spans="2:21" x14ac:dyDescent="0.2">
      <c r="B34" s="127" t="s">
        <v>111</v>
      </c>
      <c r="C34" s="128" t="s">
        <v>21</v>
      </c>
      <c r="D34" s="128" t="s">
        <v>22</v>
      </c>
      <c r="E34" s="128" t="s">
        <v>23</v>
      </c>
      <c r="F34" s="128" t="s">
        <v>24</v>
      </c>
      <c r="G34" s="125"/>
      <c r="H34" s="125"/>
      <c r="I34" s="125"/>
      <c r="J34" s="126"/>
    </row>
    <row r="35" spans="2:21" x14ac:dyDescent="0.2">
      <c r="B35" s="129">
        <f t="shared" ref="B35:F38" si="10">X6</f>
        <v>1420630.6936999999</v>
      </c>
      <c r="C35" s="130">
        <f>Y6</f>
        <v>1255053.7369859999</v>
      </c>
      <c r="D35" s="130">
        <f t="shared" si="10"/>
        <v>18155660.265485998</v>
      </c>
      <c r="E35" s="130">
        <f t="shared" si="10"/>
        <v>21799333.058499999</v>
      </c>
      <c r="F35" s="130">
        <f t="shared" si="10"/>
        <v>6356587.5453279987</v>
      </c>
      <c r="G35" s="665" t="s">
        <v>30</v>
      </c>
      <c r="H35" s="665"/>
      <c r="I35" s="131">
        <f>AC6</f>
        <v>48987265.299999997</v>
      </c>
      <c r="J35" s="126"/>
    </row>
    <row r="36" spans="2:21" x14ac:dyDescent="0.2">
      <c r="B36" s="129">
        <f t="shared" si="10"/>
        <v>0</v>
      </c>
      <c r="C36" s="130">
        <f t="shared" si="10"/>
        <v>0</v>
      </c>
      <c r="D36" s="130">
        <f t="shared" si="10"/>
        <v>0</v>
      </c>
      <c r="E36" s="130">
        <f t="shared" si="10"/>
        <v>0</v>
      </c>
      <c r="F36" s="130">
        <f t="shared" si="10"/>
        <v>0</v>
      </c>
      <c r="G36" s="665" t="s">
        <v>61</v>
      </c>
      <c r="H36" s="665" t="s">
        <v>61</v>
      </c>
      <c r="I36" s="131">
        <f>AC7</f>
        <v>0</v>
      </c>
      <c r="J36" s="126"/>
    </row>
    <row r="37" spans="2:21" ht="15" x14ac:dyDescent="0.25">
      <c r="B37" s="129">
        <f t="shared" si="10"/>
        <v>710315.34684999997</v>
      </c>
      <c r="C37" s="130">
        <f t="shared" si="10"/>
        <v>627526.86849299993</v>
      </c>
      <c r="D37" s="130">
        <f t="shared" si="10"/>
        <v>9077830.1327429991</v>
      </c>
      <c r="E37" s="130">
        <f t="shared" si="10"/>
        <v>10899666.52925</v>
      </c>
      <c r="F37" s="130">
        <f t="shared" si="10"/>
        <v>3178293.7726639993</v>
      </c>
      <c r="G37" s="665" t="s">
        <v>62</v>
      </c>
      <c r="H37" s="665" t="s">
        <v>62</v>
      </c>
      <c r="I37" s="131">
        <f>AC8</f>
        <v>24493632.649999999</v>
      </c>
      <c r="J37" s="126"/>
      <c r="K37" s="132"/>
      <c r="L37" s="133"/>
      <c r="M37" s="134"/>
      <c r="N37" s="134"/>
      <c r="O37" s="134"/>
      <c r="P37" s="134"/>
      <c r="Q37" s="134"/>
      <c r="R37" s="134"/>
      <c r="S37" s="134"/>
      <c r="T37" s="134"/>
      <c r="U37" s="135"/>
    </row>
    <row r="38" spans="2:21" x14ac:dyDescent="0.2">
      <c r="B38" s="129">
        <f t="shared" si="10"/>
        <v>83877.681503646978</v>
      </c>
      <c r="C38" s="130">
        <f t="shared" si="10"/>
        <v>236809.95740030595</v>
      </c>
      <c r="D38" s="130">
        <f t="shared" si="10"/>
        <v>1390362.6588858338</v>
      </c>
      <c r="E38" s="130">
        <f t="shared" si="10"/>
        <v>1287088.5610042382</v>
      </c>
      <c r="F38" s="130">
        <f t="shared" si="10"/>
        <v>375309.23972114583</v>
      </c>
      <c r="G38" s="665" t="s">
        <v>84</v>
      </c>
      <c r="H38" s="665" t="s">
        <v>85</v>
      </c>
      <c r="I38" s="131">
        <f>AC9</f>
        <v>3373448.0985151711</v>
      </c>
      <c r="J38" s="126"/>
      <c r="L38" s="136"/>
      <c r="M38" s="87"/>
      <c r="N38" s="87"/>
      <c r="O38" s="87"/>
      <c r="P38" s="87"/>
      <c r="Q38" s="87"/>
      <c r="R38" s="87"/>
      <c r="S38" s="87"/>
      <c r="T38" s="87"/>
      <c r="U38" s="87"/>
    </row>
    <row r="39" spans="2:21" ht="6" customHeight="1" x14ac:dyDescent="0.2">
      <c r="B39" s="137"/>
      <c r="C39" s="125"/>
      <c r="D39" s="125"/>
      <c r="E39" s="125"/>
      <c r="F39" s="125"/>
      <c r="G39" s="125"/>
      <c r="H39" s="125"/>
      <c r="I39" s="125"/>
      <c r="J39" s="126"/>
      <c r="L39" s="136"/>
      <c r="M39" s="87"/>
      <c r="N39" s="87"/>
      <c r="O39" s="87"/>
      <c r="P39" s="87"/>
      <c r="Q39" s="87"/>
      <c r="R39" s="87"/>
      <c r="S39" s="87"/>
      <c r="T39" s="87"/>
      <c r="U39" s="87"/>
    </row>
    <row r="40" spans="2:21" ht="15.75" thickBot="1" x14ac:dyDescent="0.3">
      <c r="B40" s="138">
        <f>SUM(B35:B38)</f>
        <v>2214823.722053647</v>
      </c>
      <c r="C40" s="139">
        <f>SUM(C35:C38)</f>
        <v>2119390.5628793058</v>
      </c>
      <c r="D40" s="139">
        <f>SUM(D35:D38)</f>
        <v>28623853.057114828</v>
      </c>
      <c r="E40" s="139">
        <f>SUM(E35:E38)</f>
        <v>33986088.148754239</v>
      </c>
      <c r="F40" s="139">
        <f>SUM(F35:F38)</f>
        <v>9910190.5577131435</v>
      </c>
      <c r="G40" s="666" t="s">
        <v>56</v>
      </c>
      <c r="H40" s="666"/>
      <c r="I40" s="140">
        <f>SUM(I35:I38)</f>
        <v>76854346.048515156</v>
      </c>
      <c r="J40" s="126"/>
      <c r="L40" s="133"/>
      <c r="M40" s="134"/>
      <c r="N40" s="134"/>
      <c r="O40" s="134"/>
      <c r="P40" s="134"/>
      <c r="Q40" s="134"/>
      <c r="R40" s="134"/>
      <c r="S40" s="134"/>
      <c r="T40" s="134"/>
      <c r="U40" s="135"/>
    </row>
    <row r="41" spans="2:21" ht="16.5" thickTop="1" thickBot="1" x14ac:dyDescent="0.3">
      <c r="B41" s="141"/>
      <c r="C41" s="142"/>
      <c r="D41" s="142"/>
      <c r="E41" s="142"/>
      <c r="F41" s="142"/>
      <c r="G41" s="142"/>
      <c r="H41" s="142"/>
      <c r="I41" s="142"/>
      <c r="J41" s="143"/>
      <c r="L41" s="133"/>
      <c r="M41" s="144"/>
      <c r="N41" s="144"/>
      <c r="O41" s="144"/>
      <c r="P41" s="144"/>
      <c r="Q41" s="144"/>
      <c r="R41" s="144"/>
      <c r="S41" s="144"/>
      <c r="T41" s="144"/>
      <c r="U41" s="145"/>
    </row>
    <row r="42" spans="2:21" x14ac:dyDescent="0.2">
      <c r="B42" s="236"/>
      <c r="C42" s="236"/>
      <c r="D42" s="236"/>
      <c r="E42" s="236"/>
      <c r="F42" s="236"/>
      <c r="L42" s="133"/>
      <c r="M42" s="87"/>
      <c r="N42" s="87"/>
      <c r="O42" s="87"/>
      <c r="P42" s="87"/>
      <c r="Q42" s="87"/>
      <c r="R42" s="87"/>
      <c r="S42" s="87"/>
      <c r="T42" s="87"/>
      <c r="U42" s="135"/>
    </row>
    <row r="43" spans="2:21" x14ac:dyDescent="0.2">
      <c r="F43" s="62"/>
      <c r="L43" s="136"/>
      <c r="M43" s="87"/>
      <c r="N43" s="87"/>
      <c r="O43" s="98"/>
      <c r="P43" s="98"/>
      <c r="Q43" s="98"/>
      <c r="R43" s="98"/>
      <c r="S43" s="98"/>
      <c r="T43" s="98"/>
      <c r="U43" s="135"/>
    </row>
    <row r="44" spans="2:21" x14ac:dyDescent="0.2">
      <c r="B44" s="237">
        <v>2214401</v>
      </c>
      <c r="D44" s="239">
        <f>D35+C35+B35</f>
        <v>20831344.696171999</v>
      </c>
      <c r="F44" s="239">
        <f>E35+F35</f>
        <v>28155920.603827998</v>
      </c>
    </row>
    <row r="46" spans="2:21" x14ac:dyDescent="0.2">
      <c r="D46" s="461">
        <f>SUM(B40:D40)</f>
        <v>32958067.342047781</v>
      </c>
      <c r="F46" s="461">
        <f>SUM(E40:F40)</f>
        <v>43896278.706467383</v>
      </c>
    </row>
    <row r="66" spans="2:14" x14ac:dyDescent="0.2">
      <c r="B66" s="667" t="s">
        <v>86</v>
      </c>
      <c r="C66" s="668"/>
      <c r="D66" s="668"/>
      <c r="E66" s="146"/>
      <c r="F66" s="146"/>
      <c r="G66" s="146"/>
      <c r="H66" s="146"/>
      <c r="I66" s="146"/>
      <c r="J66" s="147"/>
      <c r="L66" s="663" t="s">
        <v>87</v>
      </c>
      <c r="M66" s="664"/>
      <c r="N66" s="147"/>
    </row>
    <row r="67" spans="2:14" x14ac:dyDescent="0.2">
      <c r="B67" s="148"/>
      <c r="C67" s="149"/>
      <c r="D67" s="149"/>
      <c r="E67" s="149"/>
      <c r="F67" s="150">
        <f>F69/$I69</f>
        <v>0.3038166462510476</v>
      </c>
      <c r="G67" s="150">
        <f>G69/$I69</f>
        <v>0.54125029548922265</v>
      </c>
      <c r="H67" s="150">
        <f>H69/$I69</f>
        <v>0.15493305825972964</v>
      </c>
      <c r="I67" s="149"/>
      <c r="J67" s="151"/>
      <c r="L67" s="152"/>
      <c r="M67" s="153"/>
      <c r="N67" s="151"/>
    </row>
    <row r="68" spans="2:14" ht="15" x14ac:dyDescent="0.25">
      <c r="B68" s="154">
        <v>41602063</v>
      </c>
      <c r="C68" s="149"/>
      <c r="D68" s="149"/>
      <c r="E68" s="149"/>
      <c r="F68" s="155">
        <v>28275000</v>
      </c>
      <c r="G68" s="155">
        <v>50372000</v>
      </c>
      <c r="H68" s="155">
        <v>14419000</v>
      </c>
      <c r="I68" s="156">
        <f>SUM(F68:H68)</f>
        <v>93066000</v>
      </c>
      <c r="J68" s="151"/>
      <c r="L68" s="148" t="s">
        <v>88</v>
      </c>
      <c r="M68" s="155">
        <v>131440</v>
      </c>
      <c r="N68" s="151"/>
    </row>
    <row r="69" spans="2:14" ht="15" x14ac:dyDescent="0.25">
      <c r="B69" s="154">
        <v>4712741</v>
      </c>
      <c r="C69" s="149"/>
      <c r="D69" s="149"/>
      <c r="E69" s="149"/>
      <c r="F69" s="155">
        <f>F68/1.5227</f>
        <v>18568989.295330662</v>
      </c>
      <c r="G69" s="155">
        <f>G68/1.5227</f>
        <v>33080711.893347345</v>
      </c>
      <c r="H69" s="155">
        <f>H68/1.5227</f>
        <v>9469363.6303933803</v>
      </c>
      <c r="I69" s="156">
        <f>SUM(F69:H69)</f>
        <v>61119064.81907139</v>
      </c>
      <c r="J69" s="151"/>
      <c r="L69" s="148" t="s">
        <v>89</v>
      </c>
      <c r="M69" s="155">
        <v>469601</v>
      </c>
      <c r="N69" s="151"/>
    </row>
    <row r="70" spans="2:14" ht="15" x14ac:dyDescent="0.25">
      <c r="B70" s="154">
        <v>2639135</v>
      </c>
      <c r="C70" s="157">
        <f>SUM(B68:B70)</f>
        <v>48953939</v>
      </c>
      <c r="D70" s="149"/>
      <c r="E70" s="149"/>
      <c r="F70" s="149"/>
      <c r="G70" s="149"/>
      <c r="H70" s="149"/>
      <c r="I70" s="158"/>
      <c r="J70" s="151"/>
      <c r="L70" s="148" t="s">
        <v>90</v>
      </c>
      <c r="M70" s="155">
        <v>312802</v>
      </c>
      <c r="N70" s="151"/>
    </row>
    <row r="71" spans="2:14" ht="15" x14ac:dyDescent="0.25">
      <c r="B71" s="154">
        <f>SUM(B68:B70)*0.07</f>
        <v>3426775.7300000004</v>
      </c>
      <c r="C71" s="159">
        <v>7.0000000000000007E-2</v>
      </c>
      <c r="D71" s="149"/>
      <c r="E71" s="149"/>
      <c r="F71" s="160">
        <f>$J71*F67</f>
        <v>25439515.334603008</v>
      </c>
      <c r="G71" s="160">
        <f>$J71*G67</f>
        <v>45320575.293885864</v>
      </c>
      <c r="H71" s="160">
        <f>$J71*H67</f>
        <v>12973028.173638931</v>
      </c>
      <c r="I71" s="161">
        <f>SUM(F71:H71)</f>
        <v>83733118.802127793</v>
      </c>
      <c r="J71" s="162">
        <f>I69*1.37</f>
        <v>83733118.802127808</v>
      </c>
      <c r="L71" s="148" t="s">
        <v>91</v>
      </c>
      <c r="M71" s="155">
        <v>281380</v>
      </c>
      <c r="N71" s="163">
        <v>0.6</v>
      </c>
    </row>
    <row r="72" spans="2:14" ht="15" x14ac:dyDescent="0.25">
      <c r="B72" s="154">
        <f>SUM(B68:B71)*0.02</f>
        <v>1047614.2946000001</v>
      </c>
      <c r="C72" s="159">
        <v>0.02</v>
      </c>
      <c r="D72" s="149"/>
      <c r="E72" s="149"/>
      <c r="F72" s="164">
        <f>F71*1.5227</f>
        <v>38736750</v>
      </c>
      <c r="G72" s="164">
        <f>G71*1.5227</f>
        <v>69009640</v>
      </c>
      <c r="H72" s="164">
        <f>H71*1.5227</f>
        <v>19754030</v>
      </c>
      <c r="I72" s="165">
        <f>I71*1.5227</f>
        <v>127500419.99999999</v>
      </c>
      <c r="J72" s="151"/>
      <c r="L72" s="148" t="s">
        <v>92</v>
      </c>
      <c r="M72" s="155">
        <v>2231569</v>
      </c>
      <c r="N72" s="163">
        <v>0.6</v>
      </c>
    </row>
    <row r="73" spans="2:14" ht="15" x14ac:dyDescent="0.25">
      <c r="B73" s="166">
        <f>SUM(B71:B72)</f>
        <v>4474390.0246000011</v>
      </c>
      <c r="C73" s="149"/>
      <c r="D73" s="149"/>
      <c r="E73" s="164"/>
      <c r="F73" s="167">
        <v>28737000</v>
      </c>
      <c r="G73" s="168">
        <v>49010000</v>
      </c>
      <c r="H73" s="168">
        <v>49753420</v>
      </c>
      <c r="I73" s="164">
        <f>I72-SUM(E73:H73)</f>
        <v>0</v>
      </c>
      <c r="J73" s="151"/>
      <c r="L73" s="148" t="s">
        <v>93</v>
      </c>
      <c r="M73" s="155">
        <v>707673</v>
      </c>
      <c r="N73" s="163">
        <v>0.8</v>
      </c>
    </row>
    <row r="74" spans="2:14" x14ac:dyDescent="0.2">
      <c r="B74" s="154">
        <f>B73*0.1</f>
        <v>447439.00246000011</v>
      </c>
      <c r="C74" s="149" t="s">
        <v>94</v>
      </c>
      <c r="D74" s="149"/>
      <c r="E74" s="149"/>
      <c r="F74" s="149"/>
      <c r="G74" s="149"/>
      <c r="H74" s="149"/>
      <c r="I74" s="149"/>
      <c r="J74" s="151"/>
      <c r="L74" s="148" t="s">
        <v>66</v>
      </c>
      <c r="M74" s="156">
        <f>SUM(M68:M70)+(M71*N71)+(M72*N72)+(M73*N73)</f>
        <v>2987750.8</v>
      </c>
      <c r="N74" s="151"/>
    </row>
    <row r="75" spans="2:14" ht="15" x14ac:dyDescent="0.25">
      <c r="B75" s="154">
        <f>SUM(B73:B74)*0.5227</f>
        <v>2572640.0324442629</v>
      </c>
      <c r="C75" s="149" t="s">
        <v>95</v>
      </c>
      <c r="D75" s="169">
        <f>B73+B74</f>
        <v>4921829.0270600012</v>
      </c>
      <c r="E75" s="155">
        <f>SUM(E77:E88)</f>
        <v>4921829.0270600021</v>
      </c>
      <c r="F75" s="149"/>
      <c r="G75" s="149"/>
      <c r="H75" s="149"/>
      <c r="I75" s="149"/>
      <c r="J75" s="151"/>
      <c r="L75" s="148" t="s">
        <v>96</v>
      </c>
      <c r="M75" s="156">
        <v>8075641</v>
      </c>
      <c r="N75" s="151"/>
    </row>
    <row r="76" spans="2:14" ht="15" x14ac:dyDescent="0.25">
      <c r="B76" s="154">
        <f>G89</f>
        <v>188054.88407558424</v>
      </c>
      <c r="C76" s="149" t="s">
        <v>97</v>
      </c>
      <c r="D76" s="149"/>
      <c r="E76" s="149"/>
      <c r="F76" s="149"/>
      <c r="G76" s="149"/>
      <c r="H76" s="149"/>
      <c r="I76" s="149"/>
      <c r="J76" s="151"/>
      <c r="L76" s="148"/>
      <c r="M76" s="155"/>
      <c r="N76" s="151"/>
    </row>
    <row r="77" spans="2:14" ht="15" x14ac:dyDescent="0.25">
      <c r="B77" s="166">
        <f>B73+B74+B75+B76</f>
        <v>7682523.9435798479</v>
      </c>
      <c r="C77" s="158" t="s">
        <v>98</v>
      </c>
      <c r="D77" s="149"/>
      <c r="E77" s="155">
        <f>$D$75*0.05</f>
        <v>246091.45135300007</v>
      </c>
      <c r="F77" s="170">
        <f>E77</f>
        <v>246091.45135300007</v>
      </c>
      <c r="G77" s="171">
        <f>(F77*0.07)/12</f>
        <v>1435.5334662258338</v>
      </c>
      <c r="H77" s="170"/>
      <c r="I77" s="170"/>
      <c r="J77" s="172"/>
      <c r="L77" s="173" t="s">
        <v>99</v>
      </c>
      <c r="M77" s="174">
        <f>M74/(M75)</f>
        <v>0.36997073049681134</v>
      </c>
      <c r="N77" s="175"/>
    </row>
    <row r="78" spans="2:14" ht="15" x14ac:dyDescent="0.25">
      <c r="B78" s="148"/>
      <c r="C78" s="149"/>
      <c r="D78" s="149"/>
      <c r="E78" s="155">
        <f>$D$75*0.05</f>
        <v>246091.45135300007</v>
      </c>
      <c r="F78" s="160">
        <f>SUM(E$77:E77)+E78</f>
        <v>492182.90270600014</v>
      </c>
      <c r="G78" s="171">
        <f>(F78*0.07)/12</f>
        <v>2871.0669324516675</v>
      </c>
      <c r="H78" s="149"/>
      <c r="I78" s="149"/>
      <c r="J78" s="151"/>
    </row>
    <row r="79" spans="2:14" ht="15" x14ac:dyDescent="0.25">
      <c r="B79" s="148"/>
      <c r="C79" s="149"/>
      <c r="D79" s="149"/>
      <c r="E79" s="155">
        <f>$D$75*0.05</f>
        <v>246091.45135300007</v>
      </c>
      <c r="F79" s="160">
        <f>SUM(E$77:E78)+E79</f>
        <v>738274.35405900027</v>
      </c>
      <c r="G79" s="171">
        <f t="shared" ref="G79:G88" si="11">(F79*0.07)/12</f>
        <v>4306.6003986775022</v>
      </c>
      <c r="H79" s="149"/>
      <c r="I79" s="149"/>
      <c r="J79" s="151"/>
    </row>
    <row r="80" spans="2:14" ht="15" x14ac:dyDescent="0.25">
      <c r="B80" s="148"/>
      <c r="C80" s="149"/>
      <c r="D80" s="149"/>
      <c r="E80" s="155">
        <f>$D$75*0.1</f>
        <v>492182.90270600014</v>
      </c>
      <c r="F80" s="160">
        <f>SUM(E$77:E79)+E80</f>
        <v>1230457.2567650005</v>
      </c>
      <c r="G80" s="171">
        <f t="shared" si="11"/>
        <v>7177.6673311291706</v>
      </c>
      <c r="H80" s="149"/>
      <c r="I80" s="149"/>
      <c r="J80" s="151"/>
    </row>
    <row r="81" spans="2:10" ht="15" x14ac:dyDescent="0.25">
      <c r="B81" s="148"/>
      <c r="C81" s="149"/>
      <c r="D81" s="149"/>
      <c r="E81" s="155">
        <f>$D$75*0.1</f>
        <v>492182.90270600014</v>
      </c>
      <c r="F81" s="160">
        <f>SUM(E$77:E80)+E81</f>
        <v>1722640.1594710005</v>
      </c>
      <c r="G81" s="171">
        <f t="shared" si="11"/>
        <v>10048.734263580836</v>
      </c>
      <c r="H81" s="149"/>
      <c r="I81" s="149"/>
      <c r="J81" s="151"/>
    </row>
    <row r="82" spans="2:10" ht="15" x14ac:dyDescent="0.25">
      <c r="B82" s="148"/>
      <c r="C82" s="149"/>
      <c r="D82" s="149"/>
      <c r="E82" s="155">
        <f>$D$75*0.15</f>
        <v>738274.35405900015</v>
      </c>
      <c r="F82" s="160">
        <f>SUM(E$77:E81)+E82</f>
        <v>2460914.5135300006</v>
      </c>
      <c r="G82" s="171">
        <f t="shared" si="11"/>
        <v>14355.334662258339</v>
      </c>
      <c r="H82" s="149"/>
      <c r="I82" s="149"/>
      <c r="J82" s="151"/>
    </row>
    <row r="83" spans="2:10" ht="15" x14ac:dyDescent="0.25">
      <c r="B83" s="148"/>
      <c r="C83" s="149"/>
      <c r="D83" s="149"/>
      <c r="E83" s="155">
        <f>$D$75*0.15</f>
        <v>738274.35405900015</v>
      </c>
      <c r="F83" s="160">
        <f>SUM(E$77:E82)+E83</f>
        <v>3199188.8675890006</v>
      </c>
      <c r="G83" s="171">
        <f t="shared" si="11"/>
        <v>18661.935060935841</v>
      </c>
      <c r="H83" s="149"/>
      <c r="I83" s="149"/>
      <c r="J83" s="151"/>
    </row>
    <row r="84" spans="2:10" ht="15" x14ac:dyDescent="0.25">
      <c r="B84" s="148"/>
      <c r="C84" s="149"/>
      <c r="D84" s="149"/>
      <c r="E84" s="155">
        <f>$D$75*0.15</f>
        <v>738274.35405900015</v>
      </c>
      <c r="F84" s="160">
        <f>SUM(E$77:E83)+E84</f>
        <v>3937463.2216480006</v>
      </c>
      <c r="G84" s="171">
        <f t="shared" si="11"/>
        <v>22968.53545961334</v>
      </c>
      <c r="H84" s="149"/>
      <c r="I84" s="149"/>
      <c r="J84" s="151"/>
    </row>
    <row r="85" spans="2:10" ht="15" x14ac:dyDescent="0.25">
      <c r="B85" s="148"/>
      <c r="C85" s="149"/>
      <c r="D85" s="149"/>
      <c r="E85" s="155">
        <f>$D$75*0.05</f>
        <v>246091.45135300007</v>
      </c>
      <c r="F85" s="160">
        <f>SUM(E$77:E84)+E85</f>
        <v>4183554.6730010007</v>
      </c>
      <c r="G85" s="171">
        <f t="shared" si="11"/>
        <v>24404.068925839176</v>
      </c>
      <c r="H85" s="149"/>
      <c r="I85" s="149"/>
      <c r="J85" s="151"/>
    </row>
    <row r="86" spans="2:10" ht="15" x14ac:dyDescent="0.25">
      <c r="B86" s="148"/>
      <c r="C86" s="149"/>
      <c r="D86" s="149"/>
      <c r="E86" s="155">
        <f>$D$75*0.05</f>
        <v>246091.45135300007</v>
      </c>
      <c r="F86" s="160">
        <f>SUM(E$77:E85)+E86</f>
        <v>4429646.1243540011</v>
      </c>
      <c r="G86" s="171">
        <f t="shared" si="11"/>
        <v>25839.602392065008</v>
      </c>
      <c r="H86" s="149"/>
      <c r="I86" s="149"/>
      <c r="J86" s="151"/>
    </row>
    <row r="87" spans="2:10" ht="15" x14ac:dyDescent="0.25">
      <c r="B87" s="148"/>
      <c r="C87" s="149"/>
      <c r="D87" s="149"/>
      <c r="E87" s="155">
        <f>$D$75*0.05</f>
        <v>246091.45135300007</v>
      </c>
      <c r="F87" s="160">
        <f>SUM(E$77:E86)+E87</f>
        <v>4675737.5757070016</v>
      </c>
      <c r="G87" s="171">
        <f t="shared" si="11"/>
        <v>27275.135858290843</v>
      </c>
      <c r="H87" s="149"/>
      <c r="I87" s="149"/>
      <c r="J87" s="151"/>
    </row>
    <row r="88" spans="2:10" ht="15" x14ac:dyDescent="0.25">
      <c r="B88" s="148"/>
      <c r="C88" s="149"/>
      <c r="D88" s="149"/>
      <c r="E88" s="155">
        <f>$D$75*0.05</f>
        <v>246091.45135300007</v>
      </c>
      <c r="F88" s="160">
        <f>SUM(E$77:E87)+E88</f>
        <v>4921829.0270600021</v>
      </c>
      <c r="G88" s="171">
        <f t="shared" si="11"/>
        <v>28710.669324516683</v>
      </c>
      <c r="H88" s="149"/>
      <c r="I88" s="149"/>
      <c r="J88" s="151"/>
    </row>
    <row r="89" spans="2:10" x14ac:dyDescent="0.2">
      <c r="B89" s="148"/>
      <c r="C89" s="149"/>
      <c r="D89" s="149"/>
      <c r="E89" s="149"/>
      <c r="F89" s="149"/>
      <c r="G89" s="156">
        <f>SUM(G77:G88)</f>
        <v>188054.88407558424</v>
      </c>
      <c r="H89" s="158" t="s">
        <v>100</v>
      </c>
      <c r="I89" s="149"/>
      <c r="J89" s="151"/>
    </row>
    <row r="90" spans="2:10" x14ac:dyDescent="0.2">
      <c r="B90" s="148"/>
      <c r="C90" s="149"/>
      <c r="D90" s="149"/>
      <c r="E90" s="149"/>
      <c r="F90" s="149"/>
      <c r="G90" s="149"/>
      <c r="H90" s="149"/>
      <c r="I90" s="149"/>
      <c r="J90" s="151"/>
    </row>
    <row r="91" spans="2:10" x14ac:dyDescent="0.2">
      <c r="B91" s="173"/>
      <c r="C91" s="176"/>
      <c r="D91" s="176"/>
      <c r="E91" s="176"/>
      <c r="F91" s="176"/>
      <c r="G91" s="176"/>
      <c r="H91" s="176"/>
      <c r="I91" s="176"/>
      <c r="J91" s="175"/>
    </row>
  </sheetData>
  <mergeCells count="13">
    <mergeCell ref="B66:D66"/>
    <mergeCell ref="A1:J1"/>
    <mergeCell ref="A5:A6"/>
    <mergeCell ref="A19:A20"/>
    <mergeCell ref="B32:J32"/>
    <mergeCell ref="B33:C33"/>
    <mergeCell ref="H33:I33"/>
    <mergeCell ref="L66:M66"/>
    <mergeCell ref="G35:H35"/>
    <mergeCell ref="G36:H36"/>
    <mergeCell ref="G37:H37"/>
    <mergeCell ref="G38:H38"/>
    <mergeCell ref="G40:H40"/>
  </mergeCells>
  <dataValidations disablePrompts="1" count="2">
    <dataValidation allowBlank="1" showErrorMessage="1" errorTitle="Enter Yes or No" error="Please enter either yes or no to reflect partial capitalisation of costs_x000a_" sqref="B22:E22"/>
    <dataValidation type="list" allowBlank="1" showInputMessage="1" showErrorMessage="1" errorTitle="Incorrect Entry" error="Please enter a number between 2 and 5" sqref="B16">
      <formula1>$AG$3:$AG$6</formula1>
    </dataValidation>
  </dataValidations>
  <pageMargins left="0.35433070866141736" right="0.35433070866141736" top="0.59055118110236227" bottom="0.59055118110236227" header="0.51181102362204722" footer="0.51181102362204722"/>
  <pageSetup paperSize="9" scale="98" orientation="portrait" r:id="rId1"/>
  <headerFooter alignWithMargins="0"/>
  <ignoredErrors>
    <ignoredError sqref="B34" twoDigitTextYear="1"/>
  </ignoredErrors>
  <drawing r:id="rId2"/>
  <legacyDrawing r:id="rId3"/>
  <controls>
    <mc:AlternateContent xmlns:mc="http://schemas.openxmlformats.org/markup-compatibility/2006">
      <mc:Choice Requires="x14">
        <control shapeId="3073" r:id="rId4" name="CheckBox1">
          <controlPr locked="0" defaultSize="0" autoLine="0" linkedCell="X11" r:id="rId5">
            <anchor moveWithCells="1">
              <from>
                <xdr:col>1</xdr:col>
                <xdr:colOff>333375</xdr:colOff>
                <xdr:row>21</xdr:row>
                <xdr:rowOff>19050</xdr:rowOff>
              </from>
              <to>
                <xdr:col>1</xdr:col>
                <xdr:colOff>476250</xdr:colOff>
                <xdr:row>21</xdr:row>
                <xdr:rowOff>152400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locked="0" defaultSize="0" autoLine="0" linkedCell="Z11" r:id="rId7">
            <anchor moveWithCells="1">
              <from>
                <xdr:col>2</xdr:col>
                <xdr:colOff>333375</xdr:colOff>
                <xdr:row>21</xdr:row>
                <xdr:rowOff>19050</xdr:rowOff>
              </from>
              <to>
                <xdr:col>2</xdr:col>
                <xdr:colOff>476250</xdr:colOff>
                <xdr:row>21</xdr:row>
                <xdr:rowOff>152400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locked="0" defaultSize="0" autoLine="0" linkedCell="AB11" r:id="rId9">
            <anchor moveWithCells="1">
              <from>
                <xdr:col>3</xdr:col>
                <xdr:colOff>333375</xdr:colOff>
                <xdr:row>21</xdr:row>
                <xdr:rowOff>19050</xdr:rowOff>
              </from>
              <to>
                <xdr:col>3</xdr:col>
                <xdr:colOff>476250</xdr:colOff>
                <xdr:row>21</xdr:row>
                <xdr:rowOff>152400</xdr:rowOff>
              </to>
            </anchor>
          </controlPr>
        </control>
      </mc:Choice>
      <mc:Fallback>
        <control shapeId="3075" r:id="rId8" name="CheckBox3"/>
      </mc:Fallback>
    </mc:AlternateContent>
    <mc:AlternateContent xmlns:mc="http://schemas.openxmlformats.org/markup-compatibility/2006">
      <mc:Choice Requires="x14">
        <control shapeId="3076" r:id="rId10" name="CheckBox4">
          <controlPr locked="0" defaultSize="0" autoLine="0" linkedCell="AD11" r:id="rId11">
            <anchor moveWithCells="1">
              <from>
                <xdr:col>4</xdr:col>
                <xdr:colOff>333375</xdr:colOff>
                <xdr:row>21</xdr:row>
                <xdr:rowOff>19050</xdr:rowOff>
              </from>
              <to>
                <xdr:col>4</xdr:col>
                <xdr:colOff>476250</xdr:colOff>
                <xdr:row>21</xdr:row>
                <xdr:rowOff>152400</xdr:rowOff>
              </to>
            </anchor>
          </controlPr>
        </control>
      </mc:Choice>
      <mc:Fallback>
        <control shapeId="3076" r:id="rId10" name="CheckBox4"/>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34"/>
  <sheetViews>
    <sheetView workbookViewId="0"/>
  </sheetViews>
  <sheetFormatPr defaultRowHeight="15" x14ac:dyDescent="0.25"/>
  <cols>
    <col min="1" max="1" width="44" style="246" customWidth="1"/>
    <col min="2" max="2" width="18.7109375" style="246" customWidth="1"/>
    <col min="3" max="3" width="11" style="246" customWidth="1"/>
    <col min="4" max="16384" width="9.140625" style="246"/>
  </cols>
  <sheetData>
    <row r="1" spans="1:2" ht="45" x14ac:dyDescent="0.25">
      <c r="A1" s="18" t="s">
        <v>28</v>
      </c>
      <c r="B1" s="19" t="s">
        <v>29</v>
      </c>
    </row>
    <row r="2" spans="1:2" x14ac:dyDescent="0.25">
      <c r="A2" s="20" t="s">
        <v>30</v>
      </c>
      <c r="B2" s="21"/>
    </row>
    <row r="3" spans="1:2" x14ac:dyDescent="0.25">
      <c r="A3" s="21" t="s">
        <v>31</v>
      </c>
      <c r="B3" s="22">
        <v>1881140</v>
      </c>
    </row>
    <row r="4" spans="1:2" x14ac:dyDescent="0.25">
      <c r="A4" s="21" t="s">
        <v>32</v>
      </c>
      <c r="B4" s="22">
        <v>18743781.829999998</v>
      </c>
    </row>
    <row r="5" spans="1:2" x14ac:dyDescent="0.25">
      <c r="A5" s="21" t="s">
        <v>33</v>
      </c>
      <c r="B5" s="22">
        <v>7781516.8099999996</v>
      </c>
    </row>
    <row r="6" spans="1:2" x14ac:dyDescent="0.25">
      <c r="A6" s="21" t="s">
        <v>34</v>
      </c>
      <c r="B6" s="22">
        <v>884166.75</v>
      </c>
    </row>
    <row r="7" spans="1:2" x14ac:dyDescent="0.25">
      <c r="A7" s="21" t="s">
        <v>35</v>
      </c>
      <c r="B7" s="22">
        <v>14906105</v>
      </c>
    </row>
    <row r="8" spans="1:2" ht="15.75" thickBot="1" x14ac:dyDescent="0.3">
      <c r="A8" s="23" t="s">
        <v>36</v>
      </c>
      <c r="B8" s="24">
        <f>SUM(B3:B7)</f>
        <v>44196710.390000001</v>
      </c>
    </row>
    <row r="9" spans="1:2" ht="5.25" customHeight="1" x14ac:dyDescent="0.25">
      <c r="A9" s="21"/>
      <c r="B9" s="25"/>
    </row>
    <row r="10" spans="1:2" ht="15.75" thickBot="1" x14ac:dyDescent="0.3">
      <c r="A10" s="21" t="s">
        <v>37</v>
      </c>
      <c r="B10" s="22">
        <v>2070000</v>
      </c>
    </row>
    <row r="11" spans="1:2" ht="15.75" thickBot="1" x14ac:dyDescent="0.3">
      <c r="A11" s="26" t="s">
        <v>36</v>
      </c>
      <c r="B11" s="27">
        <f>SUM(B8:B10)</f>
        <v>46266710.390000001</v>
      </c>
    </row>
    <row r="12" spans="1:2" x14ac:dyDescent="0.25">
      <c r="A12" s="20" t="s">
        <v>618</v>
      </c>
      <c r="B12" s="29"/>
    </row>
    <row r="13" spans="1:2" x14ac:dyDescent="0.25">
      <c r="A13" s="21" t="s">
        <v>293</v>
      </c>
      <c r="B13" s="22">
        <v>160000</v>
      </c>
    </row>
    <row r="14" spans="1:2" x14ac:dyDescent="0.25">
      <c r="A14" s="21" t="s">
        <v>38</v>
      </c>
      <c r="B14" s="22">
        <v>2150000</v>
      </c>
    </row>
    <row r="15" spans="1:2" x14ac:dyDescent="0.25">
      <c r="A15" s="21" t="s">
        <v>39</v>
      </c>
      <c r="B15" s="22">
        <v>1000000</v>
      </c>
    </row>
    <row r="16" spans="1:2" x14ac:dyDescent="0.25">
      <c r="A16" s="21" t="s">
        <v>40</v>
      </c>
      <c r="B16" s="22">
        <v>1500000</v>
      </c>
    </row>
    <row r="17" spans="1:3" x14ac:dyDescent="0.25">
      <c r="A17" s="21" t="s">
        <v>41</v>
      </c>
      <c r="B17" s="22">
        <v>100000</v>
      </c>
    </row>
    <row r="18" spans="1:3" x14ac:dyDescent="0.25">
      <c r="A18" s="21" t="s">
        <v>42</v>
      </c>
      <c r="B18" s="22">
        <v>250000</v>
      </c>
    </row>
    <row r="19" spans="1:3" x14ac:dyDescent="0.25">
      <c r="A19" s="21" t="s">
        <v>43</v>
      </c>
      <c r="B19" s="22">
        <v>150000</v>
      </c>
    </row>
    <row r="20" spans="1:3" x14ac:dyDescent="0.25">
      <c r="A20" s="21" t="s">
        <v>44</v>
      </c>
      <c r="B20" s="22">
        <v>250000</v>
      </c>
    </row>
    <row r="21" spans="1:3" x14ac:dyDescent="0.25">
      <c r="A21" s="21" t="s">
        <v>45</v>
      </c>
      <c r="B21" s="22">
        <v>400000</v>
      </c>
    </row>
    <row r="22" spans="1:3" x14ac:dyDescent="0.25">
      <c r="A22" s="21" t="s">
        <v>46</v>
      </c>
      <c r="B22" s="22">
        <v>600000</v>
      </c>
    </row>
    <row r="23" spans="1:3" ht="15.75" thickBot="1" x14ac:dyDescent="0.3">
      <c r="A23" s="21" t="s">
        <v>294</v>
      </c>
      <c r="B23" s="22">
        <f>(SUM(B13:B22)+B11)*0.05</f>
        <v>2641335.5195000004</v>
      </c>
    </row>
    <row r="24" spans="1:3" ht="15.75" thickBot="1" x14ac:dyDescent="0.3">
      <c r="A24" s="26" t="s">
        <v>47</v>
      </c>
      <c r="B24" s="31">
        <f>SUM(B12:B23)</f>
        <v>9201335.5195000004</v>
      </c>
    </row>
    <row r="25" spans="1:3" ht="6" customHeight="1" x14ac:dyDescent="0.25">
      <c r="A25" s="32"/>
      <c r="B25" s="33"/>
    </row>
    <row r="26" spans="1:3" ht="15.75" thickBot="1" x14ac:dyDescent="0.3">
      <c r="A26" s="34" t="s">
        <v>48</v>
      </c>
      <c r="B26" s="35">
        <f>B25+B24+B11</f>
        <v>55468045.909500003</v>
      </c>
      <c r="C26" s="247"/>
    </row>
    <row r="27" spans="1:3" ht="15.75" thickBot="1" x14ac:dyDescent="0.3">
      <c r="C27" s="247"/>
    </row>
    <row r="28" spans="1:3" x14ac:dyDescent="0.25">
      <c r="A28" s="37" t="s">
        <v>219</v>
      </c>
      <c r="B28" s="38">
        <f>1733915.3+500000</f>
        <v>2233915.2999999998</v>
      </c>
    </row>
    <row r="29" spans="1:3" x14ac:dyDescent="0.25">
      <c r="A29" s="41" t="s">
        <v>62</v>
      </c>
      <c r="B29" s="42">
        <f>'OP2-Project Cost'!I37</f>
        <v>28850980.60475</v>
      </c>
      <c r="C29" s="43"/>
    </row>
    <row r="30" spans="1:3" ht="15" customHeight="1" thickBot="1" x14ac:dyDescent="0.3">
      <c r="A30" s="47" t="s">
        <v>64</v>
      </c>
      <c r="B30" s="48">
        <f>'OP2-Project Cost'!I38</f>
        <v>3908797.5371319456</v>
      </c>
    </row>
    <row r="31" spans="1:3" x14ac:dyDescent="0.25">
      <c r="A31" s="49"/>
      <c r="B31" s="50"/>
    </row>
    <row r="32" spans="1:3" ht="15.75" thickBot="1" x14ac:dyDescent="0.3">
      <c r="A32" s="51" t="s">
        <v>50</v>
      </c>
      <c r="B32" s="52">
        <f>SUM(B26:B30)</f>
        <v>90461739.351381943</v>
      </c>
      <c r="C32" s="53"/>
    </row>
    <row r="33" spans="3:3" x14ac:dyDescent="0.25">
      <c r="C33" s="54"/>
    </row>
    <row r="34" spans="3:3" x14ac:dyDescent="0.25">
      <c r="C34" s="43"/>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91"/>
  <sheetViews>
    <sheetView workbookViewId="0">
      <selection sqref="A1:J1"/>
    </sheetView>
  </sheetViews>
  <sheetFormatPr defaultRowHeight="12.75" x14ac:dyDescent="0.2"/>
  <cols>
    <col min="1" max="1" width="4.5703125" style="58" customWidth="1"/>
    <col min="2" max="6" width="12" style="58" customWidth="1"/>
    <col min="7" max="7" width="7" style="58" customWidth="1"/>
    <col min="8" max="8" width="11.28515625" style="58" bestFit="1" customWidth="1"/>
    <col min="9" max="9" width="13.7109375" style="58" customWidth="1"/>
    <col min="10" max="10" width="3.42578125" style="58" customWidth="1"/>
    <col min="11" max="11" width="10.5703125" style="58" customWidth="1"/>
    <col min="12" max="12" width="10.5703125" style="63" customWidth="1"/>
    <col min="13" max="22" width="10.42578125" style="58" customWidth="1"/>
    <col min="23" max="23" width="11.28515625" style="58" customWidth="1"/>
    <col min="24" max="33" width="10.140625" style="58" customWidth="1"/>
    <col min="34" max="16384" width="9.140625" style="58"/>
  </cols>
  <sheetData>
    <row r="1" spans="1:33" ht="21" customHeight="1" thickBot="1" x14ac:dyDescent="0.25">
      <c r="A1" s="669" t="s">
        <v>51</v>
      </c>
      <c r="B1" s="670"/>
      <c r="C1" s="670"/>
      <c r="D1" s="670"/>
      <c r="E1" s="670"/>
      <c r="F1" s="670"/>
      <c r="G1" s="670"/>
      <c r="H1" s="670"/>
      <c r="I1" s="670"/>
      <c r="J1" s="671"/>
      <c r="K1" s="56"/>
      <c r="L1" s="57"/>
    </row>
    <row r="2" spans="1:33" x14ac:dyDescent="0.2">
      <c r="A2" s="59" t="s">
        <v>52</v>
      </c>
      <c r="J2" s="60"/>
      <c r="K2" s="61"/>
      <c r="L2" s="61"/>
      <c r="V2" s="62"/>
    </row>
    <row r="3" spans="1:33" x14ac:dyDescent="0.2">
      <c r="X3" s="64" t="s">
        <v>53</v>
      </c>
      <c r="Y3" s="65"/>
      <c r="Z3" s="65"/>
      <c r="AA3" s="65"/>
      <c r="AB3" s="65"/>
      <c r="AC3" s="65"/>
      <c r="AD3" s="65"/>
      <c r="AE3" s="66"/>
      <c r="AF3" s="67" t="s">
        <v>54</v>
      </c>
      <c r="AG3" s="68">
        <v>2</v>
      </c>
    </row>
    <row r="4" spans="1:33" x14ac:dyDescent="0.2">
      <c r="B4" s="62" t="s">
        <v>55</v>
      </c>
      <c r="X4" s="69">
        <v>1</v>
      </c>
      <c r="Y4" s="70">
        <v>2</v>
      </c>
      <c r="Z4" s="70">
        <v>3</v>
      </c>
      <c r="AA4" s="70">
        <v>4</v>
      </c>
      <c r="AB4" s="70">
        <v>5</v>
      </c>
      <c r="AC4" s="70" t="s">
        <v>56</v>
      </c>
      <c r="AD4" s="71"/>
      <c r="AE4" s="72"/>
      <c r="AF4" s="71" t="s">
        <v>57</v>
      </c>
      <c r="AG4" s="73">
        <v>3</v>
      </c>
    </row>
    <row r="5" spans="1:33" x14ac:dyDescent="0.2">
      <c r="A5" s="672">
        <v>1</v>
      </c>
      <c r="B5" s="74">
        <f>'OP2-Item Costs'!B28</f>
        <v>2233915.2999999998</v>
      </c>
      <c r="C5" s="75" t="s">
        <v>58</v>
      </c>
      <c r="X5" s="69"/>
      <c r="Y5" s="70"/>
      <c r="Z5" s="70"/>
      <c r="AA5" s="70"/>
      <c r="AB5" s="70"/>
      <c r="AC5" s="70"/>
      <c r="AD5" s="71"/>
      <c r="AE5" s="72"/>
      <c r="AF5" s="71"/>
      <c r="AG5" s="73">
        <v>4</v>
      </c>
    </row>
    <row r="6" spans="1:33" x14ac:dyDescent="0.2">
      <c r="A6" s="673"/>
      <c r="B6" s="74">
        <f>'OP2-Item Costs'!B11</f>
        <v>46266710.390000001</v>
      </c>
      <c r="C6" s="76" t="s">
        <v>59</v>
      </c>
      <c r="X6" s="77">
        <f>B20*B13</f>
        <v>1420622.2849778901</v>
      </c>
      <c r="Y6" s="78">
        <f>C20*$B13</f>
        <v>1436778.8341165499</v>
      </c>
      <c r="Z6" s="78">
        <f>D20*$B13</f>
        <v>21286253.490184549</v>
      </c>
      <c r="AA6" s="78">
        <f>E20*$B13</f>
        <v>19618666.81123</v>
      </c>
      <c r="AB6" s="78">
        <f>F20*$B13</f>
        <v>13939639.78899101</v>
      </c>
      <c r="AC6" s="79">
        <f>SUM(X6:AB6)</f>
        <v>57701961.2095</v>
      </c>
      <c r="AD6" s="71"/>
      <c r="AE6" s="72"/>
      <c r="AF6" s="71"/>
      <c r="AG6" s="73">
        <v>5</v>
      </c>
    </row>
    <row r="7" spans="1:33" x14ac:dyDescent="0.2">
      <c r="A7" s="80"/>
      <c r="X7" s="81">
        <v>0</v>
      </c>
      <c r="Y7" s="82">
        <f>Y6*B28</f>
        <v>0</v>
      </c>
      <c r="Z7" s="82">
        <f>Z6*($B$28*2)</f>
        <v>0</v>
      </c>
      <c r="AA7" s="82">
        <f>AA6*($B$28*3)</f>
        <v>0</v>
      </c>
      <c r="AB7" s="82">
        <f>AB6*($B$28*3)</f>
        <v>0</v>
      </c>
      <c r="AC7" s="83">
        <f>SUM(X7:AB7)</f>
        <v>0</v>
      </c>
      <c r="AD7" s="84" t="s">
        <v>61</v>
      </c>
      <c r="AE7" s="72"/>
      <c r="AF7" s="71"/>
      <c r="AG7" s="85"/>
    </row>
    <row r="8" spans="1:33" ht="9.75" customHeight="1" x14ac:dyDescent="0.25">
      <c r="H8" s="86"/>
      <c r="I8" s="87"/>
      <c r="J8" s="87"/>
      <c r="X8" s="81">
        <f>$B25*SUM(X6:X7)</f>
        <v>710311.14248894504</v>
      </c>
      <c r="Y8" s="82">
        <f>$B25*SUM(Y6:Y7)</f>
        <v>718389.41705827496</v>
      </c>
      <c r="Z8" s="82">
        <f>$B25*SUM(Z6:Z7)</f>
        <v>10643126.745092275</v>
      </c>
      <c r="AA8" s="82">
        <f>$B25*SUM(AA6:AA7)</f>
        <v>9809333.4056150001</v>
      </c>
      <c r="AB8" s="82">
        <f>$B25*SUM(AB6:AB7)</f>
        <v>6969819.8944955049</v>
      </c>
      <c r="AC8" s="83">
        <f>SUM(X8:AB8)</f>
        <v>28850980.60475</v>
      </c>
      <c r="AD8" s="84" t="s">
        <v>62</v>
      </c>
      <c r="AE8" s="71"/>
      <c r="AF8" s="71"/>
      <c r="AG8" s="85"/>
    </row>
    <row r="9" spans="1:33" ht="15" x14ac:dyDescent="0.25">
      <c r="B9" s="88" t="s">
        <v>63</v>
      </c>
      <c r="H9" s="86"/>
      <c r="I9" s="87"/>
      <c r="J9" s="87"/>
      <c r="X9" s="89">
        <f>Y25</f>
        <v>83877.185031116736</v>
      </c>
      <c r="Y9" s="90">
        <f>AA25</f>
        <v>247538.51037083165</v>
      </c>
      <c r="Z9" s="90">
        <f>AC25</f>
        <v>1596013.3092199697</v>
      </c>
      <c r="AA9" s="90">
        <f>AE25</f>
        <v>1158336.4301616452</v>
      </c>
      <c r="AB9" s="90">
        <f>AG25</f>
        <v>823032.10234838282</v>
      </c>
      <c r="AC9" s="83">
        <f>SUM(X9:AB9)</f>
        <v>3908797.5371319456</v>
      </c>
      <c r="AD9" s="84" t="s">
        <v>64</v>
      </c>
      <c r="AE9" s="71"/>
      <c r="AF9" s="71"/>
      <c r="AG9" s="85"/>
    </row>
    <row r="10" spans="1:33" ht="15" x14ac:dyDescent="0.25">
      <c r="A10" s="91">
        <v>2</v>
      </c>
      <c r="B10" s="92">
        <f>'OP2-Item Costs'!B24</f>
        <v>9201335.5195000004</v>
      </c>
      <c r="C10" s="75" t="s">
        <v>65</v>
      </c>
      <c r="H10" s="86"/>
      <c r="I10" s="87"/>
      <c r="J10" s="87"/>
      <c r="X10" s="93"/>
      <c r="Y10" s="71"/>
      <c r="Z10" s="71"/>
      <c r="AA10" s="71"/>
      <c r="AB10" s="71"/>
      <c r="AC10" s="94">
        <f>SUM(AC6:AC9)</f>
        <v>90461739.351381943</v>
      </c>
      <c r="AD10" s="71"/>
      <c r="AE10" s="71"/>
      <c r="AF10" s="71"/>
      <c r="AG10" s="85"/>
    </row>
    <row r="11" spans="1:33" ht="15" x14ac:dyDescent="0.25">
      <c r="A11" s="91">
        <v>3</v>
      </c>
      <c r="B11" s="92"/>
      <c r="C11" s="75"/>
      <c r="H11" s="86"/>
      <c r="I11" s="87"/>
      <c r="J11" s="87"/>
      <c r="X11" s="95" t="b">
        <v>0</v>
      </c>
      <c r="Y11" s="71"/>
      <c r="Z11" s="96" t="b">
        <v>0</v>
      </c>
      <c r="AA11" s="71"/>
      <c r="AB11" s="96" t="b">
        <v>1</v>
      </c>
      <c r="AC11" s="71"/>
      <c r="AD11" s="96" t="b">
        <v>1</v>
      </c>
      <c r="AE11" s="71"/>
      <c r="AF11" s="71"/>
      <c r="AG11" s="85"/>
    </row>
    <row r="12" spans="1:33" x14ac:dyDescent="0.2">
      <c r="A12" s="91">
        <v>4</v>
      </c>
      <c r="B12" s="92"/>
      <c r="C12" s="75"/>
      <c r="H12" s="97"/>
      <c r="I12" s="98"/>
      <c r="J12" s="87"/>
      <c r="X12" s="99">
        <f>SUM(X6:X8)</f>
        <v>2130933.4274668349</v>
      </c>
      <c r="Y12" s="71"/>
      <c r="Z12" s="100">
        <f>SUM(Y6:Y8)</f>
        <v>2155168.2511748248</v>
      </c>
      <c r="AA12" s="71"/>
      <c r="AB12" s="100">
        <f>IF(AND($B$16&gt;2,D20&gt;0),SUM(Z6:Z8),0)</f>
        <v>31929380.235276826</v>
      </c>
      <c r="AC12" s="71"/>
      <c r="AD12" s="101">
        <f>IF(AND($B$16&gt;3,E20&gt;0),SUM(AA6:AA8),0)</f>
        <v>29428000.216844998</v>
      </c>
      <c r="AE12" s="82"/>
      <c r="AF12" s="101">
        <f>IF(AND($B$16&gt;4,F20&gt;0),SUM(AB6:AB8),0)</f>
        <v>20909459.683486514</v>
      </c>
      <c r="AG12" s="102"/>
    </row>
    <row r="13" spans="1:33" x14ac:dyDescent="0.2">
      <c r="B13" s="103">
        <f>SUM($B$5:$B$6)+SUM($B$10:$B$12)</f>
        <v>57701961.2095</v>
      </c>
      <c r="C13" s="104" t="s">
        <v>66</v>
      </c>
      <c r="X13" s="105">
        <f>X$12/12</f>
        <v>177577.78562223623</v>
      </c>
      <c r="Y13" s="90">
        <f t="shared" ref="Y13:Y24" si="0">X13*(0.0711/12)</f>
        <v>1052.1483798117497</v>
      </c>
      <c r="Z13" s="105">
        <f>IF(X11,(Z$12/12),SUM($X$24:$Y$24)+(Z$12/12))</f>
        <v>2394407.9667625204</v>
      </c>
      <c r="AA13" s="90">
        <f t="shared" ref="AA13:AA24" si="1">Z13*(0.0711/12)</f>
        <v>14186.867203067932</v>
      </c>
      <c r="AB13" s="105">
        <f>IF(Z11,IF($B$16&gt;2,(AB$12/12),0),IF($B$16&gt;2,SUM($Z$24:$AA$24)+(AB$12/12),0))</f>
        <v>7278299.0603166763</v>
      </c>
      <c r="AC13" s="90">
        <f t="shared" ref="AC13:AC24" si="2">AB13*(0.0711/12)</f>
        <v>43123.921932376303</v>
      </c>
      <c r="AD13" s="106">
        <f>IF(AB11,IF($B$16&gt;3,(AD$12/12),0),IF($B$16&gt;3,SUM($AB$24:$AC$24)+(AD$12/12),0))</f>
        <v>2452333.35140375</v>
      </c>
      <c r="AE13" s="90">
        <f t="shared" ref="AE13:AE24" si="3">AD13*(0.0711/12)</f>
        <v>14530.075107067218</v>
      </c>
      <c r="AF13" s="105">
        <f>IF(AD11,IF($B$16&gt;4,(AF$12/12),0),IF($B$16&gt;4,SUM($AD$24:$AE$24)+(AF$12/12),0))</f>
        <v>1742454.9736238762</v>
      </c>
      <c r="AG13" s="102">
        <f t="shared" ref="AG13:AG24" si="4">AF13*(0.0711/12)</f>
        <v>10324.045718721467</v>
      </c>
    </row>
    <row r="14" spans="1:33" x14ac:dyDescent="0.2">
      <c r="X14" s="81">
        <f>(X$12/12)+X13+Y13</f>
        <v>356207.71962428419</v>
      </c>
      <c r="Y14" s="90">
        <f t="shared" si="0"/>
        <v>2110.5307387738835</v>
      </c>
      <c r="Z14" s="81">
        <f>(Z$12/12)+Z13+AA13</f>
        <v>2588192.1882301569</v>
      </c>
      <c r="AA14" s="90">
        <f t="shared" si="1"/>
        <v>15335.038715263679</v>
      </c>
      <c r="AB14" s="81">
        <f>(AB$12/12)+AB13+AC13</f>
        <v>9982204.6685221214</v>
      </c>
      <c r="AC14" s="90">
        <f t="shared" si="2"/>
        <v>59144.562660993564</v>
      </c>
      <c r="AD14" s="81">
        <f>(AD$12/12)+AD13+AE13</f>
        <v>4919196.7779145669</v>
      </c>
      <c r="AE14" s="90">
        <f t="shared" si="3"/>
        <v>29146.240909143806</v>
      </c>
      <c r="AF14" s="81">
        <f>(AF$12/12)+AF13+AG13</f>
        <v>3495233.992966474</v>
      </c>
      <c r="AG14" s="102">
        <f t="shared" si="4"/>
        <v>20709.261408326358</v>
      </c>
    </row>
    <row r="15" spans="1:33" x14ac:dyDescent="0.2">
      <c r="B15" s="62" t="s">
        <v>67</v>
      </c>
      <c r="X15" s="81">
        <f>(X$12/12)+X14+Y14</f>
        <v>535896.03598529426</v>
      </c>
      <c r="Y15" s="90">
        <f t="shared" si="0"/>
        <v>3175.1840132128682</v>
      </c>
      <c r="Z15" s="81">
        <f>(Z$12/12)+Z14+AA14</f>
        <v>2783124.5812099893</v>
      </c>
      <c r="AA15" s="90">
        <f t="shared" si="1"/>
        <v>16490.013143669185</v>
      </c>
      <c r="AB15" s="81">
        <f>(AB$12/12)+AB14+AC14</f>
        <v>12702130.917456184</v>
      </c>
      <c r="AC15" s="90">
        <f t="shared" si="2"/>
        <v>75260.12568592788</v>
      </c>
      <c r="AD15" s="81">
        <f t="shared" ref="AD15:AD24" si="5">(AD$12/12)+AD14+AE14</f>
        <v>7400676.3702274607</v>
      </c>
      <c r="AE15" s="90">
        <f t="shared" si="3"/>
        <v>43849.007493597703</v>
      </c>
      <c r="AF15" s="81">
        <f t="shared" ref="AF15:AF24" si="6">(AF$12/12)+AF14+AG14</f>
        <v>5258398.2279986767</v>
      </c>
      <c r="AG15" s="102">
        <f t="shared" si="4"/>
        <v>31156.009500892156</v>
      </c>
    </row>
    <row r="16" spans="1:33" x14ac:dyDescent="0.2">
      <c r="A16" s="91">
        <v>5</v>
      </c>
      <c r="B16" s="107">
        <v>5</v>
      </c>
      <c r="C16" s="75" t="s">
        <v>68</v>
      </c>
      <c r="X16" s="81">
        <f t="shared" ref="X16:X24" si="7">(X$12/12)+X15+Y15</f>
        <v>716649.00562074338</v>
      </c>
      <c r="Y16" s="90">
        <f t="shared" si="0"/>
        <v>4246.1453583029042</v>
      </c>
      <c r="Z16" s="81">
        <f t="shared" ref="Z16:Z24" si="8">(Z$12/12)+Z15+AA15</f>
        <v>2979211.9486182272</v>
      </c>
      <c r="AA16" s="90">
        <f t="shared" si="1"/>
        <v>17651.830795562993</v>
      </c>
      <c r="AB16" s="81">
        <f t="shared" ref="AB16:AB24" si="9">(AB$12/12)+AB15+AC15</f>
        <v>15438172.72941518</v>
      </c>
      <c r="AC16" s="90">
        <f t="shared" si="2"/>
        <v>91471.173421784944</v>
      </c>
      <c r="AD16" s="81">
        <f t="shared" si="5"/>
        <v>9896858.7291248087</v>
      </c>
      <c r="AE16" s="90">
        <f t="shared" si="3"/>
        <v>58638.88797006449</v>
      </c>
      <c r="AF16" s="81">
        <f t="shared" si="6"/>
        <v>7032009.2111234451</v>
      </c>
      <c r="AG16" s="102">
        <f t="shared" si="4"/>
        <v>41664.65457590641</v>
      </c>
    </row>
    <row r="17" spans="1:33" x14ac:dyDescent="0.2">
      <c r="H17" s="238">
        <f>1-G20</f>
        <v>0</v>
      </c>
      <c r="X17" s="81">
        <f t="shared" si="7"/>
        <v>898472.93660128245</v>
      </c>
      <c r="Y17" s="90">
        <f t="shared" si="0"/>
        <v>5323.452149362598</v>
      </c>
      <c r="Z17" s="81">
        <f t="shared" si="8"/>
        <v>3176461.1336783585</v>
      </c>
      <c r="AA17" s="90">
        <f t="shared" si="1"/>
        <v>18820.532217044274</v>
      </c>
      <c r="AB17" s="81">
        <f t="shared" si="9"/>
        <v>18190425.589110035</v>
      </c>
      <c r="AC17" s="90">
        <f t="shared" si="2"/>
        <v>107778.27161547696</v>
      </c>
      <c r="AD17" s="81">
        <f t="shared" si="5"/>
        <v>12407830.968498623</v>
      </c>
      <c r="AE17" s="90">
        <f t="shared" si="3"/>
        <v>73516.398488354331</v>
      </c>
      <c r="AF17" s="81">
        <f t="shared" si="6"/>
        <v>8816128.8393232282</v>
      </c>
      <c r="AG17" s="102">
        <f t="shared" si="4"/>
        <v>52235.563372990124</v>
      </c>
    </row>
    <row r="18" spans="1:33" x14ac:dyDescent="0.2">
      <c r="B18" s="62" t="s">
        <v>69</v>
      </c>
      <c r="G18" s="108"/>
      <c r="X18" s="81">
        <f t="shared" si="7"/>
        <v>1081374.1743728812</v>
      </c>
      <c r="Y18" s="90">
        <f t="shared" si="0"/>
        <v>6407.1419831593203</v>
      </c>
      <c r="Z18" s="81">
        <f t="shared" si="8"/>
        <v>3374879.0201599714</v>
      </c>
      <c r="AA18" s="90">
        <f t="shared" si="1"/>
        <v>19996.158194447831</v>
      </c>
      <c r="AB18" s="81">
        <f t="shared" si="9"/>
        <v>20958985.546998579</v>
      </c>
      <c r="AC18" s="90">
        <f t="shared" si="2"/>
        <v>124181.98936596657</v>
      </c>
      <c r="AD18" s="81">
        <f t="shared" si="5"/>
        <v>14933680.718390727</v>
      </c>
      <c r="AE18" s="90">
        <f t="shared" si="3"/>
        <v>88482.058256465054</v>
      </c>
      <c r="AF18" s="81">
        <f t="shared" si="6"/>
        <v>10610819.376320094</v>
      </c>
      <c r="AG18" s="102">
        <f t="shared" si="4"/>
        <v>62869.104804696552</v>
      </c>
    </row>
    <row r="19" spans="1:33" x14ac:dyDescent="0.2">
      <c r="A19" s="674">
        <v>6</v>
      </c>
      <c r="B19" s="109" t="s">
        <v>70</v>
      </c>
      <c r="C19" s="110" t="s">
        <v>71</v>
      </c>
      <c r="D19" s="110" t="s">
        <v>72</v>
      </c>
      <c r="E19" s="110" t="s">
        <v>73</v>
      </c>
      <c r="F19" s="110" t="s">
        <v>74</v>
      </c>
      <c r="G19" s="111"/>
      <c r="X19" s="81">
        <f t="shared" si="7"/>
        <v>1265359.1019782769</v>
      </c>
      <c r="Y19" s="90">
        <f t="shared" si="0"/>
        <v>7497.2526792212902</v>
      </c>
      <c r="Z19" s="81">
        <f t="shared" si="8"/>
        <v>3574472.5326189878</v>
      </c>
      <c r="AA19" s="90">
        <f t="shared" si="1"/>
        <v>21178.749755767501</v>
      </c>
      <c r="AB19" s="81">
        <f t="shared" si="9"/>
        <v>23743949.222637612</v>
      </c>
      <c r="AC19" s="90">
        <f t="shared" si="2"/>
        <v>140682.89914412785</v>
      </c>
      <c r="AD19" s="81">
        <f t="shared" si="5"/>
        <v>17474496.128050942</v>
      </c>
      <c r="AE19" s="90">
        <f t="shared" si="3"/>
        <v>103536.38955870182</v>
      </c>
      <c r="AF19" s="81">
        <f t="shared" si="6"/>
        <v>12416143.454748666</v>
      </c>
      <c r="AG19" s="102">
        <f t="shared" si="4"/>
        <v>73565.649969385835</v>
      </c>
    </row>
    <row r="20" spans="1:33" ht="15" x14ac:dyDescent="0.25">
      <c r="A20" s="674"/>
      <c r="B20" s="112">
        <v>2.462E-2</v>
      </c>
      <c r="C20" s="112">
        <v>2.4899999999999999E-2</v>
      </c>
      <c r="D20" s="112">
        <v>0.36890000000000001</v>
      </c>
      <c r="E20" s="112">
        <v>0.34</v>
      </c>
      <c r="F20" s="113">
        <v>0.24157999999999999</v>
      </c>
      <c r="G20" s="114">
        <f>SUM(B20:F20)</f>
        <v>1</v>
      </c>
      <c r="H20" s="80" t="s">
        <v>75</v>
      </c>
      <c r="X20" s="81">
        <f t="shared" si="7"/>
        <v>1450434.1402797345</v>
      </c>
      <c r="Y20" s="90">
        <f t="shared" si="0"/>
        <v>8593.8222811574269</v>
      </c>
      <c r="Z20" s="81">
        <f t="shared" si="8"/>
        <v>3775248.636639324</v>
      </c>
      <c r="AA20" s="90">
        <f t="shared" si="1"/>
        <v>22368.348172087994</v>
      </c>
      <c r="AB20" s="81">
        <f t="shared" si="9"/>
        <v>26545413.808054809</v>
      </c>
      <c r="AC20" s="90">
        <f t="shared" si="2"/>
        <v>157281.57681272473</v>
      </c>
      <c r="AD20" s="81">
        <f t="shared" si="5"/>
        <v>20030365.869013395</v>
      </c>
      <c r="AE20" s="90">
        <f t="shared" si="3"/>
        <v>118679.91777390437</v>
      </c>
      <c r="AF20" s="81">
        <f t="shared" si="6"/>
        <v>14232164.078341927</v>
      </c>
      <c r="AG20" s="102">
        <f t="shared" si="4"/>
        <v>84325.572164175916</v>
      </c>
    </row>
    <row r="21" spans="1:33" ht="2.25" customHeight="1" x14ac:dyDescent="0.2">
      <c r="G21" s="115"/>
      <c r="X21" s="81">
        <f t="shared" si="7"/>
        <v>1636605.7481831282</v>
      </c>
      <c r="Y21" s="90">
        <f t="shared" si="0"/>
        <v>9696.889057985034</v>
      </c>
      <c r="Z21" s="81">
        <f t="shared" si="8"/>
        <v>3977214.3390759807</v>
      </c>
      <c r="AA21" s="90">
        <f t="shared" si="1"/>
        <v>23564.994959025185</v>
      </c>
      <c r="AB21" s="81">
        <f t="shared" si="9"/>
        <v>29363477.071140602</v>
      </c>
      <c r="AC21" s="90">
        <f t="shared" si="2"/>
        <v>173978.60164650806</v>
      </c>
      <c r="AD21" s="81">
        <f t="shared" si="5"/>
        <v>22601379.138191052</v>
      </c>
      <c r="AE21" s="90">
        <f t="shared" si="3"/>
        <v>133913.17139378199</v>
      </c>
      <c r="AF21" s="81">
        <f t="shared" si="6"/>
        <v>16058944.624129979</v>
      </c>
      <c r="AG21" s="102">
        <f t="shared" si="4"/>
        <v>95149.246897970123</v>
      </c>
    </row>
    <row r="22" spans="1:33" ht="12.75" customHeight="1" x14ac:dyDescent="0.2">
      <c r="A22" s="263">
        <v>7</v>
      </c>
      <c r="B22" s="117" t="s">
        <v>54</v>
      </c>
      <c r="C22" s="117"/>
      <c r="D22" s="117"/>
      <c r="E22" s="117"/>
      <c r="F22" s="118" t="s">
        <v>76</v>
      </c>
      <c r="G22" s="115"/>
      <c r="X22" s="81">
        <f t="shared" si="7"/>
        <v>1823880.4228633496</v>
      </c>
      <c r="Y22" s="90">
        <f t="shared" si="0"/>
        <v>10806.491505465345</v>
      </c>
      <c r="Z22" s="81">
        <f t="shared" si="8"/>
        <v>4180376.6882995744</v>
      </c>
      <c r="AA22" s="90">
        <f t="shared" si="1"/>
        <v>24768.731878174978</v>
      </c>
      <c r="AB22" s="81">
        <f t="shared" si="9"/>
        <v>32198237.359060179</v>
      </c>
      <c r="AC22" s="90">
        <f t="shared" si="2"/>
        <v>190774.55635243157</v>
      </c>
      <c r="AD22" s="81">
        <f t="shared" si="5"/>
        <v>25187625.660988584</v>
      </c>
      <c r="AE22" s="90">
        <f t="shared" si="3"/>
        <v>149236.68204135736</v>
      </c>
      <c r="AF22" s="81">
        <f t="shared" si="6"/>
        <v>17896548.844651826</v>
      </c>
      <c r="AG22" s="102">
        <f t="shared" si="4"/>
        <v>106037.05190456206</v>
      </c>
    </row>
    <row r="23" spans="1:33" ht="15" customHeight="1" x14ac:dyDescent="0.25">
      <c r="G23" s="115"/>
      <c r="M23" s="246"/>
      <c r="N23" s="246"/>
      <c r="X23" s="81">
        <f t="shared" si="7"/>
        <v>2012264.6999910511</v>
      </c>
      <c r="Y23" s="90">
        <f t="shared" si="0"/>
        <v>11922.668347446977</v>
      </c>
      <c r="Z23" s="81">
        <f t="shared" si="8"/>
        <v>4384742.7744423188</v>
      </c>
      <c r="AA23" s="90">
        <f t="shared" si="1"/>
        <v>25979.600938570737</v>
      </c>
      <c r="AB23" s="81">
        <f t="shared" si="9"/>
        <v>35049793.60168568</v>
      </c>
      <c r="AC23" s="90">
        <f t="shared" si="2"/>
        <v>207670.02708998765</v>
      </c>
      <c r="AD23" s="81">
        <f t="shared" si="5"/>
        <v>27789195.694433693</v>
      </c>
      <c r="AE23" s="90">
        <f t="shared" si="3"/>
        <v>164650.98448951961</v>
      </c>
      <c r="AF23" s="81">
        <f t="shared" si="6"/>
        <v>19745040.870180264</v>
      </c>
      <c r="AG23" s="102">
        <f t="shared" si="4"/>
        <v>116989.36715581806</v>
      </c>
    </row>
    <row r="24" spans="1:33" ht="15" customHeight="1" x14ac:dyDescent="0.3">
      <c r="B24" s="62" t="s">
        <v>77</v>
      </c>
      <c r="L24" s="248" t="s">
        <v>242</v>
      </c>
      <c r="M24" s="246"/>
      <c r="N24" s="246"/>
      <c r="X24" s="81">
        <f t="shared" si="7"/>
        <v>2201765.1539607346</v>
      </c>
      <c r="Y24" s="90">
        <f t="shared" si="0"/>
        <v>13045.458537217351</v>
      </c>
      <c r="Z24" s="81">
        <f t="shared" si="8"/>
        <v>4590319.7296454581</v>
      </c>
      <c r="AA24" s="90">
        <f t="shared" si="1"/>
        <v>27197.644398149339</v>
      </c>
      <c r="AB24" s="81">
        <f t="shared" si="9"/>
        <v>37918245.315048739</v>
      </c>
      <c r="AC24" s="90">
        <f t="shared" si="2"/>
        <v>224665.60349166376</v>
      </c>
      <c r="AD24" s="81">
        <f t="shared" si="5"/>
        <v>30406180.030326962</v>
      </c>
      <c r="AE24" s="90">
        <f t="shared" si="3"/>
        <v>180156.61667968726</v>
      </c>
      <c r="AF24" s="81">
        <f t="shared" si="6"/>
        <v>21604485.210959956</v>
      </c>
      <c r="AG24" s="102">
        <f t="shared" si="4"/>
        <v>128006.57487493774</v>
      </c>
    </row>
    <row r="25" spans="1:33" ht="15" x14ac:dyDescent="0.25">
      <c r="A25" s="91">
        <v>8</v>
      </c>
      <c r="B25" s="119">
        <v>0.5</v>
      </c>
      <c r="L25" s="247" t="s">
        <v>243</v>
      </c>
      <c r="M25" s="246"/>
      <c r="N25" s="246"/>
      <c r="X25" s="120" t="s">
        <v>78</v>
      </c>
      <c r="Y25" s="121">
        <f>SUM(Y13:Y24)</f>
        <v>83877.185031116736</v>
      </c>
      <c r="Z25" s="122"/>
      <c r="AA25" s="121">
        <f>SUM(AA13:AA24)</f>
        <v>247538.51037083165</v>
      </c>
      <c r="AB25" s="122"/>
      <c r="AC25" s="121">
        <f>SUM(AC13:AC24)</f>
        <v>1596013.3092199697</v>
      </c>
      <c r="AD25" s="122"/>
      <c r="AE25" s="121">
        <f>SUM(AE13:AE24)</f>
        <v>1158336.4301616452</v>
      </c>
      <c r="AF25" s="122"/>
      <c r="AG25" s="123">
        <f>SUM(AG13:AG24)</f>
        <v>823032.10234838282</v>
      </c>
    </row>
    <row r="26" spans="1:33" ht="15" x14ac:dyDescent="0.25">
      <c r="L26" s="246"/>
      <c r="M26" s="249">
        <v>0.53559999999999997</v>
      </c>
      <c r="N26" s="250" t="s">
        <v>244</v>
      </c>
    </row>
    <row r="27" spans="1:33" ht="15" x14ac:dyDescent="0.25">
      <c r="B27" s="62" t="s">
        <v>79</v>
      </c>
      <c r="L27" s="246"/>
      <c r="M27" s="249">
        <v>0.51049999999999995</v>
      </c>
      <c r="N27" s="250" t="s">
        <v>245</v>
      </c>
    </row>
    <row r="28" spans="1:33" ht="15" x14ac:dyDescent="0.25">
      <c r="A28" s="91">
        <v>9</v>
      </c>
      <c r="B28" s="119"/>
      <c r="L28" s="246"/>
      <c r="M28" s="249">
        <v>0.51670000000000005</v>
      </c>
      <c r="N28" s="250" t="s">
        <v>246</v>
      </c>
      <c r="O28" s="124"/>
      <c r="P28" s="124"/>
      <c r="Q28" s="124"/>
      <c r="R28" s="124"/>
      <c r="S28" s="124"/>
      <c r="T28" s="124"/>
      <c r="U28" s="124"/>
      <c r="V28" s="124"/>
      <c r="W28" s="124"/>
      <c r="X28" s="124"/>
      <c r="Y28" s="124"/>
      <c r="Z28" s="124"/>
      <c r="AA28" s="124"/>
    </row>
    <row r="29" spans="1:33" ht="15" x14ac:dyDescent="0.25">
      <c r="A29" s="80" t="s">
        <v>80</v>
      </c>
      <c r="L29" s="246"/>
      <c r="M29" s="249">
        <v>0.52900000000000003</v>
      </c>
      <c r="N29" s="250" t="s">
        <v>247</v>
      </c>
      <c r="O29" s="124"/>
      <c r="P29" s="124"/>
      <c r="Q29" s="124"/>
      <c r="R29" s="124"/>
      <c r="S29" s="124"/>
      <c r="T29" s="124"/>
      <c r="U29" s="124"/>
      <c r="V29" s="124"/>
      <c r="W29" s="124"/>
      <c r="X29" s="124"/>
      <c r="Y29" s="124"/>
      <c r="Z29" s="124"/>
      <c r="AA29" s="124"/>
    </row>
    <row r="30" spans="1:33" ht="15" x14ac:dyDescent="0.25">
      <c r="L30" s="246"/>
      <c r="M30" s="249">
        <v>0.48599999999999999</v>
      </c>
      <c r="N30" s="250" t="s">
        <v>248</v>
      </c>
      <c r="O30" s="124"/>
      <c r="P30" s="124"/>
      <c r="Q30" s="124"/>
      <c r="R30" s="124"/>
      <c r="S30" s="124"/>
      <c r="T30" s="124"/>
      <c r="U30" s="124"/>
      <c r="V30" s="124"/>
      <c r="W30" s="124"/>
      <c r="X30" s="124"/>
      <c r="Y30" s="124"/>
      <c r="Z30" s="124"/>
      <c r="AA30" s="124"/>
    </row>
    <row r="31" spans="1:33" ht="15.75" thickBot="1" x14ac:dyDescent="0.3">
      <c r="L31" s="246"/>
      <c r="M31" s="254">
        <f>AVERAGE(M26:M30)</f>
        <v>0.51556000000000002</v>
      </c>
      <c r="N31" s="250" t="s">
        <v>254</v>
      </c>
      <c r="O31" s="124"/>
      <c r="P31" s="124"/>
      <c r="Q31" s="124"/>
      <c r="R31" s="124"/>
      <c r="S31" s="124"/>
      <c r="T31" s="124"/>
      <c r="U31" s="124"/>
      <c r="V31" s="124"/>
      <c r="W31" s="124"/>
      <c r="X31" s="124"/>
      <c r="Y31" s="124"/>
      <c r="Z31" s="124"/>
      <c r="AA31" s="124"/>
    </row>
    <row r="32" spans="1:33" ht="15.75" x14ac:dyDescent="0.25">
      <c r="B32" s="675" t="s">
        <v>81</v>
      </c>
      <c r="C32" s="676"/>
      <c r="D32" s="676"/>
      <c r="E32" s="676"/>
      <c r="F32" s="676"/>
      <c r="G32" s="676"/>
      <c r="H32" s="676"/>
      <c r="I32" s="676"/>
      <c r="J32" s="677"/>
      <c r="L32" s="246"/>
      <c r="M32" s="245">
        <v>0.5</v>
      </c>
      <c r="N32" s="251" t="s">
        <v>249</v>
      </c>
    </row>
    <row r="33" spans="2:21" ht="18" customHeight="1" x14ac:dyDescent="0.25">
      <c r="B33" s="678" t="s">
        <v>82</v>
      </c>
      <c r="C33" s="665"/>
      <c r="D33" s="125"/>
      <c r="E33" s="125"/>
      <c r="F33" s="125"/>
      <c r="G33" s="125"/>
      <c r="H33" s="666" t="s">
        <v>83</v>
      </c>
      <c r="I33" s="666"/>
      <c r="J33" s="126"/>
      <c r="L33" s="246"/>
    </row>
    <row r="34" spans="2:21" x14ac:dyDescent="0.2">
      <c r="B34" s="127" t="s">
        <v>111</v>
      </c>
      <c r="C34" s="128" t="s">
        <v>21</v>
      </c>
      <c r="D34" s="128" t="s">
        <v>22</v>
      </c>
      <c r="E34" s="128" t="s">
        <v>23</v>
      </c>
      <c r="F34" s="128" t="s">
        <v>24</v>
      </c>
      <c r="G34" s="125"/>
      <c r="H34" s="125"/>
      <c r="I34" s="125"/>
      <c r="J34" s="126"/>
    </row>
    <row r="35" spans="2:21" x14ac:dyDescent="0.2">
      <c r="B35" s="129">
        <f t="shared" ref="B35:F38" si="10">X6</f>
        <v>1420622.2849778901</v>
      </c>
      <c r="C35" s="130">
        <f>Y6</f>
        <v>1436778.8341165499</v>
      </c>
      <c r="D35" s="130">
        <f t="shared" si="10"/>
        <v>21286253.490184549</v>
      </c>
      <c r="E35" s="130">
        <f t="shared" si="10"/>
        <v>19618666.81123</v>
      </c>
      <c r="F35" s="130">
        <f t="shared" si="10"/>
        <v>13939639.78899101</v>
      </c>
      <c r="G35" s="665" t="s">
        <v>30</v>
      </c>
      <c r="H35" s="665"/>
      <c r="I35" s="131">
        <f>AC6</f>
        <v>57701961.2095</v>
      </c>
      <c r="J35" s="126"/>
    </row>
    <row r="36" spans="2:21" x14ac:dyDescent="0.2">
      <c r="B36" s="129">
        <f t="shared" si="10"/>
        <v>0</v>
      </c>
      <c r="C36" s="130">
        <f t="shared" si="10"/>
        <v>0</v>
      </c>
      <c r="D36" s="130">
        <f t="shared" si="10"/>
        <v>0</v>
      </c>
      <c r="E36" s="130">
        <f t="shared" si="10"/>
        <v>0</v>
      </c>
      <c r="F36" s="130">
        <f t="shared" si="10"/>
        <v>0</v>
      </c>
      <c r="G36" s="665" t="s">
        <v>61</v>
      </c>
      <c r="H36" s="665" t="s">
        <v>61</v>
      </c>
      <c r="I36" s="131">
        <f>AC7</f>
        <v>0</v>
      </c>
      <c r="J36" s="126"/>
    </row>
    <row r="37" spans="2:21" ht="15" x14ac:dyDescent="0.25">
      <c r="B37" s="129">
        <f t="shared" si="10"/>
        <v>710311.14248894504</v>
      </c>
      <c r="C37" s="130">
        <f t="shared" si="10"/>
        <v>718389.41705827496</v>
      </c>
      <c r="D37" s="130">
        <f t="shared" si="10"/>
        <v>10643126.745092275</v>
      </c>
      <c r="E37" s="130">
        <f t="shared" si="10"/>
        <v>9809333.4056150001</v>
      </c>
      <c r="F37" s="130">
        <f t="shared" si="10"/>
        <v>6969819.8944955049</v>
      </c>
      <c r="G37" s="665" t="s">
        <v>62</v>
      </c>
      <c r="H37" s="665" t="s">
        <v>62</v>
      </c>
      <c r="I37" s="131">
        <f>AC8</f>
        <v>28850980.60475</v>
      </c>
      <c r="J37" s="126"/>
      <c r="K37" s="132"/>
      <c r="L37" s="133"/>
      <c r="M37" s="134"/>
      <c r="N37" s="134"/>
      <c r="O37" s="134"/>
      <c r="P37" s="134"/>
      <c r="Q37" s="134"/>
      <c r="R37" s="134"/>
      <c r="S37" s="134"/>
      <c r="T37" s="134"/>
      <c r="U37" s="135"/>
    </row>
    <row r="38" spans="2:21" x14ac:dyDescent="0.2">
      <c r="B38" s="129">
        <f t="shared" si="10"/>
        <v>83877.185031116736</v>
      </c>
      <c r="C38" s="130">
        <f t="shared" si="10"/>
        <v>247538.51037083165</v>
      </c>
      <c r="D38" s="130">
        <f t="shared" si="10"/>
        <v>1596013.3092199697</v>
      </c>
      <c r="E38" s="130">
        <f t="shared" si="10"/>
        <v>1158336.4301616452</v>
      </c>
      <c r="F38" s="130">
        <f t="shared" si="10"/>
        <v>823032.10234838282</v>
      </c>
      <c r="G38" s="665" t="s">
        <v>84</v>
      </c>
      <c r="H38" s="665" t="s">
        <v>85</v>
      </c>
      <c r="I38" s="131">
        <f>AC9</f>
        <v>3908797.5371319456</v>
      </c>
      <c r="J38" s="126"/>
      <c r="L38" s="136"/>
      <c r="M38" s="87"/>
      <c r="N38" s="87"/>
      <c r="O38" s="87"/>
      <c r="P38" s="87"/>
      <c r="Q38" s="87"/>
      <c r="R38" s="87"/>
      <c r="S38" s="87"/>
      <c r="T38" s="87"/>
      <c r="U38" s="87"/>
    </row>
    <row r="39" spans="2:21" ht="6" customHeight="1" x14ac:dyDescent="0.2">
      <c r="B39" s="137"/>
      <c r="C39" s="125"/>
      <c r="D39" s="125"/>
      <c r="E39" s="125"/>
      <c r="F39" s="125"/>
      <c r="G39" s="125"/>
      <c r="H39" s="125"/>
      <c r="I39" s="125"/>
      <c r="J39" s="126"/>
      <c r="L39" s="136"/>
      <c r="M39" s="87"/>
      <c r="N39" s="87"/>
      <c r="O39" s="87"/>
      <c r="P39" s="87"/>
      <c r="Q39" s="87"/>
      <c r="R39" s="87"/>
      <c r="S39" s="87"/>
      <c r="T39" s="87"/>
      <c r="U39" s="87"/>
    </row>
    <row r="40" spans="2:21" ht="15.75" thickBot="1" x14ac:dyDescent="0.3">
      <c r="B40" s="138">
        <f>SUM(B35:B38)</f>
        <v>2214810.6124979518</v>
      </c>
      <c r="C40" s="139">
        <f>SUM(C35:C38)</f>
        <v>2402706.7615456562</v>
      </c>
      <c r="D40" s="139">
        <f>SUM(D35:D38)</f>
        <v>33525393.544496797</v>
      </c>
      <c r="E40" s="139">
        <f>SUM(E35:E38)</f>
        <v>30586336.647006642</v>
      </c>
      <c r="F40" s="139">
        <f>SUM(F35:F38)</f>
        <v>21732491.785834897</v>
      </c>
      <c r="G40" s="666" t="s">
        <v>56</v>
      </c>
      <c r="H40" s="666"/>
      <c r="I40" s="140">
        <f>SUM(I35:I38)</f>
        <v>90461739.351381943</v>
      </c>
      <c r="J40" s="126"/>
      <c r="L40" s="133"/>
      <c r="M40" s="134"/>
      <c r="N40" s="134"/>
      <c r="O40" s="134"/>
      <c r="P40" s="134"/>
      <c r="Q40" s="134"/>
      <c r="R40" s="134"/>
      <c r="S40" s="134"/>
      <c r="T40" s="134"/>
      <c r="U40" s="135"/>
    </row>
    <row r="41" spans="2:21" ht="16.5" thickTop="1" thickBot="1" x14ac:dyDescent="0.3">
      <c r="B41" s="141"/>
      <c r="C41" s="142"/>
      <c r="D41" s="142"/>
      <c r="E41" s="142"/>
      <c r="F41" s="142"/>
      <c r="G41" s="142"/>
      <c r="H41" s="142"/>
      <c r="I41" s="142"/>
      <c r="J41" s="143"/>
      <c r="L41" s="133"/>
      <c r="M41" s="144"/>
      <c r="N41" s="144"/>
      <c r="O41" s="144"/>
      <c r="P41" s="144"/>
      <c r="Q41" s="144"/>
      <c r="R41" s="144"/>
      <c r="S41" s="144"/>
      <c r="T41" s="144"/>
      <c r="U41" s="145"/>
    </row>
    <row r="42" spans="2:21" x14ac:dyDescent="0.2">
      <c r="B42" s="236"/>
      <c r="C42" s="236"/>
      <c r="D42" s="236"/>
      <c r="E42" s="236"/>
      <c r="F42" s="236"/>
      <c r="L42" s="133"/>
      <c r="M42" s="87"/>
      <c r="N42" s="87"/>
      <c r="O42" s="87"/>
      <c r="P42" s="87"/>
      <c r="Q42" s="87"/>
      <c r="R42" s="87"/>
      <c r="S42" s="87"/>
      <c r="T42" s="87"/>
      <c r="U42" s="135"/>
    </row>
    <row r="43" spans="2:21" x14ac:dyDescent="0.2">
      <c r="F43" s="62"/>
      <c r="L43" s="136"/>
      <c r="M43" s="87"/>
      <c r="N43" s="87"/>
      <c r="O43" s="98"/>
      <c r="P43" s="98"/>
      <c r="Q43" s="98"/>
      <c r="R43" s="98"/>
      <c r="S43" s="98"/>
      <c r="T43" s="98"/>
      <c r="U43" s="135"/>
    </row>
    <row r="44" spans="2:21" x14ac:dyDescent="0.2">
      <c r="B44" s="237">
        <v>2214401</v>
      </c>
      <c r="D44" s="239">
        <f>D35+C35+B35</f>
        <v>24143654.609278988</v>
      </c>
      <c r="F44" s="239">
        <f>E35+F35</f>
        <v>33558306.600221008</v>
      </c>
    </row>
    <row r="66" spans="2:14" x14ac:dyDescent="0.2">
      <c r="B66" s="667" t="s">
        <v>86</v>
      </c>
      <c r="C66" s="668"/>
      <c r="D66" s="668"/>
      <c r="E66" s="146"/>
      <c r="F66" s="146"/>
      <c r="G66" s="146"/>
      <c r="H66" s="146"/>
      <c r="I66" s="146"/>
      <c r="J66" s="147"/>
      <c r="L66" s="663" t="s">
        <v>87</v>
      </c>
      <c r="M66" s="664"/>
      <c r="N66" s="147"/>
    </row>
    <row r="67" spans="2:14" x14ac:dyDescent="0.2">
      <c r="B67" s="148"/>
      <c r="C67" s="149"/>
      <c r="D67" s="149"/>
      <c r="E67" s="149"/>
      <c r="F67" s="150">
        <f>F69/$I69</f>
        <v>0.3038166462510476</v>
      </c>
      <c r="G67" s="150">
        <f>G69/$I69</f>
        <v>0.54125029548922265</v>
      </c>
      <c r="H67" s="150">
        <f>H69/$I69</f>
        <v>0.15493305825972964</v>
      </c>
      <c r="I67" s="149"/>
      <c r="J67" s="151"/>
      <c r="L67" s="152"/>
      <c r="M67" s="153"/>
      <c r="N67" s="151"/>
    </row>
    <row r="68" spans="2:14" ht="15" x14ac:dyDescent="0.25">
      <c r="B68" s="154">
        <v>41602063</v>
      </c>
      <c r="C68" s="149"/>
      <c r="D68" s="149"/>
      <c r="E68" s="149"/>
      <c r="F68" s="155">
        <v>28275000</v>
      </c>
      <c r="G68" s="155">
        <v>50372000</v>
      </c>
      <c r="H68" s="155">
        <v>14419000</v>
      </c>
      <c r="I68" s="156">
        <f>SUM(F68:H68)</f>
        <v>93066000</v>
      </c>
      <c r="J68" s="151"/>
      <c r="L68" s="148" t="s">
        <v>88</v>
      </c>
      <c r="M68" s="155">
        <v>131440</v>
      </c>
      <c r="N68" s="151"/>
    </row>
    <row r="69" spans="2:14" ht="15" x14ac:dyDescent="0.25">
      <c r="B69" s="154">
        <v>4712741</v>
      </c>
      <c r="C69" s="149"/>
      <c r="D69" s="149"/>
      <c r="E69" s="149"/>
      <c r="F69" s="155">
        <f>F68/1.5227</f>
        <v>18568989.295330662</v>
      </c>
      <c r="G69" s="155">
        <f>G68/1.5227</f>
        <v>33080711.893347345</v>
      </c>
      <c r="H69" s="155">
        <f>H68/1.5227</f>
        <v>9469363.6303933803</v>
      </c>
      <c r="I69" s="156">
        <f>SUM(F69:H69)</f>
        <v>61119064.81907139</v>
      </c>
      <c r="J69" s="151"/>
      <c r="L69" s="148" t="s">
        <v>89</v>
      </c>
      <c r="M69" s="155">
        <v>469601</v>
      </c>
      <c r="N69" s="151"/>
    </row>
    <row r="70" spans="2:14" ht="15" x14ac:dyDescent="0.25">
      <c r="B70" s="154">
        <v>2639135</v>
      </c>
      <c r="C70" s="157">
        <f>SUM(B68:B70)</f>
        <v>48953939</v>
      </c>
      <c r="D70" s="149"/>
      <c r="E70" s="149"/>
      <c r="F70" s="149"/>
      <c r="G70" s="149"/>
      <c r="H70" s="149"/>
      <c r="I70" s="158"/>
      <c r="J70" s="151"/>
      <c r="L70" s="148" t="s">
        <v>90</v>
      </c>
      <c r="M70" s="155">
        <v>312802</v>
      </c>
      <c r="N70" s="151"/>
    </row>
    <row r="71" spans="2:14" ht="15" x14ac:dyDescent="0.25">
      <c r="B71" s="154">
        <f>SUM(B68:B70)*0.07</f>
        <v>3426775.7300000004</v>
      </c>
      <c r="C71" s="159">
        <v>7.0000000000000007E-2</v>
      </c>
      <c r="D71" s="149"/>
      <c r="E71" s="149"/>
      <c r="F71" s="160">
        <f>$J71*F67</f>
        <v>25439515.334603008</v>
      </c>
      <c r="G71" s="160">
        <f>$J71*G67</f>
        <v>45320575.293885864</v>
      </c>
      <c r="H71" s="160">
        <f>$J71*H67</f>
        <v>12973028.173638931</v>
      </c>
      <c r="I71" s="161">
        <f>SUM(F71:H71)</f>
        <v>83733118.802127793</v>
      </c>
      <c r="J71" s="162">
        <f>I69*1.37</f>
        <v>83733118.802127808</v>
      </c>
      <c r="L71" s="148" t="s">
        <v>91</v>
      </c>
      <c r="M71" s="155">
        <v>281380</v>
      </c>
      <c r="N71" s="163">
        <v>0.6</v>
      </c>
    </row>
    <row r="72" spans="2:14" ht="15" x14ac:dyDescent="0.25">
      <c r="B72" s="154">
        <f>SUM(B68:B71)*0.02</f>
        <v>1047614.2946000001</v>
      </c>
      <c r="C72" s="159">
        <v>0.02</v>
      </c>
      <c r="D72" s="149"/>
      <c r="E72" s="149"/>
      <c r="F72" s="164">
        <f>F71*1.5227</f>
        <v>38736750</v>
      </c>
      <c r="G72" s="164">
        <f>G71*1.5227</f>
        <v>69009640</v>
      </c>
      <c r="H72" s="164">
        <f>H71*1.5227</f>
        <v>19754030</v>
      </c>
      <c r="I72" s="165">
        <f>I71*1.5227</f>
        <v>127500419.99999999</v>
      </c>
      <c r="J72" s="151"/>
      <c r="L72" s="148" t="s">
        <v>92</v>
      </c>
      <c r="M72" s="155">
        <v>2231569</v>
      </c>
      <c r="N72" s="163">
        <v>0.6</v>
      </c>
    </row>
    <row r="73" spans="2:14" ht="15" x14ac:dyDescent="0.25">
      <c r="B73" s="166">
        <f>SUM(B71:B72)</f>
        <v>4474390.0246000011</v>
      </c>
      <c r="C73" s="149"/>
      <c r="D73" s="149"/>
      <c r="E73" s="164"/>
      <c r="F73" s="167">
        <v>28737000</v>
      </c>
      <c r="G73" s="168">
        <v>49010000</v>
      </c>
      <c r="H73" s="168">
        <v>49753420</v>
      </c>
      <c r="I73" s="164">
        <f>I72-SUM(E73:H73)</f>
        <v>0</v>
      </c>
      <c r="J73" s="151"/>
      <c r="L73" s="148" t="s">
        <v>93</v>
      </c>
      <c r="M73" s="155">
        <v>707673</v>
      </c>
      <c r="N73" s="163">
        <v>0.8</v>
      </c>
    </row>
    <row r="74" spans="2:14" x14ac:dyDescent="0.2">
      <c r="B74" s="154">
        <f>B73*0.1</f>
        <v>447439.00246000011</v>
      </c>
      <c r="C74" s="149" t="s">
        <v>94</v>
      </c>
      <c r="D74" s="149"/>
      <c r="E74" s="149"/>
      <c r="F74" s="149"/>
      <c r="G74" s="149"/>
      <c r="H74" s="149"/>
      <c r="I74" s="149"/>
      <c r="J74" s="151"/>
      <c r="L74" s="148" t="s">
        <v>66</v>
      </c>
      <c r="M74" s="156">
        <f>SUM(M68:M70)+(M71*N71)+(M72*N72)+(M73*N73)</f>
        <v>2987750.8</v>
      </c>
      <c r="N74" s="151"/>
    </row>
    <row r="75" spans="2:14" ht="15" x14ac:dyDescent="0.25">
      <c r="B75" s="154">
        <f>SUM(B73:B74)*0.5227</f>
        <v>2572640.0324442629</v>
      </c>
      <c r="C75" s="149" t="s">
        <v>95</v>
      </c>
      <c r="D75" s="169">
        <f>B73+B74</f>
        <v>4921829.0270600012</v>
      </c>
      <c r="E75" s="155">
        <f>SUM(E77:E88)</f>
        <v>4921829.0270600021</v>
      </c>
      <c r="F75" s="149"/>
      <c r="G75" s="149"/>
      <c r="H75" s="149"/>
      <c r="I75" s="149"/>
      <c r="J75" s="151"/>
      <c r="L75" s="148" t="s">
        <v>96</v>
      </c>
      <c r="M75" s="156">
        <v>8075641</v>
      </c>
      <c r="N75" s="151"/>
    </row>
    <row r="76" spans="2:14" ht="15" x14ac:dyDescent="0.25">
      <c r="B76" s="154">
        <f>G89</f>
        <v>188054.88407558424</v>
      </c>
      <c r="C76" s="149" t="s">
        <v>97</v>
      </c>
      <c r="D76" s="149"/>
      <c r="E76" s="149"/>
      <c r="F76" s="149"/>
      <c r="G76" s="149"/>
      <c r="H76" s="149"/>
      <c r="I76" s="149"/>
      <c r="J76" s="151"/>
      <c r="L76" s="148"/>
      <c r="M76" s="155"/>
      <c r="N76" s="151"/>
    </row>
    <row r="77" spans="2:14" ht="15" x14ac:dyDescent="0.25">
      <c r="B77" s="166">
        <f>B73+B74+B75+B76</f>
        <v>7682523.9435798479</v>
      </c>
      <c r="C77" s="158" t="s">
        <v>98</v>
      </c>
      <c r="D77" s="149"/>
      <c r="E77" s="155">
        <f>$D$75*0.05</f>
        <v>246091.45135300007</v>
      </c>
      <c r="F77" s="170">
        <f>E77</f>
        <v>246091.45135300007</v>
      </c>
      <c r="G77" s="171">
        <f>(F77*0.07)/12</f>
        <v>1435.5334662258338</v>
      </c>
      <c r="H77" s="170"/>
      <c r="I77" s="170"/>
      <c r="J77" s="172"/>
      <c r="L77" s="173" t="s">
        <v>99</v>
      </c>
      <c r="M77" s="174">
        <f>M74/(M75)</f>
        <v>0.36997073049681134</v>
      </c>
      <c r="N77" s="175"/>
    </row>
    <row r="78" spans="2:14" ht="15" x14ac:dyDescent="0.25">
      <c r="B78" s="148"/>
      <c r="C78" s="149"/>
      <c r="D78" s="149"/>
      <c r="E78" s="155">
        <f>$D$75*0.05</f>
        <v>246091.45135300007</v>
      </c>
      <c r="F78" s="160">
        <f>SUM(E$77:E77)+E78</f>
        <v>492182.90270600014</v>
      </c>
      <c r="G78" s="171">
        <f>(F78*0.07)/12</f>
        <v>2871.0669324516675</v>
      </c>
      <c r="H78" s="149"/>
      <c r="I78" s="149"/>
      <c r="J78" s="151"/>
    </row>
    <row r="79" spans="2:14" ht="15" x14ac:dyDescent="0.25">
      <c r="B79" s="148"/>
      <c r="C79" s="149"/>
      <c r="D79" s="149"/>
      <c r="E79" s="155">
        <f>$D$75*0.05</f>
        <v>246091.45135300007</v>
      </c>
      <c r="F79" s="160">
        <f>SUM(E$77:E78)+E79</f>
        <v>738274.35405900027</v>
      </c>
      <c r="G79" s="171">
        <f t="shared" ref="G79:G88" si="11">(F79*0.07)/12</f>
        <v>4306.6003986775022</v>
      </c>
      <c r="H79" s="149"/>
      <c r="I79" s="149"/>
      <c r="J79" s="151"/>
    </row>
    <row r="80" spans="2:14" ht="15" x14ac:dyDescent="0.25">
      <c r="B80" s="148"/>
      <c r="C80" s="149"/>
      <c r="D80" s="149"/>
      <c r="E80" s="155">
        <f>$D$75*0.1</f>
        <v>492182.90270600014</v>
      </c>
      <c r="F80" s="160">
        <f>SUM(E$77:E79)+E80</f>
        <v>1230457.2567650005</v>
      </c>
      <c r="G80" s="171">
        <f t="shared" si="11"/>
        <v>7177.6673311291706</v>
      </c>
      <c r="H80" s="149"/>
      <c r="I80" s="149"/>
      <c r="J80" s="151"/>
    </row>
    <row r="81" spans="2:10" ht="15" x14ac:dyDescent="0.25">
      <c r="B81" s="148"/>
      <c r="C81" s="149"/>
      <c r="D81" s="149"/>
      <c r="E81" s="155">
        <f>$D$75*0.1</f>
        <v>492182.90270600014</v>
      </c>
      <c r="F81" s="160">
        <f>SUM(E$77:E80)+E81</f>
        <v>1722640.1594710005</v>
      </c>
      <c r="G81" s="171">
        <f t="shared" si="11"/>
        <v>10048.734263580836</v>
      </c>
      <c r="H81" s="149"/>
      <c r="I81" s="149"/>
      <c r="J81" s="151"/>
    </row>
    <row r="82" spans="2:10" ht="15" x14ac:dyDescent="0.25">
      <c r="B82" s="148"/>
      <c r="C82" s="149"/>
      <c r="D82" s="149"/>
      <c r="E82" s="155">
        <f>$D$75*0.15</f>
        <v>738274.35405900015</v>
      </c>
      <c r="F82" s="160">
        <f>SUM(E$77:E81)+E82</f>
        <v>2460914.5135300006</v>
      </c>
      <c r="G82" s="171">
        <f t="shared" si="11"/>
        <v>14355.334662258339</v>
      </c>
      <c r="H82" s="149"/>
      <c r="I82" s="149"/>
      <c r="J82" s="151"/>
    </row>
    <row r="83" spans="2:10" ht="15" x14ac:dyDescent="0.25">
      <c r="B83" s="148"/>
      <c r="C83" s="149"/>
      <c r="D83" s="149"/>
      <c r="E83" s="155">
        <f>$D$75*0.15</f>
        <v>738274.35405900015</v>
      </c>
      <c r="F83" s="160">
        <f>SUM(E$77:E82)+E83</f>
        <v>3199188.8675890006</v>
      </c>
      <c r="G83" s="171">
        <f t="shared" si="11"/>
        <v>18661.935060935841</v>
      </c>
      <c r="H83" s="149"/>
      <c r="I83" s="149"/>
      <c r="J83" s="151"/>
    </row>
    <row r="84" spans="2:10" ht="15" x14ac:dyDescent="0.25">
      <c r="B84" s="148"/>
      <c r="C84" s="149"/>
      <c r="D84" s="149"/>
      <c r="E84" s="155">
        <f>$D$75*0.15</f>
        <v>738274.35405900015</v>
      </c>
      <c r="F84" s="160">
        <f>SUM(E$77:E83)+E84</f>
        <v>3937463.2216480006</v>
      </c>
      <c r="G84" s="171">
        <f t="shared" si="11"/>
        <v>22968.53545961334</v>
      </c>
      <c r="H84" s="149"/>
      <c r="I84" s="149"/>
      <c r="J84" s="151"/>
    </row>
    <row r="85" spans="2:10" ht="15" x14ac:dyDescent="0.25">
      <c r="B85" s="148"/>
      <c r="C85" s="149"/>
      <c r="D85" s="149"/>
      <c r="E85" s="155">
        <f>$D$75*0.05</f>
        <v>246091.45135300007</v>
      </c>
      <c r="F85" s="160">
        <f>SUM(E$77:E84)+E85</f>
        <v>4183554.6730010007</v>
      </c>
      <c r="G85" s="171">
        <f t="shared" si="11"/>
        <v>24404.068925839176</v>
      </c>
      <c r="H85" s="149"/>
      <c r="I85" s="149"/>
      <c r="J85" s="151"/>
    </row>
    <row r="86" spans="2:10" ht="15" x14ac:dyDescent="0.25">
      <c r="B86" s="148"/>
      <c r="C86" s="149"/>
      <c r="D86" s="149"/>
      <c r="E86" s="155">
        <f>$D$75*0.05</f>
        <v>246091.45135300007</v>
      </c>
      <c r="F86" s="160">
        <f>SUM(E$77:E85)+E86</f>
        <v>4429646.1243540011</v>
      </c>
      <c r="G86" s="171">
        <f t="shared" si="11"/>
        <v>25839.602392065008</v>
      </c>
      <c r="H86" s="149"/>
      <c r="I86" s="149"/>
      <c r="J86" s="151"/>
    </row>
    <row r="87" spans="2:10" ht="15" x14ac:dyDescent="0.25">
      <c r="B87" s="148"/>
      <c r="C87" s="149"/>
      <c r="D87" s="149"/>
      <c r="E87" s="155">
        <f>$D$75*0.05</f>
        <v>246091.45135300007</v>
      </c>
      <c r="F87" s="160">
        <f>SUM(E$77:E86)+E87</f>
        <v>4675737.5757070016</v>
      </c>
      <c r="G87" s="171">
        <f t="shared" si="11"/>
        <v>27275.135858290843</v>
      </c>
      <c r="H87" s="149"/>
      <c r="I87" s="149"/>
      <c r="J87" s="151"/>
    </row>
    <row r="88" spans="2:10" ht="15" x14ac:dyDescent="0.25">
      <c r="B88" s="148"/>
      <c r="C88" s="149"/>
      <c r="D88" s="149"/>
      <c r="E88" s="155">
        <f>$D$75*0.05</f>
        <v>246091.45135300007</v>
      </c>
      <c r="F88" s="160">
        <f>SUM(E$77:E87)+E88</f>
        <v>4921829.0270600021</v>
      </c>
      <c r="G88" s="171">
        <f t="shared" si="11"/>
        <v>28710.669324516683</v>
      </c>
      <c r="H88" s="149"/>
      <c r="I88" s="149"/>
      <c r="J88" s="151"/>
    </row>
    <row r="89" spans="2:10" x14ac:dyDescent="0.2">
      <c r="B89" s="148"/>
      <c r="C89" s="149"/>
      <c r="D89" s="149"/>
      <c r="E89" s="149"/>
      <c r="F89" s="149"/>
      <c r="G89" s="156">
        <f>SUM(G77:G88)</f>
        <v>188054.88407558424</v>
      </c>
      <c r="H89" s="158" t="s">
        <v>100</v>
      </c>
      <c r="I89" s="149"/>
      <c r="J89" s="151"/>
    </row>
    <row r="90" spans="2:10" x14ac:dyDescent="0.2">
      <c r="B90" s="148"/>
      <c r="C90" s="149"/>
      <c r="D90" s="149"/>
      <c r="E90" s="149"/>
      <c r="F90" s="149"/>
      <c r="G90" s="149"/>
      <c r="H90" s="149"/>
      <c r="I90" s="149"/>
      <c r="J90" s="151"/>
    </row>
    <row r="91" spans="2:10" x14ac:dyDescent="0.2">
      <c r="B91" s="173"/>
      <c r="C91" s="176"/>
      <c r="D91" s="176"/>
      <c r="E91" s="176"/>
      <c r="F91" s="176"/>
      <c r="G91" s="176"/>
      <c r="H91" s="176"/>
      <c r="I91" s="176"/>
      <c r="J91" s="175"/>
    </row>
  </sheetData>
  <mergeCells count="13">
    <mergeCell ref="L66:M66"/>
    <mergeCell ref="G35:H35"/>
    <mergeCell ref="G36:H36"/>
    <mergeCell ref="G37:H37"/>
    <mergeCell ref="G38:H38"/>
    <mergeCell ref="G40:H40"/>
    <mergeCell ref="B66:D66"/>
    <mergeCell ref="A1:J1"/>
    <mergeCell ref="A5:A6"/>
    <mergeCell ref="A19:A20"/>
    <mergeCell ref="B32:J32"/>
    <mergeCell ref="B33:C33"/>
    <mergeCell ref="H33:I33"/>
  </mergeCells>
  <dataValidations disablePrompts="1" count="2">
    <dataValidation type="list" allowBlank="1" showInputMessage="1" showErrorMessage="1" errorTitle="Incorrect Entry" error="Please enter a number between 2 and 5" sqref="B16">
      <formula1>$AG$3:$AG$6</formula1>
    </dataValidation>
    <dataValidation allowBlank="1" showErrorMessage="1" errorTitle="Enter Yes or No" error="Please enter either yes or no to reflect partial capitalisation of costs_x000a_" sqref="B22:E22"/>
  </dataValidations>
  <pageMargins left="0.35433070866141736" right="0.35433070866141736" top="0.59055118110236227" bottom="0.59055118110236227" header="0.51181102362204722" footer="0.51181102362204722"/>
  <pageSetup paperSize="9" scale="98" orientation="portrait" r:id="rId1"/>
  <headerFooter alignWithMargins="0"/>
  <drawing r:id="rId2"/>
  <legacyDrawing r:id="rId3"/>
  <controls>
    <mc:AlternateContent xmlns:mc="http://schemas.openxmlformats.org/markup-compatibility/2006">
      <mc:Choice Requires="x14">
        <control shapeId="10244" r:id="rId4" name="CheckBox4">
          <controlPr locked="0" defaultSize="0" autoLine="0" linkedCell="AD11" r:id="rId5">
            <anchor moveWithCells="1">
              <from>
                <xdr:col>4</xdr:col>
                <xdr:colOff>333375</xdr:colOff>
                <xdr:row>21</xdr:row>
                <xdr:rowOff>19050</xdr:rowOff>
              </from>
              <to>
                <xdr:col>4</xdr:col>
                <xdr:colOff>476250</xdr:colOff>
                <xdr:row>21</xdr:row>
                <xdr:rowOff>152400</xdr:rowOff>
              </to>
            </anchor>
          </controlPr>
        </control>
      </mc:Choice>
      <mc:Fallback>
        <control shapeId="10244" r:id="rId4" name="CheckBox4"/>
      </mc:Fallback>
    </mc:AlternateContent>
    <mc:AlternateContent xmlns:mc="http://schemas.openxmlformats.org/markup-compatibility/2006">
      <mc:Choice Requires="x14">
        <control shapeId="10243" r:id="rId6" name="CheckBox3">
          <controlPr locked="0" defaultSize="0" autoLine="0" linkedCell="AB11" r:id="rId7">
            <anchor moveWithCells="1">
              <from>
                <xdr:col>3</xdr:col>
                <xdr:colOff>333375</xdr:colOff>
                <xdr:row>21</xdr:row>
                <xdr:rowOff>19050</xdr:rowOff>
              </from>
              <to>
                <xdr:col>3</xdr:col>
                <xdr:colOff>476250</xdr:colOff>
                <xdr:row>21</xdr:row>
                <xdr:rowOff>152400</xdr:rowOff>
              </to>
            </anchor>
          </controlPr>
        </control>
      </mc:Choice>
      <mc:Fallback>
        <control shapeId="10243" r:id="rId6" name="CheckBox3"/>
      </mc:Fallback>
    </mc:AlternateContent>
    <mc:AlternateContent xmlns:mc="http://schemas.openxmlformats.org/markup-compatibility/2006">
      <mc:Choice Requires="x14">
        <control shapeId="10242" r:id="rId8" name="CheckBox2">
          <controlPr locked="0" defaultSize="0" autoLine="0" linkedCell="Z11" r:id="rId9">
            <anchor moveWithCells="1">
              <from>
                <xdr:col>2</xdr:col>
                <xdr:colOff>333375</xdr:colOff>
                <xdr:row>21</xdr:row>
                <xdr:rowOff>19050</xdr:rowOff>
              </from>
              <to>
                <xdr:col>2</xdr:col>
                <xdr:colOff>476250</xdr:colOff>
                <xdr:row>21</xdr:row>
                <xdr:rowOff>152400</xdr:rowOff>
              </to>
            </anchor>
          </controlPr>
        </control>
      </mc:Choice>
      <mc:Fallback>
        <control shapeId="10242" r:id="rId8" name="CheckBox2"/>
      </mc:Fallback>
    </mc:AlternateContent>
    <mc:AlternateContent xmlns:mc="http://schemas.openxmlformats.org/markup-compatibility/2006">
      <mc:Choice Requires="x14">
        <control shapeId="10241" r:id="rId10" name="CheckBox1">
          <controlPr locked="0" defaultSize="0" autoLine="0" linkedCell="X11" r:id="rId11">
            <anchor moveWithCells="1">
              <from>
                <xdr:col>1</xdr:col>
                <xdr:colOff>333375</xdr:colOff>
                <xdr:row>21</xdr:row>
                <xdr:rowOff>19050</xdr:rowOff>
              </from>
              <to>
                <xdr:col>1</xdr:col>
                <xdr:colOff>476250</xdr:colOff>
                <xdr:row>21</xdr:row>
                <xdr:rowOff>152400</xdr:rowOff>
              </to>
            </anchor>
          </controlPr>
        </control>
      </mc:Choice>
      <mc:Fallback>
        <control shapeId="10241" r:id="rId10" name="CheckBox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7</vt:i4>
      </vt:variant>
    </vt:vector>
  </HeadingPairs>
  <TitlesOfParts>
    <vt:vector size="24" baseType="lpstr">
      <vt:lpstr>Summary</vt:lpstr>
      <vt:lpstr>Graphs</vt:lpstr>
      <vt:lpstr>Assumptions</vt:lpstr>
      <vt:lpstr>ALL-Opex Baseline</vt:lpstr>
      <vt:lpstr>ALL-Garbutt Site Details</vt:lpstr>
      <vt:lpstr>OP1,3,8-Item Costs</vt:lpstr>
      <vt:lpstr>OP1,3,8-Project Cost</vt:lpstr>
      <vt:lpstr>OP2-Item Costs</vt:lpstr>
      <vt:lpstr>OP2-Project Cost</vt:lpstr>
      <vt:lpstr>OP4-Item Costs</vt:lpstr>
      <vt:lpstr>OP4-Project Cost</vt:lpstr>
      <vt:lpstr>OP5-Garbutt Projects</vt:lpstr>
      <vt:lpstr>OP6-Item Costs</vt:lpstr>
      <vt:lpstr>OP6-Project Cost</vt:lpstr>
      <vt:lpstr>OP7-Item Costs</vt:lpstr>
      <vt:lpstr>OP7-Project Cost</vt:lpstr>
      <vt:lpstr>NPVData</vt:lpstr>
      <vt:lpstr>Assumptions!Print_Area</vt:lpstr>
      <vt:lpstr>'OP1,3,8-Project Cost'!Print_Area</vt:lpstr>
      <vt:lpstr>'OP2-Project Cost'!Print_Area</vt:lpstr>
      <vt:lpstr>'OP4-Project Cost'!Print_Area</vt:lpstr>
      <vt:lpstr>'OP6-Project Cost'!Print_Area</vt:lpstr>
      <vt:lpstr>'OP7-Project Cost'!Print_Area</vt:lpstr>
      <vt:lpstr>Summary!Print_Area</vt:lpstr>
    </vt:vector>
  </TitlesOfParts>
  <Company>SPARQ Solutions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tcoles</dc:creator>
  <cp:lastModifiedBy>tcoles</cp:lastModifiedBy>
  <cp:lastPrinted>2013-12-06T05:11:05Z</cp:lastPrinted>
  <dcterms:created xsi:type="dcterms:W3CDTF">2013-10-20T22:47:05Z</dcterms:created>
  <dcterms:modified xsi:type="dcterms:W3CDTF">2015-05-20T06:02:51Z</dcterms:modified>
</cp:coreProperties>
</file>