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workbookProtection lockStructure="1"/>
  <bookViews>
    <workbookView xWindow="480" yWindow="705" windowWidth="18195" windowHeight="8325" tabRatio="871"/>
  </bookViews>
  <sheets>
    <sheet name="Instructions" sheetId="15" r:id="rId1"/>
    <sheet name="DNSP Data Inputs 2012-15" sheetId="16" r:id="rId2"/>
    <sheet name="Data 2006-08" sheetId="3" r:id="rId3"/>
    <sheet name="Data 2009-11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_xlnm.Print_Area" localSheetId="3">'Data 2009-11'!$A$1:$L$125</definedName>
  </definedNames>
  <calcPr calcId="145621" calcOnSave="0"/>
</workbook>
</file>

<file path=xl/calcChain.xml><?xml version="1.0" encoding="utf-8"?>
<calcChain xmlns="http://schemas.openxmlformats.org/spreadsheetml/2006/main">
  <c r="A19" i="12" l="1"/>
  <c r="A29" i="12"/>
  <c r="A38" i="12"/>
  <c r="A39" i="12"/>
  <c r="A49" i="12"/>
  <c r="A59" i="12"/>
  <c r="A69" i="12"/>
  <c r="A80" i="12"/>
  <c r="A88" i="12"/>
  <c r="A96" i="12"/>
  <c r="A104" i="12"/>
  <c r="A112" i="12"/>
  <c r="A124" i="12"/>
  <c r="A131" i="12"/>
  <c r="A132" i="12"/>
  <c r="A140" i="12"/>
  <c r="A148" i="12"/>
  <c r="A156" i="12"/>
  <c r="A168" i="12"/>
  <c r="A182" i="12"/>
  <c r="A190" i="12"/>
  <c r="A202" i="12"/>
  <c r="A213" i="12"/>
  <c r="A214" i="12"/>
  <c r="A226" i="12"/>
  <c r="A238" i="12"/>
  <c r="A250" i="12"/>
  <c r="H25" i="16" l="1"/>
  <c r="H24" i="16"/>
  <c r="H22" i="13"/>
  <c r="G30" i="14"/>
  <c r="M30" i="14"/>
  <c r="S30" i="14"/>
  <c r="G31" i="14"/>
  <c r="M31" i="14"/>
  <c r="S31" i="14"/>
  <c r="G32" i="14"/>
  <c r="M32" i="14"/>
  <c r="S32" i="14"/>
  <c r="G33" i="14"/>
  <c r="M33" i="14"/>
  <c r="S33" i="14"/>
  <c r="G34" i="14"/>
  <c r="M34" i="14"/>
  <c r="S34" i="14"/>
  <c r="G35" i="14"/>
  <c r="M35" i="14"/>
  <c r="S35" i="14"/>
  <c r="G36" i="14"/>
  <c r="M36" i="14"/>
  <c r="S36" i="14"/>
  <c r="G40" i="14"/>
  <c r="M40" i="14"/>
  <c r="S40" i="14"/>
  <c r="G41" i="14"/>
  <c r="M41" i="14"/>
  <c r="S41" i="14"/>
  <c r="G42" i="14"/>
  <c r="M42" i="14"/>
  <c r="S42" i="14"/>
  <c r="G43" i="14"/>
  <c r="M43" i="14"/>
  <c r="S43" i="14"/>
  <c r="G44" i="14"/>
  <c r="M44" i="14"/>
  <c r="S44" i="14"/>
  <c r="G45" i="14"/>
  <c r="M45" i="14"/>
  <c r="S45" i="14"/>
  <c r="G46" i="14"/>
  <c r="M46" i="14"/>
  <c r="S46" i="14"/>
  <c r="G50" i="14"/>
  <c r="M50" i="14"/>
  <c r="S50" i="14"/>
  <c r="G51" i="14"/>
  <c r="M51" i="14"/>
  <c r="S51" i="14"/>
  <c r="G52" i="14"/>
  <c r="M52" i="14"/>
  <c r="S52" i="14"/>
  <c r="G53" i="14"/>
  <c r="M53" i="14"/>
  <c r="S53" i="14"/>
  <c r="G54" i="14"/>
  <c r="M54" i="14"/>
  <c r="S54" i="14"/>
  <c r="G55" i="14"/>
  <c r="M55" i="14"/>
  <c r="S55" i="14"/>
  <c r="G64" i="14"/>
  <c r="M64" i="14"/>
  <c r="S64" i="14"/>
  <c r="G65" i="14"/>
  <c r="M65" i="14"/>
  <c r="S65" i="14"/>
  <c r="G66" i="14"/>
  <c r="M66" i="14"/>
  <c r="S66" i="14"/>
  <c r="G67" i="14"/>
  <c r="M67" i="14"/>
  <c r="S67" i="14"/>
  <c r="G68" i="14"/>
  <c r="M68" i="14"/>
  <c r="S68" i="14"/>
  <c r="G69" i="14"/>
  <c r="M69" i="14"/>
  <c r="S69" i="14"/>
  <c r="G70" i="14"/>
  <c r="M70" i="14"/>
  <c r="S70" i="14"/>
  <c r="G71" i="14"/>
  <c r="M71" i="14"/>
  <c r="S71" i="14"/>
  <c r="G72" i="14"/>
  <c r="M72" i="14"/>
  <c r="S72" i="14"/>
  <c r="G73" i="14"/>
  <c r="M73" i="14"/>
  <c r="S73" i="14"/>
  <c r="G74" i="14"/>
  <c r="M74" i="14"/>
  <c r="S74" i="14"/>
  <c r="C6" i="13"/>
  <c r="C9" i="13"/>
  <c r="C8" i="13"/>
  <c r="C14" i="13"/>
  <c r="C11" i="13"/>
  <c r="C13" i="13"/>
  <c r="C10" i="13"/>
  <c r="C7" i="13"/>
  <c r="C16" i="13"/>
  <c r="C15" i="13"/>
  <c r="C18" i="13"/>
  <c r="D23" i="13"/>
  <c r="D22" i="13"/>
  <c r="D24" i="13"/>
  <c r="E23" i="13"/>
  <c r="E22" i="13"/>
  <c r="E24" i="13"/>
  <c r="F23" i="13"/>
  <c r="F22" i="13"/>
  <c r="F24" i="13"/>
  <c r="G23" i="13"/>
  <c r="G22" i="13"/>
  <c r="G24" i="13"/>
  <c r="H23" i="13"/>
  <c r="H24" i="13"/>
  <c r="H30" i="14"/>
  <c r="N30" i="14"/>
  <c r="T30" i="14"/>
  <c r="H31" i="14"/>
  <c r="N31" i="14"/>
  <c r="T31" i="14"/>
  <c r="H32" i="14"/>
  <c r="N32" i="14"/>
  <c r="T32" i="14"/>
  <c r="H33" i="14"/>
  <c r="N33" i="14"/>
  <c r="T33" i="14"/>
  <c r="H34" i="14"/>
  <c r="N34" i="14"/>
  <c r="T34" i="14"/>
  <c r="H35" i="14"/>
  <c r="N35" i="14"/>
  <c r="T35" i="14"/>
  <c r="H36" i="14"/>
  <c r="N36" i="14"/>
  <c r="T36" i="14"/>
  <c r="H40" i="14"/>
  <c r="N40" i="14"/>
  <c r="T40" i="14"/>
  <c r="H41" i="14"/>
  <c r="N41" i="14"/>
  <c r="T41" i="14"/>
  <c r="H42" i="14"/>
  <c r="N42" i="14"/>
  <c r="T42" i="14"/>
  <c r="H43" i="14"/>
  <c r="N43" i="14"/>
  <c r="T43" i="14"/>
  <c r="H44" i="14"/>
  <c r="N44" i="14"/>
  <c r="T44" i="14"/>
  <c r="H45" i="14"/>
  <c r="N45" i="14"/>
  <c r="T45" i="14"/>
  <c r="H46" i="14"/>
  <c r="N46" i="14"/>
  <c r="T46" i="14"/>
  <c r="H50" i="14"/>
  <c r="N50" i="14"/>
  <c r="T50" i="14"/>
  <c r="H51" i="14"/>
  <c r="N51" i="14"/>
  <c r="T51" i="14"/>
  <c r="H52" i="14"/>
  <c r="N52" i="14"/>
  <c r="T52" i="14"/>
  <c r="H53" i="14"/>
  <c r="N53" i="14"/>
  <c r="T53" i="14"/>
  <c r="H54" i="14"/>
  <c r="N54" i="14"/>
  <c r="T54" i="14"/>
  <c r="H55" i="14"/>
  <c r="N55" i="14"/>
  <c r="T55" i="14"/>
  <c r="H64" i="14"/>
  <c r="N64" i="14"/>
  <c r="T64" i="14"/>
  <c r="H65" i="14"/>
  <c r="N65" i="14"/>
  <c r="T65" i="14"/>
  <c r="H66" i="14"/>
  <c r="N66" i="14"/>
  <c r="T66" i="14"/>
  <c r="H67" i="14"/>
  <c r="N67" i="14"/>
  <c r="T67" i="14"/>
  <c r="H68" i="14"/>
  <c r="N68" i="14"/>
  <c r="T68" i="14"/>
  <c r="H69" i="14"/>
  <c r="N69" i="14"/>
  <c r="T69" i="14"/>
  <c r="H70" i="14"/>
  <c r="N70" i="14"/>
  <c r="T70" i="14"/>
  <c r="H71" i="14"/>
  <c r="N71" i="14"/>
  <c r="T71" i="14"/>
  <c r="H72" i="14"/>
  <c r="N72" i="14"/>
  <c r="T72" i="14"/>
  <c r="H73" i="14"/>
  <c r="N73" i="14"/>
  <c r="T73" i="14"/>
  <c r="H74" i="14"/>
  <c r="N74" i="14"/>
  <c r="T74" i="14"/>
  <c r="H45" i="13"/>
  <c r="H46" i="13"/>
  <c r="G45" i="13"/>
  <c r="G46" i="13"/>
  <c r="F45" i="13"/>
  <c r="F46" i="13"/>
  <c r="F52" i="13"/>
  <c r="E45" i="13"/>
  <c r="E46" i="13"/>
  <c r="D45" i="13"/>
  <c r="D46" i="13"/>
  <c r="D52" i="13"/>
  <c r="D53" i="13"/>
  <c r="D51" i="13"/>
  <c r="E52" i="13"/>
  <c r="E53" i="13"/>
  <c r="E51" i="13"/>
  <c r="F53" i="13"/>
  <c r="F51" i="13"/>
  <c r="G52" i="13"/>
  <c r="H52" i="13"/>
  <c r="F30" i="14"/>
  <c r="L30" i="14"/>
  <c r="R30" i="14"/>
  <c r="F31" i="14"/>
  <c r="L31" i="14"/>
  <c r="R31" i="14"/>
  <c r="F32" i="14"/>
  <c r="L32" i="14"/>
  <c r="R32" i="14"/>
  <c r="F33" i="14"/>
  <c r="L33" i="14"/>
  <c r="R33" i="14"/>
  <c r="F34" i="14"/>
  <c r="L34" i="14"/>
  <c r="R34" i="14"/>
  <c r="F35" i="14"/>
  <c r="L35" i="14"/>
  <c r="R35" i="14"/>
  <c r="F36" i="14"/>
  <c r="L36" i="14"/>
  <c r="R36" i="14"/>
  <c r="F40" i="14"/>
  <c r="L40" i="14"/>
  <c r="R40" i="14"/>
  <c r="F41" i="14"/>
  <c r="L41" i="14"/>
  <c r="R41" i="14"/>
  <c r="F42" i="14"/>
  <c r="L42" i="14"/>
  <c r="R42" i="14"/>
  <c r="F43" i="14"/>
  <c r="L43" i="14"/>
  <c r="R43" i="14"/>
  <c r="F44" i="14"/>
  <c r="L44" i="14"/>
  <c r="R44" i="14"/>
  <c r="F45" i="14"/>
  <c r="L45" i="14"/>
  <c r="R45" i="14"/>
  <c r="F46" i="14"/>
  <c r="L46" i="14"/>
  <c r="R46" i="14"/>
  <c r="F50" i="14"/>
  <c r="L50" i="14"/>
  <c r="R50" i="14"/>
  <c r="F51" i="14"/>
  <c r="L51" i="14"/>
  <c r="R51" i="14"/>
  <c r="F52" i="14"/>
  <c r="L52" i="14"/>
  <c r="R52" i="14"/>
  <c r="F53" i="14"/>
  <c r="L53" i="14"/>
  <c r="R53" i="14"/>
  <c r="F54" i="14"/>
  <c r="L54" i="14"/>
  <c r="R54" i="14"/>
  <c r="F55" i="14"/>
  <c r="L55" i="14"/>
  <c r="R55" i="14"/>
  <c r="F56" i="14"/>
  <c r="F57" i="14"/>
  <c r="F58" i="14"/>
  <c r="F59" i="14"/>
  <c r="F60" i="14"/>
  <c r="F64" i="14"/>
  <c r="L64" i="14"/>
  <c r="R64" i="14"/>
  <c r="F65" i="14"/>
  <c r="L65" i="14"/>
  <c r="R65" i="14"/>
  <c r="F66" i="14"/>
  <c r="L66" i="14"/>
  <c r="R66" i="14"/>
  <c r="F67" i="14"/>
  <c r="L67" i="14"/>
  <c r="R67" i="14"/>
  <c r="F68" i="14"/>
  <c r="L68" i="14"/>
  <c r="R68" i="14"/>
  <c r="F69" i="14"/>
  <c r="L69" i="14"/>
  <c r="R69" i="14"/>
  <c r="F70" i="14"/>
  <c r="L70" i="14"/>
  <c r="R70" i="14"/>
  <c r="F71" i="14"/>
  <c r="L71" i="14"/>
  <c r="R71" i="14"/>
  <c r="F72" i="14"/>
  <c r="L72" i="14"/>
  <c r="R72" i="14"/>
  <c r="F73" i="14"/>
  <c r="L73" i="14"/>
  <c r="R73" i="14"/>
  <c r="F74" i="14"/>
  <c r="L74" i="14"/>
  <c r="R74" i="14"/>
  <c r="H48" i="13"/>
  <c r="G48" i="13"/>
  <c r="F48" i="13"/>
  <c r="F32" i="13"/>
  <c r="D48" i="13"/>
  <c r="D32" i="13"/>
  <c r="G5" i="8"/>
  <c r="G4" i="8"/>
  <c r="G6" i="8"/>
  <c r="F18" i="8"/>
  <c r="E18" i="8"/>
  <c r="D18" i="8"/>
  <c r="H5" i="8"/>
  <c r="H4" i="8"/>
  <c r="H6" i="8"/>
  <c r="H18" i="8"/>
  <c r="I5" i="8"/>
  <c r="I4" i="8"/>
  <c r="I6" i="8"/>
  <c r="I18" i="8"/>
  <c r="J5" i="8"/>
  <c r="J4" i="8"/>
  <c r="J6" i="8"/>
  <c r="J18" i="8"/>
  <c r="K5" i="8"/>
  <c r="K4" i="8"/>
  <c r="K6" i="8"/>
  <c r="K18" i="8"/>
  <c r="E14" i="8"/>
  <c r="E16" i="8"/>
  <c r="F14" i="8"/>
  <c r="F16" i="8"/>
  <c r="G36" i="8"/>
  <c r="G13" i="8"/>
  <c r="G65" i="8"/>
  <c r="G14" i="8"/>
  <c r="G16" i="8"/>
  <c r="H36" i="8"/>
  <c r="H13" i="8"/>
  <c r="H65" i="8"/>
  <c r="H14" i="8"/>
  <c r="H16" i="8"/>
  <c r="I65" i="8"/>
  <c r="I14" i="8"/>
  <c r="I16" i="8"/>
  <c r="J65" i="8"/>
  <c r="J14" i="8"/>
  <c r="J16" i="8"/>
  <c r="K65" i="8"/>
  <c r="K14" i="8"/>
  <c r="K16" i="8"/>
  <c r="G20" i="8"/>
  <c r="E48" i="13"/>
  <c r="E32" i="13"/>
  <c r="H144" i="4"/>
  <c r="J2" i="16"/>
  <c r="H116" i="16"/>
  <c r="H115" i="16"/>
  <c r="H114" i="16"/>
  <c r="H113" i="16"/>
  <c r="H112" i="16"/>
  <c r="H111" i="16"/>
  <c r="H110" i="16"/>
  <c r="H109" i="16"/>
  <c r="H108" i="16"/>
  <c r="H107" i="16"/>
  <c r="H106" i="16"/>
  <c r="H102" i="16"/>
  <c r="H101" i="16"/>
  <c r="H100" i="16"/>
  <c r="H99" i="16"/>
  <c r="H98" i="16"/>
  <c r="H97" i="16"/>
  <c r="H96" i="16"/>
  <c r="H95" i="16"/>
  <c r="H94" i="16"/>
  <c r="H93" i="16"/>
  <c r="H92" i="16"/>
  <c r="H88" i="16"/>
  <c r="H87" i="16"/>
  <c r="H86" i="16"/>
  <c r="H85" i="16"/>
  <c r="H84" i="16"/>
  <c r="H83" i="16"/>
  <c r="H82" i="16"/>
  <c r="H78" i="16"/>
  <c r="H77" i="16"/>
  <c r="H76" i="16"/>
  <c r="H75" i="16"/>
  <c r="H74" i="16"/>
  <c r="H73" i="16"/>
  <c r="H72" i="16"/>
  <c r="F55" i="4"/>
  <c r="E55" i="4"/>
  <c r="D55" i="4"/>
  <c r="G48" i="4"/>
  <c r="F48" i="4"/>
  <c r="E48" i="4"/>
  <c r="D48" i="4"/>
  <c r="G47" i="4"/>
  <c r="F47" i="4"/>
  <c r="E47" i="4"/>
  <c r="D47" i="4"/>
  <c r="G46" i="4"/>
  <c r="F46" i="4"/>
  <c r="E46" i="4"/>
  <c r="D46" i="4"/>
  <c r="G45" i="4"/>
  <c r="F45" i="4"/>
  <c r="E45" i="4"/>
  <c r="D45" i="4"/>
  <c r="G44" i="4"/>
  <c r="F44" i="4"/>
  <c r="E44" i="4"/>
  <c r="D44" i="4"/>
  <c r="G43" i="4"/>
  <c r="F43" i="4"/>
  <c r="E43" i="4"/>
  <c r="D43" i="4"/>
  <c r="G39" i="4"/>
  <c r="F39" i="4"/>
  <c r="E39" i="4"/>
  <c r="D39" i="4"/>
  <c r="G38" i="4"/>
  <c r="F38" i="4"/>
  <c r="E38" i="4"/>
  <c r="D38" i="4"/>
  <c r="G37" i="4"/>
  <c r="F37" i="4"/>
  <c r="E37" i="4"/>
  <c r="D37" i="4"/>
  <c r="G36" i="4"/>
  <c r="F36" i="4"/>
  <c r="E36" i="4"/>
  <c r="D36" i="4"/>
  <c r="G35" i="4"/>
  <c r="F35" i="4"/>
  <c r="E35" i="4"/>
  <c r="D35" i="4"/>
  <c r="G34" i="4"/>
  <c r="F34" i="4"/>
  <c r="E34" i="4"/>
  <c r="D34" i="4"/>
  <c r="G23" i="4"/>
  <c r="F23" i="4"/>
  <c r="E23" i="4"/>
  <c r="D23" i="4"/>
  <c r="F15" i="4"/>
  <c r="E15" i="4"/>
  <c r="D15" i="4"/>
  <c r="F14" i="4"/>
  <c r="F25" i="4" s="1"/>
  <c r="E14" i="4"/>
  <c r="E25" i="4" s="1"/>
  <c r="D14" i="4"/>
  <c r="D25" i="4" s="1"/>
  <c r="F13" i="4"/>
  <c r="E13" i="4"/>
  <c r="D13" i="4"/>
  <c r="F12" i="4"/>
  <c r="E12" i="4"/>
  <c r="D12" i="4"/>
  <c r="F11" i="4"/>
  <c r="E11" i="4"/>
  <c r="D11" i="4"/>
  <c r="F10" i="4"/>
  <c r="E10" i="4"/>
  <c r="D10" i="4"/>
  <c r="H102" i="4"/>
  <c r="H101" i="4"/>
  <c r="H100" i="4"/>
  <c r="H99" i="4"/>
  <c r="H98" i="4"/>
  <c r="F60" i="4"/>
  <c r="N151" i="4"/>
  <c r="G59" i="16"/>
  <c r="G102" i="4"/>
  <c r="G101" i="4"/>
  <c r="G100" i="4"/>
  <c r="G99" i="4"/>
  <c r="G98" i="4"/>
  <c r="N147" i="4"/>
  <c r="G144" i="4"/>
  <c r="E40" i="4"/>
  <c r="E60" i="4"/>
  <c r="Q116" i="4"/>
  <c r="O116" i="4"/>
  <c r="J116" i="4"/>
  <c r="I116" i="4"/>
  <c r="Q115" i="4"/>
  <c r="P115" i="4"/>
  <c r="J115" i="4"/>
  <c r="I115" i="4"/>
  <c r="Q114" i="4"/>
  <c r="O114" i="4"/>
  <c r="J114" i="4"/>
  <c r="I114" i="4"/>
  <c r="P113" i="4"/>
  <c r="O113" i="4"/>
  <c r="J113" i="4"/>
  <c r="I113" i="4"/>
  <c r="Q112" i="4"/>
  <c r="P112" i="4"/>
  <c r="O112" i="4"/>
  <c r="J112" i="4"/>
  <c r="I112" i="4"/>
  <c r="Q111" i="4"/>
  <c r="P111" i="4"/>
  <c r="O111" i="4"/>
  <c r="J111" i="4"/>
  <c r="Q110" i="4"/>
  <c r="P110" i="4"/>
  <c r="O110" i="4"/>
  <c r="I110" i="4"/>
  <c r="Q109" i="4"/>
  <c r="P109" i="4"/>
  <c r="O109" i="4"/>
  <c r="J109" i="4"/>
  <c r="I109" i="4"/>
  <c r="Q108" i="4"/>
  <c r="P108" i="4"/>
  <c r="J108" i="4"/>
  <c r="I108" i="4"/>
  <c r="Q107" i="4"/>
  <c r="P107" i="4"/>
  <c r="J107" i="4"/>
  <c r="I107" i="4"/>
  <c r="Q106" i="4"/>
  <c r="O106" i="4"/>
  <c r="J106" i="4"/>
  <c r="I106" i="4"/>
  <c r="Q97" i="4"/>
  <c r="P97" i="4"/>
  <c r="O97" i="4"/>
  <c r="J97" i="4"/>
  <c r="I97" i="4"/>
  <c r="Q96" i="4"/>
  <c r="P96" i="4"/>
  <c r="O96" i="4"/>
  <c r="J96" i="4"/>
  <c r="Q95" i="4"/>
  <c r="P95" i="4"/>
  <c r="O95" i="4"/>
  <c r="I95" i="4"/>
  <c r="Q94" i="4"/>
  <c r="P94" i="4"/>
  <c r="O94" i="4"/>
  <c r="J94" i="4"/>
  <c r="I94" i="4"/>
  <c r="Q93" i="4"/>
  <c r="P93" i="4"/>
  <c r="O93" i="4"/>
  <c r="J93" i="4"/>
  <c r="I93" i="4"/>
  <c r="Q92" i="4"/>
  <c r="P92" i="4"/>
  <c r="J92" i="4"/>
  <c r="I92" i="4"/>
  <c r="Q88" i="4"/>
  <c r="P88" i="4"/>
  <c r="J88" i="4"/>
  <c r="I88" i="4"/>
  <c r="Q87" i="4"/>
  <c r="P87" i="4"/>
  <c r="O87" i="4"/>
  <c r="J87" i="4"/>
  <c r="I87" i="4"/>
  <c r="Q86" i="4"/>
  <c r="P86" i="4"/>
  <c r="J86" i="4"/>
  <c r="I86" i="4"/>
  <c r="Q85" i="4"/>
  <c r="O85" i="4"/>
  <c r="J85" i="4"/>
  <c r="I85" i="4"/>
  <c r="P84" i="4"/>
  <c r="O84" i="4"/>
  <c r="J84" i="4"/>
  <c r="I84" i="4"/>
  <c r="Q83" i="4"/>
  <c r="P83" i="4"/>
  <c r="O83" i="4"/>
  <c r="J83" i="4"/>
  <c r="I83" i="4"/>
  <c r="Q82" i="4"/>
  <c r="P82" i="4"/>
  <c r="O82" i="4"/>
  <c r="J82" i="4"/>
  <c r="P78" i="4"/>
  <c r="O78" i="4"/>
  <c r="J78" i="4"/>
  <c r="I78" i="4"/>
  <c r="Q77" i="4"/>
  <c r="P77" i="4"/>
  <c r="O77" i="4"/>
  <c r="I77" i="4"/>
  <c r="Q76" i="4"/>
  <c r="P76" i="4"/>
  <c r="O76" i="4"/>
  <c r="J76" i="4"/>
  <c r="Q75" i="4"/>
  <c r="P75" i="4"/>
  <c r="O75" i="4"/>
  <c r="I75" i="4"/>
  <c r="Q74" i="4"/>
  <c r="P74" i="4"/>
  <c r="J74" i="4"/>
  <c r="I74" i="4"/>
  <c r="Q73" i="4"/>
  <c r="P73" i="4"/>
  <c r="O73" i="4"/>
  <c r="J73" i="4"/>
  <c r="I73" i="4"/>
  <c r="Q72" i="4"/>
  <c r="P72" i="4"/>
  <c r="J72" i="4"/>
  <c r="I72" i="4"/>
  <c r="Q78" i="4"/>
  <c r="O72" i="4"/>
  <c r="O88" i="4"/>
  <c r="O86" i="4"/>
  <c r="P85" i="4"/>
  <c r="Q84" i="4"/>
  <c r="O115" i="4"/>
  <c r="Q113" i="4"/>
  <c r="O108" i="4"/>
  <c r="O107" i="4"/>
  <c r="P106" i="4"/>
  <c r="I96" i="4"/>
  <c r="J95" i="4"/>
  <c r="J110" i="4"/>
  <c r="I82" i="4"/>
  <c r="A27" i="6"/>
  <c r="D40" i="6"/>
  <c r="D63" i="6"/>
  <c r="E63" i="6"/>
  <c r="E278" i="6"/>
  <c r="F63" i="6"/>
  <c r="F71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/>
  <c r="D74" i="6"/>
  <c r="D76" i="6"/>
  <c r="D104" i="6"/>
  <c r="D106" i="6"/>
  <c r="E104" i="6"/>
  <c r="E106" i="6"/>
  <c r="F104" i="6"/>
  <c r="F106" i="6"/>
  <c r="G104" i="6"/>
  <c r="H104" i="6"/>
  <c r="D105" i="6"/>
  <c r="E105" i="6"/>
  <c r="E196" i="3"/>
  <c r="F105" i="6"/>
  <c r="G105" i="6"/>
  <c r="H105" i="6"/>
  <c r="H106" i="6"/>
  <c r="D109" i="6"/>
  <c r="E109" i="6"/>
  <c r="F109" i="6"/>
  <c r="G109" i="6"/>
  <c r="H109" i="6"/>
  <c r="D111" i="6"/>
  <c r="E111" i="6"/>
  <c r="E197" i="3"/>
  <c r="F111" i="6"/>
  <c r="F197" i="3"/>
  <c r="G111" i="6"/>
  <c r="H111" i="6"/>
  <c r="D122" i="6"/>
  <c r="E122" i="6"/>
  <c r="F122" i="6"/>
  <c r="G122" i="6"/>
  <c r="G263" i="6"/>
  <c r="H122" i="6"/>
  <c r="D123" i="6"/>
  <c r="E123" i="6"/>
  <c r="F123" i="6"/>
  <c r="F150" i="6"/>
  <c r="G123" i="6"/>
  <c r="H123" i="6"/>
  <c r="D125" i="6"/>
  <c r="D127" i="6"/>
  <c r="E127" i="6"/>
  <c r="E160" i="6"/>
  <c r="F127" i="6"/>
  <c r="F160" i="6"/>
  <c r="G127" i="6"/>
  <c r="H127" i="6"/>
  <c r="H232" i="6"/>
  <c r="D128" i="6"/>
  <c r="E128" i="6"/>
  <c r="E170" i="6"/>
  <c r="F128" i="6"/>
  <c r="G128" i="6"/>
  <c r="H128" i="6"/>
  <c r="D140" i="6"/>
  <c r="H208" i="6"/>
  <c r="E140" i="6"/>
  <c r="G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C210" i="6"/>
  <c r="C211" i="6"/>
  <c r="C212" i="6"/>
  <c r="C218" i="6"/>
  <c r="H218" i="6"/>
  <c r="D218" i="6"/>
  <c r="D225" i="6"/>
  <c r="D152" i="6"/>
  <c r="D153" i="6"/>
  <c r="F218" i="6"/>
  <c r="C219" i="6"/>
  <c r="C220" i="6"/>
  <c r="H220" i="6"/>
  <c r="C221" i="6"/>
  <c r="C222" i="6"/>
  <c r="H222" i="6"/>
  <c r="C228" i="6"/>
  <c r="C229" i="6"/>
  <c r="E229" i="6"/>
  <c r="F229" i="6"/>
  <c r="G229" i="6"/>
  <c r="H229" i="6"/>
  <c r="C230" i="6"/>
  <c r="H230" i="6"/>
  <c r="F230" i="6"/>
  <c r="G230" i="6"/>
  <c r="C231" i="6"/>
  <c r="C232" i="6"/>
  <c r="C238" i="6"/>
  <c r="C239" i="6"/>
  <c r="E239" i="6"/>
  <c r="F239" i="6"/>
  <c r="C240" i="6"/>
  <c r="F240" i="6"/>
  <c r="C241" i="6"/>
  <c r="H241" i="6"/>
  <c r="C242" i="6"/>
  <c r="H242" i="6"/>
  <c r="D255" i="6"/>
  <c r="D256" i="6"/>
  <c r="D257" i="6"/>
  <c r="D258" i="6"/>
  <c r="D263" i="6"/>
  <c r="D267" i="6"/>
  <c r="E267" i="6"/>
  <c r="F267" i="6"/>
  <c r="F274" i="6"/>
  <c r="F262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D274" i="6"/>
  <c r="E271" i="6"/>
  <c r="F271" i="6"/>
  <c r="G271" i="6"/>
  <c r="H271" i="6"/>
  <c r="D272" i="6"/>
  <c r="E272" i="6"/>
  <c r="F272" i="6"/>
  <c r="G272" i="6"/>
  <c r="G274" i="6"/>
  <c r="G262" i="6"/>
  <c r="G261" i="6"/>
  <c r="H272" i="6"/>
  <c r="D273" i="6"/>
  <c r="E273" i="6"/>
  <c r="F273" i="6"/>
  <c r="G273" i="6"/>
  <c r="H273" i="6"/>
  <c r="D278" i="6"/>
  <c r="D302" i="6"/>
  <c r="D301" i="6"/>
  <c r="D303" i="6"/>
  <c r="E300" i="6"/>
  <c r="D306" i="6"/>
  <c r="J356" i="6"/>
  <c r="K356" i="6"/>
  <c r="L356" i="6"/>
  <c r="M356" i="6"/>
  <c r="N356" i="6"/>
  <c r="H110" i="6"/>
  <c r="J358" i="6"/>
  <c r="K358" i="6"/>
  <c r="L358" i="6"/>
  <c r="F228" i="3"/>
  <c r="F192" i="3"/>
  <c r="M358" i="6"/>
  <c r="N358" i="6"/>
  <c r="J359" i="6"/>
  <c r="K359" i="6"/>
  <c r="L359" i="6"/>
  <c r="M359" i="6"/>
  <c r="N359" i="6"/>
  <c r="J360" i="6"/>
  <c r="D228" i="3"/>
  <c r="K360" i="6"/>
  <c r="L360" i="6"/>
  <c r="M360" i="6"/>
  <c r="N360" i="6"/>
  <c r="J361" i="6"/>
  <c r="K361" i="6"/>
  <c r="L361" i="6"/>
  <c r="M361" i="6"/>
  <c r="N361" i="6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/>
  <c r="D386" i="6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E388" i="6"/>
  <c r="F388" i="6"/>
  <c r="J388" i="6"/>
  <c r="K388" i="6"/>
  <c r="E414" i="6"/>
  <c r="L388" i="6"/>
  <c r="M388" i="6"/>
  <c r="N388" i="6"/>
  <c r="D391" i="6"/>
  <c r="D417" i="6"/>
  <c r="D392" i="6"/>
  <c r="D393" i="6"/>
  <c r="E393" i="6"/>
  <c r="D394" i="6"/>
  <c r="J395" i="6"/>
  <c r="K395" i="6"/>
  <c r="L395" i="6"/>
  <c r="M395" i="6"/>
  <c r="N395" i="6"/>
  <c r="D398" i="6"/>
  <c r="D399" i="6"/>
  <c r="E399" i="6"/>
  <c r="E425" i="6"/>
  <c r="D402" i="6"/>
  <c r="D403" i="6"/>
  <c r="D404" i="6"/>
  <c r="D405" i="6"/>
  <c r="D406" i="6"/>
  <c r="D432" i="6"/>
  <c r="E406" i="6"/>
  <c r="F406" i="6"/>
  <c r="F432" i="6"/>
  <c r="J407" i="6"/>
  <c r="K407" i="6"/>
  <c r="L407" i="6"/>
  <c r="M407" i="6"/>
  <c r="N407" i="6"/>
  <c r="D419" i="6"/>
  <c r="D425" i="6"/>
  <c r="A5" i="8"/>
  <c r="F49" i="8"/>
  <c r="F52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50" i="8"/>
  <c r="F216" i="8"/>
  <c r="F124" i="8"/>
  <c r="F127" i="8"/>
  <c r="F160" i="8"/>
  <c r="F128" i="8"/>
  <c r="A136" i="8"/>
  <c r="F151" i="8"/>
  <c r="F181" i="8"/>
  <c r="F17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A6" i="17"/>
  <c r="A7" i="17"/>
  <c r="A9" i="17"/>
  <c r="A16" i="17"/>
  <c r="A17" i="17"/>
  <c r="A19" i="17"/>
  <c r="A23" i="17"/>
  <c r="A29" i="17"/>
  <c r="A30" i="17"/>
  <c r="A31" i="17"/>
  <c r="A32" i="17"/>
  <c r="A33" i="17"/>
  <c r="A36" i="17"/>
  <c r="A37" i="17"/>
  <c r="A38" i="17"/>
  <c r="A39" i="17"/>
  <c r="A41" i="17"/>
  <c r="A42" i="17"/>
  <c r="A43" i="17"/>
  <c r="A44" i="17"/>
  <c r="A45" i="17"/>
  <c r="A48" i="17"/>
  <c r="A49" i="17"/>
  <c r="A50" i="17"/>
  <c r="A51" i="17"/>
  <c r="A55" i="17"/>
  <c r="A56" i="17"/>
  <c r="A57" i="17"/>
  <c r="A58" i="17"/>
  <c r="D60" i="4"/>
  <c r="O74" i="4"/>
  <c r="O92" i="4"/>
  <c r="I76" i="4"/>
  <c r="I111" i="4"/>
  <c r="P114" i="4"/>
  <c r="P116" i="4"/>
  <c r="J75" i="4"/>
  <c r="J77" i="4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L27" i="14"/>
  <c r="R27" i="14"/>
  <c r="M27" i="14"/>
  <c r="S27" i="14"/>
  <c r="N27" i="14"/>
  <c r="T27" i="14"/>
  <c r="A29" i="14"/>
  <c r="F29" i="14"/>
  <c r="A30" i="14"/>
  <c r="A31" i="14"/>
  <c r="A32" i="14"/>
  <c r="A33" i="14"/>
  <c r="A34" i="14"/>
  <c r="A35" i="14"/>
  <c r="A36" i="14"/>
  <c r="A39" i="14"/>
  <c r="F39" i="14"/>
  <c r="A40" i="14"/>
  <c r="A41" i="14"/>
  <c r="A42" i="14"/>
  <c r="A43" i="14"/>
  <c r="A44" i="14"/>
  <c r="A45" i="14"/>
  <c r="A46" i="14"/>
  <c r="A49" i="14"/>
  <c r="F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F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O67" i="4"/>
  <c r="P1" i="4"/>
  <c r="Q1" i="4"/>
  <c r="Q67" i="4"/>
  <c r="O3" i="4"/>
  <c r="O68" i="4"/>
  <c r="P3" i="4"/>
  <c r="P68" i="4"/>
  <c r="Q3" i="4"/>
  <c r="Q68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/>
  <c r="A12" i="4"/>
  <c r="A45" i="4"/>
  <c r="C12" i="4"/>
  <c r="C12" i="19"/>
  <c r="A13" i="4"/>
  <c r="C13" i="4"/>
  <c r="C13" i="19"/>
  <c r="A14" i="4"/>
  <c r="C14" i="4"/>
  <c r="C14" i="19"/>
  <c r="A15" i="4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5" i="4"/>
  <c r="C25" i="4"/>
  <c r="C25" i="19"/>
  <c r="A26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8" i="4"/>
  <c r="A43" i="4"/>
  <c r="A44" i="4"/>
  <c r="A47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E98" i="4"/>
  <c r="F98" i="4"/>
  <c r="E99" i="4"/>
  <c r="F99" i="4"/>
  <c r="E100" i="4"/>
  <c r="F100" i="4"/>
  <c r="E101" i="4"/>
  <c r="F101" i="4"/>
  <c r="E102" i="4"/>
  <c r="F102" i="4"/>
  <c r="C128" i="4"/>
  <c r="C131" i="4"/>
  <c r="C132" i="4"/>
  <c r="C133" i="4"/>
  <c r="C134" i="4"/>
  <c r="D142" i="4"/>
  <c r="E142" i="4"/>
  <c r="F142" i="4"/>
  <c r="G142" i="4"/>
  <c r="H142" i="4"/>
  <c r="I142" i="4"/>
  <c r="J142" i="4"/>
  <c r="I143" i="4"/>
  <c r="J143" i="4"/>
  <c r="M143" i="4"/>
  <c r="M144" i="4"/>
  <c r="N146" i="4"/>
  <c r="F144" i="4"/>
  <c r="C162" i="4"/>
  <c r="C22" i="4"/>
  <c r="C22" i="19"/>
  <c r="C163" i="4"/>
  <c r="C23" i="4"/>
  <c r="C23" i="19"/>
  <c r="A164" i="4"/>
  <c r="A96" i="3"/>
  <c r="A35" i="17"/>
  <c r="C164" i="4"/>
  <c r="C24" i="4"/>
  <c r="C24" i="19"/>
  <c r="C165" i="4"/>
  <c r="A166" i="4"/>
  <c r="C166" i="4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5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G27" i="19"/>
  <c r="H25" i="19"/>
  <c r="I25" i="19"/>
  <c r="J25" i="19"/>
  <c r="D26" i="19"/>
  <c r="E26" i="19"/>
  <c r="F26" i="19"/>
  <c r="G26" i="19"/>
  <c r="H26" i="19"/>
  <c r="I26" i="19"/>
  <c r="J26" i="19"/>
  <c r="J27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E19" i="3"/>
  <c r="E255" i="8"/>
  <c r="E279" i="8"/>
  <c r="F19" i="3"/>
  <c r="F255" i="8"/>
  <c r="A20" i="3"/>
  <c r="C20" i="3"/>
  <c r="A21" i="3"/>
  <c r="C21" i="3"/>
  <c r="D21" i="3"/>
  <c r="D267" i="8"/>
  <c r="D266" i="8"/>
  <c r="D268" i="8"/>
  <c r="E265" i="8"/>
  <c r="E266" i="8"/>
  <c r="E21" i="3"/>
  <c r="E267" i="8"/>
  <c r="F21" i="3"/>
  <c r="F267" i="8"/>
  <c r="A22" i="3"/>
  <c r="C22" i="3"/>
  <c r="D22" i="3"/>
  <c r="D273" i="8"/>
  <c r="D272" i="8"/>
  <c r="D274" i="8"/>
  <c r="E271" i="8"/>
  <c r="E272" i="8"/>
  <c r="E22" i="3"/>
  <c r="E273" i="8"/>
  <c r="F22" i="3"/>
  <c r="F273" i="8"/>
  <c r="D42" i="3"/>
  <c r="E42" i="3"/>
  <c r="F42" i="3"/>
  <c r="D48" i="3"/>
  <c r="E48" i="3"/>
  <c r="E50" i="3"/>
  <c r="F48" i="3"/>
  <c r="F50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C94" i="3"/>
  <c r="D94" i="3"/>
  <c r="D99" i="3"/>
  <c r="E94" i="3"/>
  <c r="F94" i="3"/>
  <c r="A95" i="3"/>
  <c r="C96" i="3"/>
  <c r="D96" i="3"/>
  <c r="E96" i="3"/>
  <c r="F96" i="3"/>
  <c r="A97" i="3"/>
  <c r="C97" i="3"/>
  <c r="D97" i="3"/>
  <c r="E97" i="3"/>
  <c r="F97" i="3"/>
  <c r="D98" i="3"/>
  <c r="E98" i="3"/>
  <c r="F98" i="3"/>
  <c r="D115" i="3"/>
  <c r="E115" i="3"/>
  <c r="F115" i="3"/>
  <c r="F15" i="8"/>
  <c r="C136" i="3"/>
  <c r="C138" i="3"/>
  <c r="C139" i="3"/>
  <c r="F146" i="3"/>
  <c r="F147" i="3"/>
  <c r="C155" i="3"/>
  <c r="F148" i="3"/>
  <c r="D155" i="3"/>
  <c r="D4" i="8"/>
  <c r="F149" i="3"/>
  <c r="E155" i="3"/>
  <c r="F150" i="3"/>
  <c r="F151" i="3"/>
  <c r="D144" i="4"/>
  <c r="C153" i="3"/>
  <c r="D153" i="3"/>
  <c r="E153" i="3"/>
  <c r="F153" i="3"/>
  <c r="B155" i="3"/>
  <c r="F155" i="3"/>
  <c r="E156" i="3"/>
  <c r="F4" i="8"/>
  <c r="C161" i="3"/>
  <c r="C10" i="3"/>
  <c r="C162" i="3"/>
  <c r="C163" i="3"/>
  <c r="C164" i="3"/>
  <c r="C13" i="3"/>
  <c r="C170" i="3"/>
  <c r="D97" i="8"/>
  <c r="C171" i="3"/>
  <c r="D96" i="8"/>
  <c r="A92" i="8"/>
  <c r="D185" i="3"/>
  <c r="D196" i="3"/>
  <c r="F196" i="3"/>
  <c r="D197" i="3"/>
  <c r="D198" i="3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F190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O1" i="16"/>
  <c r="O67" i="16"/>
  <c r="P1" i="16"/>
  <c r="P67" i="16"/>
  <c r="Q1" i="16"/>
  <c r="Q67" i="16"/>
  <c r="O3" i="16"/>
  <c r="O68" i="16"/>
  <c r="P3" i="16"/>
  <c r="P68" i="16"/>
  <c r="Q3" i="16"/>
  <c r="Q68" i="16"/>
  <c r="G7" i="16"/>
  <c r="H7" i="16"/>
  <c r="I7" i="16"/>
  <c r="J7" i="16"/>
  <c r="G8" i="16"/>
  <c r="H8" i="16"/>
  <c r="I8" i="16"/>
  <c r="J8" i="16"/>
  <c r="G9" i="16"/>
  <c r="H9" i="16"/>
  <c r="I9" i="16"/>
  <c r="J9" i="16"/>
  <c r="G19" i="16"/>
  <c r="H19" i="16"/>
  <c r="I19" i="16"/>
  <c r="J19" i="16"/>
  <c r="G20" i="16"/>
  <c r="H20" i="16"/>
  <c r="I20" i="16"/>
  <c r="J20" i="16"/>
  <c r="G21" i="16"/>
  <c r="H21" i="16"/>
  <c r="I21" i="16"/>
  <c r="J21" i="16"/>
  <c r="G30" i="16"/>
  <c r="H30" i="16"/>
  <c r="I30" i="16"/>
  <c r="J30" i="16"/>
  <c r="G31" i="16"/>
  <c r="H31" i="16"/>
  <c r="I31" i="16"/>
  <c r="J31" i="16"/>
  <c r="G32" i="16"/>
  <c r="H32" i="16"/>
  <c r="I32" i="16"/>
  <c r="J32" i="16"/>
  <c r="G52" i="16"/>
  <c r="H52" i="16"/>
  <c r="I52" i="16"/>
  <c r="J52" i="16"/>
  <c r="G53" i="16"/>
  <c r="H53" i="16"/>
  <c r="I53" i="16"/>
  <c r="J53" i="16"/>
  <c r="G54" i="16"/>
  <c r="H54" i="16"/>
  <c r="I54" i="16"/>
  <c r="J54" i="16"/>
  <c r="G58" i="16"/>
  <c r="H58" i="16"/>
  <c r="I58" i="16"/>
  <c r="J58" i="16"/>
  <c r="H67" i="16"/>
  <c r="I67" i="16"/>
  <c r="J67" i="16"/>
  <c r="D190" i="3"/>
  <c r="N144" i="4"/>
  <c r="E190" i="3"/>
  <c r="A46" i="4"/>
  <c r="A37" i="4"/>
  <c r="D192" i="3"/>
  <c r="F23" i="3"/>
  <c r="A10" i="17"/>
  <c r="A20" i="17"/>
  <c r="A47" i="17"/>
  <c r="A98" i="3"/>
  <c r="E193" i="8"/>
  <c r="C231" i="8"/>
  <c r="D193" i="8"/>
  <c r="C230" i="8"/>
  <c r="F193" i="8"/>
  <c r="C232" i="8"/>
  <c r="E23" i="3"/>
  <c r="I27" i="19"/>
  <c r="D145" i="4"/>
  <c r="A8" i="17"/>
  <c r="D90" i="8"/>
  <c r="F90" i="8"/>
  <c r="E191" i="8"/>
  <c r="C215" i="8"/>
  <c r="F191" i="8"/>
  <c r="C216" i="8"/>
  <c r="D191" i="8"/>
  <c r="C214" i="8"/>
  <c r="C11" i="3"/>
  <c r="F190" i="8"/>
  <c r="C208" i="8"/>
  <c r="D190" i="8"/>
  <c r="C206" i="8"/>
  <c r="A24" i="4"/>
  <c r="E190" i="8"/>
  <c r="C207" i="8"/>
  <c r="G170" i="6"/>
  <c r="G241" i="6"/>
  <c r="D296" i="6"/>
  <c r="D295" i="6"/>
  <c r="D160" i="6"/>
  <c r="G228" i="6"/>
  <c r="E71" i="6"/>
  <c r="D80" i="6"/>
  <c r="D36" i="6"/>
  <c r="F209" i="6"/>
  <c r="H209" i="6"/>
  <c r="G209" i="6"/>
  <c r="F170" i="6"/>
  <c r="K389" i="6"/>
  <c r="E419" i="6"/>
  <c r="F393" i="6"/>
  <c r="E80" i="6"/>
  <c r="E36" i="6"/>
  <c r="G110" i="6"/>
  <c r="G112" i="6"/>
  <c r="E208" i="6"/>
  <c r="F208" i="6"/>
  <c r="G208" i="6"/>
  <c r="D208" i="6"/>
  <c r="D215" i="6"/>
  <c r="D142" i="6"/>
  <c r="E404" i="6"/>
  <c r="D430" i="6"/>
  <c r="G238" i="6"/>
  <c r="G245" i="6"/>
  <c r="G172" i="6"/>
  <c r="E238" i="6"/>
  <c r="E245" i="6"/>
  <c r="E172" i="6"/>
  <c r="D238" i="6"/>
  <c r="D245" i="6"/>
  <c r="D172" i="6"/>
  <c r="D173" i="6"/>
  <c r="F238" i="6"/>
  <c r="H238" i="6"/>
  <c r="F399" i="6"/>
  <c r="G399" i="6"/>
  <c r="M389" i="6"/>
  <c r="D110" i="6"/>
  <c r="D112" i="6"/>
  <c r="D114" i="6"/>
  <c r="H239" i="6"/>
  <c r="G239" i="6"/>
  <c r="E274" i="6"/>
  <c r="E262" i="6"/>
  <c r="D130" i="6"/>
  <c r="D8" i="6"/>
  <c r="D17" i="6"/>
  <c r="F125" i="6"/>
  <c r="F130" i="6"/>
  <c r="F8" i="6"/>
  <c r="F17" i="6"/>
  <c r="F140" i="6"/>
  <c r="F263" i="6"/>
  <c r="E432" i="6"/>
  <c r="E403" i="6"/>
  <c r="D429" i="6"/>
  <c r="E394" i="6"/>
  <c r="D420" i="6"/>
  <c r="D262" i="6"/>
  <c r="D297" i="6"/>
  <c r="E294" i="6"/>
  <c r="G240" i="6"/>
  <c r="H240" i="6"/>
  <c r="E110" i="6"/>
  <c r="E112" i="6"/>
  <c r="E114" i="6"/>
  <c r="G220" i="6"/>
  <c r="E218" i="6"/>
  <c r="E386" i="6"/>
  <c r="F386" i="6"/>
  <c r="D412" i="6"/>
  <c r="G125" i="6"/>
  <c r="G150" i="6"/>
  <c r="F220" i="6"/>
  <c r="F394" i="6"/>
  <c r="E420" i="6"/>
  <c r="E51" i="8"/>
  <c r="E122" i="8"/>
  <c r="E50" i="8"/>
  <c r="E124" i="8"/>
  <c r="E123" i="8"/>
  <c r="E128" i="8"/>
  <c r="E93" i="8"/>
  <c r="F261" i="6"/>
  <c r="E430" i="6"/>
  <c r="F404" i="6"/>
  <c r="F425" i="6"/>
  <c r="F403" i="6"/>
  <c r="F429" i="6"/>
  <c r="E429" i="6"/>
  <c r="F419" i="6"/>
  <c r="G393" i="6"/>
  <c r="G406" i="6"/>
  <c r="F180" i="6"/>
  <c r="H210" i="6"/>
  <c r="F210" i="6"/>
  <c r="E185" i="3"/>
  <c r="G221" i="6"/>
  <c r="H221" i="6"/>
  <c r="G210" i="6"/>
  <c r="F245" i="6"/>
  <c r="F172" i="6"/>
  <c r="F215" i="6"/>
  <c r="F142" i="6"/>
  <c r="G403" i="6"/>
  <c r="G429" i="6"/>
  <c r="E170" i="8"/>
  <c r="H393" i="6"/>
  <c r="H419" i="6"/>
  <c r="G419" i="6"/>
  <c r="G394" i="6"/>
  <c r="F420" i="6"/>
  <c r="H403" i="6"/>
  <c r="H429" i="6"/>
  <c r="F279" i="8"/>
  <c r="E150" i="8"/>
  <c r="J389" i="6"/>
  <c r="D414" i="6"/>
  <c r="H219" i="6"/>
  <c r="H225" i="6"/>
  <c r="H152" i="6"/>
  <c r="F219" i="6"/>
  <c r="F225" i="6"/>
  <c r="F152" i="6"/>
  <c r="F182" i="6"/>
  <c r="F54" i="6"/>
  <c r="A70" i="6"/>
  <c r="D175" i="6"/>
  <c r="E169" i="6"/>
  <c r="E173" i="6"/>
  <c r="E392" i="6"/>
  <c r="D418" i="6"/>
  <c r="D421" i="6"/>
  <c r="D155" i="6"/>
  <c r="E149" i="6"/>
  <c r="G160" i="6"/>
  <c r="G180" i="6"/>
  <c r="G130" i="6"/>
  <c r="G8" i="6"/>
  <c r="G17" i="6"/>
  <c r="G231" i="6"/>
  <c r="E398" i="6"/>
  <c r="D424" i="6"/>
  <c r="D426" i="6"/>
  <c r="H231" i="6"/>
  <c r="H263" i="6"/>
  <c r="H140" i="6"/>
  <c r="H125" i="6"/>
  <c r="H130" i="6"/>
  <c r="H8" i="6"/>
  <c r="H17" i="6"/>
  <c r="H114" i="6"/>
  <c r="G71" i="6"/>
  <c r="F80" i="6"/>
  <c r="F36" i="6"/>
  <c r="F185" i="3"/>
  <c r="C12" i="3"/>
  <c r="D192" i="8"/>
  <c r="C222" i="8"/>
  <c r="E192" i="8"/>
  <c r="C223" i="8"/>
  <c r="F192" i="8"/>
  <c r="C224" i="8"/>
  <c r="G80" i="6"/>
  <c r="G36" i="6"/>
  <c r="E231" i="8"/>
  <c r="F231" i="8"/>
  <c r="E55" i="6"/>
  <c r="E9" i="6"/>
  <c r="E18" i="6"/>
  <c r="E68" i="6"/>
  <c r="E81" i="6"/>
  <c r="E37" i="6"/>
  <c r="D180" i="6"/>
  <c r="E118" i="3"/>
  <c r="E15" i="8"/>
  <c r="F82" i="8"/>
  <c r="F102" i="8"/>
  <c r="A1" i="19"/>
  <c r="A1" i="13"/>
  <c r="A1" i="12"/>
  <c r="A1" i="4"/>
  <c r="A1" i="16"/>
  <c r="A1" i="14"/>
  <c r="A1" i="8"/>
  <c r="A1" i="15"/>
  <c r="A1" i="17"/>
  <c r="D143" i="6"/>
  <c r="H406" i="6"/>
  <c r="H432" i="6"/>
  <c r="G432" i="6"/>
  <c r="H245" i="6"/>
  <c r="H172" i="6"/>
  <c r="D15" i="8"/>
  <c r="D118" i="3"/>
  <c r="E102" i="8"/>
  <c r="E82" i="8"/>
  <c r="G404" i="6"/>
  <c r="F430" i="6"/>
  <c r="E140" i="8"/>
  <c r="E125" i="8"/>
  <c r="E405" i="6"/>
  <c r="D431" i="6"/>
  <c r="E297" i="6"/>
  <c r="F294" i="6"/>
  <c r="G386" i="6"/>
  <c r="F412" i="6"/>
  <c r="D68" i="6"/>
  <c r="D81" i="6"/>
  <c r="D37" i="6"/>
  <c r="D55" i="6"/>
  <c r="D9" i="6"/>
  <c r="D18" i="6"/>
  <c r="E263" i="6"/>
  <c r="E125" i="6"/>
  <c r="E130" i="6"/>
  <c r="E8" i="6"/>
  <c r="E17" i="6"/>
  <c r="E150" i="6"/>
  <c r="E219" i="6"/>
  <c r="E225" i="6"/>
  <c r="E152" i="6"/>
  <c r="H394" i="6"/>
  <c r="H420" i="6"/>
  <c r="G420" i="6"/>
  <c r="E412" i="6"/>
  <c r="H399" i="6"/>
  <c r="H425" i="6"/>
  <c r="G425" i="6"/>
  <c r="D290" i="6"/>
  <c r="D289" i="6"/>
  <c r="D291" i="6"/>
  <c r="E288" i="6"/>
  <c r="D261" i="6"/>
  <c r="D284" i="6"/>
  <c r="E268" i="8"/>
  <c r="F265" i="8"/>
  <c r="G235" i="6"/>
  <c r="G162" i="6"/>
  <c r="E145" i="4"/>
  <c r="F145" i="4"/>
  <c r="G145" i="4"/>
  <c r="H145" i="4"/>
  <c r="E274" i="8"/>
  <c r="F271" i="8"/>
  <c r="D228" i="6"/>
  <c r="D235" i="6"/>
  <c r="D162" i="6"/>
  <c r="D163" i="6"/>
  <c r="H228" i="6"/>
  <c r="E228" i="6"/>
  <c r="E235" i="6"/>
  <c r="E162" i="6"/>
  <c r="F228" i="6"/>
  <c r="F235" i="6"/>
  <c r="F162" i="6"/>
  <c r="E215" i="8"/>
  <c r="F232" i="8"/>
  <c r="F278" i="6"/>
  <c r="E302" i="6"/>
  <c r="E301" i="6"/>
  <c r="E303" i="6"/>
  <c r="F300" i="6"/>
  <c r="E296" i="6"/>
  <c r="E295" i="6"/>
  <c r="E4" i="8"/>
  <c r="E90" i="8"/>
  <c r="D156" i="3"/>
  <c r="D23" i="3"/>
  <c r="D255" i="8"/>
  <c r="D40" i="4"/>
  <c r="N145" i="4"/>
  <c r="E144" i="4"/>
  <c r="D260" i="8"/>
  <c r="D262" i="8"/>
  <c r="E259" i="8"/>
  <c r="E260" i="8"/>
  <c r="E127" i="8"/>
  <c r="E49" i="8"/>
  <c r="E52" i="8"/>
  <c r="E151" i="8"/>
  <c r="D50" i="3"/>
  <c r="E385" i="6"/>
  <c r="D411" i="6"/>
  <c r="H27" i="19"/>
  <c r="F125" i="8"/>
  <c r="F130" i="8"/>
  <c r="F140" i="8"/>
  <c r="G388" i="6"/>
  <c r="F414" i="6"/>
  <c r="F198" i="3"/>
  <c r="H211" i="6"/>
  <c r="G211" i="6"/>
  <c r="G215" i="6"/>
  <c r="G142" i="6"/>
  <c r="E209" i="6"/>
  <c r="E215" i="6"/>
  <c r="E142" i="6"/>
  <c r="E182" i="6"/>
  <c r="E54" i="6"/>
  <c r="E180" i="6"/>
  <c r="E191" i="3"/>
  <c r="E193" i="3"/>
  <c r="E200" i="3"/>
  <c r="E201" i="3"/>
  <c r="F99" i="3"/>
  <c r="C95" i="3"/>
  <c r="H160" i="6"/>
  <c r="C26" i="4"/>
  <c r="C26" i="19"/>
  <c r="C98" i="3"/>
  <c r="C139" i="4"/>
  <c r="C19" i="13"/>
  <c r="A36" i="4"/>
  <c r="G106" i="6"/>
  <c r="G114" i="6"/>
  <c r="F191" i="3"/>
  <c r="F193" i="3"/>
  <c r="F200" i="3"/>
  <c r="D191" i="3"/>
  <c r="D193" i="3"/>
  <c r="D200" i="3"/>
  <c r="D201" i="3"/>
  <c r="E99" i="3"/>
  <c r="A18" i="17"/>
  <c r="E391" i="6"/>
  <c r="H274" i="6"/>
  <c r="H262" i="6"/>
  <c r="H112" i="6"/>
  <c r="C137" i="3"/>
  <c r="C141" i="3"/>
  <c r="D413" i="6"/>
  <c r="E387" i="6"/>
  <c r="F110" i="6"/>
  <c r="F112" i="6"/>
  <c r="F114" i="6"/>
  <c r="E198" i="3"/>
  <c r="A39" i="4"/>
  <c r="A48" i="4"/>
  <c r="D428" i="6"/>
  <c r="E402" i="6"/>
  <c r="E228" i="3"/>
  <c r="E192" i="3"/>
  <c r="G218" i="6"/>
  <c r="J49" i="16"/>
  <c r="H40" i="16"/>
  <c r="G40" i="16"/>
  <c r="J40" i="16"/>
  <c r="AC32" i="13"/>
  <c r="H49" i="16"/>
  <c r="I40" i="16"/>
  <c r="G49" i="16"/>
  <c r="I49" i="16"/>
  <c r="AB32" i="13"/>
  <c r="J47" i="4"/>
  <c r="I47" i="4"/>
  <c r="H46" i="4"/>
  <c r="J37" i="4"/>
  <c r="I36" i="4"/>
  <c r="H35" i="4"/>
  <c r="I37" i="4"/>
  <c r="H37" i="4"/>
  <c r="J43" i="4"/>
  <c r="H39" i="4"/>
  <c r="H34" i="4"/>
  <c r="J48" i="4"/>
  <c r="H47" i="4"/>
  <c r="J38" i="4"/>
  <c r="H36" i="4"/>
  <c r="I48" i="4"/>
  <c r="H38" i="4"/>
  <c r="J44" i="4"/>
  <c r="J23" i="4"/>
  <c r="H48" i="4"/>
  <c r="J39" i="4"/>
  <c r="I38" i="4"/>
  <c r="I39" i="4"/>
  <c r="I43" i="4"/>
  <c r="J45" i="4"/>
  <c r="I44" i="4"/>
  <c r="H43" i="4"/>
  <c r="J34" i="4"/>
  <c r="I23" i="4"/>
  <c r="J46" i="4"/>
  <c r="I45" i="4"/>
  <c r="H44" i="4"/>
  <c r="J35" i="4"/>
  <c r="I34" i="4"/>
  <c r="H23" i="4"/>
  <c r="I46" i="4"/>
  <c r="H45" i="4"/>
  <c r="J36" i="4"/>
  <c r="I35" i="4"/>
  <c r="F215" i="8"/>
  <c r="D165" i="6"/>
  <c r="E159" i="6"/>
  <c r="E163" i="6"/>
  <c r="D151" i="8"/>
  <c r="D181" i="8"/>
  <c r="D123" i="8"/>
  <c r="D50" i="8"/>
  <c r="D128" i="8"/>
  <c r="D93" i="8"/>
  <c r="D122" i="8"/>
  <c r="D124" i="8"/>
  <c r="D49" i="8"/>
  <c r="C156" i="3"/>
  <c r="B156" i="3"/>
  <c r="D127" i="8"/>
  <c r="F222" i="8"/>
  <c r="D51" i="8"/>
  <c r="G430" i="6"/>
  <c r="H404" i="6"/>
  <c r="H430" i="6"/>
  <c r="F180" i="8"/>
  <c r="F208" i="8"/>
  <c r="P32" i="13"/>
  <c r="AA32" i="13"/>
  <c r="D254" i="8"/>
  <c r="D279" i="8"/>
  <c r="E261" i="6"/>
  <c r="E284" i="6"/>
  <c r="E290" i="6"/>
  <c r="E289" i="6"/>
  <c r="E291" i="6"/>
  <c r="F288" i="6"/>
  <c r="G412" i="6"/>
  <c r="H386" i="6"/>
  <c r="H412" i="6"/>
  <c r="E207" i="8"/>
  <c r="F207" i="8"/>
  <c r="E139" i="6"/>
  <c r="D145" i="6"/>
  <c r="D185" i="6"/>
  <c r="D183" i="6"/>
  <c r="R32" i="13"/>
  <c r="F391" i="6"/>
  <c r="E417" i="6"/>
  <c r="D82" i="8"/>
  <c r="D102" i="8"/>
  <c r="E262" i="8"/>
  <c r="F259" i="8"/>
  <c r="F272" i="8"/>
  <c r="F274" i="8"/>
  <c r="D182" i="6"/>
  <c r="D54" i="6"/>
  <c r="E153" i="6"/>
  <c r="G185" i="3"/>
  <c r="H71" i="6"/>
  <c r="F405" i="6"/>
  <c r="E431" i="6"/>
  <c r="F223" i="8"/>
  <c r="H55" i="6"/>
  <c r="H9" i="6"/>
  <c r="H18" i="6"/>
  <c r="H68" i="6"/>
  <c r="Q32" i="13"/>
  <c r="E428" i="6"/>
  <c r="F402" i="6"/>
  <c r="D27" i="6"/>
  <c r="E5" i="8"/>
  <c r="E6" i="8"/>
  <c r="D5" i="8"/>
  <c r="D6" i="8"/>
  <c r="F5" i="8"/>
  <c r="F6" i="8"/>
  <c r="D415" i="6"/>
  <c r="H235" i="6"/>
  <c r="H162" i="6"/>
  <c r="D283" i="6"/>
  <c r="D308" i="6"/>
  <c r="F169" i="6"/>
  <c r="F173" i="6"/>
  <c r="E175" i="6"/>
  <c r="G219" i="6"/>
  <c r="G225" i="6"/>
  <c r="G152" i="6"/>
  <c r="G182" i="6"/>
  <c r="G54" i="6"/>
  <c r="G278" i="6"/>
  <c r="F296" i="6"/>
  <c r="F295" i="6"/>
  <c r="F297" i="6"/>
  <c r="G294" i="6"/>
  <c r="F302" i="6"/>
  <c r="F301" i="6"/>
  <c r="F303" i="6"/>
  <c r="G300" i="6"/>
  <c r="F290" i="6"/>
  <c r="E181" i="8"/>
  <c r="F284" i="6"/>
  <c r="F392" i="6"/>
  <c r="E418" i="6"/>
  <c r="D433" i="6"/>
  <c r="F55" i="6"/>
  <c r="F9" i="6"/>
  <c r="F18" i="6"/>
  <c r="F68" i="6"/>
  <c r="F81" i="6"/>
  <c r="F37" i="6"/>
  <c r="F201" i="3"/>
  <c r="C201" i="3"/>
  <c r="F385" i="6"/>
  <c r="E411" i="6"/>
  <c r="E223" i="8"/>
  <c r="E160" i="8"/>
  <c r="H212" i="6"/>
  <c r="H180" i="6"/>
  <c r="F398" i="6"/>
  <c r="E424" i="6"/>
  <c r="E426" i="6"/>
  <c r="H215" i="6"/>
  <c r="H142" i="6"/>
  <c r="H182" i="6"/>
  <c r="H54" i="6"/>
  <c r="F266" i="8"/>
  <c r="F268" i="8"/>
  <c r="F224" i="8"/>
  <c r="G55" i="6"/>
  <c r="G9" i="6"/>
  <c r="G18" i="6"/>
  <c r="G68" i="6"/>
  <c r="G81" i="6"/>
  <c r="G37" i="6"/>
  <c r="D49" i="4"/>
  <c r="E413" i="6"/>
  <c r="F387" i="6"/>
  <c r="H388" i="6"/>
  <c r="H414" i="6"/>
  <c r="G414" i="6"/>
  <c r="E130" i="8"/>
  <c r="H261" i="6"/>
  <c r="G49" i="4"/>
  <c r="F49" i="4"/>
  <c r="E49" i="4"/>
  <c r="G40" i="4"/>
  <c r="F40" i="4"/>
  <c r="J49" i="4"/>
  <c r="I40" i="4"/>
  <c r="I49" i="4"/>
  <c r="H40" i="4"/>
  <c r="H49" i="4"/>
  <c r="J40" i="4"/>
  <c r="F227" i="8"/>
  <c r="F162" i="8"/>
  <c r="D150" i="8"/>
  <c r="D214" i="8"/>
  <c r="D219" i="8"/>
  <c r="D152" i="8"/>
  <c r="D153" i="8"/>
  <c r="E222" i="8"/>
  <c r="E227" i="8"/>
  <c r="E162" i="8"/>
  <c r="G295" i="6"/>
  <c r="G297" i="6"/>
  <c r="H294" i="6"/>
  <c r="D1" i="3"/>
  <c r="C1" i="3"/>
  <c r="F289" i="6"/>
  <c r="F291" i="6"/>
  <c r="G288" i="6"/>
  <c r="D53" i="6"/>
  <c r="D69" i="6"/>
  <c r="D70" i="6"/>
  <c r="D83" i="6"/>
  <c r="D39" i="6"/>
  <c r="F424" i="6"/>
  <c r="F426" i="6"/>
  <c r="G398" i="6"/>
  <c r="F175" i="6"/>
  <c r="G169" i="6"/>
  <c r="G173" i="6"/>
  <c r="D52" i="8"/>
  <c r="F413" i="6"/>
  <c r="G387" i="6"/>
  <c r="D435" i="6"/>
  <c r="E155" i="6"/>
  <c r="F149" i="6"/>
  <c r="F153" i="6"/>
  <c r="D125" i="8"/>
  <c r="D130" i="8"/>
  <c r="D140" i="8"/>
  <c r="A13" i="6"/>
  <c r="A22" i="6"/>
  <c r="F260" i="8"/>
  <c r="F262" i="8"/>
  <c r="E415" i="6"/>
  <c r="E435" i="6"/>
  <c r="D230" i="8"/>
  <c r="D235" i="8"/>
  <c r="D172" i="8"/>
  <c r="D170" i="8"/>
  <c r="E230" i="8"/>
  <c r="E235" i="8"/>
  <c r="E172" i="8"/>
  <c r="F230" i="8"/>
  <c r="F235" i="8"/>
  <c r="F172" i="8"/>
  <c r="F411" i="6"/>
  <c r="G385" i="6"/>
  <c r="G392" i="6"/>
  <c r="F418" i="6"/>
  <c r="G402" i="6"/>
  <c r="F428" i="6"/>
  <c r="F433" i="6"/>
  <c r="F431" i="6"/>
  <c r="G405" i="6"/>
  <c r="D222" i="8"/>
  <c r="D227" i="8"/>
  <c r="D162" i="8"/>
  <c r="D160" i="8"/>
  <c r="F159" i="6"/>
  <c r="F163" i="6"/>
  <c r="E165" i="6"/>
  <c r="H80" i="6"/>
  <c r="H36" i="6"/>
  <c r="H185" i="3"/>
  <c r="E308" i="6"/>
  <c r="H278" i="6"/>
  <c r="G302" i="6"/>
  <c r="G301" i="6"/>
  <c r="G303" i="6"/>
  <c r="H300" i="6"/>
  <c r="G284" i="6"/>
  <c r="G296" i="6"/>
  <c r="D285" i="6"/>
  <c r="D307" i="6"/>
  <c r="D82" i="6"/>
  <c r="D38" i="6"/>
  <c r="E433" i="6"/>
  <c r="E421" i="6"/>
  <c r="D278" i="8"/>
  <c r="D103" i="8"/>
  <c r="D256" i="8"/>
  <c r="F44" i="8"/>
  <c r="D44" i="8"/>
  <c r="E45" i="8"/>
  <c r="E43" i="8"/>
  <c r="E44" i="8"/>
  <c r="D45" i="8"/>
  <c r="D43" i="8"/>
  <c r="F45" i="8"/>
  <c r="F43" i="8"/>
  <c r="E143" i="6"/>
  <c r="E179" i="6"/>
  <c r="E180" i="8"/>
  <c r="F308" i="6"/>
  <c r="H81" i="6"/>
  <c r="H37" i="6"/>
  <c r="F417" i="6"/>
  <c r="G391" i="6"/>
  <c r="F214" i="8"/>
  <c r="F219" i="8"/>
  <c r="F152" i="8"/>
  <c r="E46" i="8"/>
  <c r="E54" i="8"/>
  <c r="E214" i="8"/>
  <c r="E219" i="8"/>
  <c r="E152" i="8"/>
  <c r="H295" i="6"/>
  <c r="H297" i="6"/>
  <c r="D155" i="8"/>
  <c r="E149" i="8"/>
  <c r="H302" i="6"/>
  <c r="H301" i="6"/>
  <c r="H303" i="6"/>
  <c r="H296" i="6"/>
  <c r="H284" i="6"/>
  <c r="F46" i="8"/>
  <c r="F54" i="8"/>
  <c r="F139" i="6"/>
  <c r="E145" i="6"/>
  <c r="E185" i="6"/>
  <c r="E183" i="6"/>
  <c r="D280" i="8"/>
  <c r="E253" i="8"/>
  <c r="D46" i="8"/>
  <c r="D54" i="8"/>
  <c r="D206" i="8"/>
  <c r="D211" i="8"/>
  <c r="D142" i="8"/>
  <c r="D182" i="8"/>
  <c r="D81" i="8"/>
  <c r="D180" i="8"/>
  <c r="D143" i="8"/>
  <c r="E206" i="8"/>
  <c r="E211" i="8"/>
  <c r="E142" i="8"/>
  <c r="E182" i="8"/>
  <c r="E81" i="8"/>
  <c r="F206" i="8"/>
  <c r="F211" i="8"/>
  <c r="F142" i="8"/>
  <c r="F182" i="8"/>
  <c r="F81" i="8"/>
  <c r="D309" i="6"/>
  <c r="E282" i="6"/>
  <c r="G418" i="6"/>
  <c r="H392" i="6"/>
  <c r="H418" i="6"/>
  <c r="G175" i="6"/>
  <c r="H169" i="6"/>
  <c r="H173" i="6"/>
  <c r="H175" i="6"/>
  <c r="E35" i="6"/>
  <c r="E16" i="6"/>
  <c r="F165" i="6"/>
  <c r="G159" i="6"/>
  <c r="G163" i="6"/>
  <c r="H387" i="6"/>
  <c r="H413" i="6"/>
  <c r="G413" i="6"/>
  <c r="F421" i="6"/>
  <c r="G290" i="6"/>
  <c r="D163" i="8"/>
  <c r="G431" i="6"/>
  <c r="H405" i="6"/>
  <c r="H431" i="6"/>
  <c r="D173" i="8"/>
  <c r="D35" i="6"/>
  <c r="D41" i="6"/>
  <c r="D16" i="6"/>
  <c r="D66" i="6"/>
  <c r="D79" i="6"/>
  <c r="D85" i="6"/>
  <c r="G428" i="6"/>
  <c r="G433" i="6"/>
  <c r="H402" i="6"/>
  <c r="H428" i="6"/>
  <c r="H433" i="6"/>
  <c r="H385" i="6"/>
  <c r="H411" i="6"/>
  <c r="G411" i="6"/>
  <c r="F155" i="6"/>
  <c r="G149" i="6"/>
  <c r="G153" i="6"/>
  <c r="H398" i="6"/>
  <c r="H424" i="6"/>
  <c r="H426" i="6"/>
  <c r="G424" i="6"/>
  <c r="G426" i="6"/>
  <c r="H391" i="6"/>
  <c r="H417" i="6"/>
  <c r="H421" i="6"/>
  <c r="G417" i="6"/>
  <c r="G421" i="6"/>
  <c r="F415" i="6"/>
  <c r="F435" i="6"/>
  <c r="E153" i="8"/>
  <c r="E155" i="8"/>
  <c r="F55" i="8"/>
  <c r="E53" i="6"/>
  <c r="E69" i="6"/>
  <c r="E70" i="6"/>
  <c r="E83" i="6"/>
  <c r="E39" i="6"/>
  <c r="E306" i="6"/>
  <c r="E283" i="6"/>
  <c r="E307" i="6"/>
  <c r="E82" i="6"/>
  <c r="E38" i="6"/>
  <c r="D55" i="8"/>
  <c r="E55" i="8"/>
  <c r="E277" i="8"/>
  <c r="E254" i="8"/>
  <c r="E278" i="8"/>
  <c r="E103" i="8"/>
  <c r="G289" i="6"/>
  <c r="G291" i="6"/>
  <c r="H288" i="6"/>
  <c r="G308" i="6"/>
  <c r="D184" i="3"/>
  <c r="D26" i="8"/>
  <c r="D27" i="8"/>
  <c r="D42" i="6"/>
  <c r="K60" i="8"/>
  <c r="K61" i="8"/>
  <c r="J60" i="8"/>
  <c r="I60" i="8"/>
  <c r="H60" i="8"/>
  <c r="F60" i="8"/>
  <c r="G60" i="8"/>
  <c r="F143" i="6"/>
  <c r="F179" i="6"/>
  <c r="E169" i="8"/>
  <c r="E173" i="8"/>
  <c r="D175" i="8"/>
  <c r="G155" i="6"/>
  <c r="H149" i="6"/>
  <c r="H153" i="6"/>
  <c r="H155" i="6"/>
  <c r="D86" i="6"/>
  <c r="E84" i="6"/>
  <c r="E159" i="8"/>
  <c r="E163" i="8"/>
  <c r="D165" i="8"/>
  <c r="E41" i="6"/>
  <c r="D183" i="8"/>
  <c r="E139" i="8"/>
  <c r="D145" i="8"/>
  <c r="F35" i="6"/>
  <c r="F16" i="6"/>
  <c r="G415" i="6"/>
  <c r="G435" i="6"/>
  <c r="G165" i="6"/>
  <c r="H159" i="6"/>
  <c r="H163" i="6"/>
  <c r="H165" i="6"/>
  <c r="H415" i="6"/>
  <c r="H435" i="6"/>
  <c r="H290" i="6"/>
  <c r="H308" i="6"/>
  <c r="F149" i="8"/>
  <c r="F153" i="8"/>
  <c r="F155" i="8"/>
  <c r="E42" i="6"/>
  <c r="E184" i="3"/>
  <c r="E26" i="8"/>
  <c r="E27" i="8"/>
  <c r="D185" i="8"/>
  <c r="E175" i="8"/>
  <c r="F169" i="8"/>
  <c r="F173" i="8"/>
  <c r="F175" i="8"/>
  <c r="G16" i="6"/>
  <c r="G35" i="6"/>
  <c r="E285" i="6"/>
  <c r="D87" i="6"/>
  <c r="D92" i="6"/>
  <c r="D88" i="6"/>
  <c r="D91" i="6"/>
  <c r="D93" i="6"/>
  <c r="F183" i="6"/>
  <c r="G139" i="6"/>
  <c r="F145" i="6"/>
  <c r="F185" i="6"/>
  <c r="D43" i="6"/>
  <c r="D44" i="6"/>
  <c r="D45" i="6"/>
  <c r="D19" i="6"/>
  <c r="D20" i="6"/>
  <c r="D58" i="8"/>
  <c r="D61" i="8"/>
  <c r="D65" i="8"/>
  <c r="D14" i="8"/>
  <c r="F58" i="8"/>
  <c r="G58" i="8"/>
  <c r="I58" i="8"/>
  <c r="H58" i="8"/>
  <c r="E58" i="8"/>
  <c r="H35" i="6"/>
  <c r="H16" i="6"/>
  <c r="H289" i="6"/>
  <c r="H291" i="6"/>
  <c r="E165" i="8"/>
  <c r="F159" i="8"/>
  <c r="F163" i="8"/>
  <c r="F165" i="8"/>
  <c r="E256" i="8"/>
  <c r="E179" i="8"/>
  <c r="E143" i="8"/>
  <c r="E66" i="6"/>
  <c r="E79" i="6"/>
  <c r="E85" i="6"/>
  <c r="H59" i="8"/>
  <c r="F59" i="8"/>
  <c r="I59" i="8"/>
  <c r="J59" i="8"/>
  <c r="J61" i="8"/>
  <c r="E59" i="8"/>
  <c r="G59" i="8"/>
  <c r="D28" i="8"/>
  <c r="D29" i="8"/>
  <c r="D32" i="8"/>
  <c r="D36" i="8"/>
  <c r="D13" i="8"/>
  <c r="G61" i="8"/>
  <c r="I61" i="8"/>
  <c r="F61" i="8"/>
  <c r="F65" i="8"/>
  <c r="F253" i="8"/>
  <c r="E280" i="8"/>
  <c r="F69" i="6"/>
  <c r="F70" i="6"/>
  <c r="F83" i="6"/>
  <c r="F39" i="6"/>
  <c r="F53" i="6"/>
  <c r="E43" i="6"/>
  <c r="E44" i="6"/>
  <c r="E45" i="6"/>
  <c r="E19" i="6"/>
  <c r="E20" i="6"/>
  <c r="E183" i="8"/>
  <c r="E145" i="8"/>
  <c r="E185" i="8"/>
  <c r="F139" i="8"/>
  <c r="H61" i="8"/>
  <c r="G179" i="6"/>
  <c r="G143" i="6"/>
  <c r="E28" i="8"/>
  <c r="E29" i="8"/>
  <c r="E32" i="8"/>
  <c r="E36" i="8"/>
  <c r="E13" i="8"/>
  <c r="D56" i="6"/>
  <c r="D95" i="6"/>
  <c r="D91" i="8"/>
  <c r="D92" i="8"/>
  <c r="D104" i="8"/>
  <c r="D106" i="8"/>
  <c r="D80" i="8"/>
  <c r="F84" i="6"/>
  <c r="E86" i="6"/>
  <c r="E309" i="6"/>
  <c r="F282" i="6"/>
  <c r="E61" i="8"/>
  <c r="E65" i="8"/>
  <c r="G145" i="6"/>
  <c r="G185" i="6"/>
  <c r="H139" i="6"/>
  <c r="G183" i="6"/>
  <c r="D107" i="8"/>
  <c r="E105" i="8"/>
  <c r="F277" i="8"/>
  <c r="F254" i="8"/>
  <c r="F278" i="8"/>
  <c r="F103" i="8"/>
  <c r="F143" i="8"/>
  <c r="F179" i="8"/>
  <c r="E87" i="6"/>
  <c r="E92" i="6"/>
  <c r="E91" i="6"/>
  <c r="F66" i="6"/>
  <c r="F79" i="6"/>
  <c r="F85" i="6"/>
  <c r="D10" i="6"/>
  <c r="D57" i="6"/>
  <c r="D7" i="6"/>
  <c r="D11" i="6"/>
  <c r="F283" i="6"/>
  <c r="F307" i="6"/>
  <c r="F82" i="6"/>
  <c r="F38" i="6"/>
  <c r="F41" i="6"/>
  <c r="F285" i="6"/>
  <c r="F306" i="6"/>
  <c r="E80" i="8"/>
  <c r="E91" i="8"/>
  <c r="E92" i="8"/>
  <c r="E104" i="8"/>
  <c r="F256" i="8"/>
  <c r="G282" i="6"/>
  <c r="F309" i="6"/>
  <c r="E93" i="6"/>
  <c r="E106" i="8"/>
  <c r="E88" i="6"/>
  <c r="F86" i="6"/>
  <c r="G84" i="6"/>
  <c r="F184" i="3"/>
  <c r="F26" i="8"/>
  <c r="F27" i="8"/>
  <c r="F42" i="6"/>
  <c r="F183" i="8"/>
  <c r="F145" i="8"/>
  <c r="F185" i="8"/>
  <c r="H179" i="6"/>
  <c r="H143" i="6"/>
  <c r="G69" i="6"/>
  <c r="G70" i="6"/>
  <c r="G83" i="6"/>
  <c r="G39" i="6"/>
  <c r="G53" i="6"/>
  <c r="F280" i="8"/>
  <c r="D112" i="8"/>
  <c r="D108" i="8"/>
  <c r="D113" i="8"/>
  <c r="D109" i="8"/>
  <c r="F105" i="8"/>
  <c r="E107" i="8"/>
  <c r="F43" i="6"/>
  <c r="F44" i="6"/>
  <c r="F45" i="6"/>
  <c r="F19" i="6"/>
  <c r="F20" i="6"/>
  <c r="F87" i="6"/>
  <c r="F92" i="6"/>
  <c r="F91" i="6"/>
  <c r="F93" i="6"/>
  <c r="H145" i="6"/>
  <c r="H185" i="6"/>
  <c r="H183" i="6"/>
  <c r="G306" i="6"/>
  <c r="G283" i="6"/>
  <c r="G307" i="6"/>
  <c r="G82" i="6"/>
  <c r="G38" i="6"/>
  <c r="G41" i="6"/>
  <c r="G285" i="6"/>
  <c r="F80" i="8"/>
  <c r="F91" i="8"/>
  <c r="F92" i="8"/>
  <c r="F104" i="8"/>
  <c r="F106" i="8"/>
  <c r="G66" i="6"/>
  <c r="G79" i="6"/>
  <c r="G85" i="6"/>
  <c r="F28" i="8"/>
  <c r="F29" i="8"/>
  <c r="F32" i="8"/>
  <c r="F36" i="8"/>
  <c r="F13" i="8"/>
  <c r="D114" i="8"/>
  <c r="D83" i="8"/>
  <c r="D84" i="8"/>
  <c r="D72" i="8"/>
  <c r="D73" i="8"/>
  <c r="D12" i="8"/>
  <c r="D16" i="8"/>
  <c r="E95" i="6"/>
  <c r="E56" i="6"/>
  <c r="F95" i="6"/>
  <c r="F56" i="6"/>
  <c r="G184" i="3"/>
  <c r="G26" i="8"/>
  <c r="G27" i="8"/>
  <c r="G42" i="6"/>
  <c r="F88" i="6"/>
  <c r="H282" i="6"/>
  <c r="G309" i="6"/>
  <c r="H84" i="6"/>
  <c r="G86" i="6"/>
  <c r="E112" i="8"/>
  <c r="E108" i="8"/>
  <c r="E113" i="8"/>
  <c r="H69" i="6"/>
  <c r="H70" i="6"/>
  <c r="H83" i="6"/>
  <c r="H39" i="6"/>
  <c r="H53" i="6"/>
  <c r="E10" i="6"/>
  <c r="E57" i="6"/>
  <c r="E7" i="6"/>
  <c r="E11" i="6"/>
  <c r="F107" i="8"/>
  <c r="D56" i="13"/>
  <c r="E114" i="8"/>
  <c r="E83" i="8"/>
  <c r="E84" i="8"/>
  <c r="E72" i="8"/>
  <c r="E73" i="8"/>
  <c r="E12" i="8"/>
  <c r="H66" i="6"/>
  <c r="H79" i="6"/>
  <c r="F112" i="8"/>
  <c r="F108" i="8"/>
  <c r="F113" i="8"/>
  <c r="F109" i="8"/>
  <c r="E109" i="8"/>
  <c r="F10" i="6"/>
  <c r="F57" i="6"/>
  <c r="F7" i="6"/>
  <c r="F11" i="6"/>
  <c r="G87" i="6"/>
  <c r="G92" i="6"/>
  <c r="G91" i="6"/>
  <c r="G93" i="6"/>
  <c r="G88" i="6"/>
  <c r="G43" i="6"/>
  <c r="G44" i="6"/>
  <c r="G45" i="6"/>
  <c r="G19" i="6"/>
  <c r="G20" i="6"/>
  <c r="H283" i="6"/>
  <c r="H307" i="6"/>
  <c r="H82" i="6"/>
  <c r="H38" i="6"/>
  <c r="H41" i="6"/>
  <c r="H285" i="6"/>
  <c r="H309" i="6"/>
  <c r="H306" i="6"/>
  <c r="G28" i="8"/>
  <c r="G29" i="8"/>
  <c r="G32" i="8"/>
  <c r="H42" i="6"/>
  <c r="H184" i="3"/>
  <c r="H26" i="8"/>
  <c r="H27" i="8"/>
  <c r="G56" i="6"/>
  <c r="G95" i="6"/>
  <c r="F114" i="8"/>
  <c r="F83" i="8"/>
  <c r="F84" i="8"/>
  <c r="F72" i="8"/>
  <c r="F73" i="8"/>
  <c r="F12" i="8"/>
  <c r="H85" i="6"/>
  <c r="H86" i="6"/>
  <c r="H28" i="8"/>
  <c r="H29" i="8"/>
  <c r="H32" i="8"/>
  <c r="H43" i="6"/>
  <c r="H44" i="6"/>
  <c r="H45" i="6"/>
  <c r="H19" i="6"/>
  <c r="H20" i="6"/>
  <c r="D22" i="6"/>
  <c r="G10" i="6"/>
  <c r="G57" i="6"/>
  <c r="G7" i="6"/>
  <c r="G11" i="6"/>
  <c r="H87" i="6"/>
  <c r="H92" i="6"/>
  <c r="H88" i="6"/>
  <c r="H91" i="6"/>
  <c r="H93" i="6"/>
  <c r="H56" i="6"/>
  <c r="H95" i="6"/>
  <c r="H10" i="6"/>
  <c r="H57" i="6"/>
  <c r="H7" i="6"/>
  <c r="H11" i="6"/>
  <c r="D13" i="6"/>
  <c r="D24" i="6"/>
  <c r="P102" i="4"/>
  <c r="M60" i="14"/>
  <c r="O102" i="4"/>
  <c r="L60" i="14"/>
  <c r="R60" i="14"/>
  <c r="Q101" i="4"/>
  <c r="N59" i="14"/>
  <c r="P100" i="4"/>
  <c r="M58" i="14"/>
  <c r="P98" i="4"/>
  <c r="M56" i="14"/>
  <c r="P99" i="4"/>
  <c r="M57" i="14"/>
  <c r="O99" i="4"/>
  <c r="L57" i="14"/>
  <c r="R57" i="14"/>
  <c r="I132" i="4"/>
  <c r="I9" i="13"/>
  <c r="I131" i="4"/>
  <c r="I8" i="13"/>
  <c r="I134" i="4"/>
  <c r="I128" i="4"/>
  <c r="I7" i="13"/>
  <c r="I137" i="4"/>
  <c r="I138" i="4"/>
  <c r="P101" i="4"/>
  <c r="M59" i="14"/>
  <c r="Q102" i="4"/>
  <c r="N60" i="14"/>
  <c r="O100" i="4"/>
  <c r="L58" i="14"/>
  <c r="R58" i="14"/>
  <c r="Q98" i="4"/>
  <c r="N56" i="14"/>
  <c r="I11" i="13"/>
  <c r="J144" i="4"/>
  <c r="J22" i="13"/>
  <c r="I144" i="4"/>
  <c r="I145" i="4"/>
  <c r="I133" i="4"/>
  <c r="J47" i="13"/>
  <c r="I47" i="13"/>
  <c r="I127" i="4"/>
  <c r="I6" i="13"/>
  <c r="I48" i="13"/>
  <c r="J48" i="13"/>
  <c r="Q99" i="4"/>
  <c r="N57" i="14"/>
  <c r="O101" i="4"/>
  <c r="L59" i="14"/>
  <c r="R59" i="14"/>
  <c r="Q100" i="4"/>
  <c r="N58" i="14"/>
  <c r="I14" i="13"/>
  <c r="I16" i="13"/>
  <c r="I15" i="13"/>
  <c r="I139" i="4"/>
  <c r="I10" i="13"/>
  <c r="I22" i="13"/>
  <c r="O98" i="4"/>
  <c r="L56" i="14"/>
  <c r="R56" i="14"/>
  <c r="R76" i="14"/>
  <c r="I52" i="13"/>
  <c r="J145" i="4"/>
  <c r="H51" i="13"/>
  <c r="J46" i="13"/>
  <c r="I46" i="13"/>
  <c r="J45" i="13"/>
  <c r="I45" i="13"/>
  <c r="I13" i="13"/>
  <c r="I18" i="13"/>
  <c r="I19" i="13"/>
  <c r="J52" i="13"/>
  <c r="J23" i="13"/>
  <c r="J24" i="13"/>
  <c r="I23" i="13"/>
  <c r="I24" i="13"/>
  <c r="I13" i="4"/>
  <c r="J14" i="4"/>
  <c r="H14" i="4"/>
  <c r="I11" i="4"/>
  <c r="I10" i="4"/>
  <c r="G60" i="4"/>
  <c r="H11" i="4"/>
  <c r="H10" i="4"/>
  <c r="J24" i="16"/>
  <c r="J13" i="4"/>
  <c r="J11" i="4"/>
  <c r="J10" i="4"/>
  <c r="J25" i="16"/>
  <c r="I24" i="16"/>
  <c r="H15" i="4"/>
  <c r="H26" i="4" s="1"/>
  <c r="H26" i="16"/>
  <c r="I26" i="16"/>
  <c r="I15" i="4"/>
  <c r="I26" i="4" s="1"/>
  <c r="G10" i="4"/>
  <c r="H13" i="4"/>
  <c r="J15" i="4"/>
  <c r="J26" i="4" s="1"/>
  <c r="J26" i="16"/>
  <c r="I25" i="16"/>
  <c r="I14" i="4"/>
  <c r="I24" i="4"/>
  <c r="G11" i="4"/>
  <c r="G51" i="13"/>
  <c r="G13" i="4"/>
  <c r="G24" i="16"/>
  <c r="G15" i="4"/>
  <c r="G26" i="4" s="1"/>
  <c r="G26" i="16"/>
  <c r="G55" i="4"/>
  <c r="H55" i="4"/>
  <c r="S32" i="13"/>
  <c r="G53" i="13"/>
  <c r="G32" i="13"/>
  <c r="AD32" i="13"/>
  <c r="I102" i="4"/>
  <c r="G60" i="14"/>
  <c r="S60" i="14"/>
  <c r="I101" i="4"/>
  <c r="G59" i="14"/>
  <c r="S59" i="14"/>
  <c r="I99" i="4"/>
  <c r="G57" i="14"/>
  <c r="S57" i="14"/>
  <c r="I100" i="4"/>
  <c r="G58" i="14"/>
  <c r="S58" i="14"/>
  <c r="AE32" i="13"/>
  <c r="H53" i="13"/>
  <c r="H32" i="13"/>
  <c r="T32" i="13"/>
  <c r="I98" i="4"/>
  <c r="G56" i="14"/>
  <c r="S56" i="14"/>
  <c r="S76" i="14"/>
  <c r="I51" i="13"/>
  <c r="J98" i="4"/>
  <c r="H56" i="14"/>
  <c r="T56" i="14"/>
  <c r="J102" i="4"/>
  <c r="H60" i="14"/>
  <c r="T60" i="14"/>
  <c r="J101" i="4"/>
  <c r="H59" i="14"/>
  <c r="T59" i="14"/>
  <c r="J99" i="4"/>
  <c r="H57" i="14"/>
  <c r="T57" i="14"/>
  <c r="J100" i="4"/>
  <c r="H58" i="14"/>
  <c r="T58" i="14"/>
  <c r="T76" i="14"/>
  <c r="J51" i="13"/>
  <c r="J12" i="4"/>
  <c r="J22" i="16"/>
  <c r="I12" i="4"/>
  <c r="I22" i="16"/>
  <c r="H12" i="4"/>
  <c r="H22" i="16"/>
  <c r="G14" i="4"/>
  <c r="G25" i="16"/>
  <c r="G22" i="16"/>
  <c r="G12" i="4"/>
  <c r="E24" i="4" l="1"/>
  <c r="F27" i="19"/>
  <c r="D22" i="4"/>
  <c r="E27" i="19"/>
  <c r="D27" i="19"/>
  <c r="H27" i="16"/>
  <c r="J27" i="16"/>
  <c r="G27" i="16"/>
  <c r="I27" i="16"/>
  <c r="E26" i="4"/>
  <c r="D26" i="4"/>
  <c r="F24" i="4"/>
  <c r="E22" i="4"/>
  <c r="F22" i="4"/>
  <c r="D24" i="4"/>
  <c r="F26" i="4"/>
  <c r="J22" i="4"/>
  <c r="G25" i="4"/>
  <c r="I22" i="4"/>
  <c r="J24" i="4"/>
  <c r="H25" i="4"/>
  <c r="H22" i="4"/>
  <c r="J25" i="4"/>
  <c r="G22" i="4"/>
  <c r="G24" i="4"/>
  <c r="I25" i="4"/>
  <c r="H24" i="4"/>
  <c r="D54" i="13" l="1"/>
  <c r="E54" i="13" l="1"/>
  <c r="AB31" i="13" l="1"/>
  <c r="E37" i="13"/>
  <c r="P31" i="13"/>
  <c r="AA31" i="13"/>
  <c r="D37" i="13"/>
  <c r="Q31" i="13" l="1"/>
  <c r="AC31" i="13"/>
  <c r="F37" i="13"/>
  <c r="R31" i="13"/>
  <c r="F54" i="13"/>
  <c r="AA30" i="13" l="1"/>
  <c r="D38" i="13"/>
  <c r="D39" i="13" s="1"/>
  <c r="D31" i="13" s="1"/>
  <c r="D55" i="13"/>
  <c r="D57" i="13" s="1"/>
  <c r="P30" i="13"/>
  <c r="G54" i="13"/>
  <c r="T31" i="13" l="1"/>
  <c r="D30" i="13"/>
  <c r="E38" i="13"/>
  <c r="E55" i="13"/>
  <c r="Q30" i="13"/>
  <c r="AB30" i="13"/>
  <c r="D58" i="13"/>
  <c r="D59" i="13" s="1"/>
  <c r="D60" i="13" s="1"/>
  <c r="E56" i="13"/>
  <c r="S31" i="13"/>
  <c r="G37" i="13"/>
  <c r="AD31" i="13"/>
  <c r="AE31" i="13"/>
  <c r="H37" i="13" l="1"/>
  <c r="E57" i="13"/>
  <c r="D64" i="13"/>
  <c r="AA33" i="13" s="1"/>
  <c r="AA34" i="13" s="1"/>
  <c r="P33" i="13"/>
  <c r="P34" i="13" s="1"/>
  <c r="D33" i="13"/>
  <c r="D34" i="13" s="1"/>
  <c r="E30" i="13"/>
  <c r="E39" i="13"/>
  <c r="E31" i="13" s="1"/>
  <c r="AG31" i="13" l="1"/>
  <c r="E58" i="13"/>
  <c r="E59" i="13" s="1"/>
  <c r="E60" i="13" s="1"/>
  <c r="F56" i="13"/>
  <c r="R30" i="13"/>
  <c r="F55" i="13"/>
  <c r="F38" i="13"/>
  <c r="F39" i="13" s="1"/>
  <c r="F31" i="13" s="1"/>
  <c r="AC30" i="13"/>
  <c r="U31" i="13"/>
  <c r="I37" i="13"/>
  <c r="AF31" i="13"/>
  <c r="D35" i="13"/>
  <c r="P35" i="13"/>
  <c r="H54" i="13"/>
  <c r="V31" i="13" l="1"/>
  <c r="J37" i="13"/>
  <c r="F57" i="13"/>
  <c r="F58" i="13" s="1"/>
  <c r="F59" i="13" s="1"/>
  <c r="F60" i="13" s="1"/>
  <c r="F30" i="13"/>
  <c r="E64" i="13"/>
  <c r="AB33" i="13" s="1"/>
  <c r="AB34" i="13" s="1"/>
  <c r="E33" i="13"/>
  <c r="E34" i="13" s="1"/>
  <c r="Q33" i="13"/>
  <c r="Q34" i="13" s="1"/>
  <c r="G56" i="13" l="1"/>
  <c r="Q35" i="13"/>
  <c r="G38" i="13"/>
  <c r="G39" i="13" s="1"/>
  <c r="G31" i="13" s="1"/>
  <c r="AD30" i="13"/>
  <c r="S30" i="13"/>
  <c r="G55" i="13"/>
  <c r="G30" i="13"/>
  <c r="E35" i="13"/>
  <c r="F64" i="13"/>
  <c r="AC33" i="13" s="1"/>
  <c r="AC34" i="13" s="1"/>
  <c r="R33" i="13"/>
  <c r="R34" i="13" s="1"/>
  <c r="F33" i="13"/>
  <c r="F34" i="13" s="1"/>
  <c r="I54" i="13"/>
  <c r="G57" i="13" l="1"/>
  <c r="F35" i="13"/>
  <c r="R35" i="13"/>
  <c r="H56" i="13"/>
  <c r="G58" i="13"/>
  <c r="G59" i="13" s="1"/>
  <c r="G60" i="13" s="1"/>
  <c r="G33" i="13" l="1"/>
  <c r="G34" i="13" s="1"/>
  <c r="S33" i="13"/>
  <c r="S34" i="13" s="1"/>
  <c r="G64" i="13"/>
  <c r="AD33" i="13" s="1"/>
  <c r="AD34" i="13" s="1"/>
  <c r="T30" i="13"/>
  <c r="H55" i="13"/>
  <c r="H57" i="13" s="1"/>
  <c r="H38" i="13"/>
  <c r="H39" i="13" s="1"/>
  <c r="H31" i="13" s="1"/>
  <c r="AE30" i="13"/>
  <c r="H30" i="13" l="1"/>
  <c r="S35" i="13"/>
  <c r="H58" i="13"/>
  <c r="H59" i="13" s="1"/>
  <c r="H60" i="13" s="1"/>
  <c r="I56" i="13"/>
  <c r="G35" i="13"/>
  <c r="J54" i="13"/>
  <c r="H64" i="13" l="1"/>
  <c r="AE33" i="13" s="1"/>
  <c r="AE34" i="13" s="1"/>
  <c r="T33" i="13"/>
  <c r="T34" i="13" s="1"/>
  <c r="H33" i="13"/>
  <c r="H34" i="13" s="1"/>
  <c r="T35" i="13" l="1"/>
  <c r="H35" i="13"/>
  <c r="U30" i="13"/>
  <c r="I56" i="4"/>
  <c r="I55" i="4" s="1"/>
  <c r="AF30" i="13"/>
  <c r="I55" i="13"/>
  <c r="I38" i="13"/>
  <c r="I39" i="13" s="1"/>
  <c r="I31" i="13" s="1"/>
  <c r="I30" i="13" l="1"/>
  <c r="J55" i="13"/>
  <c r="V30" i="13"/>
  <c r="J38" i="13"/>
  <c r="J39" i="13" s="1"/>
  <c r="J31" i="13" s="1"/>
  <c r="J56" i="4"/>
  <c r="J55" i="4" s="1"/>
  <c r="AG30" i="13"/>
  <c r="U32" i="13"/>
  <c r="I32" i="13"/>
  <c r="AF32" i="13"/>
  <c r="I53" i="13"/>
  <c r="I57" i="13" s="1"/>
  <c r="J30" i="13" l="1"/>
  <c r="I58" i="13"/>
  <c r="I59" i="13" s="1"/>
  <c r="I60" i="13" s="1"/>
  <c r="J56" i="13"/>
  <c r="AG32" i="13"/>
  <c r="J53" i="13"/>
  <c r="V32" i="13"/>
  <c r="J32" i="13"/>
  <c r="J57" i="13" l="1"/>
  <c r="J58" i="13" s="1"/>
  <c r="J59" i="13" s="1"/>
  <c r="J60" i="13" s="1"/>
  <c r="J64" i="13" s="1"/>
  <c r="AG33" i="13" s="1"/>
  <c r="AG34" i="13" s="1"/>
  <c r="V33" i="13"/>
  <c r="V34" i="13" s="1"/>
  <c r="I64" i="13"/>
  <c r="AF33" i="13" s="1"/>
  <c r="AF34" i="13" s="1"/>
  <c r="U33" i="13"/>
  <c r="U34" i="13" s="1"/>
  <c r="I33" i="13"/>
  <c r="I34" i="13" s="1"/>
  <c r="V35" i="13" l="1"/>
  <c r="J33" i="13"/>
  <c r="J34" i="13" s="1"/>
  <c r="J35" i="13" s="1"/>
  <c r="U35" i="13"/>
  <c r="I35" i="13"/>
  <c r="C59" i="17"/>
  <c r="C35" i="13" l="1"/>
  <c r="D1" i="13" s="1"/>
  <c r="C1" i="17"/>
  <c r="C2" i="17"/>
  <c r="C1" i="13" l="1"/>
  <c r="F1" i="14"/>
</calcChain>
</file>

<file path=xl/sharedStrings.xml><?xml version="1.0" encoding="utf-8"?>
<sst xmlns="http://schemas.openxmlformats.org/spreadsheetml/2006/main" count="1152" uniqueCount="413">
  <si>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</si>
  <si>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</si>
  <si>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</si>
  <si>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</si>
  <si>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</si>
  <si>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</si>
  <si>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</si>
  <si>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</si>
  <si>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</si>
  <si>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</si>
  <si>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</si>
  <si>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</si>
  <si>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</si>
  <si>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</si>
  <si>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</si>
  <si>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</si>
  <si>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</si>
  <si>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</si>
  <si>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</si>
  <si>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</si>
  <si>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</si>
  <si>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</si>
  <si>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</si>
  <si>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</si>
  <si>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</si>
  <si>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</si>
  <si>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</si>
  <si>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</si>
  <si>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</si>
  <si>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</si>
  <si>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</si>
  <si>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</si>
  <si>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</si>
  <si>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</si>
  <si>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</si>
  <si>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</si>
  <si>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</si>
  <si>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</si>
  <si>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</si>
  <si>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</si>
  <si>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</si>
  <si>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</si>
  <si>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</si>
  <si>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</si>
  <si>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</si>
  <si>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</si>
  <si>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</si>
  <si>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</si>
  <si>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</si>
  <si>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</si>
  <si>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</si>
  <si>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</si>
  <si>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</si>
  <si>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</si>
  <si>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</si>
  <si>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</si>
  <si>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</si>
  <si>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</si>
  <si>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</si>
  <si>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</si>
  <si>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</si>
  <si>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</si>
  <si>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</si>
  <si>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</si>
  <si>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</si>
  <si>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</si>
  <si>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</si>
  <si>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</si>
  <si>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</si>
  <si>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</si>
  <si>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</si>
  <si>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</si>
  <si>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</si>
  <si>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</si>
  <si>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</si>
  <si>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</si>
  <si>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</si>
  <si>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</si>
  <si>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</si>
  <si>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</si>
  <si>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</si>
  <si>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</si>
  <si>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</si>
  <si>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</si>
  <si>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</si>
  <si>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</si>
  <si>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</si>
  <si>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</si>
  <si>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</si>
  <si>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</si>
  <si>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</si>
  <si>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</si>
  <si>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</si>
  <si>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</si>
  <si>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</si>
  <si>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</si>
  <si>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</si>
  <si>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</si>
  <si>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</si>
  <si>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</si>
  <si>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</si>
  <si>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</si>
  <si>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</si>
  <si>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</si>
  <si>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</si>
  <si>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</si>
  <si>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</si>
  <si>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</si>
  <si>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</si>
  <si>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</si>
  <si>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</si>
  <si>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</si>
  <si>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</si>
  <si>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</si>
  <si>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</si>
  <si>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</si>
  <si>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</si>
  <si>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</si>
  <si>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</si>
  <si>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</si>
  <si>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</si>
  <si>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</si>
  <si>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</si>
  <si>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</si>
  <si>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</si>
  <si>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</si>
  <si>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</si>
  <si>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</si>
  <si>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</si>
  <si>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</si>
  <si>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</si>
  <si>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</si>
  <si>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</si>
  <si>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</si>
  <si>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</si>
  <si>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</si>
  <si>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</si>
  <si>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</si>
  <si>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</si>
  <si>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</si>
  <si>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</si>
  <si>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</si>
  <si>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</si>
  <si>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</si>
  <si>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</si>
  <si>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</si>
  <si>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</si>
  <si>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</si>
  <si>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</si>
  <si>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</si>
  <si>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</si>
  <si>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</si>
  <si>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</si>
  <si>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</si>
  <si>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</si>
  <si>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</si>
  <si>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</si>
  <si>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</si>
  <si>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</si>
  <si>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</si>
  <si>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</si>
  <si>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</si>
  <si>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</si>
  <si>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</si>
  <si>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</si>
  <si>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</si>
  <si>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</si>
  <si>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</si>
  <si>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</si>
  <si>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</si>
  <si>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</si>
  <si>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</si>
  <si>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</si>
  <si>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</si>
  <si>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</si>
  <si>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</si>
  <si>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</si>
  <si>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</si>
  <si>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</si>
  <si>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</si>
  <si>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</si>
  <si>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</si>
  <si>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</si>
  <si>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</si>
  <si>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</si>
  <si>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</si>
  <si>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</si>
  <si>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</si>
  <si>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</si>
  <si>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</si>
  <si>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</si>
  <si>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</si>
  <si>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</si>
  <si>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</si>
  <si>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</si>
  <si>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</si>
  <si>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</si>
  <si>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</si>
  <si>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</si>
  <si>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</si>
  <si>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</si>
  <si>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</si>
  <si>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</si>
  <si>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</si>
  <si>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</si>
  <si>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</si>
  <si>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</si>
  <si>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</si>
  <si>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</si>
  <si>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</si>
  <si>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</si>
  <si>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</si>
  <si>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</si>
  <si>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</si>
  <si>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</si>
  <si>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</si>
  <si>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</si>
  <si>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</si>
  <si>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</si>
  <si>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</si>
  <si>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</si>
  <si>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</si>
  <si>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</si>
  <si>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</si>
  <si>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</si>
  <si>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</si>
  <si>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</si>
  <si>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</si>
  <si>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</si>
  <si>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</si>
  <si>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</si>
  <si>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</si>
  <si>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</si>
  <si>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</si>
  <si>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</si>
  <si>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</si>
  <si>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</si>
  <si>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</si>
  <si>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</si>
  <si>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</si>
  <si>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</si>
  <si>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</si>
  <si>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</si>
  <si>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</si>
  <si>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</si>
  <si>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</si>
  <si>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</si>
  <si>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</si>
  <si>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</si>
  <si>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</si>
  <si>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</si>
  <si>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</si>
  <si>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</si>
  <si>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</si>
  <si>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</si>
  <si>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</si>
  <si>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</si>
  <si>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</si>
  <si>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</si>
  <si>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</si>
  <si>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</si>
  <si>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</si>
  <si>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</si>
  <si>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</si>
  <si>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</si>
  <si>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</si>
  <si>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</si>
  <si>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</si>
  <si>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</si>
  <si>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</si>
  <si>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</si>
  <si>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</si>
  <si>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</si>
  <si>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</si>
  <si>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</si>
  <si>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</si>
  <si>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</si>
  <si>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</si>
  <si>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</si>
  <si>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</si>
  <si>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</si>
  <si>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</si>
  <si>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</si>
  <si>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</si>
  <si>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</si>
  <si>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</si>
  <si>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</si>
  <si>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</si>
  <si>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</si>
  <si>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</si>
  <si>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</si>
  <si>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</si>
  <si>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</si>
  <si>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</si>
  <si>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</si>
  <si>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</si>
  <si>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</si>
  <si>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</si>
  <si>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</si>
  <si>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</si>
  <si>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</si>
  <si>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</si>
  <si>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</si>
  <si>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</si>
  <si>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</si>
  <si>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</si>
  <si>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</si>
  <si>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</si>
  <si>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</si>
  <si>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</si>
  <si>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</si>
  <si>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</si>
  <si>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</si>
  <si>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</si>
  <si>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</si>
  <si>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</si>
  <si>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</si>
  <si>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</si>
  <si>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</si>
  <si>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</si>
  <si>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at 1 January 2009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</si>
  <si>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</si>
  <si>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</si>
  <si>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</si>
  <si>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</si>
  <si>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</si>
  <si>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</si>
  <si>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</si>
  <si>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</si>
  <si>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</si>
  <si>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</si>
  <si>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</si>
  <si>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</si>
  <si>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</si>
  <si>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</si>
  <si>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</si>
  <si>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</si>
  <si>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</si>
  <si>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</si>
  <si>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</si>
  <si>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</si>
  <si>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</si>
  <si>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</si>
  <si>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</si>
  <si>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</si>
  <si>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</si>
  <si>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</si>
  <si>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</si>
  <si>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</si>
  <si>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</si>
  <si>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</si>
  <si>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</si>
  <si>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</si>
  <si>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</si>
  <si>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SP AusNet</t>
  </si>
  <si>
    <t>X1-4</t>
  </si>
  <si>
    <t xml:space="preserve">  - three phase direct connected meters MMC</t>
  </si>
  <si>
    <t xml:space="preserve">    - three phase direct connected MMC</t>
  </si>
  <si>
    <t>X0</t>
  </si>
  <si>
    <t>Number of customers with a three phase direct connected meter MMC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</si>
  <si>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</si>
  <si>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</si>
  <si>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</si>
  <si>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</si>
  <si>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</si>
  <si>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</si>
  <si>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</si>
  <si>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</si>
  <si>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</si>
  <si>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</si>
  <si>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 single element 1 contactor (1load control)</t>
  </si>
  <si>
    <t>Single phase two element 2 contactors (2 load controls)</t>
  </si>
  <si>
    <t>Multiphase 1 contactor (1 load control)</t>
  </si>
  <si>
    <t>Multiphase 2 contactors (2 load controls)</t>
  </si>
  <si>
    <t>Multiphase CT connected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</si>
  <si>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</si>
  <si>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</si>
  <si>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</si>
  <si>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</si>
  <si>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</si>
  <si>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</si>
  <si>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</si>
  <si>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</si>
  <si>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</si>
  <si>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</si>
  <si>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</si>
  <si>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</si>
  <si>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</si>
  <si>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</si>
  <si>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</si>
  <si>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</si>
  <si>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</si>
  <si>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</si>
  <si>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</si>
  <si>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 xml:space="preserve">Single phase single element </t>
  </si>
  <si>
    <t xml:space="preserve">Single phase two element </t>
  </si>
  <si>
    <t xml:space="preserve">Multiphase </t>
  </si>
  <si>
    <t>Multiphase with contactor</t>
  </si>
  <si>
    <t xml:space="preserve">Multiphase CT </t>
  </si>
  <si>
    <t>REAL 2008 $ INPUTS</t>
  </si>
  <si>
    <t>NOMINAL INPUTS</t>
  </si>
  <si>
    <t>AMI DATA INPUTS 2012 - 2015</t>
  </si>
  <si>
    <t>These templates are for the AMI 2014 Charges Application.</t>
  </si>
  <si>
    <t xml:space="preserve">      and located in tab "DNSP Data Inputs 2012-15".</t>
  </si>
  <si>
    <t>AMI Costs and Revenues for 2012 and 2013 are to be expressed in</t>
  </si>
  <si>
    <t>AMI Costs for 2014-15 are to be expressed in</t>
  </si>
  <si>
    <t>Real 2013 $</t>
  </si>
  <si>
    <t>AMI Proposed Tariffs for 2014-15 are to be expressed in</t>
  </si>
  <si>
    <t>AMI Proposed Tariffs for 2014-15 are to be rounded to whole cents.</t>
  </si>
  <si>
    <t>The ABS changed the index reference base in September 2012 from 1989-90 to 2011-12.</t>
  </si>
  <si>
    <t>Operating and Maintenance Expenditure (including debt raisiing costs in 2014-15)</t>
  </si>
  <si>
    <t>Non Compliant</t>
  </si>
  <si>
    <t>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</si>
</sst>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1" formatCode="_(* #,##0_);_(* \(#,##0\);_(* &quot;-&quot;_);_(@_)"/>
    <numFmt numFmtId="164" formatCode="&quot;$&quot;#,##0.00;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.0"/>
    <numFmt numFmtId="169" formatCode="0.0%"/>
    <numFmt numFmtId="170" formatCode="#,##0.000"/>
    <numFmt numFmtId="171" formatCode="#,##0.0_ ;\-#,##0.0\ "/>
    <numFmt numFmtId="172" formatCode="0.00000"/>
    <numFmt numFmtId="173" formatCode="_-* #,##0.0_-;\-* #,##0.0_-;_-* &quot;-&quot;??_-;_-@_-"/>
    <numFmt numFmtId="174" formatCode="#,##0;\(#,##0\)"/>
    <numFmt numFmtId="175" formatCode="0.0"/>
    <numFmt numFmtId="176" formatCode="_-&quot;$&quot;* #,##0_-;\-&quot;$&quot;* #,##0_-;_-&quot;$&quot;* &quot;-&quot;??_-;_-@_-"/>
    <numFmt numFmtId="177" formatCode="_-&quot;$&quot;* #,##0.000_-;\-&quot;$&quot;* #,##0.000_-;_-&quot;$&quot;* &quot;-&quot;??_-;_-@_-"/>
    <numFmt numFmtId="178" formatCode="#,##0.0000"/>
    <numFmt numFmtId="179" formatCode="_-* #,##0.000_-;\-* #,##0.000_-;_-* &quot;-&quot;??_-;_-@_-"/>
    <numFmt numFmtId="180" formatCode="0.000%"/>
    <numFmt numFmtId="181" formatCode="#,##0.00000"/>
    <numFmt numFmtId="182" formatCode="#,##0.000000"/>
    <numFmt numFmtId="183" formatCode="#,##0.00_ ;\-#,##0.00\ "/>
    <numFmt numFmtId="184" formatCode="0.0000000%"/>
    <numFmt numFmtId="185" formatCode="#,##0.0;\(#,##0.0\)"/>
    <numFmt numFmtId="186" formatCode="#,##0;\(#,##0\);&quot;-&quot;"/>
    <numFmt numFmtId="187" formatCode="0.00000%"/>
    <numFmt numFmtId="188" formatCode="#,##0.0000000"/>
    <numFmt numFmtId="189" formatCode="&quot;$&quot;#,##0.000;\-&quot;$&quot;#,##0.000"/>
    <numFmt numFmtId="190" formatCode="#,##0.00000000000000"/>
    <numFmt numFmtId="191" formatCode="_-&quot;$&quot;* #,##0.0_-;\-&quot;$&quot;* #,##0.0_-;_-&quot;$&quot;* &quot;-&quot;??_-;_-@_-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41" fontId="1" fillId="10" borderId="0" applyFont="0" applyBorder="0" applyAlignment="0">
      <alignment horizontal="right"/>
      <protection locked="0"/>
    </xf>
    <xf numFmtId="41" fontId="1" fillId="11" borderId="0" applyFont="0" applyBorder="0">
      <alignment horizontal="right"/>
      <protection locked="0"/>
    </xf>
  </cellStyleXfs>
  <cellXfs count="933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80" fontId="4" fillId="0" borderId="0" xfId="6" applyNumberFormat="1" applyFont="1" applyFill="1" applyBorder="1" applyAlignment="1">
      <alignment horizontal="center"/>
    </xf>
    <xf numFmtId="169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8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5" fontId="3" fillId="0" borderId="13" xfId="4" applyNumberFormat="1" applyFont="1" applyFill="1" applyBorder="1" applyAlignment="1">
      <alignment horizontal="center"/>
    </xf>
    <xf numFmtId="175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5" fontId="9" fillId="3" borderId="13" xfId="4" applyNumberFormat="1" applyFont="1" applyFill="1" applyBorder="1" applyAlignment="1">
      <alignment horizontal="center"/>
    </xf>
    <xf numFmtId="175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7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8" fontId="18" fillId="0" borderId="15" xfId="2" applyNumberFormat="1" applyFont="1" applyBorder="1"/>
    <xf numFmtId="168" fontId="18" fillId="0" borderId="17" xfId="2" applyNumberFormat="1" applyFont="1" applyBorder="1"/>
    <xf numFmtId="168" fontId="18" fillId="0" borderId="16" xfId="2" applyNumberFormat="1" applyFont="1" applyBorder="1"/>
    <xf numFmtId="168" fontId="18" fillId="0" borderId="5" xfId="0" applyNumberFormat="1" applyFont="1" applyBorder="1"/>
    <xf numFmtId="168" fontId="18" fillId="0" borderId="0" xfId="0" applyNumberFormat="1" applyFont="1" applyBorder="1"/>
    <xf numFmtId="168" fontId="18" fillId="0" borderId="6" xfId="0" applyNumberFormat="1" applyFont="1" applyBorder="1"/>
    <xf numFmtId="168" fontId="18" fillId="0" borderId="10" xfId="0" applyNumberFormat="1" applyFont="1" applyBorder="1"/>
    <xf numFmtId="168" fontId="18" fillId="0" borderId="11" xfId="0" applyNumberFormat="1" applyFont="1" applyBorder="1"/>
    <xf numFmtId="168" fontId="18" fillId="0" borderId="12" xfId="0" applyNumberFormat="1" applyFont="1" applyBorder="1"/>
    <xf numFmtId="168" fontId="19" fillId="0" borderId="8" xfId="0" applyNumberFormat="1" applyFont="1" applyBorder="1"/>
    <xf numFmtId="168" fontId="18" fillId="0" borderId="0" xfId="0" applyNumberFormat="1" applyFont="1"/>
    <xf numFmtId="168" fontId="19" fillId="0" borderId="0" xfId="2" applyNumberFormat="1" applyFont="1" applyBorder="1"/>
    <xf numFmtId="168" fontId="19" fillId="0" borderId="20" xfId="0" applyNumberFormat="1" applyFont="1" applyBorder="1"/>
    <xf numFmtId="168" fontId="18" fillId="0" borderId="0" xfId="6" applyNumberFormat="1" applyFont="1" applyFill="1"/>
    <xf numFmtId="170" fontId="19" fillId="0" borderId="0" xfId="2" applyNumberFormat="1" applyFont="1"/>
    <xf numFmtId="168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8" fontId="22" fillId="0" borderId="0" xfId="0" applyNumberFormat="1" applyFont="1" applyFill="1" applyBorder="1" applyAlignment="1">
      <alignment horizontal="center"/>
    </xf>
    <xf numFmtId="169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8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9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71" fontId="18" fillId="0" borderId="15" xfId="0" applyNumberFormat="1" applyFont="1" applyBorder="1"/>
    <xf numFmtId="171" fontId="18" fillId="0" borderId="17" xfId="0" applyNumberFormat="1" applyFont="1" applyBorder="1"/>
    <xf numFmtId="171" fontId="18" fillId="0" borderId="16" xfId="0" applyNumberFormat="1" applyFont="1" applyBorder="1"/>
    <xf numFmtId="171" fontId="18" fillId="0" borderId="5" xfId="0" applyNumberFormat="1" applyFont="1" applyBorder="1"/>
    <xf numFmtId="171" fontId="18" fillId="0" borderId="0" xfId="0" applyNumberFormat="1" applyFont="1" applyBorder="1"/>
    <xf numFmtId="171" fontId="18" fillId="0" borderId="6" xfId="0" applyNumberFormat="1" applyFont="1" applyBorder="1"/>
    <xf numFmtId="171" fontId="22" fillId="0" borderId="0" xfId="2" applyNumberFormat="1" applyFont="1" applyBorder="1"/>
    <xf numFmtId="171" fontId="22" fillId="0" borderId="6" xfId="2" applyNumberFormat="1" applyFont="1" applyBorder="1"/>
    <xf numFmtId="171" fontId="18" fillId="0" borderId="5" xfId="2" applyNumberFormat="1" applyFont="1" applyBorder="1"/>
    <xf numFmtId="171" fontId="18" fillId="0" borderId="0" xfId="2" applyNumberFormat="1" applyFont="1" applyBorder="1"/>
    <xf numFmtId="171" fontId="18" fillId="0" borderId="6" xfId="2" applyNumberFormat="1" applyFont="1" applyBorder="1"/>
    <xf numFmtId="171" fontId="18" fillId="0" borderId="10" xfId="0" applyNumberFormat="1" applyFont="1" applyBorder="1"/>
    <xf numFmtId="171" fontId="18" fillId="0" borderId="11" xfId="0" applyNumberFormat="1" applyFont="1" applyBorder="1"/>
    <xf numFmtId="171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72" fontId="18" fillId="0" borderId="0" xfId="0" applyNumberFormat="1" applyFont="1" applyFill="1" applyBorder="1"/>
    <xf numFmtId="172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73" fontId="18" fillId="0" borderId="0" xfId="0" applyNumberFormat="1" applyFont="1" applyFill="1" applyBorder="1"/>
    <xf numFmtId="173" fontId="18" fillId="0" borderId="0" xfId="2" applyNumberFormat="1" applyFont="1" applyFill="1" applyBorder="1"/>
    <xf numFmtId="167" fontId="18" fillId="0" borderId="11" xfId="2" applyFont="1" applyFill="1" applyBorder="1"/>
    <xf numFmtId="167" fontId="18" fillId="0" borderId="0" xfId="2" applyFont="1" applyFill="1" applyBorder="1"/>
    <xf numFmtId="167" fontId="18" fillId="0" borderId="0" xfId="2" applyFont="1" applyFill="1"/>
    <xf numFmtId="10" fontId="18" fillId="0" borderId="19" xfId="6" applyNumberFormat="1" applyFont="1" applyFill="1" applyBorder="1"/>
    <xf numFmtId="173" fontId="18" fillId="0" borderId="17" xfId="2" applyNumberFormat="1" applyFont="1" applyFill="1" applyBorder="1"/>
    <xf numFmtId="173" fontId="18" fillId="0" borderId="11" xfId="2" applyNumberFormat="1" applyFont="1" applyFill="1" applyBorder="1"/>
    <xf numFmtId="173" fontId="19" fillId="0" borderId="3" xfId="2" applyNumberFormat="1" applyFont="1" applyFill="1" applyBorder="1"/>
    <xf numFmtId="173" fontId="19" fillId="0" borderId="0" xfId="2" applyNumberFormat="1" applyFont="1" applyFill="1" applyBorder="1"/>
    <xf numFmtId="169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4" fontId="18" fillId="0" borderId="0" xfId="0" applyNumberFormat="1" applyFont="1" applyFill="1" applyBorder="1" applyAlignment="1">
      <alignment horizontal="left"/>
    </xf>
    <xf numFmtId="175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166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166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6" fontId="0" fillId="0" borderId="0" xfId="0" applyNumberFormat="1"/>
    <xf numFmtId="176" fontId="0" fillId="0" borderId="3" xfId="0" applyNumberFormat="1" applyBorder="1"/>
    <xf numFmtId="176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167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9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5" fontId="3" fillId="0" borderId="19" xfId="4" applyNumberFormat="1" applyFont="1" applyFill="1" applyBorder="1" applyAlignment="1">
      <alignment horizontal="center"/>
    </xf>
    <xf numFmtId="175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167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7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7" fontId="9" fillId="2" borderId="12" xfId="3" applyNumberFormat="1" applyFont="1" applyFill="1" applyBorder="1" applyAlignment="1"/>
    <xf numFmtId="177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8" fontId="3" fillId="0" borderId="0" xfId="0" applyNumberFormat="1" applyFont="1" applyBorder="1"/>
    <xf numFmtId="3" fontId="8" fillId="0" borderId="0" xfId="0" applyNumberFormat="1" applyFont="1" applyFill="1"/>
    <xf numFmtId="171" fontId="3" fillId="0" borderId="0" xfId="0" applyNumberFormat="1" applyFont="1" applyBorder="1"/>
    <xf numFmtId="171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5" fillId="0" borderId="0" xfId="0" applyNumberFormat="1" applyFont="1" applyFill="1" applyBorder="1" applyAlignment="1" applyProtection="1">
      <alignment horizontal="center"/>
    </xf>
    <xf numFmtId="172" fontId="3" fillId="0" borderId="0" xfId="0" applyNumberFormat="1" applyFont="1" applyFill="1" applyBorder="1"/>
    <xf numFmtId="172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73" fontId="3" fillId="0" borderId="0" xfId="0" applyNumberFormat="1" applyFont="1" applyFill="1" applyBorder="1"/>
    <xf numFmtId="173" fontId="3" fillId="0" borderId="0" xfId="2" applyNumberFormat="1" applyFont="1" applyFill="1" applyBorder="1"/>
    <xf numFmtId="167" fontId="3" fillId="0" borderId="11" xfId="2" applyFont="1" applyFill="1" applyBorder="1"/>
    <xf numFmtId="167" fontId="3" fillId="0" borderId="0" xfId="2" applyFont="1" applyFill="1" applyBorder="1"/>
    <xf numFmtId="173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4" fillId="0" borderId="0" xfId="0" applyNumberFormat="1" applyFont="1" applyFill="1" applyBorder="1"/>
    <xf numFmtId="0" fontId="4" fillId="0" borderId="11" xfId="0" applyFont="1" applyBorder="1"/>
    <xf numFmtId="3" fontId="3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4" fontId="3" fillId="0" borderId="0" xfId="0" applyNumberFormat="1" applyFont="1" applyFill="1" applyBorder="1" applyAlignment="1">
      <alignment horizontal="left"/>
    </xf>
    <xf numFmtId="175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4" fillId="0" borderId="0" xfId="0" applyFont="1" applyBorder="1"/>
    <xf numFmtId="175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167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167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80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9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70" fontId="3" fillId="0" borderId="0" xfId="1" applyNumberFormat="1" applyFont="1"/>
    <xf numFmtId="185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5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4" fontId="4" fillId="0" borderId="13" xfId="1" applyNumberFormat="1" applyFont="1" applyFill="1" applyBorder="1" applyAlignment="1">
      <alignment horizontal="center"/>
    </xf>
    <xf numFmtId="174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70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6" fontId="33" fillId="0" borderId="0" xfId="1" applyNumberFormat="1" applyFont="1" applyFill="1" applyAlignment="1">
      <alignment horizontal="center"/>
    </xf>
    <xf numFmtId="186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6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82" fontId="3" fillId="0" borderId="0" xfId="0" applyNumberFormat="1" applyFont="1" applyFill="1" applyProtection="1"/>
    <xf numFmtId="181" fontId="3" fillId="0" borderId="0" xfId="0" applyNumberFormat="1" applyFont="1" applyFill="1" applyBorder="1" applyProtection="1"/>
    <xf numFmtId="1" fontId="36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7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4" fillId="0" borderId="0" xfId="0" applyFont="1" applyFill="1" applyBorder="1"/>
    <xf numFmtId="9" fontId="3" fillId="0" borderId="0" xfId="0" applyNumberFormat="1" applyFont="1" applyBorder="1"/>
    <xf numFmtId="173" fontId="4" fillId="0" borderId="3" xfId="2" applyNumberFormat="1" applyFont="1" applyBorder="1"/>
    <xf numFmtId="10" fontId="3" fillId="0" borderId="0" xfId="6" applyNumberFormat="1" applyFont="1" applyBorder="1"/>
    <xf numFmtId="167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164" fontId="3" fillId="0" borderId="0" xfId="0" applyNumberFormat="1" applyFont="1" applyProtection="1"/>
    <xf numFmtId="3" fontId="3" fillId="0" borderId="8" xfId="0" applyNumberFormat="1" applyFont="1" applyBorder="1" applyProtection="1"/>
    <xf numFmtId="0" fontId="4" fillId="0" borderId="3" xfId="0" applyFont="1" applyBorder="1" applyProtection="1"/>
    <xf numFmtId="0" fontId="38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7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9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5" fontId="22" fillId="3" borderId="0" xfId="0" applyNumberFormat="1" applyFont="1" applyFill="1" applyAlignment="1" applyProtection="1">
      <alignment horizontal="right"/>
    </xf>
    <xf numFmtId="166" fontId="39" fillId="3" borderId="0" xfId="3" applyFont="1" applyFill="1"/>
    <xf numFmtId="0" fontId="39" fillId="0" borderId="0" xfId="0" applyFont="1" applyFill="1"/>
    <xf numFmtId="176" fontId="39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166" fontId="39" fillId="3" borderId="0" xfId="0" applyNumberFormat="1" applyFont="1" applyFill="1"/>
    <xf numFmtId="165" fontId="39" fillId="3" borderId="0" xfId="0" applyNumberFormat="1" applyFont="1" applyFill="1"/>
    <xf numFmtId="0" fontId="39" fillId="0" borderId="0" xfId="0" applyFont="1"/>
    <xf numFmtId="3" fontId="39" fillId="3" borderId="0" xfId="0" applyNumberFormat="1" applyFont="1" applyFill="1" applyBorder="1"/>
    <xf numFmtId="168" fontId="22" fillId="3" borderId="0" xfId="0" applyNumberFormat="1" applyFont="1" applyFill="1" applyBorder="1" applyAlignment="1">
      <alignment horizontal="center"/>
    </xf>
    <xf numFmtId="166" fontId="9" fillId="3" borderId="0" xfId="3" applyFont="1" applyFill="1"/>
    <xf numFmtId="0" fontId="22" fillId="0" borderId="0" xfId="0" applyFont="1"/>
    <xf numFmtId="0" fontId="40" fillId="0" borderId="0" xfId="0" applyFont="1"/>
    <xf numFmtId="3" fontId="39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6" fontId="8" fillId="6" borderId="0" xfId="1" applyNumberFormat="1" applyFont="1" applyFill="1" applyAlignment="1">
      <alignment horizontal="center"/>
    </xf>
    <xf numFmtId="186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6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166" fontId="39" fillId="0" borderId="0" xfId="3" applyFont="1" applyFill="1"/>
    <xf numFmtId="176" fontId="39" fillId="0" borderId="0" xfId="3" applyNumberFormat="1" applyFont="1" applyFill="1"/>
    <xf numFmtId="0" fontId="9" fillId="9" borderId="0" xfId="1" applyFont="1" applyFill="1"/>
    <xf numFmtId="0" fontId="34" fillId="0" borderId="2" xfId="4" applyFont="1" applyBorder="1" applyAlignment="1">
      <alignment horizontal="center"/>
    </xf>
    <xf numFmtId="173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4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4" fillId="0" borderId="0" xfId="1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6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9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80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83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9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6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4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70" fontId="8" fillId="0" borderId="0" xfId="2" applyNumberFormat="1" applyFont="1" applyProtection="1"/>
    <xf numFmtId="170" fontId="4" fillId="0" borderId="0" xfId="2" applyNumberFormat="1" applyFont="1" applyProtection="1"/>
    <xf numFmtId="175" fontId="3" fillId="3" borderId="13" xfId="4" applyNumberFormat="1" applyFont="1" applyFill="1" applyBorder="1" applyAlignment="1" applyProtection="1">
      <alignment horizontal="center"/>
    </xf>
    <xf numFmtId="175" fontId="3" fillId="3" borderId="19" xfId="4" applyNumberFormat="1" applyFont="1" applyFill="1" applyBorder="1" applyAlignment="1" applyProtection="1">
      <alignment horizontal="center"/>
    </xf>
    <xf numFmtId="175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9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167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6" fontId="33" fillId="4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Protection="1"/>
    <xf numFmtId="166" fontId="3" fillId="0" borderId="0" xfId="1" applyNumberFormat="1" applyFont="1" applyFill="1" applyProtection="1"/>
    <xf numFmtId="0" fontId="34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5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7" fontId="3" fillId="2" borderId="6" xfId="3" applyNumberFormat="1" applyFont="1" applyFill="1" applyBorder="1" applyAlignment="1"/>
    <xf numFmtId="177" fontId="3" fillId="2" borderId="12" xfId="3" applyNumberFormat="1" applyFont="1" applyFill="1" applyBorder="1" applyAlignment="1"/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7" fontId="3" fillId="2" borderId="0" xfId="3" applyNumberFormat="1" applyFont="1" applyFill="1" applyBorder="1" applyAlignment="1"/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177" fontId="9" fillId="3" borderId="19" xfId="3" applyNumberFormat="1" applyFont="1" applyFill="1" applyBorder="1" applyAlignment="1"/>
    <xf numFmtId="177" fontId="9" fillId="3" borderId="14" xfId="3" applyNumberFormat="1" applyFont="1" applyFill="1" applyBorder="1" applyAlignment="1"/>
    <xf numFmtId="0" fontId="4" fillId="0" borderId="15" xfId="4" quotePrefix="1" applyFont="1" applyFill="1" applyBorder="1" applyAlignment="1">
      <alignment horizontal="center"/>
    </xf>
    <xf numFmtId="0" fontId="3" fillId="0" borderId="10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9" fontId="3" fillId="3" borderId="5" xfId="3" applyNumberFormat="1" applyFont="1" applyFill="1" applyBorder="1" applyAlignment="1">
      <alignment horizontal="center"/>
    </xf>
    <xf numFmtId="189" fontId="3" fillId="0" borderId="5" xfId="4" applyNumberFormat="1" applyFont="1" applyFill="1" applyBorder="1" applyAlignment="1">
      <alignment horizontal="center"/>
    </xf>
    <xf numFmtId="189" fontId="13" fillId="0" borderId="5" xfId="4" applyNumberFormat="1" applyFont="1" applyFill="1" applyBorder="1" applyAlignment="1">
      <alignment horizontal="right"/>
    </xf>
    <xf numFmtId="189" fontId="3" fillId="3" borderId="10" xfId="3" applyNumberFormat="1" applyFont="1" applyFill="1" applyBorder="1" applyAlignment="1">
      <alignment horizontal="center"/>
    </xf>
    <xf numFmtId="0" fontId="3" fillId="0" borderId="19" xfId="4" applyFont="1" applyBorder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6" xfId="4" applyFont="1" applyBorder="1"/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177" fontId="9" fillId="3" borderId="6" xfId="3" applyNumberFormat="1" applyFont="1" applyFill="1" applyBorder="1" applyAlignment="1"/>
    <xf numFmtId="177" fontId="9" fillId="3" borderId="12" xfId="3" applyNumberFormat="1" applyFont="1" applyFill="1" applyBorder="1" applyAlignment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177" fontId="3" fillId="3" borderId="19" xfId="3" applyNumberFormat="1" applyFont="1" applyFill="1" applyBorder="1" applyAlignment="1"/>
    <xf numFmtId="177" fontId="3" fillId="2" borderId="11" xfId="3" applyNumberFormat="1" applyFont="1" applyFill="1" applyBorder="1" applyAlignment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177" fontId="9" fillId="2" borderId="0" xfId="3" applyNumberFormat="1" applyFont="1" applyFill="1" applyBorder="1" applyAlignment="1"/>
    <xf numFmtId="0" fontId="3" fillId="0" borderId="17" xfId="4" applyFont="1" applyFill="1" applyBorder="1"/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3" fontId="9" fillId="2" borderId="0" xfId="1" applyNumberFormat="1" applyFont="1" applyFill="1" applyBorder="1"/>
    <xf numFmtId="3" fontId="9" fillId="2" borderId="11" xfId="1" applyNumberFormat="1" applyFont="1" applyFill="1" applyBorder="1"/>
    <xf numFmtId="177" fontId="9" fillId="2" borderId="11" xfId="3" applyNumberFormat="1" applyFont="1" applyFill="1" applyBorder="1" applyAlignment="1"/>
    <xf numFmtId="177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41" fillId="3" borderId="7" xfId="4" applyNumberFormat="1" applyFont="1" applyFill="1" applyBorder="1"/>
    <xf numFmtId="3" fontId="41" fillId="3" borderId="8" xfId="4" applyNumberFormat="1" applyFont="1" applyFill="1" applyBorder="1"/>
    <xf numFmtId="3" fontId="3" fillId="3" borderId="8" xfId="4" applyNumberFormat="1" applyFont="1" applyFill="1" applyBorder="1"/>
    <xf numFmtId="3" fontId="41" fillId="3" borderId="5" xfId="3" applyNumberFormat="1" applyFont="1" applyFill="1" applyBorder="1"/>
    <xf numFmtId="3" fontId="41" fillId="3" borderId="0" xfId="3" applyNumberFormat="1" applyFont="1" applyFill="1" applyBorder="1"/>
    <xf numFmtId="3" fontId="41" fillId="3" borderId="10" xfId="3" applyNumberFormat="1" applyFont="1" applyFill="1" applyBorder="1"/>
    <xf numFmtId="3" fontId="41" fillId="3" borderId="11" xfId="3" applyNumberFormat="1" applyFont="1" applyFill="1" applyBorder="1"/>
    <xf numFmtId="3" fontId="41" fillId="3" borderId="5" xfId="4" applyNumberFormat="1" applyFont="1" applyFill="1" applyBorder="1"/>
    <xf numFmtId="3" fontId="41" fillId="3" borderId="0" xfId="4" applyNumberFormat="1" applyFont="1" applyFill="1" applyBorder="1"/>
    <xf numFmtId="0" fontId="10" fillId="0" borderId="0" xfId="4" applyFont="1" applyFill="1" applyBorder="1" applyAlignment="1">
      <alignment horizontal="left"/>
    </xf>
    <xf numFmtId="188" fontId="3" fillId="0" borderId="0" xfId="0" applyNumberFormat="1" applyFo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right"/>
    </xf>
    <xf numFmtId="3" fontId="3" fillId="0" borderId="0" xfId="0" applyNumberFormat="1" applyFont="1" applyBorder="1" applyProtection="1"/>
    <xf numFmtId="0" fontId="4" fillId="0" borderId="11" xfId="0" applyFont="1" applyBorder="1" applyProtection="1"/>
    <xf numFmtId="186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2" borderId="0" xfId="4" applyNumberFormat="1" applyFont="1" applyFill="1" applyBorder="1"/>
    <xf numFmtId="3" fontId="1" fillId="0" borderId="0" xfId="4" applyNumberFormat="1" applyFont="1" applyFill="1" applyBorder="1"/>
    <xf numFmtId="3" fontId="42" fillId="3" borderId="8" xfId="4" applyNumberFormat="1" applyFont="1" applyFill="1" applyBorder="1"/>
    <xf numFmtId="3" fontId="42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80" fontId="43" fillId="3" borderId="0" xfId="6" applyNumberFormat="1" applyFont="1" applyFill="1" applyBorder="1"/>
    <xf numFmtId="180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32" fillId="3" borderId="10" xfId="4" applyFont="1" applyFill="1" applyBorder="1" applyAlignment="1">
      <alignment horizontal="center"/>
    </xf>
    <xf numFmtId="175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0" fontId="32" fillId="3" borderId="15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32" fillId="0" borderId="13" xfId="4" applyFont="1" applyBorder="1" applyAlignment="1">
      <alignment horizontal="center"/>
    </xf>
    <xf numFmtId="190" fontId="3" fillId="0" borderId="0" xfId="0" applyNumberFormat="1" applyFont="1"/>
    <xf numFmtId="0" fontId="12" fillId="13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5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175" fontId="1" fillId="0" borderId="19" xfId="1" applyNumberFormat="1" applyFont="1" applyBorder="1" applyAlignment="1">
      <alignment horizontal="center"/>
    </xf>
    <xf numFmtId="175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5" fontId="1" fillId="0" borderId="19" xfId="4" applyNumberFormat="1" applyFont="1" applyFill="1" applyBorder="1" applyAlignment="1">
      <alignment horizontal="center"/>
    </xf>
    <xf numFmtId="175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6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175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17" fontId="1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17" fontId="1" fillId="0" borderId="5" xfId="1" applyNumberFormat="1" applyFont="1" applyBorder="1" applyAlignment="1">
      <alignment horizontal="center"/>
    </xf>
    <xf numFmtId="17" fontId="1" fillId="0" borderId="10" xfId="1" applyNumberFormat="1" applyFont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0" fontId="1" fillId="0" borderId="1" xfId="4" applyFont="1" applyFill="1" applyBorder="1"/>
    <xf numFmtId="3" fontId="1" fillId="3" borderId="8" xfId="4" applyNumberFormat="1" applyFont="1" applyFill="1" applyBorder="1"/>
    <xf numFmtId="0" fontId="1" fillId="0" borderId="0" xfId="4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Fill="1" applyBorder="1"/>
    <xf numFmtId="3" fontId="4" fillId="0" borderId="8" xfId="1" applyNumberFormat="1" applyFont="1" applyFill="1" applyBorder="1" applyAlignment="1">
      <alignment horizontal="right"/>
    </xf>
    <xf numFmtId="3" fontId="3" fillId="0" borderId="0" xfId="1" applyNumberFormat="1" applyFont="1" applyFill="1" applyAlignment="1">
      <alignment horizontal="center"/>
    </xf>
    <xf numFmtId="175" fontId="3" fillId="0" borderId="0" xfId="1" applyNumberFormat="1" applyFont="1" applyFill="1" applyAlignment="1">
      <alignment horizontal="center"/>
    </xf>
    <xf numFmtId="0" fontId="1" fillId="0" borderId="0" xfId="0" applyFont="1" applyFill="1"/>
    <xf numFmtId="10" fontId="9" fillId="2" borderId="0" xfId="6" applyNumberFormat="1" applyFont="1" applyFill="1" applyBorder="1" applyAlignment="1">
      <alignment horizontal="center"/>
    </xf>
    <xf numFmtId="3" fontId="4" fillId="0" borderId="0" xfId="0" applyNumberFormat="1" applyFont="1" applyFill="1"/>
    <xf numFmtId="191" fontId="3" fillId="2" borderId="0" xfId="3" applyNumberFormat="1" applyFont="1" applyFill="1" applyBorder="1" applyAlignment="1"/>
    <xf numFmtId="191" fontId="3" fillId="2" borderId="6" xfId="3" applyNumberFormat="1" applyFont="1" applyFill="1" applyBorder="1" applyAlignment="1"/>
    <xf numFmtId="191" fontId="3" fillId="3" borderId="19" xfId="3" applyNumberFormat="1" applyFont="1" applyFill="1" applyBorder="1" applyAlignment="1"/>
    <xf numFmtId="191" fontId="3" fillId="3" borderId="6" xfId="3" applyNumberFormat="1" applyFont="1" applyFill="1" applyBorder="1" applyAlignment="1"/>
    <xf numFmtId="191" fontId="9" fillId="2" borderId="0" xfId="3" applyNumberFormat="1" applyFont="1" applyFill="1" applyBorder="1" applyAlignment="1"/>
    <xf numFmtId="191" fontId="9" fillId="2" borderId="6" xfId="3" applyNumberFormat="1" applyFont="1" applyFill="1" applyBorder="1" applyAlignment="1"/>
    <xf numFmtId="10" fontId="4" fillId="0" borderId="0" xfId="6" applyNumberFormat="1" applyFont="1" applyFill="1" applyBorder="1" applyAlignment="1">
      <alignment horizontal="center"/>
    </xf>
    <xf numFmtId="10" fontId="1" fillId="0" borderId="0" xfId="4" applyNumberFormat="1" applyFont="1"/>
    <xf numFmtId="9" fontId="9" fillId="2" borderId="0" xfId="6" applyNumberFormat="1" applyFont="1" applyFill="1" applyBorder="1" applyAlignment="1">
      <alignment horizontal="center"/>
    </xf>
    <xf numFmtId="0" fontId="4" fillId="4" borderId="2" xfId="4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4" applyFont="1" applyFill="1" applyBorder="1" applyAlignment="1">
      <alignment horizontal="center"/>
    </xf>
  </cellXfs>
  <cellStyles count="10">
    <cellStyle name="Comma" xfId="2" builtinId="3"/>
    <cellStyle name="Currency" xfId="3" builtinId="4"/>
    <cellStyle name="Input1" xfId="8"/>
    <cellStyle name="Input3" xfId="9"/>
    <cellStyle name="Normal" xfId="0" builtinId="0"/>
    <cellStyle name="Normal 2" xfId="7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tabSelected="1" zoomScale="85" workbookViewId="0"/>
  </sheetViews>
  <sheetFormatPr defaultRowHeight="12.75" x14ac:dyDescent="0.2"/>
  <cols>
    <col min="1" max="1" width="52.5703125" style="569" customWidth="1"/>
    <col min="2" max="2" width="10.5703125" style="569" customWidth="1"/>
    <col min="3" max="3" width="15" style="569" customWidth="1"/>
    <col min="4" max="16384" width="9.140625" style="569"/>
  </cols>
  <sheetData>
    <row r="1" spans="1:3" x14ac:dyDescent="0.2">
      <c r="A1" s="555" t="str">
        <f>'Data 2006-08'!A1</f>
        <v>SP AusNet</v>
      </c>
    </row>
    <row r="2" spans="1:3" s="570" customFormat="1" x14ac:dyDescent="0.2">
      <c r="A2" s="96"/>
    </row>
    <row r="3" spans="1:3" s="799" customFormat="1" x14ac:dyDescent="0.2">
      <c r="A3" s="571" t="s">
        <v>375</v>
      </c>
    </row>
    <row r="4" spans="1:3" s="799" customFormat="1" x14ac:dyDescent="0.2"/>
    <row r="5" spans="1:3" s="799" customFormat="1" x14ac:dyDescent="0.2">
      <c r="A5" s="572" t="s">
        <v>402</v>
      </c>
    </row>
    <row r="6" spans="1:3" s="799" customFormat="1" x14ac:dyDescent="0.2"/>
    <row r="7" spans="1:3" s="799" customFormat="1" x14ac:dyDescent="0.2">
      <c r="A7" s="572" t="s">
        <v>376</v>
      </c>
      <c r="B7" s="573"/>
      <c r="C7" s="574" t="s">
        <v>403</v>
      </c>
    </row>
    <row r="8" spans="1:3" s="799" customFormat="1" ht="15" x14ac:dyDescent="0.25">
      <c r="A8" s="575"/>
    </row>
    <row r="9" spans="1:3" s="799" customFormat="1" x14ac:dyDescent="0.2">
      <c r="A9" s="572" t="s">
        <v>377</v>
      </c>
    </row>
    <row r="10" spans="1:3" s="799" customFormat="1" x14ac:dyDescent="0.2"/>
    <row r="11" spans="1:3" s="799" customFormat="1" x14ac:dyDescent="0.2">
      <c r="A11" s="576" t="s">
        <v>404</v>
      </c>
      <c r="B11" s="577"/>
      <c r="C11" s="578" t="s">
        <v>22</v>
      </c>
    </row>
    <row r="12" spans="1:3" s="800" customFormat="1" x14ac:dyDescent="0.2">
      <c r="A12" s="579"/>
      <c r="B12" s="580"/>
      <c r="C12" s="581"/>
    </row>
    <row r="13" spans="1:3" s="799" customFormat="1" x14ac:dyDescent="0.2">
      <c r="A13" s="576" t="s">
        <v>405</v>
      </c>
      <c r="B13" s="577"/>
      <c r="C13" s="578" t="s">
        <v>406</v>
      </c>
    </row>
    <row r="14" spans="1:3" s="799" customFormat="1" x14ac:dyDescent="0.2">
      <c r="B14" s="801"/>
    </row>
    <row r="15" spans="1:3" s="799" customFormat="1" x14ac:dyDescent="0.2">
      <c r="A15" s="576" t="s">
        <v>407</v>
      </c>
      <c r="C15" s="578" t="s">
        <v>22</v>
      </c>
    </row>
    <row r="16" spans="1:3" s="799" customFormat="1" x14ac:dyDescent="0.2"/>
    <row r="17" spans="1:1" s="799" customFormat="1" x14ac:dyDescent="0.2">
      <c r="A17" s="576" t="s">
        <v>408</v>
      </c>
    </row>
    <row r="18" spans="1:1" s="799" customFormat="1" x14ac:dyDescent="0.2"/>
    <row r="19" spans="1:1" s="799" customFormat="1" x14ac:dyDescent="0.2"/>
    <row r="20" spans="1:1" x14ac:dyDescent="0.2">
      <c r="A20" s="793"/>
    </row>
  </sheetData>
  <phoneticPr fontId="2" type="noConversion"/>
  <printOptions gridLines="1"/>
  <pageMargins left="0.75" right="0.75" top="1" bottom="1" header="0.5" footer="0.5"/>
  <pageSetup paperSize="9" scale="76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63.140625" style="57" customWidth="1"/>
    <col min="2" max="2" width="10" style="57" customWidth="1"/>
    <col min="3" max="3" width="11.42578125" style="57" customWidth="1"/>
    <col min="4" max="4" width="16.28515625" style="57" customWidth="1"/>
    <col min="5" max="5" width="13.140625" style="57" customWidth="1"/>
    <col min="6" max="6" width="12.85546875" style="57" customWidth="1"/>
    <col min="7" max="7" width="12.7109375" style="57" customWidth="1"/>
    <col min="8" max="8" width="14.42578125" style="57" customWidth="1"/>
    <col min="9" max="9" width="11.5703125" style="57" bestFit="1" customWidth="1"/>
    <col min="10" max="10" width="10" style="57" customWidth="1"/>
    <col min="11" max="11" width="9.140625" style="57"/>
    <col min="12" max="14" width="9.28515625" style="57" bestFit="1" customWidth="1"/>
    <col min="15" max="16" width="10" style="57" customWidth="1"/>
    <col min="17" max="17" width="9.42578125" style="57" bestFit="1" customWidth="1"/>
    <col min="18" max="18" width="9.85546875" style="57" customWidth="1"/>
    <col min="19" max="16384" width="9.140625" style="57"/>
  </cols>
  <sheetData>
    <row r="1" spans="1:11" ht="15.75" x14ac:dyDescent="0.25">
      <c r="A1" s="555" t="str">
        <f>'Data 2006-08'!$A$1</f>
        <v>SP AusNet</v>
      </c>
      <c r="B1" s="342"/>
      <c r="C1" s="342"/>
      <c r="D1" s="348">
        <v>2006</v>
      </c>
      <c r="E1" s="348">
        <v>2007</v>
      </c>
      <c r="F1" s="348">
        <v>2008</v>
      </c>
      <c r="G1" s="77">
        <v>2009</v>
      </c>
      <c r="H1" s="77">
        <v>2010</v>
      </c>
      <c r="I1" s="77">
        <v>2011</v>
      </c>
      <c r="J1" s="77">
        <v>2012</v>
      </c>
      <c r="K1" s="77">
        <v>2013</v>
      </c>
    </row>
    <row r="2" spans="1:11" ht="15.75" x14ac:dyDescent="0.25">
      <c r="B2" s="342"/>
      <c r="C2" s="342"/>
    </row>
    <row r="3" spans="1:11" x14ac:dyDescent="0.2">
      <c r="A3" s="345"/>
      <c r="B3" s="346"/>
      <c r="C3" s="346"/>
      <c r="D3" s="348">
        <v>2006</v>
      </c>
      <c r="E3" s="348">
        <v>2007</v>
      </c>
      <c r="F3" s="348">
        <v>2008</v>
      </c>
      <c r="G3" s="77">
        <v>2009</v>
      </c>
      <c r="H3" s="77">
        <v>2010</v>
      </c>
      <c r="I3" s="77">
        <v>2011</v>
      </c>
      <c r="J3" s="77">
        <v>2012</v>
      </c>
      <c r="K3" s="77">
        <v>2013</v>
      </c>
    </row>
    <row r="4" spans="1:11" x14ac:dyDescent="0.2">
      <c r="A4" s="422" t="s">
        <v>86</v>
      </c>
      <c r="B4" s="346"/>
      <c r="C4" s="346"/>
      <c r="D4" s="421">
        <f>'Data 2006-08'!D155</f>
        <v>3.0261348005502064E-2</v>
      </c>
      <c r="E4" s="421">
        <f>'Data 2006-08'!E155</f>
        <v>3.9385847797062556E-2</v>
      </c>
      <c r="F4" s="421">
        <f>'Data 2006-08'!F155</f>
        <v>1.862556197816323E-2</v>
      </c>
      <c r="G4" s="428">
        <f>'Data 2009-15 (Real $2008)'!D144</f>
        <v>4.9810844892812067E-2</v>
      </c>
      <c r="H4" s="428">
        <f>'Data 2009-15 (Real $2008)'!E144</f>
        <v>1.2612612612612484E-2</v>
      </c>
      <c r="I4" s="428">
        <f>'Data 2009-15 (Real $2008)'!F144</f>
        <v>2.7876631079478242E-2</v>
      </c>
      <c r="J4" s="428">
        <f>'Data 2009-15 (Real $2008)'!G144</f>
        <v>3.5199076745527913E-2</v>
      </c>
      <c r="K4" s="428">
        <f>'Data 2009-15 (Real $2008)'!H144</f>
        <v>2.0040080160320661E-2</v>
      </c>
    </row>
    <row r="5" spans="1:11" x14ac:dyDescent="0.2">
      <c r="A5" s="279" t="str">
        <f>'Data 2006-08'!A141</f>
        <v>'Vanilla' after tax WACC (real)</v>
      </c>
      <c r="B5" s="280"/>
      <c r="C5" s="280"/>
      <c r="D5" s="405">
        <f>'Data 2006-08'!$C$141</f>
        <v>5.8999999999999997E-2</v>
      </c>
      <c r="E5" s="405">
        <f>'Data 2006-08'!$C$141</f>
        <v>5.8999999999999997E-2</v>
      </c>
      <c r="F5" s="405">
        <f>'Data 2006-08'!$C$141</f>
        <v>5.8999999999999997E-2</v>
      </c>
      <c r="G5" s="428">
        <f>'AMI Building Blocks 2009-15'!$C$18</f>
        <v>6.7716458658346301E-2</v>
      </c>
      <c r="H5" s="428">
        <f>'AMI Building Blocks 2009-15'!$C$18</f>
        <v>6.7716458658346301E-2</v>
      </c>
      <c r="I5" s="428">
        <f>'AMI Building Blocks 2009-15'!$C$18</f>
        <v>6.7716458658346301E-2</v>
      </c>
      <c r="J5" s="428">
        <f>'AMI Building Blocks 2009-15'!$C$18</f>
        <v>6.7716458658346301E-2</v>
      </c>
      <c r="K5" s="428">
        <f>'AMI Building Blocks 2009-15'!$C$18</f>
        <v>6.7716458658346301E-2</v>
      </c>
    </row>
    <row r="6" spans="1:11" x14ac:dyDescent="0.2">
      <c r="A6" s="423" t="s">
        <v>296</v>
      </c>
      <c r="B6" s="346"/>
      <c r="C6" s="346"/>
      <c r="D6" s="421">
        <f t="shared" ref="D6:K6" si="0">(1+D4)*(1+D5)-1</f>
        <v>9.1046767537826589E-2</v>
      </c>
      <c r="E6" s="421">
        <f t="shared" si="0"/>
        <v>0.10070961281708923</v>
      </c>
      <c r="F6" s="421">
        <f t="shared" si="0"/>
        <v>7.8724470134874824E-2</v>
      </c>
      <c r="G6" s="421">
        <f t="shared" si="0"/>
        <v>0.1209003175700798</v>
      </c>
      <c r="H6" s="421">
        <f t="shared" si="0"/>
        <v>8.1183152731514552E-2</v>
      </c>
      <c r="I6" s="421">
        <f t="shared" si="0"/>
        <v>9.7480796473851994E-2</v>
      </c>
      <c r="J6" s="421">
        <f t="shared" si="0"/>
        <v>0.10529909222912481</v>
      </c>
      <c r="K6" s="421">
        <f t="shared" si="0"/>
        <v>8.9113582078353293E-2</v>
      </c>
    </row>
    <row r="7" spans="1:11" x14ac:dyDescent="0.2">
      <c r="A7" s="345"/>
      <c r="B7" s="346"/>
      <c r="C7" s="346"/>
      <c r="D7" s="347"/>
      <c r="E7" s="347"/>
      <c r="F7" s="347"/>
      <c r="G7" s="347"/>
      <c r="H7" s="347"/>
      <c r="I7" s="347"/>
      <c r="J7" s="347"/>
    </row>
    <row r="8" spans="1:11" x14ac:dyDescent="0.2">
      <c r="A8" s="345"/>
      <c r="B8" s="346"/>
      <c r="C8" s="346"/>
      <c r="D8" s="347"/>
      <c r="E8" s="347"/>
      <c r="F8" s="347"/>
      <c r="G8" s="347"/>
      <c r="H8" s="347"/>
      <c r="I8" s="347"/>
      <c r="J8" s="347"/>
    </row>
    <row r="9" spans="1:11" x14ac:dyDescent="0.2">
      <c r="A9" s="345"/>
      <c r="B9" s="346"/>
      <c r="C9" s="346"/>
      <c r="D9" s="347"/>
      <c r="E9" s="347"/>
      <c r="F9" s="347"/>
      <c r="G9" s="347"/>
      <c r="H9" s="347"/>
      <c r="I9" s="347"/>
      <c r="J9" s="347"/>
    </row>
    <row r="10" spans="1:11" x14ac:dyDescent="0.2">
      <c r="A10" s="500" t="s">
        <v>339</v>
      </c>
      <c r="B10" s="346"/>
      <c r="C10" s="346"/>
      <c r="D10" s="348">
        <v>2006</v>
      </c>
      <c r="E10" s="348">
        <v>2007</v>
      </c>
      <c r="F10" s="348">
        <v>2008</v>
      </c>
      <c r="G10" s="77">
        <v>2009</v>
      </c>
      <c r="H10" s="77">
        <v>2010</v>
      </c>
      <c r="I10" s="77">
        <v>2011</v>
      </c>
      <c r="J10" s="77">
        <v>2012</v>
      </c>
      <c r="K10" s="77">
        <v>2013</v>
      </c>
    </row>
    <row r="11" spans="1:11" x14ac:dyDescent="0.2">
      <c r="A11" s="409" t="s">
        <v>297</v>
      </c>
      <c r="B11" s="346"/>
      <c r="C11" s="346"/>
      <c r="D11" s="347"/>
      <c r="E11" s="347"/>
      <c r="F11" s="347"/>
      <c r="G11" s="347"/>
      <c r="H11" s="347"/>
      <c r="I11" s="347"/>
      <c r="J11" s="347"/>
    </row>
    <row r="12" spans="1:11" x14ac:dyDescent="0.2">
      <c r="A12" s="422" t="s">
        <v>299</v>
      </c>
      <c r="B12" s="346"/>
      <c r="C12" s="346"/>
      <c r="D12" s="347">
        <f>D73</f>
        <v>-6396.9703917261177</v>
      </c>
      <c r="E12" s="347">
        <f>E73</f>
        <v>-10052.752619858724</v>
      </c>
      <c r="F12" s="347">
        <f>F73</f>
        <v>-12563.022288858512</v>
      </c>
      <c r="G12" s="532"/>
      <c r="H12" s="532"/>
      <c r="I12" s="532"/>
      <c r="J12" s="532"/>
      <c r="K12" s="522"/>
    </row>
    <row r="13" spans="1:11" x14ac:dyDescent="0.2">
      <c r="A13" s="422" t="s">
        <v>305</v>
      </c>
      <c r="B13" s="346"/>
      <c r="C13" s="346"/>
      <c r="D13" s="347">
        <f>D36</f>
        <v>349.65698705518452</v>
      </c>
      <c r="E13" s="347">
        <f>E36</f>
        <v>445.43908980331764</v>
      </c>
      <c r="F13" s="347">
        <f>F36</f>
        <v>1172.2828490463751</v>
      </c>
      <c r="G13" s="347">
        <f>G36</f>
        <v>1820.6991432179509</v>
      </c>
      <c r="H13" s="347">
        <f>H36</f>
        <v>1750.0732202312292</v>
      </c>
      <c r="I13" s="532"/>
      <c r="J13" s="532"/>
      <c r="K13" s="522"/>
    </row>
    <row r="14" spans="1:11" x14ac:dyDescent="0.2">
      <c r="A14" s="422" t="s">
        <v>304</v>
      </c>
      <c r="B14" s="346"/>
      <c r="C14" s="346"/>
      <c r="D14" s="380">
        <f>D65</f>
        <v>1222.326640450488</v>
      </c>
      <c r="E14" s="380">
        <f t="shared" ref="E14:K14" si="1">E65</f>
        <v>2391.8342899975596</v>
      </c>
      <c r="F14" s="380">
        <f t="shared" si="1"/>
        <v>1220.901340308912</v>
      </c>
      <c r="G14" s="380">
        <f t="shared" si="1"/>
        <v>1281.7154676004657</v>
      </c>
      <c r="H14" s="380">
        <f t="shared" si="1"/>
        <v>1297.8812482729038</v>
      </c>
      <c r="I14" s="380">
        <f t="shared" si="1"/>
        <v>1334.0618050159803</v>
      </c>
      <c r="J14" s="380">
        <f t="shared" si="1"/>
        <v>-82.83491906201624</v>
      </c>
      <c r="K14" s="380">
        <f t="shared" si="1"/>
        <v>-1402.4426101236761</v>
      </c>
    </row>
    <row r="15" spans="1:11" x14ac:dyDescent="0.2">
      <c r="A15" s="422" t="s">
        <v>306</v>
      </c>
      <c r="B15" s="346"/>
      <c r="C15" s="346"/>
      <c r="D15" s="347">
        <f>'Data 2006-08'!D115/10^3</f>
        <v>1027.69805</v>
      </c>
      <c r="E15" s="347">
        <f>'Data 2006-08'!E115/10^3</f>
        <v>3360.2787199999998</v>
      </c>
      <c r="F15" s="347">
        <f>'Data 2006-08'!F115/10^3</f>
        <v>8008.2368345795639</v>
      </c>
      <c r="G15" s="532"/>
      <c r="H15" s="532"/>
      <c r="I15" s="532"/>
      <c r="J15" s="532"/>
      <c r="K15" s="522"/>
    </row>
    <row r="16" spans="1:11" x14ac:dyDescent="0.2">
      <c r="A16" s="422" t="s">
        <v>45</v>
      </c>
      <c r="B16" s="346"/>
      <c r="C16" s="346"/>
      <c r="D16" s="389">
        <f t="shared" ref="D16:K16" si="2">SUM(D12:D15)</f>
        <v>-3797.2887142204445</v>
      </c>
      <c r="E16" s="389">
        <f t="shared" si="2"/>
        <v>-3855.2005200578465</v>
      </c>
      <c r="F16" s="389">
        <f t="shared" si="2"/>
        <v>-2161.6012649236618</v>
      </c>
      <c r="G16" s="389">
        <f t="shared" si="2"/>
        <v>3102.4146108184168</v>
      </c>
      <c r="H16" s="389">
        <f t="shared" si="2"/>
        <v>3047.9544685041328</v>
      </c>
      <c r="I16" s="389">
        <f t="shared" si="2"/>
        <v>1334.0618050159803</v>
      </c>
      <c r="J16" s="389">
        <f t="shared" si="2"/>
        <v>-82.83491906201624</v>
      </c>
      <c r="K16" s="389">
        <f t="shared" si="2"/>
        <v>-1402.4426101236761</v>
      </c>
    </row>
    <row r="17" spans="1:11" x14ac:dyDescent="0.2">
      <c r="A17" s="345"/>
      <c r="B17" s="346"/>
      <c r="C17" s="346"/>
      <c r="D17" s="347"/>
      <c r="E17" s="347"/>
      <c r="F17" s="347"/>
      <c r="G17" s="347"/>
      <c r="H17" s="347"/>
      <c r="I17" s="347"/>
      <c r="J17" s="347"/>
    </row>
    <row r="18" spans="1:11" x14ac:dyDescent="0.2">
      <c r="A18" s="422" t="s">
        <v>307</v>
      </c>
      <c r="B18" s="346"/>
      <c r="C18" s="346"/>
      <c r="D18" s="426">
        <f>E18*(1+E6)</f>
        <v>1.330914884346738</v>
      </c>
      <c r="E18" s="426">
        <f>F18*(1+F6)</f>
        <v>1.2091426011447972</v>
      </c>
      <c r="F18" s="426">
        <f>G18*(1+G6)</f>
        <v>1.1209003175700798</v>
      </c>
      <c r="G18" s="427">
        <v>1</v>
      </c>
      <c r="H18" s="426">
        <f>G18/(1+H6)</f>
        <v>0.92491267318917014</v>
      </c>
      <c r="I18" s="426">
        <f>H18/(1+I6)</f>
        <v>0.84275977872311369</v>
      </c>
      <c r="J18" s="426">
        <f>I18/(1+J6)</f>
        <v>0.7624721531467723</v>
      </c>
      <c r="K18" s="426">
        <f>J18/(1+K6)</f>
        <v>0.70008506522501368</v>
      </c>
    </row>
    <row r="19" spans="1:11" x14ac:dyDescent="0.2">
      <c r="A19" s="422"/>
      <c r="B19" s="346"/>
      <c r="C19" s="346"/>
      <c r="D19" s="426"/>
      <c r="E19" s="426"/>
      <c r="F19" s="426"/>
      <c r="G19" s="427"/>
      <c r="H19" s="427"/>
      <c r="I19" s="427"/>
      <c r="J19" s="426"/>
      <c r="K19" s="426"/>
    </row>
    <row r="20" spans="1:11" ht="13.5" thickBot="1" x14ac:dyDescent="0.25">
      <c r="A20" s="430" t="s">
        <v>340</v>
      </c>
      <c r="B20" s="431"/>
      <c r="C20" s="431"/>
      <c r="D20" s="534"/>
      <c r="E20" s="534"/>
      <c r="F20" s="534"/>
      <c r="G20" s="429">
        <f>SUMPRODUCT(D16:K16,D18:K18)</f>
        <v>-6137.4832866242659</v>
      </c>
      <c r="H20" s="533"/>
      <c r="I20" s="533"/>
      <c r="J20" s="534"/>
      <c r="K20" s="534"/>
    </row>
    <row r="21" spans="1:11" ht="13.5" thickTop="1" x14ac:dyDescent="0.2">
      <c r="A21" s="345"/>
      <c r="B21" s="346"/>
      <c r="C21" s="346"/>
      <c r="D21" s="347"/>
      <c r="E21" s="347"/>
      <c r="F21" s="347"/>
      <c r="G21" s="347"/>
      <c r="H21" s="347"/>
      <c r="I21" s="347"/>
      <c r="J21" s="347"/>
    </row>
    <row r="22" spans="1:11" x14ac:dyDescent="0.2">
      <c r="A22" s="345"/>
      <c r="B22" s="346"/>
      <c r="C22" s="346"/>
      <c r="D22" s="347"/>
      <c r="E22" s="347"/>
      <c r="F22" s="347"/>
      <c r="G22" s="347"/>
      <c r="H22" s="347"/>
      <c r="I22" s="347"/>
      <c r="J22" s="347"/>
    </row>
    <row r="23" spans="1:11" x14ac:dyDescent="0.2">
      <c r="A23" s="345"/>
      <c r="B23" s="346"/>
      <c r="C23" s="346"/>
      <c r="D23" s="347"/>
      <c r="E23" s="347"/>
      <c r="F23" s="347"/>
      <c r="G23" s="347"/>
      <c r="H23" s="347"/>
      <c r="I23" s="347"/>
      <c r="J23" s="347"/>
    </row>
    <row r="24" spans="1:11" x14ac:dyDescent="0.2">
      <c r="A24" s="43" t="s">
        <v>303</v>
      </c>
      <c r="D24" s="77">
        <v>2006</v>
      </c>
      <c r="E24" s="77">
        <v>2007</v>
      </c>
      <c r="F24" s="77">
        <v>2008</v>
      </c>
      <c r="G24" s="77">
        <v>2009</v>
      </c>
      <c r="H24" s="77">
        <v>2010</v>
      </c>
    </row>
    <row r="25" spans="1:11" x14ac:dyDescent="0.2">
      <c r="A25" s="409" t="s">
        <v>300</v>
      </c>
      <c r="D25" s="307"/>
      <c r="E25" s="275"/>
      <c r="F25" s="275"/>
      <c r="G25" s="275"/>
      <c r="H25" s="275"/>
    </row>
    <row r="26" spans="1:11" x14ac:dyDescent="0.2">
      <c r="A26" s="85" t="s">
        <v>301</v>
      </c>
      <c r="D26" s="275">
        <f>-IF('Data 2006-08'!D184&gt;0,0,'Data 2006-08'!D184/'Data 2006-08'!D185/10^3)</f>
        <v>1879.5424646844892</v>
      </c>
      <c r="E26" s="275">
        <f>-IF('Data 2006-08'!E184&gt;0,0,'Data 2006-08'!E184/'Data 2006-08'!E185/10^3)</f>
        <v>2303.6763203551163</v>
      </c>
      <c r="F26" s="275">
        <f>-IF('Data 2006-08'!F184&gt;0,0,'Data 2006-08'!F184/'Data 2006-08'!F185/10^3)</f>
        <v>5951.8362304357488</v>
      </c>
      <c r="G26" s="275">
        <f>-IF('Data 2006-08'!G184&gt;0,0,'Data 2006-08'!G184/'Data 2006-08'!G185/10^3)</f>
        <v>8805.3311717149263</v>
      </c>
      <c r="H26" s="275">
        <f>-IF('Data 2006-08'!H184&gt;0,0,'Data 2006-08'!H184/'Data 2006-08'!H185/10^3)</f>
        <v>8358.3469318160987</v>
      </c>
    </row>
    <row r="27" spans="1:11" x14ac:dyDescent="0.2">
      <c r="A27" s="84" t="s">
        <v>131</v>
      </c>
      <c r="D27" s="275">
        <f>D26*'Data 2006-08'!$C$169/(1-'Data 2006-08'!$C$169*(1-'Data 2006-08'!$C$170))</f>
        <v>663.36792871217256</v>
      </c>
      <c r="E27" s="275">
        <f>E26*'Data 2006-08'!$C$169/(1-'Data 2006-08'!$C$169*(1-'Data 2006-08'!$C$170))</f>
        <v>813.06223071357044</v>
      </c>
      <c r="F27" s="275">
        <f>F26*'Data 2006-08'!$C$169/(1-'Data 2006-08'!$C$169*(1-'Data 2006-08'!$C$170))</f>
        <v>2100.6480813302642</v>
      </c>
      <c r="G27" s="275">
        <f>G26*'Data 2006-08'!$C$169/(1-'Data 2006-08'!$C$169*(1-'Data 2006-08'!$C$170))</f>
        <v>3107.7639429582091</v>
      </c>
      <c r="H27" s="275">
        <f>H26*'Data 2006-08'!$C$169/(1-'Data 2006-08'!$C$169*(1-'Data 2006-08'!$C$170))</f>
        <v>2950.0047994645051</v>
      </c>
    </row>
    <row r="28" spans="1:11" x14ac:dyDescent="0.2">
      <c r="A28" s="279" t="s">
        <v>132</v>
      </c>
      <c r="D28" s="275">
        <f>D27*'Data 2006-08'!$C$170</f>
        <v>331.68396435608628</v>
      </c>
      <c r="E28" s="275">
        <f>E27*'Data 2006-08'!$C$170</f>
        <v>406.53111535678522</v>
      </c>
      <c r="F28" s="275">
        <f>F27*'Data 2006-08'!$C$170</f>
        <v>1050.3240406651321</v>
      </c>
      <c r="G28" s="275">
        <f>G27*'Data 2006-08'!$C$170</f>
        <v>1553.8819714791045</v>
      </c>
      <c r="H28" s="275">
        <f>H27*'Data 2006-08'!$C$170</f>
        <v>1475.0023997322526</v>
      </c>
    </row>
    <row r="29" spans="1:11" ht="13.5" thickBot="1" x14ac:dyDescent="0.25">
      <c r="A29" s="57" t="s">
        <v>302</v>
      </c>
      <c r="D29" s="419">
        <f>D27-D28</f>
        <v>331.68396435608628</v>
      </c>
      <c r="E29" s="419">
        <f>E27-E28</f>
        <v>406.53111535678522</v>
      </c>
      <c r="F29" s="419">
        <f>F27-F28</f>
        <v>1050.3240406651321</v>
      </c>
      <c r="G29" s="419">
        <f>G27-G28</f>
        <v>1553.8819714791045</v>
      </c>
      <c r="H29" s="419">
        <f>H27-H28</f>
        <v>1475.0023997322526</v>
      </c>
    </row>
    <row r="30" spans="1:11" ht="13.5" thickTop="1" x14ac:dyDescent="0.2">
      <c r="D30" s="275"/>
      <c r="E30" s="275"/>
      <c r="F30" s="275"/>
      <c r="G30" s="275"/>
      <c r="H30" s="275"/>
    </row>
    <row r="31" spans="1:11" x14ac:dyDescent="0.2">
      <c r="A31" s="57" t="s">
        <v>302</v>
      </c>
      <c r="D31" s="275"/>
      <c r="E31" s="275"/>
      <c r="F31" s="275"/>
      <c r="G31" s="275"/>
      <c r="H31" s="275"/>
    </row>
    <row r="32" spans="1:11" x14ac:dyDescent="0.2">
      <c r="A32" s="409" t="s">
        <v>289</v>
      </c>
      <c r="D32" s="381">
        <f>D29*'Data 2006-08'!$B$156</f>
        <v>370.19758442558248</v>
      </c>
      <c r="E32" s="381">
        <f>E29*'Data 2006-08'!$B$156</f>
        <v>453.73564317794597</v>
      </c>
      <c r="F32" s="381">
        <f>F29*'Data 2006-08'!$B$156</f>
        <v>1172.2828490463751</v>
      </c>
      <c r="G32" s="381">
        <f>G29*'Data 2006-08'!$B$156</f>
        <v>1734.3116163025047</v>
      </c>
      <c r="H32" s="381">
        <f>H29*'Data 2006-08'!$B$156</f>
        <v>1646.2729106089739</v>
      </c>
    </row>
    <row r="33" spans="1:11" x14ac:dyDescent="0.2">
      <c r="D33" s="275"/>
      <c r="E33" s="275"/>
      <c r="F33" s="275"/>
      <c r="G33" s="275"/>
      <c r="H33" s="275"/>
    </row>
    <row r="34" spans="1:11" x14ac:dyDescent="0.2">
      <c r="D34" s="275"/>
      <c r="E34" s="275"/>
      <c r="F34" s="275"/>
      <c r="G34" s="275"/>
      <c r="H34" s="275"/>
    </row>
    <row r="35" spans="1:11" x14ac:dyDescent="0.2">
      <c r="A35" s="57" t="s">
        <v>302</v>
      </c>
      <c r="D35" s="77">
        <v>2006</v>
      </c>
      <c r="E35" s="77">
        <v>2007</v>
      </c>
      <c r="F35" s="77">
        <v>2008</v>
      </c>
      <c r="G35" s="77">
        <v>2009</v>
      </c>
      <c r="H35" s="77">
        <v>2010</v>
      </c>
    </row>
    <row r="36" spans="1:11" x14ac:dyDescent="0.2">
      <c r="A36" s="409" t="s">
        <v>297</v>
      </c>
      <c r="D36" s="275">
        <f>D32/'Data 2006-08'!D156</f>
        <v>349.65698705518452</v>
      </c>
      <c r="E36" s="275">
        <f>E32/'Data 2006-08'!E156</f>
        <v>445.43908980331764</v>
      </c>
      <c r="F36" s="275">
        <f>F32/'Data 2006-08'!F156</f>
        <v>1172.2828490463751</v>
      </c>
      <c r="G36" s="275">
        <f>G32*'Data 2009-15 (Real $2008)'!D145</f>
        <v>1820.6991432179509</v>
      </c>
      <c r="H36" s="275">
        <f>H32*'Data 2009-15 (Real $2008)'!E145</f>
        <v>1750.0732202312292</v>
      </c>
    </row>
    <row r="37" spans="1:11" x14ac:dyDescent="0.2">
      <c r="D37" s="275"/>
      <c r="E37" s="275"/>
      <c r="F37" s="275"/>
      <c r="G37" s="275"/>
      <c r="H37" s="275"/>
    </row>
    <row r="38" spans="1:11" ht="13.5" thickBot="1" x14ac:dyDescent="0.25">
      <c r="A38" s="535"/>
      <c r="B38" s="535"/>
      <c r="C38" s="535"/>
      <c r="D38" s="536"/>
      <c r="E38" s="536"/>
      <c r="F38" s="536"/>
      <c r="G38" s="536"/>
      <c r="H38" s="536"/>
      <c r="I38" s="535"/>
      <c r="J38" s="535"/>
      <c r="K38" s="535"/>
    </row>
    <row r="39" spans="1:11" x14ac:dyDescent="0.2">
      <c r="D39" s="275"/>
      <c r="E39" s="275"/>
      <c r="F39" s="275"/>
      <c r="G39" s="275"/>
      <c r="H39" s="275"/>
    </row>
    <row r="40" spans="1:11" x14ac:dyDescent="0.2">
      <c r="A40" s="43" t="s">
        <v>304</v>
      </c>
      <c r="D40" s="77">
        <v>2006</v>
      </c>
      <c r="E40" s="77">
        <v>2007</v>
      </c>
      <c r="F40" s="77">
        <v>2008</v>
      </c>
      <c r="G40" s="77">
        <v>2009</v>
      </c>
      <c r="H40" s="77">
        <v>2010</v>
      </c>
      <c r="I40" s="77">
        <v>2011</v>
      </c>
      <c r="J40" s="77">
        <v>2012</v>
      </c>
      <c r="K40" s="77">
        <v>2013</v>
      </c>
    </row>
    <row r="41" spans="1:11" x14ac:dyDescent="0.2">
      <c r="A41" s="409" t="s">
        <v>289</v>
      </c>
      <c r="D41" s="275"/>
      <c r="E41" s="275"/>
      <c r="F41" s="275"/>
      <c r="G41" s="275"/>
      <c r="H41" s="275"/>
    </row>
    <row r="42" spans="1:11" x14ac:dyDescent="0.2">
      <c r="A42" s="344" t="s">
        <v>349</v>
      </c>
    </row>
    <row r="43" spans="1:11" x14ac:dyDescent="0.2">
      <c r="A43" s="280" t="s">
        <v>310</v>
      </c>
      <c r="D43" s="275">
        <f>'Data 2006-08'!D205*'Data 2006-08'!D59*'Data 2006-08'!$B$156/10^3</f>
        <v>1367.5373417519515</v>
      </c>
      <c r="E43" s="275">
        <f>'Data 2006-08'!E205*'Data 2006-08'!E59*'Data 2006-08'!$B$156/10^3</f>
        <v>1381.2579427349694</v>
      </c>
      <c r="F43" s="275">
        <f>'Data 2006-08'!F205*'Data 2006-08'!F59*'Data 2006-08'!$B$156/10^3</f>
        <v>1404.3837707168586</v>
      </c>
      <c r="G43" s="275"/>
      <c r="H43" s="275"/>
    </row>
    <row r="44" spans="1:11" x14ac:dyDescent="0.2">
      <c r="A44" s="84" t="s">
        <v>24</v>
      </c>
      <c r="D44" s="275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9000.9730359012447</v>
      </c>
      <c r="E44" s="275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9124.0625310463529</v>
      </c>
      <c r="F44" s="275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9307.6149385631816</v>
      </c>
    </row>
    <row r="45" spans="1:11" x14ac:dyDescent="0.2">
      <c r="A45" s="84" t="s">
        <v>262</v>
      </c>
      <c r="D45" s="275">
        <f>'Data 2006-08'!D213*'Data 2006-08'!D69*'Data 2006-08'!$B$156/10^3</f>
        <v>191.0412337790288</v>
      </c>
      <c r="E45" s="275">
        <f>'Data 2006-08'!E213*'Data 2006-08'!E69*'Data 2006-08'!$B$156/10^3</f>
        <v>146.13041087261078</v>
      </c>
      <c r="F45" s="275">
        <f>'Data 2006-08'!F213*'Data 2006-08'!F69*'Data 2006-08'!$B$156/10^3</f>
        <v>205.69166480831188</v>
      </c>
    </row>
    <row r="46" spans="1:11" x14ac:dyDescent="0.2">
      <c r="D46" s="389">
        <f>SUM(D43:D45)</f>
        <v>10559.551611432225</v>
      </c>
      <c r="E46" s="389">
        <f>SUM(E43:E45)</f>
        <v>10651.450884653934</v>
      </c>
      <c r="F46" s="389">
        <f>SUM(F43:F45)</f>
        <v>10917.690374088352</v>
      </c>
    </row>
    <row r="48" spans="1:11" x14ac:dyDescent="0.2">
      <c r="A48" s="344" t="s">
        <v>311</v>
      </c>
    </row>
    <row r="49" spans="1:11" x14ac:dyDescent="0.2">
      <c r="A49" s="280" t="s">
        <v>310</v>
      </c>
      <c r="D49" s="347">
        <f>'Data 2006-08'!D40*'Data 2006-08'!D156/10^3</f>
        <v>208.32472662510011</v>
      </c>
      <c r="E49" s="347">
        <f>'Data 2006-08'!E40*'Data 2006-08'!E156/10^3</f>
        <v>527.28554690044962</v>
      </c>
      <c r="F49" s="347">
        <f>'Data 2006-08'!F40*'Data 2006-08'!F156/10^3</f>
        <v>490.54503440000002</v>
      </c>
    </row>
    <row r="50" spans="1:11" x14ac:dyDescent="0.2">
      <c r="A50" s="84" t="s">
        <v>24</v>
      </c>
      <c r="D50" s="347">
        <f>'Data 2006-08'!D45*'Data 2006-08'!D156/10^3</f>
        <v>8866.053440244068</v>
      </c>
      <c r="E50" s="347">
        <f>'Data 2006-08'!E45*'Data 2006-08'!E156/10^3</f>
        <v>7541.651379073468</v>
      </c>
      <c r="F50" s="347">
        <f>'Data 2006-08'!F45*'Data 2006-08'!F156/10^3</f>
        <v>9000.5523345711281</v>
      </c>
    </row>
    <row r="51" spans="1:11" x14ac:dyDescent="0.2">
      <c r="A51" s="84" t="s">
        <v>262</v>
      </c>
      <c r="D51" s="347">
        <f>'Data 2006-08'!D46*'Data 2006-08'!D156/10^3</f>
        <v>191.0412337790288</v>
      </c>
      <c r="E51" s="347">
        <f>'Data 2006-08'!E46*'Data 2006-08'!E156/10^3</f>
        <v>146.13041087261078</v>
      </c>
      <c r="F51" s="347">
        <f>'Data 2006-08'!F46*'Data 2006-08'!F156/10^3</f>
        <v>205.69166480831188</v>
      </c>
    </row>
    <row r="52" spans="1:11" x14ac:dyDescent="0.2">
      <c r="D52" s="389">
        <f>SUM(D49:D51)</f>
        <v>9265.4194006481976</v>
      </c>
      <c r="E52" s="389">
        <f>SUM(E49:E51)</f>
        <v>8215.0673368465286</v>
      </c>
      <c r="F52" s="389">
        <f>SUM(F49:F51)</f>
        <v>9696.7890337794397</v>
      </c>
    </row>
    <row r="54" spans="1:11" x14ac:dyDescent="0.2">
      <c r="A54" s="57" t="s">
        <v>353</v>
      </c>
      <c r="D54" s="347">
        <f>D46-D52</f>
        <v>1294.1322107840278</v>
      </c>
      <c r="E54" s="347">
        <f>E46-E52</f>
        <v>2436.3835478074052</v>
      </c>
      <c r="F54" s="347">
        <f>F46-F52</f>
        <v>1220.901340308912</v>
      </c>
    </row>
    <row r="55" spans="1:11" x14ac:dyDescent="0.2">
      <c r="A55" s="57" t="s">
        <v>312</v>
      </c>
      <c r="D55" s="347">
        <f>D54</f>
        <v>1294.1322107840278</v>
      </c>
      <c r="E55" s="347">
        <f>E54-D54</f>
        <v>1142.2513370233773</v>
      </c>
      <c r="F55" s="347">
        <f>F54-E54</f>
        <v>-1215.4822074984932</v>
      </c>
    </row>
    <row r="57" spans="1:11" x14ac:dyDescent="0.2">
      <c r="A57" s="344" t="s">
        <v>313</v>
      </c>
    </row>
    <row r="58" spans="1:11" x14ac:dyDescent="0.2">
      <c r="A58" s="283">
        <v>2006</v>
      </c>
      <c r="D58" s="347">
        <f t="shared" ref="D58:I58" si="3">$D55</f>
        <v>1294.1322107840278</v>
      </c>
      <c r="E58" s="347">
        <f t="shared" si="3"/>
        <v>1294.1322107840278</v>
      </c>
      <c r="F58" s="347">
        <f t="shared" si="3"/>
        <v>1294.1322107840278</v>
      </c>
      <c r="G58" s="347">
        <f t="shared" si="3"/>
        <v>1294.1322107840278</v>
      </c>
      <c r="H58" s="347">
        <f t="shared" si="3"/>
        <v>1294.1322107840278</v>
      </c>
      <c r="I58" s="347">
        <f t="shared" si="3"/>
        <v>1294.1322107840278</v>
      </c>
    </row>
    <row r="59" spans="1:11" x14ac:dyDescent="0.2">
      <c r="A59" s="283">
        <v>2007</v>
      </c>
      <c r="E59" s="347">
        <f t="shared" ref="E59:J59" si="4">$E55</f>
        <v>1142.2513370233773</v>
      </c>
      <c r="F59" s="347">
        <f t="shared" si="4"/>
        <v>1142.2513370233773</v>
      </c>
      <c r="G59" s="347">
        <f t="shared" si="4"/>
        <v>1142.2513370233773</v>
      </c>
      <c r="H59" s="347">
        <f t="shared" si="4"/>
        <v>1142.2513370233773</v>
      </c>
      <c r="I59" s="347">
        <f t="shared" si="4"/>
        <v>1142.2513370233773</v>
      </c>
      <c r="J59" s="347">
        <f t="shared" si="4"/>
        <v>1142.2513370233773</v>
      </c>
    </row>
    <row r="60" spans="1:11" x14ac:dyDescent="0.2">
      <c r="A60" s="283">
        <v>2008</v>
      </c>
      <c r="F60" s="347">
        <f t="shared" ref="F60:K60" si="5">$F55</f>
        <v>-1215.4822074984932</v>
      </c>
      <c r="G60" s="347">
        <f t="shared" si="5"/>
        <v>-1215.4822074984932</v>
      </c>
      <c r="H60" s="347">
        <f t="shared" si="5"/>
        <v>-1215.4822074984932</v>
      </c>
      <c r="I60" s="347">
        <f t="shared" si="5"/>
        <v>-1215.4822074984932</v>
      </c>
      <c r="J60" s="347">
        <f t="shared" si="5"/>
        <v>-1215.4822074984932</v>
      </c>
      <c r="K60" s="347">
        <f t="shared" si="5"/>
        <v>-1215.4822074984932</v>
      </c>
    </row>
    <row r="61" spans="1:11" ht="13.5" thickBot="1" x14ac:dyDescent="0.25">
      <c r="D61" s="432">
        <f>SUM(D58:D60)</f>
        <v>1294.1322107840278</v>
      </c>
      <c r="E61" s="432">
        <f t="shared" ref="E61:K61" si="6">SUM(E58:E60)</f>
        <v>2436.3835478074052</v>
      </c>
      <c r="F61" s="432">
        <f t="shared" si="6"/>
        <v>1220.901340308912</v>
      </c>
      <c r="G61" s="432">
        <f t="shared" si="6"/>
        <v>1220.901340308912</v>
      </c>
      <c r="H61" s="432">
        <f t="shared" si="6"/>
        <v>1220.901340308912</v>
      </c>
      <c r="I61" s="432">
        <f t="shared" si="6"/>
        <v>1220.901340308912</v>
      </c>
      <c r="J61" s="432">
        <f t="shared" si="6"/>
        <v>-73.230870475115807</v>
      </c>
      <c r="K61" s="432">
        <f t="shared" si="6"/>
        <v>-1215.4822074984932</v>
      </c>
    </row>
    <row r="62" spans="1:11" ht="13.5" thickTop="1" x14ac:dyDescent="0.2"/>
    <row r="64" spans="1:11" x14ac:dyDescent="0.2">
      <c r="A64" s="448" t="s">
        <v>304</v>
      </c>
      <c r="D64" s="77">
        <v>2006</v>
      </c>
      <c r="E64" s="77">
        <v>2007</v>
      </c>
      <c r="F64" s="77">
        <v>2008</v>
      </c>
      <c r="G64" s="77">
        <v>2009</v>
      </c>
      <c r="H64" s="77">
        <v>2010</v>
      </c>
      <c r="I64" s="77">
        <v>2011</v>
      </c>
      <c r="J64" s="77">
        <v>2012</v>
      </c>
      <c r="K64" s="77">
        <v>2013</v>
      </c>
    </row>
    <row r="65" spans="1:18" x14ac:dyDescent="0.2">
      <c r="A65" s="409" t="s">
        <v>297</v>
      </c>
      <c r="D65" s="347">
        <f>D61/'Data 2006-08'!D156</f>
        <v>1222.326640450488</v>
      </c>
      <c r="E65" s="347">
        <f>E61/'Data 2006-08'!E156</f>
        <v>2391.8342899975596</v>
      </c>
      <c r="F65" s="347">
        <f>F61/'Data 2006-08'!F156</f>
        <v>1220.901340308912</v>
      </c>
      <c r="G65" s="347">
        <f>G61*'Data 2009-15 (Real $2008)'!D145</f>
        <v>1281.7154676004657</v>
      </c>
      <c r="H65" s="347">
        <f>H61*'Data 2009-15 (Real $2008)'!E145</f>
        <v>1297.8812482729038</v>
      </c>
      <c r="I65" s="347">
        <f>I61*'Data 2009-15 (Real $2008)'!F145</f>
        <v>1334.0618050159803</v>
      </c>
      <c r="J65" s="347">
        <f>J61*'Data 2009-15 (Real $2008)'!F145*(1+J4)</f>
        <v>-82.83491906201624</v>
      </c>
      <c r="K65" s="347">
        <f>K61*'Data 2009-15 (Real $2008)'!F145*(1+J4)*(1+K4)</f>
        <v>-1402.4426101236761</v>
      </c>
    </row>
    <row r="66" spans="1:18" x14ac:dyDescent="0.2">
      <c r="D66" s="347"/>
      <c r="E66" s="347"/>
      <c r="F66" s="347"/>
      <c r="G66" s="347"/>
      <c r="H66" s="347"/>
      <c r="I66" s="347"/>
      <c r="J66" s="347"/>
      <c r="K66" s="347"/>
    </row>
    <row r="67" spans="1:18" ht="13.5" thickBot="1" x14ac:dyDescent="0.25">
      <c r="A67" s="535"/>
      <c r="B67" s="535"/>
      <c r="C67" s="535"/>
      <c r="D67" s="535"/>
      <c r="E67" s="535"/>
      <c r="F67" s="535"/>
      <c r="G67" s="535"/>
      <c r="H67" s="535"/>
      <c r="I67" s="535"/>
      <c r="J67" s="535"/>
      <c r="K67" s="535"/>
    </row>
    <row r="69" spans="1:18" x14ac:dyDescent="0.2">
      <c r="A69" s="59" t="s">
        <v>299</v>
      </c>
      <c r="B69" s="346"/>
      <c r="C69" s="346"/>
      <c r="D69" s="348">
        <v>2006</v>
      </c>
      <c r="E69" s="348">
        <v>2007</v>
      </c>
      <c r="F69" s="348">
        <v>2008</v>
      </c>
      <c r="G69" s="347"/>
      <c r="H69" s="347"/>
      <c r="I69" s="347"/>
      <c r="J69" s="347"/>
    </row>
    <row r="70" spans="1:18" x14ac:dyDescent="0.2">
      <c r="A70" s="409" t="s">
        <v>297</v>
      </c>
      <c r="B70" s="346"/>
      <c r="C70" s="346"/>
      <c r="D70" s="347"/>
      <c r="E70" s="347"/>
      <c r="F70" s="347"/>
      <c r="G70" s="347"/>
      <c r="H70" s="347"/>
      <c r="I70" s="347"/>
      <c r="J70" s="347"/>
    </row>
    <row r="71" spans="1:18" x14ac:dyDescent="0.2">
      <c r="A71" s="279" t="s">
        <v>293</v>
      </c>
      <c r="B71" s="356"/>
      <c r="C71" s="356"/>
      <c r="D71" s="275">
        <f>-'Data 2006-08'!D75/10^3</f>
        <v>-18927.872469999998</v>
      </c>
      <c r="E71" s="275">
        <f>-'Data 2006-08'!E75/10^3</f>
        <v>-24234.061212000001</v>
      </c>
      <c r="F71" s="275">
        <f>-'Data 2006-08'!F75/10^3</f>
        <v>-29871.505958270402</v>
      </c>
      <c r="G71" s="347"/>
      <c r="H71" s="347"/>
      <c r="I71" s="347"/>
      <c r="J71" s="347"/>
    </row>
    <row r="72" spans="1:18" s="356" customFormat="1" x14ac:dyDescent="0.2">
      <c r="A72" s="424" t="s">
        <v>295</v>
      </c>
      <c r="D72" s="275">
        <f>D84/'Data 2006-08'!D156</f>
        <v>12530.902078273881</v>
      </c>
      <c r="E72" s="275">
        <f>E84/'Data 2006-08'!E156</f>
        <v>14181.308592141277</v>
      </c>
      <c r="F72" s="275">
        <f>F84/'Data 2006-08'!F156</f>
        <v>17308.483669411889</v>
      </c>
    </row>
    <row r="73" spans="1:18" s="356" customFormat="1" ht="13.5" thickBot="1" x14ac:dyDescent="0.25">
      <c r="A73" s="356" t="s">
        <v>298</v>
      </c>
      <c r="D73" s="419">
        <f>SUM(D71:D72)</f>
        <v>-6396.9703917261177</v>
      </c>
      <c r="E73" s="419">
        <f>SUM(E71:E72)</f>
        <v>-10052.752619858724</v>
      </c>
      <c r="F73" s="419">
        <f>SUM(F71:F72)</f>
        <v>-12563.022288858512</v>
      </c>
    </row>
    <row r="74" spans="1:18" s="356" customFormat="1" ht="13.5" thickTop="1" x14ac:dyDescent="0.2">
      <c r="D74" s="349"/>
      <c r="E74" s="349"/>
      <c r="F74" s="349"/>
    </row>
    <row r="75" spans="1:18" s="279" customFormat="1" x14ac:dyDescent="0.2">
      <c r="A75" s="353"/>
      <c r="B75" s="353"/>
      <c r="C75" s="353"/>
      <c r="D75" s="352"/>
      <c r="E75" s="352"/>
      <c r="F75" s="352"/>
      <c r="G75" s="351"/>
      <c r="H75" s="351"/>
      <c r="I75" s="280"/>
    </row>
    <row r="76" spans="1:18" s="279" customFormat="1" x14ac:dyDescent="0.2">
      <c r="A76" s="57"/>
      <c r="B76" s="57"/>
      <c r="C76" s="57"/>
      <c r="D76" s="351"/>
      <c r="E76" s="351"/>
      <c r="F76" s="351"/>
      <c r="G76" s="351"/>
      <c r="H76" s="351"/>
      <c r="I76" s="280"/>
    </row>
    <row r="77" spans="1:18" s="279" customFormat="1" x14ac:dyDescent="0.2">
      <c r="A77" s="57"/>
      <c r="B77" s="57"/>
      <c r="C77" s="57"/>
      <c r="D77" s="351"/>
      <c r="E77" s="351"/>
      <c r="F77" s="351"/>
      <c r="G77" s="351"/>
      <c r="H77" s="351"/>
    </row>
    <row r="78" spans="1:18" x14ac:dyDescent="0.2">
      <c r="A78" s="355" t="s">
        <v>295</v>
      </c>
      <c r="B78" s="279"/>
      <c r="C78" s="279"/>
    </row>
    <row r="79" spans="1:18" x14ac:dyDescent="0.2">
      <c r="A79" s="409" t="s">
        <v>289</v>
      </c>
      <c r="B79" s="356"/>
      <c r="C79" s="356"/>
      <c r="D79" s="391">
        <v>2006</v>
      </c>
      <c r="E79" s="391">
        <v>2007</v>
      </c>
      <c r="F79" s="391">
        <v>2008</v>
      </c>
      <c r="G79" s="364"/>
      <c r="H79" s="364"/>
      <c r="I79" s="358"/>
      <c r="J79" s="358"/>
      <c r="L79" s="359"/>
      <c r="M79" s="359"/>
      <c r="N79" s="359"/>
      <c r="O79" s="359"/>
      <c r="P79" s="359"/>
      <c r="Q79" s="279"/>
      <c r="R79" s="279"/>
    </row>
    <row r="80" spans="1:18" x14ac:dyDescent="0.2">
      <c r="A80" s="360" t="s">
        <v>136</v>
      </c>
      <c r="B80" s="356"/>
      <c r="C80" s="356"/>
      <c r="D80" s="275">
        <f>D185*'Data 2006-08'!$C$141</f>
        <v>223.7352470483215</v>
      </c>
      <c r="E80" s="275">
        <f>E185*'Data 2006-08'!$C$141</f>
        <v>627.82235864528229</v>
      </c>
      <c r="F80" s="275">
        <f>F185*'Data 2006-08'!$C$141</f>
        <v>1024.7352924917773</v>
      </c>
      <c r="G80" s="364"/>
      <c r="H80" s="364"/>
      <c r="I80" s="361"/>
      <c r="J80" s="361"/>
      <c r="L80" s="362"/>
      <c r="M80" s="362"/>
      <c r="N80" s="362"/>
      <c r="O80" s="362"/>
      <c r="P80" s="362"/>
      <c r="Q80" s="363"/>
      <c r="R80" s="363"/>
    </row>
    <row r="81" spans="1:18" x14ac:dyDescent="0.2">
      <c r="A81" s="360" t="s">
        <v>137</v>
      </c>
      <c r="B81" s="356"/>
      <c r="C81" s="356"/>
      <c r="D81" s="275">
        <f>D182</f>
        <v>383.18626658401672</v>
      </c>
      <c r="E81" s="275">
        <f>E182</f>
        <v>995.13320422596303</v>
      </c>
      <c r="F81" s="275">
        <f>F182</f>
        <v>1505.5315747393101</v>
      </c>
      <c r="G81" s="364"/>
      <c r="H81" s="364"/>
      <c r="I81" s="364"/>
      <c r="J81" s="364"/>
      <c r="L81" s="362"/>
      <c r="M81" s="362"/>
      <c r="N81" s="362"/>
      <c r="O81" s="362"/>
      <c r="P81" s="362"/>
      <c r="Q81" s="363"/>
      <c r="R81" s="363"/>
    </row>
    <row r="82" spans="1:18" x14ac:dyDescent="0.2">
      <c r="A82" s="360" t="s">
        <v>138</v>
      </c>
      <c r="B82" s="356"/>
      <c r="C82" s="356"/>
      <c r="D82" s="275">
        <f>'Data 2006-08'!D50*'Data 2006-08'!D$156/10^3</f>
        <v>11435.460800813244</v>
      </c>
      <c r="E82" s="275">
        <f>'Data 2006-08'!E50*'Data 2006-08'!E$156/10^3</f>
        <v>11176.50804956506</v>
      </c>
      <c r="F82" s="275">
        <f>'Data 2006-08'!F50*'Data 2006-08'!F$156/10^3</f>
        <v>12791.149054054895</v>
      </c>
      <c r="G82" s="364"/>
      <c r="H82" s="364"/>
      <c r="I82" s="364"/>
      <c r="J82" s="364"/>
      <c r="L82" s="362"/>
      <c r="M82" s="362"/>
      <c r="N82" s="362"/>
      <c r="O82" s="362"/>
      <c r="P82" s="362"/>
      <c r="Q82" s="363"/>
      <c r="R82" s="363"/>
    </row>
    <row r="83" spans="1:18" x14ac:dyDescent="0.2">
      <c r="A83" s="365" t="s">
        <v>294</v>
      </c>
      <c r="B83" s="280"/>
      <c r="C83" s="356"/>
      <c r="D83" s="275">
        <f>D114</f>
        <v>1224.6475227656142</v>
      </c>
      <c r="E83" s="275">
        <f>E114</f>
        <v>1645.9798218193566</v>
      </c>
      <c r="F83" s="275">
        <f>F114</f>
        <v>1987.0677481259083</v>
      </c>
      <c r="G83" s="364"/>
      <c r="H83" s="364"/>
      <c r="I83" s="364"/>
      <c r="J83" s="364"/>
      <c r="L83" s="362"/>
      <c r="M83" s="362"/>
      <c r="N83" s="362"/>
      <c r="O83" s="362"/>
      <c r="P83" s="362"/>
      <c r="Q83" s="363"/>
      <c r="R83" s="363"/>
    </row>
    <row r="84" spans="1:18" ht="13.5" thickBot="1" x14ac:dyDescent="0.25">
      <c r="A84" s="357"/>
      <c r="B84" s="366"/>
      <c r="C84" s="356"/>
      <c r="D84" s="420">
        <f>SUM(D80:D83)</f>
        <v>13267.029837211196</v>
      </c>
      <c r="E84" s="420">
        <f>SUM(E80:E83)</f>
        <v>14445.443434255663</v>
      </c>
      <c r="F84" s="420">
        <f>SUM(F80:F83)</f>
        <v>17308.483669411889</v>
      </c>
      <c r="G84" s="364"/>
      <c r="H84" s="364"/>
      <c r="I84" s="367"/>
      <c r="J84" s="367"/>
      <c r="L84" s="362"/>
      <c r="M84" s="362"/>
      <c r="N84" s="362"/>
      <c r="O84" s="362"/>
      <c r="P84" s="362"/>
      <c r="Q84" s="363"/>
      <c r="R84" s="363"/>
    </row>
    <row r="85" spans="1:18" s="280" customFormat="1" ht="13.5" thickTop="1" x14ac:dyDescent="0.2">
      <c r="A85" s="368"/>
      <c r="B85" s="369"/>
      <c r="D85" s="370"/>
      <c r="E85" s="370"/>
      <c r="F85" s="370"/>
      <c r="G85" s="370"/>
      <c r="H85" s="370"/>
      <c r="I85" s="370"/>
      <c r="J85" s="370"/>
    </row>
    <row r="86" spans="1:18" s="280" customFormat="1" x14ac:dyDescent="0.2">
      <c r="A86" s="354"/>
      <c r="B86" s="354"/>
      <c r="C86" s="354"/>
      <c r="D86" s="371"/>
      <c r="E86" s="371"/>
      <c r="F86" s="371"/>
      <c r="I86" s="364"/>
      <c r="J86" s="364"/>
    </row>
    <row r="87" spans="1:18" s="279" customFormat="1" x14ac:dyDescent="0.2">
      <c r="C87" s="356"/>
      <c r="G87" s="280"/>
      <c r="H87" s="280"/>
    </row>
    <row r="88" spans="1:18" s="279" customFormat="1" x14ac:dyDescent="0.2">
      <c r="A88" s="278" t="s">
        <v>140</v>
      </c>
      <c r="C88" s="356"/>
      <c r="G88" s="280"/>
      <c r="H88" s="280"/>
    </row>
    <row r="89" spans="1:18" s="279" customFormat="1" x14ac:dyDescent="0.2">
      <c r="C89" s="356"/>
      <c r="D89" s="372">
        <v>2006</v>
      </c>
      <c r="E89" s="372">
        <v>2007</v>
      </c>
      <c r="F89" s="372">
        <v>2008</v>
      </c>
      <c r="I89" s="373"/>
      <c r="J89" s="373"/>
    </row>
    <row r="90" spans="1:18" s="279" customFormat="1" x14ac:dyDescent="0.2">
      <c r="A90" s="279" t="s">
        <v>84</v>
      </c>
      <c r="C90" s="356"/>
      <c r="D90" s="425">
        <f>('Data 2006-08'!$C$138+1)*('Data 2006-08'!D155+1)-1</f>
        <v>7.2141471801925761E-2</v>
      </c>
      <c r="E90" s="425">
        <f>('Data 2006-08'!$C$138+1)*('Data 2006-08'!E155+1)-1</f>
        <v>8.1636882510013331E-2</v>
      </c>
      <c r="F90" s="425">
        <f>('Data 2006-08'!$C$138+1)*('Data 2006-08'!F155+1)-1</f>
        <v>6.0032691072575695E-2</v>
      </c>
      <c r="I90" s="373"/>
      <c r="J90" s="373"/>
    </row>
    <row r="91" spans="1:18" s="279" customFormat="1" x14ac:dyDescent="0.2">
      <c r="A91" s="280" t="str">
        <f>"Average RAB "&amp;A79&amp;""</f>
        <v>Average RAB ($000 Real 2008)</v>
      </c>
      <c r="D91" s="275">
        <f>D185</f>
        <v>3792.1228313274833</v>
      </c>
      <c r="E91" s="275">
        <f>E185</f>
        <v>10641.056926191226</v>
      </c>
      <c r="F91" s="275">
        <f>F185</f>
        <v>17368.394787996225</v>
      </c>
      <c r="I91" s="375"/>
      <c r="J91" s="375"/>
    </row>
    <row r="92" spans="1:18" s="279" customFormat="1" x14ac:dyDescent="0.2">
      <c r="A92" s="280" t="str">
        <f>"Debt ("&amp;D96*100&amp;"% of RAB)"</f>
        <v>Debt (60% of RAB)</v>
      </c>
      <c r="D92" s="275">
        <f>$D$96*D91</f>
        <v>2275.27369879649</v>
      </c>
      <c r="E92" s="275">
        <f>$D$96*E91</f>
        <v>6384.6341557147352</v>
      </c>
      <c r="F92" s="275">
        <f>$D$96*F91</f>
        <v>10421.036872797735</v>
      </c>
      <c r="I92" s="375"/>
      <c r="J92" s="375"/>
    </row>
    <row r="93" spans="1:18" s="279" customFormat="1" x14ac:dyDescent="0.2">
      <c r="A93" s="279" t="s">
        <v>147</v>
      </c>
      <c r="D93" s="377">
        <f>1/'Data 2006-08'!D156</f>
        <v>0.94451450189155128</v>
      </c>
      <c r="E93" s="377">
        <f>1/'Data 2006-08'!E156</f>
        <v>0.98171500630517017</v>
      </c>
      <c r="F93" s="377">
        <f>1/'Data 2006-08'!F156</f>
        <v>1</v>
      </c>
      <c r="I93" s="378"/>
      <c r="J93" s="378"/>
    </row>
    <row r="94" spans="1:18" s="279" customFormat="1" x14ac:dyDescent="0.2">
      <c r="D94" s="319"/>
      <c r="I94" s="280"/>
      <c r="J94" s="280"/>
    </row>
    <row r="95" spans="1:18" s="279" customFormat="1" x14ac:dyDescent="0.2">
      <c r="A95" s="280" t="s">
        <v>142</v>
      </c>
      <c r="D95" s="416">
        <f>'Data 2006-08'!C169</f>
        <v>0.3</v>
      </c>
      <c r="I95" s="280"/>
      <c r="J95" s="280"/>
    </row>
    <row r="96" spans="1:18" s="279" customFormat="1" x14ac:dyDescent="0.2">
      <c r="A96" s="280" t="s">
        <v>141</v>
      </c>
      <c r="D96" s="417">
        <f>'Data 2006-08'!C171</f>
        <v>0.6</v>
      </c>
      <c r="I96" s="280"/>
      <c r="J96" s="280"/>
    </row>
    <row r="97" spans="1:10" s="279" customFormat="1" x14ac:dyDescent="0.2">
      <c r="A97" s="279" t="s">
        <v>17</v>
      </c>
      <c r="D97" s="415">
        <f>'Data 2006-08'!C170</f>
        <v>0.5</v>
      </c>
      <c r="I97" s="280"/>
      <c r="J97" s="280"/>
    </row>
    <row r="98" spans="1:10" s="279" customFormat="1" x14ac:dyDescent="0.2">
      <c r="I98" s="280"/>
      <c r="J98" s="280"/>
    </row>
    <row r="99" spans="1:10" s="279" customFormat="1" x14ac:dyDescent="0.2">
      <c r="A99" s="278" t="s">
        <v>346</v>
      </c>
      <c r="D99" s="372">
        <v>2006</v>
      </c>
      <c r="E99" s="372">
        <v>2007</v>
      </c>
      <c r="F99" s="372">
        <v>2008</v>
      </c>
      <c r="G99" s="280"/>
      <c r="H99" s="280"/>
      <c r="I99" s="280"/>
      <c r="J99" s="373"/>
    </row>
    <row r="100" spans="1:10" s="279" customFormat="1" x14ac:dyDescent="0.2">
      <c r="A100" s="279" t="s">
        <v>293</v>
      </c>
      <c r="D100" s="275">
        <f>'Data 2006-08'!D75/10^3</f>
        <v>18927.872469999998</v>
      </c>
      <c r="E100" s="275">
        <f>'Data 2006-08'!E75/10^3</f>
        <v>24234.061212000001</v>
      </c>
      <c r="F100" s="275">
        <f>'Data 2006-08'!F75/10^3</f>
        <v>29871.505958270402</v>
      </c>
      <c r="G100" s="280"/>
      <c r="H100" s="275"/>
      <c r="I100" s="275"/>
      <c r="J100" s="275"/>
    </row>
    <row r="101" spans="1:10" s="279" customFormat="1" x14ac:dyDescent="0.2">
      <c r="A101" s="279" t="s">
        <v>4</v>
      </c>
      <c r="D101" s="275">
        <f>'Data 2006-08'!D28/10^3</f>
        <v>0</v>
      </c>
      <c r="E101" s="275">
        <f>'Data 2006-08'!E28/10^3</f>
        <v>0</v>
      </c>
      <c r="F101" s="275">
        <f>'Data 2006-08'!F28/10^3</f>
        <v>0</v>
      </c>
      <c r="G101" s="280"/>
      <c r="H101" s="275"/>
      <c r="I101" s="275"/>
      <c r="J101" s="275"/>
    </row>
    <row r="102" spans="1:10" s="279" customFormat="1" x14ac:dyDescent="0.2">
      <c r="A102" s="279" t="s">
        <v>126</v>
      </c>
      <c r="D102" s="275">
        <f>'Data 2006-08'!D50/10^3</f>
        <v>10800.95856218048</v>
      </c>
      <c r="E102" s="275">
        <f>'Data 2006-08'!E50/10^3</f>
        <v>10972.145670348547</v>
      </c>
      <c r="F102" s="275">
        <f>'Data 2006-08'!F50/10^3</f>
        <v>12791.149054054895</v>
      </c>
      <c r="G102" s="280"/>
      <c r="H102" s="275"/>
      <c r="I102" s="275"/>
      <c r="J102" s="275"/>
    </row>
    <row r="103" spans="1:10" s="279" customFormat="1" x14ac:dyDescent="0.2">
      <c r="A103" s="279" t="s">
        <v>127</v>
      </c>
      <c r="D103" s="275">
        <f>D278</f>
        <v>1417.2615044117647</v>
      </c>
      <c r="E103" s="275">
        <f>E278</f>
        <v>3593.5535975199987</v>
      </c>
      <c r="F103" s="275">
        <f>F278</f>
        <v>5194.7034442614386</v>
      </c>
      <c r="G103" s="280"/>
      <c r="H103" s="275"/>
      <c r="I103" s="275"/>
      <c r="J103" s="275"/>
    </row>
    <row r="104" spans="1:10" s="279" customFormat="1" x14ac:dyDescent="0.2">
      <c r="A104" s="279" t="s">
        <v>128</v>
      </c>
      <c r="D104" s="275">
        <f>D92*D93*D90</f>
        <v>155.03411531419843</v>
      </c>
      <c r="E104" s="275">
        <f>E92*E93*E90</f>
        <v>511.69109424987681</v>
      </c>
      <c r="F104" s="275">
        <f>F92*F93*F90</f>
        <v>625.60288724058671</v>
      </c>
      <c r="G104" s="280"/>
      <c r="H104" s="275"/>
      <c r="I104" s="275"/>
      <c r="J104" s="275"/>
    </row>
    <row r="105" spans="1:10" s="279" customFormat="1" x14ac:dyDescent="0.2">
      <c r="A105" s="279" t="s">
        <v>129</v>
      </c>
      <c r="D105" s="275">
        <v>0</v>
      </c>
      <c r="E105" s="275">
        <f>IF(D106&lt;0,-D106,0)</f>
        <v>0</v>
      </c>
      <c r="F105" s="275">
        <f>IF(E106&lt;0,-E106,0)</f>
        <v>0</v>
      </c>
      <c r="G105" s="280"/>
      <c r="H105" s="275"/>
      <c r="I105" s="275"/>
      <c r="J105" s="275"/>
    </row>
    <row r="106" spans="1:10" s="279" customFormat="1" x14ac:dyDescent="0.2">
      <c r="A106" s="279" t="s">
        <v>151</v>
      </c>
      <c r="D106" s="275">
        <f>SUM(D100:D101)-SUM(D102:D105)</f>
        <v>6554.6182880935557</v>
      </c>
      <c r="E106" s="275">
        <f>SUM(E100:E101)-SUM(E102:E105)</f>
        <v>9156.6708498815788</v>
      </c>
      <c r="F106" s="275">
        <f>SUM(F100:F101)-SUM(F102:F105)</f>
        <v>11260.050572713481</v>
      </c>
      <c r="G106" s="280"/>
      <c r="H106" s="275"/>
      <c r="I106" s="275"/>
      <c r="J106" s="275"/>
    </row>
    <row r="107" spans="1:10" s="279" customFormat="1" x14ac:dyDescent="0.2">
      <c r="A107" s="279" t="s">
        <v>152</v>
      </c>
      <c r="D107" s="275">
        <f>IF(D106&lt;0,0,D106*$D$95/(1-$D$95*(1-$D$97)))</f>
        <v>2313.3946899153725</v>
      </c>
      <c r="E107" s="275">
        <f>IF(E106&lt;0,0,E106*$D$95/(1-$D$95*(1-$D$97)))</f>
        <v>3231.7661823111453</v>
      </c>
      <c r="F107" s="275">
        <f>IF(F106&lt;0,0,F106*$D$95/(1-$D$95*(1-$D$97)))</f>
        <v>3974.1354962518167</v>
      </c>
      <c r="G107" s="280"/>
      <c r="H107" s="275"/>
      <c r="I107" s="275"/>
      <c r="J107" s="275"/>
    </row>
    <row r="108" spans="1:10" s="279" customFormat="1" x14ac:dyDescent="0.2">
      <c r="A108" s="279" t="s">
        <v>132</v>
      </c>
      <c r="D108" s="275">
        <f>D107*$D$97</f>
        <v>1156.6973449576863</v>
      </c>
      <c r="E108" s="275">
        <f>E107*$D$97</f>
        <v>1615.8830911555726</v>
      </c>
      <c r="F108" s="275">
        <f>F107*$D$97</f>
        <v>1987.0677481259083</v>
      </c>
      <c r="G108" s="280"/>
      <c r="H108" s="275"/>
      <c r="I108" s="275"/>
      <c r="J108" s="275"/>
    </row>
    <row r="109" spans="1:10" s="279" customFormat="1" x14ac:dyDescent="0.2">
      <c r="A109" s="279" t="s">
        <v>347</v>
      </c>
      <c r="D109" s="418">
        <f>D107-D108</f>
        <v>1156.6973449576863</v>
      </c>
      <c r="E109" s="418">
        <f>E107-E108</f>
        <v>1615.8830911555726</v>
      </c>
      <c r="F109" s="418">
        <f>F107-F108</f>
        <v>1987.0677481259083</v>
      </c>
      <c r="G109" s="280"/>
      <c r="H109" s="280"/>
      <c r="I109" s="280"/>
      <c r="J109" s="379"/>
    </row>
    <row r="110" spans="1:10" s="279" customFormat="1" x14ac:dyDescent="0.2">
      <c r="G110" s="280"/>
      <c r="H110" s="280"/>
      <c r="I110" s="280"/>
      <c r="J110" s="280"/>
    </row>
    <row r="111" spans="1:10" s="279" customFormat="1" x14ac:dyDescent="0.2">
      <c r="A111" s="346" t="str">
        <f>$A$79</f>
        <v>($000 Real 2008)</v>
      </c>
      <c r="D111" s="372">
        <v>2006</v>
      </c>
      <c r="E111" s="372">
        <v>2007</v>
      </c>
      <c r="F111" s="372">
        <v>2008</v>
      </c>
      <c r="G111" s="280"/>
      <c r="H111" s="280"/>
      <c r="I111" s="280"/>
      <c r="J111" s="373"/>
    </row>
    <row r="112" spans="1:10" s="279" customFormat="1" x14ac:dyDescent="0.2">
      <c r="A112" s="279" t="s">
        <v>152</v>
      </c>
      <c r="D112" s="275">
        <f t="shared" ref="D112:F113" si="7">D107/D$93</f>
        <v>2449.2950455312284</v>
      </c>
      <c r="E112" s="275">
        <f t="shared" si="7"/>
        <v>3291.9596436387133</v>
      </c>
      <c r="F112" s="275">
        <f t="shared" si="7"/>
        <v>3974.1354962518167</v>
      </c>
      <c r="G112" s="280"/>
      <c r="H112" s="280"/>
      <c r="I112" s="280"/>
      <c r="J112" s="376"/>
    </row>
    <row r="113" spans="1:10" s="279" customFormat="1" x14ac:dyDescent="0.2">
      <c r="A113" s="279" t="s">
        <v>132</v>
      </c>
      <c r="D113" s="275">
        <f t="shared" si="7"/>
        <v>1224.6475227656142</v>
      </c>
      <c r="E113" s="275">
        <f t="shared" si="7"/>
        <v>1645.9798218193566</v>
      </c>
      <c r="F113" s="275">
        <f t="shared" si="7"/>
        <v>1987.0677481259083</v>
      </c>
      <c r="G113" s="280"/>
      <c r="H113" s="280"/>
      <c r="I113" s="280"/>
      <c r="J113" s="376"/>
    </row>
    <row r="114" spans="1:10" s="279" customFormat="1" x14ac:dyDescent="0.2">
      <c r="A114" s="279" t="str">
        <f>"Tax liability  "&amp;A79&amp;""</f>
        <v>Tax liability  ($000 Real 2008)</v>
      </c>
      <c r="D114" s="418">
        <f>D112-D113</f>
        <v>1224.6475227656142</v>
      </c>
      <c r="E114" s="418">
        <f>E112-E113</f>
        <v>1645.9798218193566</v>
      </c>
      <c r="F114" s="418">
        <f>F112-F113</f>
        <v>1987.0677481259083</v>
      </c>
      <c r="G114" s="280"/>
      <c r="H114" s="280"/>
      <c r="I114" s="280"/>
      <c r="J114" s="379"/>
    </row>
    <row r="115" spans="1:10" s="279" customFormat="1" x14ac:dyDescent="0.2">
      <c r="D115" s="319"/>
      <c r="E115" s="319"/>
      <c r="F115" s="319"/>
      <c r="G115" s="280"/>
      <c r="H115" s="280"/>
      <c r="I115" s="280"/>
      <c r="J115" s="378"/>
    </row>
    <row r="116" spans="1:10" x14ac:dyDescent="0.2">
      <c r="A116" s="353"/>
      <c r="B116" s="353"/>
      <c r="C116" s="353"/>
      <c r="D116" s="353"/>
      <c r="E116" s="353"/>
      <c r="F116" s="353"/>
      <c r="G116" s="280"/>
      <c r="H116" s="280"/>
      <c r="I116" s="280"/>
      <c r="J116" s="280"/>
    </row>
    <row r="117" spans="1:10" x14ac:dyDescent="0.2">
      <c r="G117" s="356"/>
      <c r="H117" s="356"/>
      <c r="I117" s="280"/>
      <c r="J117" s="280"/>
    </row>
    <row r="118" spans="1:10" x14ac:dyDescent="0.2">
      <c r="A118" s="268"/>
      <c r="B118" s="278"/>
      <c r="C118" s="278"/>
      <c r="D118" s="347"/>
      <c r="E118" s="347"/>
      <c r="F118" s="347"/>
      <c r="G118" s="387"/>
      <c r="H118" s="387"/>
      <c r="I118" s="275"/>
      <c r="J118" s="275"/>
    </row>
    <row r="119" spans="1:10" x14ac:dyDescent="0.2">
      <c r="A119" s="264" t="s">
        <v>163</v>
      </c>
      <c r="G119" s="356"/>
      <c r="H119" s="356"/>
      <c r="I119" s="280"/>
      <c r="J119" s="280"/>
    </row>
    <row r="120" spans="1:10" x14ac:dyDescent="0.2">
      <c r="A120" s="346" t="str">
        <f>$A$79</f>
        <v>($000 Real 2008)</v>
      </c>
      <c r="B120" s="267"/>
      <c r="D120" s="348">
        <v>2006</v>
      </c>
      <c r="E120" s="348">
        <v>2007</v>
      </c>
      <c r="F120" s="348">
        <v>2008</v>
      </c>
      <c r="G120" s="267"/>
      <c r="H120" s="267"/>
      <c r="I120" s="267"/>
      <c r="J120" s="267"/>
    </row>
    <row r="121" spans="1:10" x14ac:dyDescent="0.2">
      <c r="A121" s="356"/>
      <c r="B121" s="292"/>
      <c r="D121" s="346"/>
      <c r="E121" s="346"/>
      <c r="F121" s="346"/>
      <c r="G121" s="267"/>
      <c r="H121" s="267"/>
      <c r="I121" s="280"/>
      <c r="J121" s="280"/>
    </row>
    <row r="122" spans="1:10" x14ac:dyDescent="0.2">
      <c r="A122" s="84" t="s">
        <v>261</v>
      </c>
      <c r="B122" s="384"/>
      <c r="D122" s="275">
        <f>'Data 2006-08'!D10*'Data 2006-08'!D$156/10^3</f>
        <v>4113.0824272363143</v>
      </c>
      <c r="E122" s="275">
        <f>'Data 2006-08'!E10*'Data 2006-08'!E$156/10^3</f>
        <v>3801.2189652818615</v>
      </c>
      <c r="F122" s="275">
        <f>'Data 2006-08'!F10*'Data 2006-08'!F$156/10^3</f>
        <v>4655.6600456358174</v>
      </c>
      <c r="G122" s="275"/>
      <c r="H122" s="275"/>
      <c r="I122" s="290"/>
      <c r="J122" s="290"/>
    </row>
    <row r="123" spans="1:10" x14ac:dyDescent="0.2">
      <c r="A123" s="84" t="s">
        <v>260</v>
      </c>
      <c r="B123" s="384"/>
      <c r="D123" s="275">
        <f>'Data 2006-08'!D11*'Data 2006-08'!D$156/10^3</f>
        <v>1220.1400801068089</v>
      </c>
      <c r="E123" s="275">
        <f>'Data 2006-08'!E11*'Data 2006-08'!E$156/10^3</f>
        <v>3125.9226723837523</v>
      </c>
      <c r="F123" s="275">
        <f>'Data 2006-08'!F11*'Data 2006-08'!F$156/10^3</f>
        <v>4079.2840466409739</v>
      </c>
      <c r="G123" s="275"/>
      <c r="H123" s="275"/>
      <c r="I123" s="290"/>
      <c r="J123" s="290"/>
    </row>
    <row r="124" spans="1:10" x14ac:dyDescent="0.2">
      <c r="A124" s="356" t="s">
        <v>4</v>
      </c>
      <c r="B124" s="385"/>
      <c r="D124" s="275">
        <f>'Data 2006-08'!D28*'Data 2006-08'!D$156/10^3</f>
        <v>0</v>
      </c>
      <c r="E124" s="275">
        <f>'Data 2006-08'!E28*'Data 2006-08'!E$156/10^3</f>
        <v>0</v>
      </c>
      <c r="F124" s="275">
        <f>'Data 2006-08'!F28*'Data 2006-08'!F$156/10^3</f>
        <v>0</v>
      </c>
      <c r="G124" s="275"/>
      <c r="H124" s="275"/>
      <c r="I124" s="290"/>
      <c r="J124" s="290"/>
    </row>
    <row r="125" spans="1:10" x14ac:dyDescent="0.2">
      <c r="A125" s="356" t="s">
        <v>290</v>
      </c>
      <c r="B125" s="386"/>
      <c r="D125" s="381">
        <f>D122+D123-D124</f>
        <v>5333.2225073431237</v>
      </c>
      <c r="E125" s="381">
        <f>E122+E123-E124</f>
        <v>6927.1416376656143</v>
      </c>
      <c r="F125" s="381">
        <f>F122+F123-F124</f>
        <v>8734.9440922767917</v>
      </c>
      <c r="G125" s="275"/>
      <c r="H125" s="275"/>
      <c r="I125" s="275"/>
      <c r="J125" s="275"/>
    </row>
    <row r="126" spans="1:10" x14ac:dyDescent="0.2">
      <c r="A126" s="356"/>
      <c r="B126" s="385"/>
      <c r="D126" s="275"/>
      <c r="E126" s="275"/>
      <c r="F126" s="275"/>
      <c r="G126" s="275"/>
      <c r="H126" s="275"/>
      <c r="I126" s="275"/>
      <c r="J126" s="275"/>
    </row>
    <row r="127" spans="1:10" x14ac:dyDescent="0.2">
      <c r="A127" s="84" t="s">
        <v>43</v>
      </c>
      <c r="B127" s="384"/>
      <c r="D127" s="275">
        <f>'Data 2006-08'!D12*'Data 2006-08'!D$156/10^3</f>
        <v>2398.8705260347124</v>
      </c>
      <c r="E127" s="275">
        <f>'Data 2006-08'!E12*'Data 2006-08'!E$156/10^3</f>
        <v>64.866075786767396</v>
      </c>
      <c r="F127" s="275">
        <f>'Data 2006-08'!F12*'Data 2006-08'!F$156/10^3</f>
        <v>111.64067900000009</v>
      </c>
      <c r="G127" s="275"/>
      <c r="H127" s="275"/>
      <c r="I127" s="275"/>
      <c r="J127" s="275"/>
    </row>
    <row r="128" spans="1:10" x14ac:dyDescent="0.2">
      <c r="A128" s="84" t="s">
        <v>44</v>
      </c>
      <c r="B128" s="384"/>
      <c r="D128" s="275">
        <f>'Data 2006-08'!D13*'Data 2006-08'!D$156/10^3</f>
        <v>235.33889586114816</v>
      </c>
      <c r="E128" s="275">
        <f>'Data 2006-08'!E13*'Data 2006-08'!E$156/10^3</f>
        <v>116.74801784610018</v>
      </c>
      <c r="F128" s="275">
        <f>'Data 2006-08'!F13*'Data 2006-08'!F$156/10^3</f>
        <v>0</v>
      </c>
      <c r="G128" s="275"/>
      <c r="H128" s="275"/>
      <c r="I128" s="290"/>
      <c r="J128" s="290"/>
    </row>
    <row r="129" spans="1:10" x14ac:dyDescent="0.2">
      <c r="A129" s="356"/>
      <c r="B129" s="280"/>
      <c r="D129" s="387"/>
      <c r="E129" s="387"/>
      <c r="F129" s="387"/>
      <c r="G129" s="275"/>
      <c r="H129" s="275"/>
      <c r="I129" s="275"/>
      <c r="J129" s="275"/>
    </row>
    <row r="130" spans="1:10" x14ac:dyDescent="0.2">
      <c r="A130" s="356" t="s">
        <v>168</v>
      </c>
      <c r="B130" s="382"/>
      <c r="D130" s="381">
        <f>SUM(D125:D128)</f>
        <v>7967.4319292389846</v>
      </c>
      <c r="E130" s="381">
        <f>SUM(E125:E128)</f>
        <v>7108.7557312984818</v>
      </c>
      <c r="F130" s="381">
        <f>SUM(F125:F128)</f>
        <v>8846.5847712767918</v>
      </c>
      <c r="G130" s="275"/>
      <c r="H130" s="275"/>
      <c r="I130" s="275"/>
      <c r="J130" s="275"/>
    </row>
    <row r="131" spans="1:10" x14ac:dyDescent="0.2">
      <c r="B131" s="292"/>
      <c r="D131" s="380"/>
      <c r="E131" s="380"/>
      <c r="F131" s="380"/>
      <c r="G131" s="275"/>
      <c r="H131" s="275"/>
      <c r="I131" s="280"/>
      <c r="J131" s="280"/>
    </row>
    <row r="132" spans="1:10" x14ac:dyDescent="0.2">
      <c r="A132" s="383"/>
      <c r="B132" s="353"/>
      <c r="C132" s="353"/>
      <c r="D132" s="353"/>
      <c r="E132" s="353"/>
      <c r="F132" s="353"/>
      <c r="G132" s="356"/>
      <c r="H132" s="356"/>
      <c r="I132" s="280"/>
      <c r="J132" s="280"/>
    </row>
    <row r="133" spans="1:10" x14ac:dyDescent="0.2">
      <c r="A133" s="268"/>
      <c r="G133" s="356"/>
      <c r="H133" s="356"/>
      <c r="I133" s="280"/>
      <c r="J133" s="280"/>
    </row>
    <row r="134" spans="1:10" x14ac:dyDescent="0.2">
      <c r="A134" s="268"/>
      <c r="G134" s="356"/>
      <c r="H134" s="356"/>
      <c r="I134" s="280"/>
      <c r="J134" s="280"/>
    </row>
    <row r="135" spans="1:10" x14ac:dyDescent="0.2">
      <c r="A135" s="388" t="s">
        <v>169</v>
      </c>
      <c r="B135" s="279"/>
      <c r="C135" s="279"/>
      <c r="D135" s="279"/>
      <c r="G135" s="356"/>
      <c r="H135" s="356"/>
      <c r="I135" s="280"/>
      <c r="J135" s="280"/>
    </row>
    <row r="136" spans="1:10" x14ac:dyDescent="0.2">
      <c r="A136" s="346" t="str">
        <f>$A$79</f>
        <v>($000 Real 2008)</v>
      </c>
      <c r="B136" s="346"/>
      <c r="C136" s="346"/>
      <c r="D136" s="348">
        <v>2006</v>
      </c>
      <c r="E136" s="348">
        <v>2007</v>
      </c>
      <c r="F136" s="348">
        <v>2008</v>
      </c>
      <c r="G136" s="346"/>
      <c r="H136" s="346"/>
      <c r="I136" s="267"/>
      <c r="J136" s="267"/>
    </row>
    <row r="137" spans="1:10" s="356" customFormat="1" x14ac:dyDescent="0.2">
      <c r="I137" s="280"/>
      <c r="J137" s="280"/>
    </row>
    <row r="138" spans="1:10" x14ac:dyDescent="0.2">
      <c r="A138" s="346" t="s">
        <v>261</v>
      </c>
      <c r="B138" s="356"/>
      <c r="C138" s="356"/>
      <c r="D138" s="356"/>
      <c r="E138" s="356"/>
      <c r="F138" s="356"/>
      <c r="G138" s="356"/>
      <c r="H138" s="356"/>
      <c r="I138" s="280"/>
      <c r="J138" s="280"/>
    </row>
    <row r="139" spans="1:10" x14ac:dyDescent="0.2">
      <c r="A139" s="356" t="s">
        <v>171</v>
      </c>
      <c r="B139" s="280"/>
      <c r="C139" s="280"/>
      <c r="D139" s="290">
        <v>0</v>
      </c>
      <c r="E139" s="387">
        <f>D143</f>
        <v>4054.3241068472239</v>
      </c>
      <c r="F139" s="387">
        <f>E143</f>
        <v>7683.7233032754493</v>
      </c>
      <c r="G139" s="387"/>
      <c r="H139" s="387"/>
      <c r="I139" s="275"/>
      <c r="J139" s="275"/>
    </row>
    <row r="140" spans="1:10" x14ac:dyDescent="0.2">
      <c r="A140" s="356" t="s">
        <v>172</v>
      </c>
      <c r="B140" s="280"/>
      <c r="C140" s="280"/>
      <c r="D140" s="387">
        <f>D122</f>
        <v>4113.0824272363143</v>
      </c>
      <c r="E140" s="387">
        <f>E122</f>
        <v>3801.2189652818615</v>
      </c>
      <c r="F140" s="387">
        <f>F122</f>
        <v>4655.6600456358174</v>
      </c>
      <c r="G140" s="387"/>
      <c r="H140" s="387"/>
      <c r="I140" s="275"/>
      <c r="J140" s="275"/>
    </row>
    <row r="141" spans="1:10" x14ac:dyDescent="0.2">
      <c r="A141" s="57" t="s">
        <v>5</v>
      </c>
      <c r="B141" s="280"/>
      <c r="C141" s="280"/>
      <c r="D141" s="767">
        <v>0</v>
      </c>
      <c r="E141" s="767">
        <v>0</v>
      </c>
      <c r="F141" s="767">
        <v>0</v>
      </c>
      <c r="G141" s="275"/>
      <c r="H141" s="275"/>
      <c r="I141" s="275"/>
      <c r="J141" s="275"/>
    </row>
    <row r="142" spans="1:10" x14ac:dyDescent="0.2">
      <c r="A142" s="57" t="s">
        <v>137</v>
      </c>
      <c r="B142" s="280"/>
      <c r="C142" s="280"/>
      <c r="D142" s="275">
        <f>D211</f>
        <v>58.758320389090201</v>
      </c>
      <c r="E142" s="275">
        <f>E211</f>
        <v>171.81976885363557</v>
      </c>
      <c r="F142" s="275">
        <f>F211</f>
        <v>292.63232615245954</v>
      </c>
      <c r="G142" s="275"/>
      <c r="H142" s="275"/>
      <c r="I142" s="275"/>
      <c r="J142" s="275"/>
    </row>
    <row r="143" spans="1:10" x14ac:dyDescent="0.2">
      <c r="A143" s="356" t="s">
        <v>173</v>
      </c>
      <c r="B143" s="280"/>
      <c r="C143" s="280"/>
      <c r="D143" s="389">
        <f>D139+D140-D141-D142</f>
        <v>4054.3241068472239</v>
      </c>
      <c r="E143" s="389">
        <f>E139+E140-E141-E142</f>
        <v>7683.7233032754493</v>
      </c>
      <c r="F143" s="389">
        <f>F139+F140-F141-F142</f>
        <v>12046.751022758806</v>
      </c>
      <c r="G143" s="275"/>
      <c r="H143" s="275"/>
      <c r="I143" s="275"/>
      <c r="J143" s="275"/>
    </row>
    <row r="144" spans="1:10" x14ac:dyDescent="0.2">
      <c r="A144" s="356"/>
      <c r="B144" s="280"/>
      <c r="C144" s="280"/>
      <c r="D144" s="387"/>
      <c r="E144" s="387"/>
      <c r="F144" s="387"/>
      <c r="G144" s="275"/>
      <c r="H144" s="275"/>
      <c r="I144" s="275"/>
      <c r="J144" s="275"/>
    </row>
    <row r="145" spans="1:10" x14ac:dyDescent="0.2">
      <c r="A145" s="356" t="s">
        <v>174</v>
      </c>
      <c r="B145" s="280"/>
      <c r="C145" s="280"/>
      <c r="D145" s="387">
        <f>(D143+D139)/2</f>
        <v>2027.162053423612</v>
      </c>
      <c r="E145" s="387">
        <f>(E143+E139)/2</f>
        <v>5869.0237050613368</v>
      </c>
      <c r="F145" s="387">
        <f>(F143+F139)/2</f>
        <v>9865.2371630171274</v>
      </c>
      <c r="G145" s="275"/>
      <c r="H145" s="275"/>
      <c r="I145" s="275"/>
      <c r="J145" s="275"/>
    </row>
    <row r="146" spans="1:10" x14ac:dyDescent="0.2">
      <c r="A146" s="356"/>
      <c r="B146" s="356"/>
      <c r="C146" s="356"/>
      <c r="D146" s="356"/>
      <c r="E146" s="356"/>
      <c r="F146" s="356"/>
      <c r="G146" s="280"/>
      <c r="H146" s="280"/>
      <c r="I146" s="280"/>
      <c r="J146" s="280"/>
    </row>
    <row r="147" spans="1:10" x14ac:dyDescent="0.2">
      <c r="A147" s="356"/>
      <c r="B147" s="356"/>
      <c r="C147" s="356"/>
      <c r="D147" s="356"/>
      <c r="E147" s="356"/>
      <c r="F147" s="356"/>
      <c r="G147" s="280"/>
      <c r="H147" s="280"/>
      <c r="I147" s="280"/>
      <c r="J147" s="280"/>
    </row>
    <row r="148" spans="1:10" x14ac:dyDescent="0.2">
      <c r="A148" s="346" t="s">
        <v>260</v>
      </c>
      <c r="B148" s="356"/>
      <c r="C148" s="356"/>
      <c r="D148" s="356"/>
      <c r="E148" s="356"/>
      <c r="F148" s="356"/>
      <c r="G148" s="280"/>
      <c r="H148" s="280"/>
      <c r="I148" s="280"/>
      <c r="J148" s="280"/>
    </row>
    <row r="149" spans="1:10" x14ac:dyDescent="0.2">
      <c r="A149" s="356" t="s">
        <v>171</v>
      </c>
      <c r="B149" s="280"/>
      <c r="C149" s="280"/>
      <c r="D149" s="290">
        <v>0</v>
      </c>
      <c r="E149" s="387">
        <f>D153</f>
        <v>1159.1330761014685</v>
      </c>
      <c r="F149" s="387">
        <f>E153</f>
        <v>4006.745606855352</v>
      </c>
      <c r="G149" s="275"/>
      <c r="H149" s="275"/>
      <c r="I149" s="275"/>
      <c r="J149" s="275"/>
    </row>
    <row r="150" spans="1:10" x14ac:dyDescent="0.2">
      <c r="A150" s="356" t="s">
        <v>172</v>
      </c>
      <c r="B150" s="280"/>
      <c r="C150" s="280"/>
      <c r="D150" s="387">
        <f>D123-D124</f>
        <v>1220.1400801068089</v>
      </c>
      <c r="E150" s="387">
        <f>E123-E124</f>
        <v>3125.9226723837523</v>
      </c>
      <c r="F150" s="387">
        <f>F123-F124</f>
        <v>4079.2840466409739</v>
      </c>
      <c r="G150" s="275"/>
      <c r="H150" s="275"/>
      <c r="I150" s="275"/>
      <c r="J150" s="275"/>
    </row>
    <row r="151" spans="1:10" x14ac:dyDescent="0.2">
      <c r="A151" s="57" t="s">
        <v>5</v>
      </c>
      <c r="B151" s="280"/>
      <c r="C151" s="280"/>
      <c r="D151" s="275">
        <f>'Data 2006-08'!D29*'Data 2006-08'!D$156/10^3</f>
        <v>0</v>
      </c>
      <c r="E151" s="275">
        <f>'Data 2006-08'!E29*'Data 2006-08'!E$156/10^3</f>
        <v>0</v>
      </c>
      <c r="F151" s="275">
        <f>'Data 2006-08'!F29*'Data 2006-08'!F$156/10^3</f>
        <v>0</v>
      </c>
      <c r="G151" s="275"/>
      <c r="H151" s="275"/>
      <c r="I151" s="275"/>
      <c r="J151" s="275"/>
    </row>
    <row r="152" spans="1:10" x14ac:dyDescent="0.2">
      <c r="A152" s="57" t="s">
        <v>137</v>
      </c>
      <c r="B152" s="280"/>
      <c r="C152" s="280"/>
      <c r="D152" s="275">
        <f>D219</f>
        <v>61.007004005340448</v>
      </c>
      <c r="E152" s="275">
        <f>E219</f>
        <v>278.31014162986855</v>
      </c>
      <c r="F152" s="275">
        <f>F219</f>
        <v>638.5704775811048</v>
      </c>
      <c r="G152" s="275"/>
      <c r="H152" s="275"/>
      <c r="I152" s="275"/>
      <c r="J152" s="275"/>
    </row>
    <row r="153" spans="1:10" x14ac:dyDescent="0.2">
      <c r="A153" s="356" t="s">
        <v>173</v>
      </c>
      <c r="B153" s="280"/>
      <c r="C153" s="280"/>
      <c r="D153" s="389">
        <f>D149+D150-D151-D152</f>
        <v>1159.1330761014685</v>
      </c>
      <c r="E153" s="389">
        <f>E149+E150-E151-E152</f>
        <v>4006.745606855352</v>
      </c>
      <c r="F153" s="389">
        <f>F149+F150-F151-F152</f>
        <v>7447.4591759152208</v>
      </c>
      <c r="G153" s="275"/>
      <c r="H153" s="275"/>
      <c r="I153" s="275"/>
      <c r="J153" s="275"/>
    </row>
    <row r="154" spans="1:10" x14ac:dyDescent="0.2">
      <c r="A154" s="356"/>
      <c r="B154" s="280"/>
      <c r="C154" s="280"/>
      <c r="D154" s="387"/>
      <c r="E154" s="387"/>
      <c r="F154" s="387"/>
      <c r="G154" s="275"/>
      <c r="H154" s="275"/>
      <c r="I154" s="275"/>
      <c r="J154" s="275"/>
    </row>
    <row r="155" spans="1:10" x14ac:dyDescent="0.2">
      <c r="A155" s="356" t="s">
        <v>174</v>
      </c>
      <c r="B155" s="280"/>
      <c r="C155" s="280"/>
      <c r="D155" s="387">
        <f>(D153+D149)/2</f>
        <v>579.56653805073427</v>
      </c>
      <c r="E155" s="387">
        <f>(E153+E149)/2</f>
        <v>2582.9393414784104</v>
      </c>
      <c r="F155" s="387">
        <f>(F153+F149)/2</f>
        <v>5727.102391385286</v>
      </c>
      <c r="G155" s="275"/>
      <c r="H155" s="275"/>
      <c r="I155" s="275"/>
      <c r="J155" s="275"/>
    </row>
    <row r="156" spans="1:10" x14ac:dyDescent="0.2">
      <c r="A156" s="356"/>
      <c r="B156" s="356"/>
      <c r="C156" s="356"/>
      <c r="E156" s="356"/>
      <c r="F156" s="356"/>
      <c r="G156" s="356"/>
      <c r="H156" s="356"/>
      <c r="I156" s="280"/>
      <c r="J156" s="280"/>
    </row>
    <row r="157" spans="1:10" x14ac:dyDescent="0.2">
      <c r="A157" s="356"/>
      <c r="B157" s="356"/>
      <c r="C157" s="356"/>
      <c r="D157" s="356"/>
      <c r="E157" s="356"/>
      <c r="F157" s="356"/>
      <c r="G157" s="356"/>
      <c r="H157" s="356"/>
      <c r="I157" s="280"/>
      <c r="J157" s="280"/>
    </row>
    <row r="158" spans="1:10" x14ac:dyDescent="0.2">
      <c r="A158" s="346" t="s">
        <v>90</v>
      </c>
      <c r="B158" s="356"/>
      <c r="C158" s="356"/>
      <c r="D158" s="356"/>
      <c r="E158" s="356"/>
      <c r="F158" s="356"/>
      <c r="G158" s="275"/>
      <c r="H158" s="275"/>
      <c r="I158" s="280"/>
      <c r="J158" s="280"/>
    </row>
    <row r="159" spans="1:10" x14ac:dyDescent="0.2">
      <c r="A159" s="356" t="s">
        <v>171</v>
      </c>
      <c r="B159" s="275"/>
      <c r="C159" s="275"/>
      <c r="D159" s="290">
        <v>0</v>
      </c>
      <c r="E159" s="387">
        <f>D163</f>
        <v>2158.9834734312412</v>
      </c>
      <c r="F159" s="387">
        <f>E163</f>
        <v>1737.5888364323894</v>
      </c>
      <c r="G159" s="275"/>
      <c r="H159" s="275"/>
      <c r="I159" s="275"/>
      <c r="J159" s="275"/>
    </row>
    <row r="160" spans="1:10" x14ac:dyDescent="0.2">
      <c r="A160" s="356" t="s">
        <v>172</v>
      </c>
      <c r="B160" s="275"/>
      <c r="C160" s="275"/>
      <c r="D160" s="387">
        <f>D127</f>
        <v>2398.8705260347124</v>
      </c>
      <c r="E160" s="387">
        <f>E127</f>
        <v>64.866075786767396</v>
      </c>
      <c r="F160" s="387">
        <f>F127</f>
        <v>111.64067900000009</v>
      </c>
      <c r="G160" s="275"/>
      <c r="H160" s="275"/>
      <c r="I160" s="275"/>
      <c r="J160" s="275"/>
    </row>
    <row r="161" spans="1:10" x14ac:dyDescent="0.2">
      <c r="A161" s="57" t="s">
        <v>5</v>
      </c>
      <c r="B161" s="275"/>
      <c r="C161" s="275"/>
      <c r="D161" s="767">
        <v>0</v>
      </c>
      <c r="E161" s="767">
        <v>0</v>
      </c>
      <c r="F161" s="767">
        <v>0</v>
      </c>
      <c r="G161" s="275"/>
      <c r="H161" s="275"/>
      <c r="I161" s="275"/>
      <c r="J161" s="275"/>
    </row>
    <row r="162" spans="1:10" x14ac:dyDescent="0.2">
      <c r="A162" s="356" t="s">
        <v>176</v>
      </c>
      <c r="B162" s="275"/>
      <c r="C162" s="275"/>
      <c r="D162" s="275">
        <f>D227</f>
        <v>239.88705260347123</v>
      </c>
      <c r="E162" s="275">
        <f>E227</f>
        <v>486.26071278561921</v>
      </c>
      <c r="F162" s="275">
        <f>F227</f>
        <v>503.91138826429597</v>
      </c>
      <c r="G162" s="275"/>
      <c r="H162" s="275"/>
      <c r="I162" s="275"/>
      <c r="J162" s="275"/>
    </row>
    <row r="163" spans="1:10" x14ac:dyDescent="0.2">
      <c r="A163" s="356" t="s">
        <v>173</v>
      </c>
      <c r="B163" s="275"/>
      <c r="C163" s="275"/>
      <c r="D163" s="389">
        <f>D159+D160-D161-D162</f>
        <v>2158.9834734312412</v>
      </c>
      <c r="E163" s="389">
        <f>E159+E160-E161-E162</f>
        <v>1737.5888364323894</v>
      </c>
      <c r="F163" s="389">
        <f>F159+F160-F161-F162</f>
        <v>1345.3181271680935</v>
      </c>
      <c r="G163" s="275"/>
      <c r="H163" s="275"/>
      <c r="I163" s="275"/>
      <c r="J163" s="275"/>
    </row>
    <row r="164" spans="1:10" x14ac:dyDescent="0.2">
      <c r="A164" s="356"/>
      <c r="B164" s="275"/>
      <c r="C164" s="275"/>
      <c r="D164" s="387"/>
      <c r="E164" s="387"/>
      <c r="F164" s="387"/>
      <c r="G164" s="275"/>
      <c r="H164" s="275"/>
      <c r="I164" s="275"/>
      <c r="J164" s="275"/>
    </row>
    <row r="165" spans="1:10" x14ac:dyDescent="0.2">
      <c r="A165" s="356" t="s">
        <v>174</v>
      </c>
      <c r="B165" s="275"/>
      <c r="C165" s="275"/>
      <c r="D165" s="387">
        <f>(D163+D159)/2</f>
        <v>1079.4917367156206</v>
      </c>
      <c r="E165" s="387">
        <f>(E163+E159)/2</f>
        <v>1948.2861549318154</v>
      </c>
      <c r="F165" s="387">
        <f>(F163+F159)/2</f>
        <v>1541.4534818002414</v>
      </c>
      <c r="G165" s="275"/>
      <c r="H165" s="275"/>
      <c r="I165" s="275"/>
      <c r="J165" s="275"/>
    </row>
    <row r="166" spans="1:10" x14ac:dyDescent="0.2">
      <c r="A166" s="356"/>
      <c r="B166" s="356"/>
      <c r="C166" s="356"/>
      <c r="E166" s="356"/>
      <c r="F166" s="356"/>
      <c r="G166" s="275"/>
      <c r="H166" s="275"/>
      <c r="I166" s="280"/>
      <c r="J166" s="280"/>
    </row>
    <row r="167" spans="1:10" x14ac:dyDescent="0.2">
      <c r="A167" s="356"/>
      <c r="B167" s="356"/>
      <c r="C167" s="356"/>
      <c r="D167" s="356"/>
      <c r="E167" s="356"/>
      <c r="F167" s="356"/>
      <c r="G167" s="275"/>
      <c r="H167" s="275"/>
      <c r="I167" s="280"/>
      <c r="J167" s="280"/>
    </row>
    <row r="168" spans="1:10" x14ac:dyDescent="0.2">
      <c r="A168" s="346" t="s">
        <v>167</v>
      </c>
      <c r="B168" s="356"/>
      <c r="C168" s="356"/>
      <c r="D168" s="356"/>
      <c r="E168" s="356"/>
      <c r="F168" s="356"/>
      <c r="G168" s="275"/>
      <c r="H168" s="275"/>
      <c r="I168" s="280"/>
      <c r="J168" s="280"/>
    </row>
    <row r="169" spans="1:10" x14ac:dyDescent="0.2">
      <c r="A169" s="356" t="s">
        <v>171</v>
      </c>
      <c r="B169" s="275"/>
      <c r="C169" s="275"/>
      <c r="D169" s="290">
        <v>0</v>
      </c>
      <c r="E169" s="387">
        <f>D173</f>
        <v>211.80500627503335</v>
      </c>
      <c r="F169" s="387">
        <f>E173</f>
        <v>269.81044316429387</v>
      </c>
      <c r="G169" s="275"/>
      <c r="H169" s="275"/>
      <c r="I169" s="275"/>
      <c r="J169" s="275"/>
    </row>
    <row r="170" spans="1:10" x14ac:dyDescent="0.2">
      <c r="A170" s="356" t="s">
        <v>172</v>
      </c>
      <c r="B170" s="275"/>
      <c r="C170" s="275"/>
      <c r="D170" s="387">
        <f>D128</f>
        <v>235.33889586114816</v>
      </c>
      <c r="E170" s="387">
        <f>E128</f>
        <v>116.74801784610018</v>
      </c>
      <c r="F170" s="387">
        <f>F128</f>
        <v>0</v>
      </c>
      <c r="G170" s="275"/>
      <c r="H170" s="275"/>
      <c r="I170" s="275"/>
      <c r="J170" s="275"/>
    </row>
    <row r="171" spans="1:10" x14ac:dyDescent="0.2">
      <c r="A171" s="57" t="s">
        <v>5</v>
      </c>
      <c r="B171" s="275"/>
      <c r="C171" s="275"/>
      <c r="D171" s="767">
        <v>0</v>
      </c>
      <c r="E171" s="767">
        <v>0</v>
      </c>
      <c r="F171" s="767">
        <v>0</v>
      </c>
      <c r="G171" s="275"/>
      <c r="H171" s="275"/>
      <c r="I171" s="275"/>
      <c r="J171" s="275"/>
    </row>
    <row r="172" spans="1:10" x14ac:dyDescent="0.2">
      <c r="A172" s="356" t="s">
        <v>176</v>
      </c>
      <c r="B172" s="275"/>
      <c r="C172" s="275"/>
      <c r="D172" s="275">
        <f>D235</f>
        <v>23.533889586114817</v>
      </c>
      <c r="E172" s="275">
        <f>E235</f>
        <v>58.742580956839653</v>
      </c>
      <c r="F172" s="275">
        <f>F235</f>
        <v>70.417382741449671</v>
      </c>
      <c r="G172" s="275"/>
      <c r="H172" s="275"/>
      <c r="I172" s="275"/>
      <c r="J172" s="275"/>
    </row>
    <row r="173" spans="1:10" x14ac:dyDescent="0.2">
      <c r="A173" s="356" t="s">
        <v>173</v>
      </c>
      <c r="B173" s="275"/>
      <c r="C173" s="275"/>
      <c r="D173" s="389">
        <f>D169+D170-D171-D172</f>
        <v>211.80500627503335</v>
      </c>
      <c r="E173" s="389">
        <f>E169+E170-E171-E172</f>
        <v>269.81044316429387</v>
      </c>
      <c r="F173" s="389">
        <f>F169+F170-F171-F172</f>
        <v>199.3930604228442</v>
      </c>
      <c r="G173" s="275"/>
      <c r="H173" s="275"/>
      <c r="I173" s="275"/>
      <c r="J173" s="275"/>
    </row>
    <row r="174" spans="1:10" x14ac:dyDescent="0.2">
      <c r="A174" s="356"/>
      <c r="B174" s="275"/>
      <c r="C174" s="275"/>
      <c r="D174" s="387"/>
      <c r="E174" s="387"/>
      <c r="F174" s="387"/>
      <c r="G174" s="275"/>
      <c r="H174" s="275"/>
      <c r="I174" s="275"/>
      <c r="J174" s="275"/>
    </row>
    <row r="175" spans="1:10" x14ac:dyDescent="0.2">
      <c r="A175" s="356" t="s">
        <v>174</v>
      </c>
      <c r="B175" s="275"/>
      <c r="C175" s="275"/>
      <c r="D175" s="387">
        <f>(D173+D169)/2</f>
        <v>105.90250313751667</v>
      </c>
      <c r="E175" s="387">
        <f>(E173+E169)/2</f>
        <v>240.80772471966361</v>
      </c>
      <c r="F175" s="387">
        <f>(F173+F169)/2</f>
        <v>234.60175179356904</v>
      </c>
      <c r="G175" s="275"/>
      <c r="H175" s="275"/>
      <c r="I175" s="275"/>
      <c r="J175" s="275"/>
    </row>
    <row r="176" spans="1:10" x14ac:dyDescent="0.2">
      <c r="A176" s="356"/>
      <c r="B176" s="275"/>
      <c r="C176" s="275"/>
      <c r="D176" s="387"/>
      <c r="E176" s="387"/>
      <c r="F176" s="387"/>
      <c r="G176" s="275"/>
      <c r="H176" s="275"/>
      <c r="I176" s="275"/>
      <c r="J176" s="275"/>
    </row>
    <row r="177" spans="1:10" x14ac:dyDescent="0.2">
      <c r="A177" s="356"/>
      <c r="B177" s="275"/>
      <c r="C177" s="275"/>
      <c r="D177" s="387"/>
      <c r="E177" s="387"/>
      <c r="F177" s="387"/>
      <c r="G177" s="387"/>
      <c r="H177" s="387"/>
      <c r="I177" s="275"/>
      <c r="J177" s="275"/>
    </row>
    <row r="178" spans="1:10" x14ac:dyDescent="0.2">
      <c r="A178" s="346" t="s">
        <v>45</v>
      </c>
      <c r="B178" s="387"/>
      <c r="C178" s="387"/>
      <c r="D178" s="387"/>
      <c r="E178" s="387"/>
      <c r="F178" s="387"/>
      <c r="G178" s="387"/>
      <c r="H178" s="387"/>
      <c r="I178" s="275"/>
      <c r="J178" s="275"/>
    </row>
    <row r="179" spans="1:10" x14ac:dyDescent="0.2">
      <c r="A179" s="356" t="s">
        <v>171</v>
      </c>
      <c r="B179" s="387"/>
      <c r="C179" s="387"/>
      <c r="D179" s="387">
        <f t="shared" ref="D179:F183" si="8">SUM(D139,D149,D159,D169)</f>
        <v>0</v>
      </c>
      <c r="E179" s="387">
        <f t="shared" si="8"/>
        <v>7584.2456626549665</v>
      </c>
      <c r="F179" s="387">
        <f t="shared" si="8"/>
        <v>13697.868189727484</v>
      </c>
      <c r="G179" s="275"/>
      <c r="H179" s="275"/>
      <c r="I179" s="275"/>
      <c r="J179" s="275"/>
    </row>
    <row r="180" spans="1:10" x14ac:dyDescent="0.2">
      <c r="A180" s="356" t="s">
        <v>172</v>
      </c>
      <c r="B180" s="387"/>
      <c r="C180" s="387"/>
      <c r="D180" s="387">
        <f t="shared" si="8"/>
        <v>7967.4319292389846</v>
      </c>
      <c r="E180" s="387">
        <f t="shared" si="8"/>
        <v>7108.7557312984818</v>
      </c>
      <c r="F180" s="387">
        <f t="shared" si="8"/>
        <v>8846.5847712767918</v>
      </c>
      <c r="G180" s="275"/>
      <c r="H180" s="275"/>
      <c r="I180" s="275"/>
      <c r="J180" s="275"/>
    </row>
    <row r="181" spans="1:10" x14ac:dyDescent="0.2">
      <c r="A181" s="356" t="s">
        <v>177</v>
      </c>
      <c r="B181" s="387"/>
      <c r="C181" s="387"/>
      <c r="D181" s="387">
        <f t="shared" si="8"/>
        <v>0</v>
      </c>
      <c r="E181" s="387">
        <f t="shared" si="8"/>
        <v>0</v>
      </c>
      <c r="F181" s="387">
        <f t="shared" si="8"/>
        <v>0</v>
      </c>
      <c r="G181" s="275"/>
      <c r="H181" s="275"/>
      <c r="I181" s="275"/>
      <c r="J181" s="275"/>
    </row>
    <row r="182" spans="1:10" x14ac:dyDescent="0.2">
      <c r="A182" s="356" t="s">
        <v>176</v>
      </c>
      <c r="B182" s="387"/>
      <c r="C182" s="387"/>
      <c r="D182" s="387">
        <f t="shared" si="8"/>
        <v>383.18626658401672</v>
      </c>
      <c r="E182" s="387">
        <f t="shared" si="8"/>
        <v>995.13320422596303</v>
      </c>
      <c r="F182" s="387">
        <f t="shared" si="8"/>
        <v>1505.5315747393101</v>
      </c>
      <c r="G182" s="275"/>
      <c r="H182" s="275"/>
      <c r="I182" s="275"/>
      <c r="J182" s="275"/>
    </row>
    <row r="183" spans="1:10" x14ac:dyDescent="0.2">
      <c r="A183" s="356" t="s">
        <v>173</v>
      </c>
      <c r="B183" s="387"/>
      <c r="C183" s="387"/>
      <c r="D183" s="389">
        <f t="shared" si="8"/>
        <v>7584.2456626549665</v>
      </c>
      <c r="E183" s="389">
        <f t="shared" si="8"/>
        <v>13697.868189727484</v>
      </c>
      <c r="F183" s="389">
        <f t="shared" si="8"/>
        <v>21038.921386264967</v>
      </c>
      <c r="G183" s="275"/>
      <c r="H183" s="275"/>
      <c r="I183" s="275"/>
      <c r="J183" s="275"/>
    </row>
    <row r="184" spans="1:10" x14ac:dyDescent="0.2">
      <c r="A184" s="356"/>
      <c r="B184" s="387"/>
      <c r="C184" s="387"/>
      <c r="D184" s="387"/>
      <c r="E184" s="387"/>
      <c r="F184" s="387"/>
      <c r="G184" s="275"/>
      <c r="H184" s="275"/>
      <c r="I184" s="275"/>
      <c r="J184" s="275"/>
    </row>
    <row r="185" spans="1:10" x14ac:dyDescent="0.2">
      <c r="A185" s="356" t="s">
        <v>174</v>
      </c>
      <c r="B185" s="387"/>
      <c r="C185" s="387"/>
      <c r="D185" s="387">
        <f>SUM(D145,D155,D165,D175)</f>
        <v>3792.1228313274833</v>
      </c>
      <c r="E185" s="387">
        <f>SUM(E145,E155,E165,E175)</f>
        <v>10641.056926191226</v>
      </c>
      <c r="F185" s="387">
        <f>SUM(F145,F155,F165,F175)</f>
        <v>17368.394787996225</v>
      </c>
      <c r="G185" s="275"/>
      <c r="H185" s="275"/>
      <c r="I185" s="275"/>
      <c r="J185" s="275"/>
    </row>
    <row r="186" spans="1:10" x14ac:dyDescent="0.2">
      <c r="D186" s="390"/>
      <c r="E186" s="390"/>
      <c r="F186" s="390"/>
      <c r="G186" s="275"/>
      <c r="H186" s="275"/>
      <c r="I186" s="369"/>
      <c r="J186" s="369"/>
    </row>
    <row r="187" spans="1:10" x14ac:dyDescent="0.2">
      <c r="A187" s="344" t="s">
        <v>291</v>
      </c>
      <c r="G187" s="275"/>
      <c r="H187" s="275"/>
      <c r="I187" s="280"/>
      <c r="J187" s="280"/>
    </row>
    <row r="188" spans="1:10" x14ac:dyDescent="0.2">
      <c r="D188" s="391">
        <v>2006</v>
      </c>
      <c r="E188" s="391">
        <v>2007</v>
      </c>
      <c r="F188" s="391">
        <v>2008</v>
      </c>
      <c r="G188" s="275"/>
      <c r="H188" s="275"/>
      <c r="I188" s="392"/>
      <c r="J188" s="392"/>
    </row>
    <row r="189" spans="1:10" x14ac:dyDescent="0.2">
      <c r="A189" s="343" t="s">
        <v>179</v>
      </c>
      <c r="G189" s="275"/>
      <c r="H189" s="275"/>
      <c r="I189" s="280"/>
      <c r="J189" s="280"/>
    </row>
    <row r="190" spans="1:10" x14ac:dyDescent="0.2">
      <c r="A190" s="84" t="s">
        <v>261</v>
      </c>
      <c r="D190" s="410">
        <f>'Data 2006-08'!$C161</f>
        <v>35</v>
      </c>
      <c r="E190" s="410">
        <f>'Data 2006-08'!$C161</f>
        <v>35</v>
      </c>
      <c r="F190" s="410">
        <f>'Data 2006-08'!$C161</f>
        <v>35</v>
      </c>
      <c r="G190" s="275"/>
      <c r="H190" s="275"/>
      <c r="I190" s="394"/>
      <c r="J190" s="394"/>
    </row>
    <row r="191" spans="1:10" x14ac:dyDescent="0.2">
      <c r="A191" s="84" t="s">
        <v>260</v>
      </c>
      <c r="D191" s="410">
        <f>'Data 2006-08'!$C162</f>
        <v>10</v>
      </c>
      <c r="E191" s="410">
        <f>'Data 2006-08'!$C162</f>
        <v>10</v>
      </c>
      <c r="F191" s="410">
        <f>'Data 2006-08'!$C162</f>
        <v>10</v>
      </c>
      <c r="G191" s="275"/>
      <c r="H191" s="275"/>
      <c r="I191" s="394"/>
      <c r="J191" s="394"/>
    </row>
    <row r="192" spans="1:10" x14ac:dyDescent="0.2">
      <c r="A192" s="84" t="s">
        <v>43</v>
      </c>
      <c r="D192" s="410">
        <f>'Data 2006-08'!$C163</f>
        <v>5</v>
      </c>
      <c r="E192" s="410">
        <f>'Data 2006-08'!$C163</f>
        <v>5</v>
      </c>
      <c r="F192" s="410">
        <f>'Data 2006-08'!$C163</f>
        <v>5</v>
      </c>
      <c r="G192" s="275"/>
      <c r="H192" s="275"/>
      <c r="I192" s="394"/>
      <c r="J192" s="394"/>
    </row>
    <row r="193" spans="1:10" x14ac:dyDescent="0.2">
      <c r="A193" s="84" t="s">
        <v>44</v>
      </c>
      <c r="D193" s="410">
        <f>'Data 2006-08'!$C164</f>
        <v>5</v>
      </c>
      <c r="E193" s="410">
        <f>'Data 2006-08'!$C164</f>
        <v>5</v>
      </c>
      <c r="F193" s="410">
        <f>'Data 2006-08'!$C164</f>
        <v>5</v>
      </c>
      <c r="G193" s="275"/>
      <c r="H193" s="275"/>
      <c r="I193" s="394"/>
      <c r="J193" s="394"/>
    </row>
    <row r="194" spans="1:10" x14ac:dyDescent="0.2">
      <c r="G194" s="275"/>
      <c r="H194" s="275"/>
      <c r="I194" s="280"/>
      <c r="J194" s="280"/>
    </row>
    <row r="195" spans="1:10" s="279" customFormat="1" x14ac:dyDescent="0.2">
      <c r="I195" s="280"/>
      <c r="J195" s="280"/>
    </row>
    <row r="196" spans="1:10" s="365" customFormat="1" x14ac:dyDescent="0.2">
      <c r="A196" s="264" t="s">
        <v>292</v>
      </c>
      <c r="I196" s="395"/>
      <c r="J196" s="395"/>
    </row>
    <row r="197" spans="1:10" s="365" customFormat="1" x14ac:dyDescent="0.2">
      <c r="A197" s="346" t="str">
        <f>$A$79</f>
        <v>($000 Real 2008)</v>
      </c>
      <c r="I197" s="395"/>
      <c r="J197" s="395"/>
    </row>
    <row r="198" spans="1:10" s="365" customFormat="1" x14ac:dyDescent="0.2">
      <c r="A198" s="396" t="s">
        <v>181</v>
      </c>
      <c r="D198" s="397">
        <v>2006</v>
      </c>
      <c r="E198" s="397">
        <v>2007</v>
      </c>
      <c r="F198" s="397">
        <v>2008</v>
      </c>
      <c r="G198" s="394"/>
      <c r="H198" s="394"/>
      <c r="I198" s="392"/>
      <c r="J198" s="392"/>
    </row>
    <row r="199" spans="1:10" s="365" customFormat="1" x14ac:dyDescent="0.2">
      <c r="B199" s="398">
        <v>2006</v>
      </c>
      <c r="D199" s="365">
        <v>0.5</v>
      </c>
      <c r="E199" s="365">
        <v>1.5</v>
      </c>
      <c r="F199" s="365">
        <v>2.5</v>
      </c>
      <c r="G199" s="394"/>
      <c r="H199" s="394"/>
      <c r="I199" s="395"/>
      <c r="J199" s="395"/>
    </row>
    <row r="200" spans="1:10" s="365" customFormat="1" x14ac:dyDescent="0.2">
      <c r="B200" s="398">
        <v>2007</v>
      </c>
      <c r="E200" s="365">
        <v>0.5</v>
      </c>
      <c r="F200" s="365">
        <v>1.5</v>
      </c>
      <c r="G200" s="394"/>
      <c r="H200" s="394"/>
      <c r="I200" s="395"/>
      <c r="J200" s="395"/>
    </row>
    <row r="201" spans="1:10" s="365" customFormat="1" x14ac:dyDescent="0.2">
      <c r="B201" s="398">
        <v>2008</v>
      </c>
      <c r="F201" s="365">
        <v>0.5</v>
      </c>
      <c r="G201" s="394"/>
      <c r="H201" s="394"/>
      <c r="I201" s="395"/>
      <c r="J201" s="395"/>
    </row>
    <row r="202" spans="1:10" s="365" customFormat="1" x14ac:dyDescent="0.2">
      <c r="B202" s="398"/>
      <c r="G202" s="394"/>
      <c r="H202" s="394"/>
      <c r="I202" s="395"/>
      <c r="J202" s="395"/>
    </row>
    <row r="203" spans="1:10" s="365" customFormat="1" x14ac:dyDescent="0.2">
      <c r="B203" s="398"/>
      <c r="G203" s="394"/>
      <c r="H203" s="394"/>
      <c r="I203" s="395"/>
      <c r="J203" s="395"/>
    </row>
    <row r="204" spans="1:10" s="365" customFormat="1" x14ac:dyDescent="0.2">
      <c r="G204" s="394"/>
      <c r="H204" s="394"/>
      <c r="I204" s="395"/>
      <c r="J204" s="395"/>
    </row>
    <row r="205" spans="1:10" s="365" customFormat="1" x14ac:dyDescent="0.2">
      <c r="A205" s="393" t="s">
        <v>170</v>
      </c>
      <c r="C205" s="365" t="s">
        <v>182</v>
      </c>
      <c r="D205" s="397">
        <v>2006</v>
      </c>
      <c r="E205" s="397">
        <v>2007</v>
      </c>
      <c r="F205" s="397">
        <v>2008</v>
      </c>
      <c r="G205" s="394"/>
      <c r="H205" s="394"/>
      <c r="I205" s="392"/>
      <c r="J205" s="392"/>
    </row>
    <row r="206" spans="1:10" s="365" customFormat="1" x14ac:dyDescent="0.2">
      <c r="B206" s="398">
        <v>2006</v>
      </c>
      <c r="C206" s="399">
        <f>D$190</f>
        <v>35</v>
      </c>
      <c r="D206" s="400">
        <f>($D$140*0.5)/$C206</f>
        <v>58.758320389090201</v>
      </c>
      <c r="E206" s="400">
        <f>IF($C206&gt;E$199,$D$140/$C206,IF($C206&lt;=E$199,$D$140-SUM($D206:D206),0))</f>
        <v>117.5166407781804</v>
      </c>
      <c r="F206" s="400">
        <f>IF($C206&gt;F$199,$D$140/$C206,IF($C206&lt;=F$199,$D$140-SUM($D206:E206),0))</f>
        <v>117.5166407781804</v>
      </c>
      <c r="G206" s="394"/>
      <c r="H206" s="394"/>
      <c r="I206" s="401"/>
      <c r="J206" s="401"/>
    </row>
    <row r="207" spans="1:10" s="365" customFormat="1" x14ac:dyDescent="0.2">
      <c r="B207" s="398">
        <v>2007</v>
      </c>
      <c r="C207" s="399">
        <f>E$190</f>
        <v>35</v>
      </c>
      <c r="D207" s="400"/>
      <c r="E207" s="400">
        <f>($E$140*0.5)/$C207</f>
        <v>54.303128075455163</v>
      </c>
      <c r="F207" s="400">
        <f>IF($C207&gt;F$200,$E$140/$C207,IF($C207&lt;=F$200,$E$140-SUM($D207:E207),0))</f>
        <v>108.60625615091033</v>
      </c>
      <c r="G207" s="394"/>
      <c r="H207" s="394"/>
      <c r="I207" s="401"/>
      <c r="J207" s="401"/>
    </row>
    <row r="208" spans="1:10" s="365" customFormat="1" x14ac:dyDescent="0.2">
      <c r="B208" s="398">
        <v>2008</v>
      </c>
      <c r="C208" s="399">
        <f>F$190</f>
        <v>35</v>
      </c>
      <c r="D208" s="400"/>
      <c r="E208" s="400"/>
      <c r="F208" s="400">
        <f>($F$140*0.5)/$C208</f>
        <v>66.509429223368826</v>
      </c>
      <c r="G208" s="394"/>
      <c r="H208" s="394"/>
      <c r="I208" s="401"/>
      <c r="J208" s="401"/>
    </row>
    <row r="209" spans="1:10" s="365" customFormat="1" x14ac:dyDescent="0.2">
      <c r="B209" s="398"/>
      <c r="C209" s="399"/>
      <c r="D209" s="402"/>
      <c r="E209" s="402"/>
      <c r="F209" s="402"/>
      <c r="G209" s="394"/>
      <c r="H209" s="394"/>
      <c r="I209" s="401"/>
      <c r="J209" s="401"/>
    </row>
    <row r="210" spans="1:10" s="365" customFormat="1" x14ac:dyDescent="0.2">
      <c r="B210" s="398"/>
      <c r="C210" s="399"/>
      <c r="D210" s="402"/>
      <c r="E210" s="402"/>
      <c r="F210" s="402"/>
      <c r="G210" s="394"/>
      <c r="H210" s="394"/>
      <c r="I210" s="395"/>
      <c r="J210" s="401"/>
    </row>
    <row r="211" spans="1:10" s="365" customFormat="1" x14ac:dyDescent="0.2">
      <c r="D211" s="403">
        <f>SUM(D206:D210)</f>
        <v>58.758320389090201</v>
      </c>
      <c r="E211" s="403">
        <f>SUM(E206:E210)</f>
        <v>171.81976885363557</v>
      </c>
      <c r="F211" s="403">
        <f>SUM(F206:F210)</f>
        <v>292.63232615245954</v>
      </c>
      <c r="G211" s="394"/>
      <c r="H211" s="394"/>
      <c r="I211" s="401"/>
      <c r="J211" s="401"/>
    </row>
    <row r="212" spans="1:10" s="365" customFormat="1" x14ac:dyDescent="0.2">
      <c r="D212" s="401"/>
      <c r="E212" s="401"/>
      <c r="F212" s="401"/>
      <c r="G212" s="394"/>
      <c r="H212" s="394"/>
      <c r="I212" s="395"/>
      <c r="J212" s="395"/>
    </row>
    <row r="213" spans="1:10" s="365" customFormat="1" x14ac:dyDescent="0.2">
      <c r="A213" s="393" t="s">
        <v>175</v>
      </c>
      <c r="C213" s="365" t="s">
        <v>182</v>
      </c>
      <c r="D213" s="397">
        <v>2006</v>
      </c>
      <c r="E213" s="397">
        <v>2007</v>
      </c>
      <c r="F213" s="397">
        <v>2008</v>
      </c>
      <c r="G213" s="394"/>
      <c r="H213" s="394"/>
      <c r="I213" s="392"/>
      <c r="J213" s="392"/>
    </row>
    <row r="214" spans="1:10" s="365" customFormat="1" x14ac:dyDescent="0.2">
      <c r="B214" s="398">
        <v>2006</v>
      </c>
      <c r="C214" s="399">
        <f>D$191</f>
        <v>10</v>
      </c>
      <c r="D214" s="400">
        <f>(($D$150-$D$151)*0.5)/$C214</f>
        <v>61.007004005340448</v>
      </c>
      <c r="E214" s="400">
        <f>IF($C214&gt;E$199,($D$150-$D$151)/$C214,IF($C214&lt;=E$199,($D$150-$D$151)-SUM($D214:D214),0))</f>
        <v>122.0140080106809</v>
      </c>
      <c r="F214" s="400">
        <f>IF($C214&gt;F$199,($D$150-$D$151)/$C214,IF($C214&lt;=F$199,($D$150-$D$151)-SUM($D214:E214),0))</f>
        <v>122.0140080106809</v>
      </c>
      <c r="G214" s="394"/>
      <c r="H214" s="394"/>
      <c r="I214" s="401"/>
      <c r="J214" s="401"/>
    </row>
    <row r="215" spans="1:10" s="365" customFormat="1" x14ac:dyDescent="0.2">
      <c r="B215" s="398">
        <v>2007</v>
      </c>
      <c r="C215" s="399">
        <f>E$191</f>
        <v>10</v>
      </c>
      <c r="D215" s="400"/>
      <c r="E215" s="400">
        <f>(($E$150-$E$151)*0.5)/$C215</f>
        <v>156.29613361918763</v>
      </c>
      <c r="F215" s="400">
        <f>IF($C215&gt;F$200,($E$150-$E$151)/$C215,IF($C215&lt;=F$200,($E$150-$E$151)-SUM($D215:E215),0))</f>
        <v>312.59226723837526</v>
      </c>
      <c r="G215" s="394"/>
      <c r="H215" s="394"/>
      <c r="I215" s="401"/>
      <c r="J215" s="401"/>
    </row>
    <row r="216" spans="1:10" s="365" customFormat="1" x14ac:dyDescent="0.2">
      <c r="B216" s="398">
        <v>2008</v>
      </c>
      <c r="C216" s="399">
        <f>F$191</f>
        <v>10</v>
      </c>
      <c r="D216" s="400"/>
      <c r="E216" s="400"/>
      <c r="F216" s="400">
        <f>(($F$150-$F$151)*0.5)/$C216</f>
        <v>203.9642023320487</v>
      </c>
      <c r="G216" s="394"/>
      <c r="H216" s="394"/>
      <c r="I216" s="401"/>
      <c r="J216" s="401"/>
    </row>
    <row r="217" spans="1:10" s="365" customFormat="1" x14ac:dyDescent="0.2">
      <c r="B217" s="398"/>
      <c r="C217" s="399"/>
      <c r="D217" s="402"/>
      <c r="E217" s="402"/>
      <c r="F217" s="402"/>
      <c r="G217" s="394"/>
      <c r="H217" s="394"/>
      <c r="I217" s="401"/>
      <c r="J217" s="401"/>
    </row>
    <row r="218" spans="1:10" s="365" customFormat="1" x14ac:dyDescent="0.2">
      <c r="B218" s="398"/>
      <c r="C218" s="399"/>
      <c r="D218" s="402"/>
      <c r="E218" s="402"/>
      <c r="F218" s="402"/>
      <c r="G218" s="394"/>
      <c r="H218" s="394"/>
      <c r="I218" s="395"/>
      <c r="J218" s="401"/>
    </row>
    <row r="219" spans="1:10" s="365" customFormat="1" x14ac:dyDescent="0.2">
      <c r="D219" s="403">
        <f>SUM(D214:D218)</f>
        <v>61.007004005340448</v>
      </c>
      <c r="E219" s="403">
        <f>SUM(E214:E218)</f>
        <v>278.31014162986855</v>
      </c>
      <c r="F219" s="403">
        <f>SUM(F214:F218)</f>
        <v>638.5704775811048</v>
      </c>
      <c r="G219" s="394"/>
      <c r="H219" s="394"/>
      <c r="I219" s="401"/>
      <c r="J219" s="401"/>
    </row>
    <row r="220" spans="1:10" s="365" customFormat="1" x14ac:dyDescent="0.2">
      <c r="G220" s="394"/>
      <c r="H220" s="394"/>
      <c r="I220" s="395"/>
      <c r="J220" s="395"/>
    </row>
    <row r="221" spans="1:10" s="365" customFormat="1" x14ac:dyDescent="0.2">
      <c r="A221" s="380" t="s">
        <v>90</v>
      </c>
      <c r="C221" s="365" t="s">
        <v>182</v>
      </c>
      <c r="D221" s="397">
        <v>2006</v>
      </c>
      <c r="E221" s="397">
        <v>2007</v>
      </c>
      <c r="F221" s="397">
        <v>2008</v>
      </c>
      <c r="G221" s="394"/>
      <c r="H221" s="394"/>
      <c r="I221" s="392"/>
      <c r="J221" s="392"/>
    </row>
    <row r="222" spans="1:10" s="365" customFormat="1" x14ac:dyDescent="0.2">
      <c r="B222" s="398">
        <v>2006</v>
      </c>
      <c r="C222" s="399">
        <f>D$192</f>
        <v>5</v>
      </c>
      <c r="D222" s="400">
        <f>($D$127*0.5)/$C222</f>
        <v>239.88705260347123</v>
      </c>
      <c r="E222" s="400">
        <f>IF($C222&gt;E$199,$D$127/$C222,IF($C222&lt;=E$199,$D$127-SUM($D222:D222),0))</f>
        <v>479.77410520694247</v>
      </c>
      <c r="F222" s="400">
        <f>IF($C222&gt;F$199,$D$127/$C222,IF($C222&lt;=F$199,$D$127-SUM($D222:E222),0))</f>
        <v>479.77410520694247</v>
      </c>
      <c r="G222" s="394"/>
      <c r="H222" s="394"/>
      <c r="I222" s="401"/>
      <c r="J222" s="401"/>
    </row>
    <row r="223" spans="1:10" s="365" customFormat="1" x14ac:dyDescent="0.2">
      <c r="B223" s="398">
        <v>2007</v>
      </c>
      <c r="C223" s="399">
        <f>E$192</f>
        <v>5</v>
      </c>
      <c r="D223" s="400"/>
      <c r="E223" s="400">
        <f>($E$127*0.5)/$C223</f>
        <v>6.4866075786767396</v>
      </c>
      <c r="F223" s="400">
        <f>IF($C223&gt;F$200,$E$127/$C223,IF($C223&lt;=F$200,$E$127-SUM($D223:E223),0))</f>
        <v>12.973215157353479</v>
      </c>
      <c r="G223" s="394"/>
      <c r="H223" s="394"/>
      <c r="I223" s="401"/>
      <c r="J223" s="401"/>
    </row>
    <row r="224" spans="1:10" s="365" customFormat="1" x14ac:dyDescent="0.2">
      <c r="B224" s="398">
        <v>2008</v>
      </c>
      <c r="C224" s="399">
        <f>F$192</f>
        <v>5</v>
      </c>
      <c r="D224" s="400"/>
      <c r="E224" s="400"/>
      <c r="F224" s="400">
        <f>($F$127*0.5)/$C224</f>
        <v>11.16406790000001</v>
      </c>
      <c r="G224" s="394"/>
      <c r="H224" s="394"/>
      <c r="I224" s="401"/>
      <c r="J224" s="401"/>
    </row>
    <row r="225" spans="1:10" s="365" customFormat="1" x14ac:dyDescent="0.2">
      <c r="B225" s="398"/>
      <c r="C225" s="399"/>
      <c r="D225" s="402"/>
      <c r="E225" s="402"/>
      <c r="F225" s="402"/>
      <c r="G225" s="394"/>
      <c r="H225" s="394"/>
      <c r="I225" s="401"/>
      <c r="J225" s="401"/>
    </row>
    <row r="226" spans="1:10" s="365" customFormat="1" x14ac:dyDescent="0.2">
      <c r="B226" s="398"/>
      <c r="C226" s="399"/>
      <c r="D226" s="402"/>
      <c r="E226" s="402"/>
      <c r="F226" s="402"/>
      <c r="G226" s="394"/>
      <c r="H226" s="394"/>
      <c r="I226" s="395"/>
      <c r="J226" s="401"/>
    </row>
    <row r="227" spans="1:10" s="365" customFormat="1" x14ac:dyDescent="0.2">
      <c r="D227" s="403">
        <f>SUM(D222:D226)</f>
        <v>239.88705260347123</v>
      </c>
      <c r="E227" s="403">
        <f>SUM(E222:E226)</f>
        <v>486.26071278561921</v>
      </c>
      <c r="F227" s="403">
        <f>SUM(F222:F226)</f>
        <v>503.91138826429597</v>
      </c>
      <c r="G227" s="394"/>
      <c r="H227" s="394"/>
      <c r="I227" s="401"/>
      <c r="J227" s="401"/>
    </row>
    <row r="228" spans="1:10" s="365" customFormat="1" x14ac:dyDescent="0.2">
      <c r="G228" s="394"/>
      <c r="H228" s="394"/>
      <c r="I228" s="395"/>
      <c r="J228" s="395"/>
    </row>
    <row r="229" spans="1:10" s="365" customFormat="1" x14ac:dyDescent="0.2">
      <c r="A229" s="380" t="s">
        <v>167</v>
      </c>
      <c r="C229" s="365" t="s">
        <v>182</v>
      </c>
      <c r="D229" s="397">
        <v>2006</v>
      </c>
      <c r="E229" s="397">
        <v>2007</v>
      </c>
      <c r="F229" s="397">
        <v>2008</v>
      </c>
      <c r="G229" s="394"/>
      <c r="H229" s="394"/>
      <c r="I229" s="392"/>
      <c r="J229" s="392"/>
    </row>
    <row r="230" spans="1:10" s="365" customFormat="1" x14ac:dyDescent="0.2">
      <c r="B230" s="398">
        <v>2006</v>
      </c>
      <c r="C230" s="399">
        <f>D$193</f>
        <v>5</v>
      </c>
      <c r="D230" s="400">
        <f>($D$128*0.5)/$C230</f>
        <v>23.533889586114817</v>
      </c>
      <c r="E230" s="400">
        <f>IF($C230&gt;E$199,$D$128/$C230,IF($C230&lt;=E$199,$D$128-SUM($D230:D230),0))</f>
        <v>47.067779172229635</v>
      </c>
      <c r="F230" s="400">
        <f>IF($C230&gt;F$199,$D$128/$C230,IF($C230&lt;=F$199,$D$128-SUM($D230:E230),0))</f>
        <v>47.067779172229635</v>
      </c>
      <c r="G230" s="394"/>
      <c r="H230" s="394"/>
      <c r="I230" s="401"/>
      <c r="J230" s="401"/>
    </row>
    <row r="231" spans="1:10" s="365" customFormat="1" x14ac:dyDescent="0.2">
      <c r="B231" s="398">
        <v>2007</v>
      </c>
      <c r="C231" s="399">
        <f>E$193</f>
        <v>5</v>
      </c>
      <c r="D231" s="400"/>
      <c r="E231" s="400">
        <f>($E$128*0.5)/$C231</f>
        <v>11.674801784610018</v>
      </c>
      <c r="F231" s="400">
        <f>IF($C231&gt;F$200,$E$128/$C231,IF($C231&lt;=F$200,$E$128-SUM($D231:E231),0))</f>
        <v>23.349603569220037</v>
      </c>
      <c r="G231" s="394"/>
      <c r="H231" s="394"/>
      <c r="I231" s="401"/>
      <c r="J231" s="401"/>
    </row>
    <row r="232" spans="1:10" s="365" customFormat="1" x14ac:dyDescent="0.2">
      <c r="B232" s="398">
        <v>2008</v>
      </c>
      <c r="C232" s="399">
        <f>F$193</f>
        <v>5</v>
      </c>
      <c r="D232" s="400"/>
      <c r="E232" s="400"/>
      <c r="F232" s="400">
        <f>($F$128*0.5)/$C232</f>
        <v>0</v>
      </c>
      <c r="G232" s="394"/>
      <c r="H232" s="394"/>
      <c r="I232" s="401"/>
      <c r="J232" s="401"/>
    </row>
    <row r="233" spans="1:10" s="365" customFormat="1" x14ac:dyDescent="0.2">
      <c r="B233" s="398"/>
      <c r="C233" s="399"/>
      <c r="D233" s="402"/>
      <c r="E233" s="402"/>
      <c r="F233" s="402"/>
      <c r="G233" s="394"/>
      <c r="H233" s="394"/>
      <c r="I233" s="401"/>
      <c r="J233" s="401"/>
    </row>
    <row r="234" spans="1:10" s="365" customFormat="1" x14ac:dyDescent="0.2">
      <c r="B234" s="398"/>
      <c r="C234" s="399"/>
      <c r="D234" s="402"/>
      <c r="E234" s="402"/>
      <c r="F234" s="402"/>
      <c r="G234" s="394"/>
      <c r="H234" s="394"/>
      <c r="I234" s="395"/>
      <c r="J234" s="401"/>
    </row>
    <row r="235" spans="1:10" s="365" customFormat="1" x14ac:dyDescent="0.2">
      <c r="D235" s="403">
        <f>SUM(D230:D234)</f>
        <v>23.533889586114817</v>
      </c>
      <c r="E235" s="403">
        <f>SUM(E230:E234)</f>
        <v>58.742580956839653</v>
      </c>
      <c r="F235" s="403">
        <f>SUM(F230:F234)</f>
        <v>70.417382741449671</v>
      </c>
      <c r="G235" s="394"/>
      <c r="H235" s="394"/>
      <c r="I235" s="401"/>
      <c r="J235" s="401"/>
    </row>
    <row r="236" spans="1:10" s="279" customFormat="1" x14ac:dyDescent="0.2">
      <c r="G236" s="394"/>
      <c r="H236" s="394"/>
      <c r="I236" s="280"/>
      <c r="J236" s="280"/>
    </row>
    <row r="237" spans="1:10" s="279" customFormat="1" x14ac:dyDescent="0.2">
      <c r="A237" s="354"/>
      <c r="B237" s="354"/>
      <c r="C237" s="354"/>
      <c r="D237" s="354"/>
      <c r="E237" s="354"/>
      <c r="F237" s="354"/>
      <c r="G237" s="394"/>
      <c r="H237" s="394"/>
      <c r="I237" s="280"/>
      <c r="J237" s="280"/>
    </row>
    <row r="238" spans="1:10" s="279" customFormat="1" x14ac:dyDescent="0.2">
      <c r="G238" s="394"/>
      <c r="H238" s="394"/>
      <c r="I238" s="280"/>
      <c r="J238" s="280"/>
    </row>
    <row r="239" spans="1:10" s="279" customFormat="1" x14ac:dyDescent="0.2">
      <c r="I239" s="280"/>
      <c r="J239" s="280"/>
    </row>
    <row r="240" spans="1:10" x14ac:dyDescent="0.2">
      <c r="A240" s="344" t="s">
        <v>183</v>
      </c>
      <c r="I240" s="280"/>
      <c r="J240" s="280"/>
    </row>
    <row r="241" spans="1:10" x14ac:dyDescent="0.2">
      <c r="A241" s="268" t="s">
        <v>184</v>
      </c>
      <c r="B241" s="346"/>
      <c r="C241" s="346"/>
      <c r="D241" s="348">
        <v>2006</v>
      </c>
      <c r="E241" s="348">
        <v>2007</v>
      </c>
      <c r="F241" s="348">
        <v>2008</v>
      </c>
      <c r="G241" s="280"/>
      <c r="H241" s="280"/>
      <c r="I241" s="267"/>
      <c r="J241" s="267"/>
    </row>
    <row r="242" spans="1:10" x14ac:dyDescent="0.2">
      <c r="A242" s="344" t="s">
        <v>185</v>
      </c>
      <c r="G242" s="280"/>
      <c r="H242" s="280"/>
      <c r="I242" s="280"/>
      <c r="J242" s="280"/>
    </row>
    <row r="243" spans="1:10" s="126" customFormat="1" ht="25.5" x14ac:dyDescent="0.2">
      <c r="A243" s="133" t="s">
        <v>186</v>
      </c>
      <c r="D243" s="414" t="s">
        <v>187</v>
      </c>
      <c r="E243" s="252"/>
      <c r="I243" s="157"/>
      <c r="J243" s="157"/>
    </row>
    <row r="244" spans="1:10" x14ac:dyDescent="0.2">
      <c r="A244" s="346" t="s">
        <v>188</v>
      </c>
      <c r="C244" s="404"/>
      <c r="D244" s="404"/>
      <c r="E244" s="404"/>
      <c r="G244" s="280"/>
      <c r="H244" s="280"/>
      <c r="I244" s="280"/>
      <c r="J244" s="280"/>
    </row>
    <row r="245" spans="1:10" x14ac:dyDescent="0.2">
      <c r="A245" s="57" t="s">
        <v>49</v>
      </c>
      <c r="D245" s="411">
        <f>'Data 2006-08'!C176</f>
        <v>0.375</v>
      </c>
      <c r="F245" s="374"/>
      <c r="G245" s="280"/>
      <c r="H245" s="280"/>
      <c r="I245" s="280"/>
      <c r="J245" s="280"/>
    </row>
    <row r="246" spans="1:10" x14ac:dyDescent="0.2">
      <c r="A246" s="57" t="s">
        <v>50</v>
      </c>
      <c r="D246" s="412">
        <f>'Data 2006-08'!C177</f>
        <v>0.06</v>
      </c>
      <c r="F246" s="374"/>
      <c r="G246" s="280"/>
      <c r="H246" s="280"/>
      <c r="I246" s="280"/>
      <c r="J246" s="280"/>
    </row>
    <row r="247" spans="1:10" x14ac:dyDescent="0.2">
      <c r="A247" s="57" t="s">
        <v>90</v>
      </c>
      <c r="D247" s="412">
        <f>'Data 2006-08'!C178</f>
        <v>0.4</v>
      </c>
      <c r="F247" s="374"/>
      <c r="G247" s="280"/>
      <c r="H247" s="280"/>
      <c r="I247" s="280"/>
      <c r="J247" s="280"/>
    </row>
    <row r="248" spans="1:10" x14ac:dyDescent="0.2">
      <c r="A248" s="347" t="s">
        <v>91</v>
      </c>
      <c r="D248" s="413">
        <f>'Data 2006-08'!C179</f>
        <v>0.1764705882352941</v>
      </c>
      <c r="F248" s="374"/>
      <c r="G248" s="280"/>
      <c r="H248" s="280"/>
      <c r="I248" s="280"/>
      <c r="J248" s="280"/>
    </row>
    <row r="249" spans="1:10" s="279" customFormat="1" x14ac:dyDescent="0.2">
      <c r="D249" s="405"/>
      <c r="G249" s="280"/>
      <c r="H249" s="280"/>
      <c r="I249" s="280"/>
      <c r="J249" s="280"/>
    </row>
    <row r="250" spans="1:10" s="279" customFormat="1" x14ac:dyDescent="0.2">
      <c r="D250" s="405"/>
      <c r="G250" s="280"/>
      <c r="H250" s="280"/>
      <c r="I250" s="280"/>
      <c r="J250" s="280"/>
    </row>
    <row r="251" spans="1:10" s="280" customFormat="1" x14ac:dyDescent="0.2">
      <c r="A251" s="267" t="s">
        <v>198</v>
      </c>
    </row>
    <row r="252" spans="1:10" s="279" customFormat="1" x14ac:dyDescent="0.2">
      <c r="A252" s="270" t="s">
        <v>49</v>
      </c>
      <c r="B252" s="280"/>
      <c r="C252" s="280"/>
      <c r="D252" s="280"/>
      <c r="E252" s="280"/>
      <c r="F252" s="280"/>
      <c r="G252" s="280"/>
      <c r="H252" s="280"/>
      <c r="I252" s="280"/>
      <c r="J252" s="280"/>
    </row>
    <row r="253" spans="1:10" s="279" customFormat="1" x14ac:dyDescent="0.2">
      <c r="A253" s="279" t="s">
        <v>348</v>
      </c>
      <c r="B253" s="280"/>
      <c r="C253" s="280"/>
      <c r="D253" s="290">
        <v>0</v>
      </c>
      <c r="E253" s="275">
        <f>D256</f>
        <v>4092.8111249999997</v>
      </c>
      <c r="F253" s="275">
        <f>E256</f>
        <v>8083.3960565293846</v>
      </c>
      <c r="G253" s="280"/>
      <c r="H253" s="280"/>
      <c r="I253" s="275"/>
      <c r="J253" s="275"/>
    </row>
    <row r="254" spans="1:10" s="279" customFormat="1" x14ac:dyDescent="0.2">
      <c r="A254" s="279" t="s">
        <v>176</v>
      </c>
      <c r="B254" s="280"/>
      <c r="C254" s="280"/>
      <c r="D254" s="275">
        <f>$D$245*(D253+D255*0.5)</f>
        <v>944.49487499999987</v>
      </c>
      <c r="E254" s="275">
        <f>$D$245*(E253+E255*0.5)</f>
        <v>2809.8939649683193</v>
      </c>
      <c r="F254" s="275">
        <f>$D$245*(F253+F255*0.5)</f>
        <v>4669.0755385004177</v>
      </c>
      <c r="G254" s="280"/>
      <c r="H254" s="280"/>
      <c r="I254" s="275"/>
      <c r="J254" s="275"/>
    </row>
    <row r="255" spans="1:10" s="279" customFormat="1" x14ac:dyDescent="0.2">
      <c r="A255" s="279" t="s">
        <v>200</v>
      </c>
      <c r="B255" s="280"/>
      <c r="C255" s="280"/>
      <c r="D255" s="275">
        <f>'Data 2006-08'!D19/10^3</f>
        <v>5037.3059999999996</v>
      </c>
      <c r="E255" s="275">
        <f>'Data 2006-08'!E19/10^3</f>
        <v>6800.4788964977042</v>
      </c>
      <c r="F255" s="275">
        <f>'Data 2006-08'!F19/10^3</f>
        <v>8734.9440922767917</v>
      </c>
      <c r="G255" s="280"/>
      <c r="H255" s="280"/>
      <c r="I255" s="275"/>
      <c r="J255" s="275"/>
    </row>
    <row r="256" spans="1:10" s="279" customFormat="1" x14ac:dyDescent="0.2">
      <c r="A256" s="279" t="s">
        <v>201</v>
      </c>
      <c r="B256" s="280"/>
      <c r="C256" s="280"/>
      <c r="D256" s="381">
        <f>D253-D254+D255</f>
        <v>4092.8111249999997</v>
      </c>
      <c r="E256" s="381">
        <f>E253-E254+E255</f>
        <v>8083.3960565293846</v>
      </c>
      <c r="F256" s="381">
        <f>F253-F254+F255</f>
        <v>12149.26461030576</v>
      </c>
      <c r="G256" s="280"/>
      <c r="H256" s="280"/>
      <c r="I256" s="275"/>
      <c r="J256" s="275"/>
    </row>
    <row r="257" spans="1:10" s="279" customFormat="1" x14ac:dyDescent="0.2">
      <c r="A257" s="280"/>
      <c r="B257" s="280"/>
      <c r="C257" s="280"/>
      <c r="G257" s="280"/>
      <c r="H257" s="280"/>
      <c r="I257" s="280"/>
      <c r="J257" s="280"/>
    </row>
    <row r="258" spans="1:10" s="279" customFormat="1" x14ac:dyDescent="0.2">
      <c r="A258" s="270" t="s">
        <v>50</v>
      </c>
      <c r="B258" s="280"/>
      <c r="C258" s="280"/>
      <c r="D258" s="280"/>
      <c r="E258" s="280"/>
      <c r="F258" s="280"/>
      <c r="G258" s="280"/>
      <c r="H258" s="280"/>
      <c r="I258" s="280"/>
      <c r="J258" s="280"/>
    </row>
    <row r="259" spans="1:10" s="279" customFormat="1" x14ac:dyDescent="0.2">
      <c r="A259" s="279" t="str">
        <f>A$253</f>
        <v>Opening asset value</v>
      </c>
      <c r="B259" s="280"/>
      <c r="C259" s="280"/>
      <c r="D259" s="290">
        <v>0</v>
      </c>
      <c r="E259" s="275">
        <f>D262</f>
        <v>0</v>
      </c>
      <c r="F259" s="275">
        <f>E262</f>
        <v>0</v>
      </c>
      <c r="G259" s="280"/>
      <c r="H259" s="280"/>
      <c r="I259" s="275"/>
      <c r="J259" s="275"/>
    </row>
    <row r="260" spans="1:10" s="279" customFormat="1" x14ac:dyDescent="0.2">
      <c r="A260" s="279" t="str">
        <f>A$254</f>
        <v>Depreciation</v>
      </c>
      <c r="B260" s="280"/>
      <c r="C260" s="280"/>
      <c r="D260" s="275">
        <f>$D$246*(D259+D261*0.5)</f>
        <v>0</v>
      </c>
      <c r="E260" s="275">
        <f>$D$246*(E259+E261*0.5)</f>
        <v>0</v>
      </c>
      <c r="F260" s="275">
        <f>$D$246*(F259+F261*0.5)</f>
        <v>0</v>
      </c>
      <c r="G260" s="280"/>
      <c r="H260" s="280"/>
      <c r="I260" s="275"/>
      <c r="J260" s="275"/>
    </row>
    <row r="261" spans="1:10" s="279" customFormat="1" x14ac:dyDescent="0.2">
      <c r="A261" s="279" t="str">
        <f>A$255</f>
        <v>Gross capex</v>
      </c>
      <c r="B261" s="280"/>
      <c r="C261" s="280"/>
      <c r="D261" s="275">
        <f>'Data 2006-08'!D20/10^3</f>
        <v>0</v>
      </c>
      <c r="E261" s="275">
        <f>'Data 2006-08'!E20/10^3</f>
        <v>0</v>
      </c>
      <c r="F261" s="275">
        <f>'Data 2006-08'!F20/10^3</f>
        <v>0</v>
      </c>
      <c r="G261" s="280"/>
      <c r="H261" s="280"/>
      <c r="I261" s="275"/>
      <c r="J261" s="275"/>
    </row>
    <row r="262" spans="1:10" s="279" customFormat="1" x14ac:dyDescent="0.2">
      <c r="A262" s="279" t="str">
        <f>A$256</f>
        <v>Closing asset value</v>
      </c>
      <c r="B262" s="280"/>
      <c r="C262" s="280"/>
      <c r="D262" s="381">
        <f>D259-D260+D261</f>
        <v>0</v>
      </c>
      <c r="E262" s="381">
        <f>E259-E260+E261</f>
        <v>0</v>
      </c>
      <c r="F262" s="381">
        <f>F259-F260+F261</f>
        <v>0</v>
      </c>
      <c r="G262" s="280"/>
      <c r="H262" s="280"/>
      <c r="I262" s="275"/>
      <c r="J262" s="275"/>
    </row>
    <row r="263" spans="1:10" s="279" customFormat="1" x14ac:dyDescent="0.2">
      <c r="A263" s="280"/>
      <c r="B263" s="280"/>
      <c r="C263" s="280"/>
      <c r="D263" s="275"/>
      <c r="E263" s="275"/>
      <c r="F263" s="275"/>
      <c r="G263" s="280"/>
      <c r="H263" s="280"/>
      <c r="I263" s="275"/>
      <c r="J263" s="275"/>
    </row>
    <row r="264" spans="1:10" s="279" customFormat="1" x14ac:dyDescent="0.2">
      <c r="A264" s="270" t="s">
        <v>90</v>
      </c>
      <c r="G264" s="280"/>
      <c r="H264" s="280"/>
      <c r="I264" s="280"/>
      <c r="J264" s="280"/>
    </row>
    <row r="265" spans="1:10" s="279" customFormat="1" x14ac:dyDescent="0.2">
      <c r="A265" s="279" t="str">
        <f>A$253</f>
        <v>Opening asset value</v>
      </c>
      <c r="B265" s="280"/>
      <c r="C265" s="280"/>
      <c r="D265" s="290">
        <v>0</v>
      </c>
      <c r="E265" s="275">
        <f>D268</f>
        <v>1812.6143999999999</v>
      </c>
      <c r="F265" s="275">
        <f>E268</f>
        <v>1138.5126399999983</v>
      </c>
      <c r="G265" s="280"/>
      <c r="H265" s="280"/>
      <c r="I265" s="275"/>
      <c r="J265" s="275"/>
    </row>
    <row r="266" spans="1:10" s="279" customFormat="1" x14ac:dyDescent="0.2">
      <c r="A266" s="279" t="str">
        <f>A$254</f>
        <v>Depreciation</v>
      </c>
      <c r="B266" s="280"/>
      <c r="C266" s="280"/>
      <c r="D266" s="275">
        <f>$D$247*(D265+D267*0.5)</f>
        <v>453.15360000000004</v>
      </c>
      <c r="E266" s="275">
        <f>$D$247*(E265+E267*0.5)</f>
        <v>737.78175999999962</v>
      </c>
      <c r="F266" s="275">
        <f>$D$247*(F265+F267*0.5)</f>
        <v>477.73319179999936</v>
      </c>
      <c r="G266" s="280"/>
      <c r="H266" s="280"/>
      <c r="I266" s="275"/>
      <c r="J266" s="275"/>
    </row>
    <row r="267" spans="1:10" s="279" customFormat="1" x14ac:dyDescent="0.2">
      <c r="A267" s="279" t="str">
        <f>A$255</f>
        <v>Gross capex</v>
      </c>
      <c r="B267" s="280"/>
      <c r="C267" s="280"/>
      <c r="D267" s="275">
        <f>'Data 2006-08'!D21/10^3</f>
        <v>2265.768</v>
      </c>
      <c r="E267" s="275">
        <f>'Data 2006-08'!E21/10^3</f>
        <v>63.679999999997996</v>
      </c>
      <c r="F267" s="275">
        <f>'Data 2006-08'!F21/10^3</f>
        <v>111.64067900000009</v>
      </c>
      <c r="G267" s="280"/>
      <c r="H267" s="280"/>
      <c r="I267" s="275"/>
      <c r="J267" s="275"/>
    </row>
    <row r="268" spans="1:10" s="279" customFormat="1" x14ac:dyDescent="0.2">
      <c r="A268" s="279" t="str">
        <f>A$256</f>
        <v>Closing asset value</v>
      </c>
      <c r="B268" s="280"/>
      <c r="C268" s="280"/>
      <c r="D268" s="381">
        <f>D265-D266+D267</f>
        <v>1812.6143999999999</v>
      </c>
      <c r="E268" s="381">
        <f>E265-E266+E267</f>
        <v>1138.5126399999983</v>
      </c>
      <c r="F268" s="381">
        <f>F265-F266+F267</f>
        <v>772.42012719999911</v>
      </c>
      <c r="G268" s="280"/>
      <c r="H268" s="280"/>
      <c r="I268" s="275"/>
      <c r="J268" s="275"/>
    </row>
    <row r="269" spans="1:10" s="279" customFormat="1" x14ac:dyDescent="0.2">
      <c r="A269" s="280"/>
      <c r="B269" s="280"/>
      <c r="C269" s="280"/>
      <c r="D269" s="275"/>
      <c r="E269" s="275"/>
      <c r="F269" s="275"/>
      <c r="G269" s="280"/>
      <c r="H269" s="280"/>
      <c r="I269" s="275"/>
      <c r="J269" s="275"/>
    </row>
    <row r="270" spans="1:10" s="279" customFormat="1" x14ac:dyDescent="0.2">
      <c r="A270" s="270" t="s">
        <v>91</v>
      </c>
      <c r="G270" s="280"/>
      <c r="H270" s="280"/>
      <c r="I270" s="280"/>
      <c r="J270" s="280"/>
    </row>
    <row r="271" spans="1:10" s="279" customFormat="1" x14ac:dyDescent="0.2">
      <c r="A271" s="279" t="str">
        <f>A$253</f>
        <v>Opening asset value</v>
      </c>
      <c r="B271" s="280"/>
      <c r="C271" s="280"/>
      <c r="D271" s="290">
        <v>0</v>
      </c>
      <c r="E271" s="275">
        <f>D274</f>
        <v>202.66797058823531</v>
      </c>
      <c r="F271" s="275">
        <f>E274</f>
        <v>271.40337911245587</v>
      </c>
      <c r="G271" s="280"/>
      <c r="H271" s="280"/>
      <c r="I271" s="275"/>
      <c r="J271" s="275"/>
    </row>
    <row r="272" spans="1:10" s="279" customFormat="1" x14ac:dyDescent="0.2">
      <c r="A272" s="279" t="str">
        <f>A$254</f>
        <v>Depreciation</v>
      </c>
      <c r="B272" s="280"/>
      <c r="C272" s="280"/>
      <c r="D272" s="275">
        <f>$D$248*(D271+D273*0.5)</f>
        <v>19.613029411764703</v>
      </c>
      <c r="E272" s="275">
        <f>$D$248*(E271+E273*0.5)</f>
        <v>45.877872551679786</v>
      </c>
      <c r="F272" s="275">
        <f>$D$248*(F271+F273*0.5)</f>
        <v>47.894713961021615</v>
      </c>
      <c r="G272" s="280"/>
      <c r="H272" s="280"/>
      <c r="I272" s="275"/>
      <c r="J272" s="275"/>
    </row>
    <row r="273" spans="1:10" s="279" customFormat="1" x14ac:dyDescent="0.2">
      <c r="A273" s="279" t="str">
        <f>A$255</f>
        <v>Gross capex</v>
      </c>
      <c r="B273" s="280"/>
      <c r="C273" s="280"/>
      <c r="D273" s="275">
        <f>'Data 2006-08'!D22/10^3</f>
        <v>222.28100000000001</v>
      </c>
      <c r="E273" s="275">
        <f>'Data 2006-08'!E22/10^3</f>
        <v>114.61328107590035</v>
      </c>
      <c r="F273" s="275">
        <f>'Data 2006-08'!F22/10^3</f>
        <v>0</v>
      </c>
      <c r="G273" s="280"/>
      <c r="H273" s="280"/>
      <c r="I273" s="275"/>
      <c r="J273" s="275"/>
    </row>
    <row r="274" spans="1:10" s="279" customFormat="1" x14ac:dyDescent="0.2">
      <c r="A274" s="279" t="str">
        <f>A$256</f>
        <v>Closing asset value</v>
      </c>
      <c r="B274" s="280"/>
      <c r="C274" s="280"/>
      <c r="D274" s="381">
        <f>D271-D272+D273</f>
        <v>202.66797058823531</v>
      </c>
      <c r="E274" s="381">
        <f>E271-E272+E273</f>
        <v>271.40337911245587</v>
      </c>
      <c r="F274" s="381">
        <f>F271-F272+F273</f>
        <v>223.50866515143426</v>
      </c>
      <c r="G274" s="280"/>
      <c r="H274" s="280"/>
      <c r="I274" s="275"/>
      <c r="J274" s="275"/>
    </row>
    <row r="275" spans="1:10" s="279" customFormat="1" x14ac:dyDescent="0.2">
      <c r="B275" s="280"/>
      <c r="C275" s="280"/>
      <c r="D275" s="275"/>
      <c r="E275" s="275"/>
      <c r="F275" s="275"/>
      <c r="G275" s="280"/>
      <c r="H275" s="280"/>
      <c r="I275" s="275"/>
      <c r="J275" s="275"/>
    </row>
    <row r="276" spans="1:10" s="279" customFormat="1" x14ac:dyDescent="0.2">
      <c r="A276" s="270" t="s">
        <v>45</v>
      </c>
      <c r="B276" s="275"/>
      <c r="C276" s="275"/>
      <c r="D276" s="275"/>
      <c r="E276" s="275"/>
      <c r="F276" s="275"/>
      <c r="G276" s="280"/>
      <c r="H276" s="280"/>
      <c r="I276" s="275"/>
      <c r="J276" s="275"/>
    </row>
    <row r="277" spans="1:10" s="279" customFormat="1" x14ac:dyDescent="0.2">
      <c r="A277" s="279" t="str">
        <f>A$253</f>
        <v>Opening asset value</v>
      </c>
      <c r="B277" s="275"/>
      <c r="C277" s="275"/>
      <c r="D277" s="275">
        <f t="shared" ref="D277:F280" si="9">SUM(D253,D259,D265,D271)</f>
        <v>0</v>
      </c>
      <c r="E277" s="275">
        <f t="shared" si="9"/>
        <v>6108.0934955882349</v>
      </c>
      <c r="F277" s="275">
        <f t="shared" si="9"/>
        <v>9493.3120756418393</v>
      </c>
      <c r="G277" s="280"/>
      <c r="H277" s="280"/>
      <c r="I277" s="275"/>
      <c r="J277" s="275"/>
    </row>
    <row r="278" spans="1:10" s="279" customFormat="1" x14ac:dyDescent="0.2">
      <c r="A278" s="279" t="str">
        <f>A$254</f>
        <v>Depreciation</v>
      </c>
      <c r="B278" s="275"/>
      <c r="C278" s="275"/>
      <c r="D278" s="275">
        <f t="shared" si="9"/>
        <v>1417.2615044117647</v>
      </c>
      <c r="E278" s="275">
        <f t="shared" si="9"/>
        <v>3593.5535975199987</v>
      </c>
      <c r="F278" s="275">
        <f t="shared" si="9"/>
        <v>5194.7034442614386</v>
      </c>
      <c r="G278" s="280"/>
      <c r="H278" s="280"/>
      <c r="I278" s="275"/>
      <c r="J278" s="275"/>
    </row>
    <row r="279" spans="1:10" s="279" customFormat="1" x14ac:dyDescent="0.2">
      <c r="A279" s="279" t="str">
        <f>A$255</f>
        <v>Gross capex</v>
      </c>
      <c r="B279" s="275"/>
      <c r="C279" s="275"/>
      <c r="D279" s="275">
        <f t="shared" si="9"/>
        <v>7525.3549999999996</v>
      </c>
      <c r="E279" s="275">
        <f t="shared" si="9"/>
        <v>6978.7721775736018</v>
      </c>
      <c r="F279" s="275">
        <f t="shared" si="9"/>
        <v>8846.5847712767918</v>
      </c>
      <c r="G279" s="280"/>
      <c r="H279" s="280"/>
      <c r="I279" s="275"/>
      <c r="J279" s="275"/>
    </row>
    <row r="280" spans="1:10" s="279" customFormat="1" x14ac:dyDescent="0.2">
      <c r="A280" s="279" t="str">
        <f>A$256</f>
        <v>Closing asset value</v>
      </c>
      <c r="D280" s="381">
        <f t="shared" si="9"/>
        <v>6108.0934955882349</v>
      </c>
      <c r="E280" s="381">
        <f t="shared" si="9"/>
        <v>9493.3120756418393</v>
      </c>
      <c r="F280" s="381">
        <f t="shared" si="9"/>
        <v>13145.193402657193</v>
      </c>
      <c r="G280" s="280"/>
      <c r="H280" s="280"/>
      <c r="I280" s="275"/>
      <c r="J280" s="275"/>
    </row>
    <row r="281" spans="1:10" s="279" customFormat="1" x14ac:dyDescent="0.2">
      <c r="A281" s="406"/>
      <c r="C281" s="407"/>
      <c r="D281" s="350"/>
      <c r="E281" s="350"/>
      <c r="F281" s="350"/>
      <c r="G281" s="280"/>
      <c r="H281" s="280"/>
      <c r="I281" s="292"/>
      <c r="J281" s="292"/>
    </row>
    <row r="282" spans="1:10" x14ac:dyDescent="0.2">
      <c r="D282" s="408"/>
      <c r="E282" s="408"/>
      <c r="F282" s="408"/>
      <c r="G282" s="280"/>
      <c r="H282" s="280"/>
      <c r="I282" s="290"/>
      <c r="J282" s="290"/>
    </row>
    <row r="283" spans="1:10" s="356" customFormat="1" x14ac:dyDescent="0.2">
      <c r="A283" s="353"/>
      <c r="B283" s="353"/>
      <c r="C283" s="353"/>
      <c r="D283" s="353"/>
      <c r="E283" s="353"/>
      <c r="F283" s="353"/>
      <c r="G283" s="280"/>
      <c r="H283" s="280"/>
      <c r="I283" s="280"/>
      <c r="J283" s="280"/>
    </row>
    <row r="284" spans="1:10" x14ac:dyDescent="0.2">
      <c r="A284" s="268"/>
      <c r="G284" s="280"/>
      <c r="H284" s="280"/>
      <c r="I284" s="280"/>
      <c r="J284" s="280"/>
    </row>
    <row r="285" spans="1:10" x14ac:dyDescent="0.2">
      <c r="A285" s="268"/>
      <c r="G285" s="280"/>
      <c r="H285" s="280"/>
      <c r="I285" s="280"/>
      <c r="J285" s="280"/>
    </row>
  </sheetData>
  <sheetProtection sheet="1" objects="1" scenarios="1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63.140625" style="126" customWidth="1"/>
    <col min="2" max="2" width="10" style="126" customWidth="1"/>
    <col min="3" max="3" width="11.42578125" style="126" customWidth="1"/>
    <col min="4" max="4" width="13.5703125" style="126" customWidth="1"/>
    <col min="5" max="5" width="13.140625" style="126" customWidth="1"/>
    <col min="6" max="6" width="12.85546875" style="126" customWidth="1"/>
    <col min="7" max="7" width="12.7109375" style="126" customWidth="1"/>
    <col min="8" max="8" width="14.42578125" style="126" customWidth="1"/>
    <col min="9" max="9" width="11.5703125" style="126" bestFit="1" customWidth="1"/>
    <col min="10" max="10" width="10" style="126" customWidth="1"/>
    <col min="11" max="11" width="9.140625" style="126"/>
    <col min="12" max="14" width="9.28515625" style="126" bestFit="1" customWidth="1"/>
    <col min="15" max="16" width="10" style="126" customWidth="1"/>
    <col min="17" max="17" width="9.42578125" style="126" bestFit="1" customWidth="1"/>
    <col min="18" max="18" width="9.85546875" style="126" customWidth="1"/>
    <col min="19" max="16384" width="9.140625" style="126"/>
  </cols>
  <sheetData>
    <row r="1" spans="1:10" ht="15.75" x14ac:dyDescent="0.25">
      <c r="A1" s="124" t="s">
        <v>354</v>
      </c>
      <c r="B1" s="125"/>
      <c r="C1" s="125"/>
      <c r="D1" s="125"/>
      <c r="E1" s="125"/>
    </row>
    <row r="2" spans="1:10" ht="15.75" x14ac:dyDescent="0.25">
      <c r="A2" s="127"/>
      <c r="B2" s="125"/>
      <c r="C2" s="125"/>
    </row>
    <row r="3" spans="1:10" ht="15.75" x14ac:dyDescent="0.25">
      <c r="A3" s="128" t="s">
        <v>112</v>
      </c>
      <c r="B3" s="125"/>
      <c r="C3" s="125"/>
    </row>
    <row r="4" spans="1:10" x14ac:dyDescent="0.2">
      <c r="A4" s="129"/>
      <c r="B4" s="130"/>
      <c r="C4" s="130"/>
      <c r="D4" s="131"/>
      <c r="E4" s="131"/>
      <c r="F4" s="131"/>
      <c r="G4" s="131"/>
      <c r="H4" s="131"/>
      <c r="I4" s="131"/>
      <c r="J4" s="131"/>
    </row>
    <row r="5" spans="1:10" x14ac:dyDescent="0.2">
      <c r="A5" s="132" t="s">
        <v>113</v>
      </c>
    </row>
    <row r="6" spans="1:10" x14ac:dyDescent="0.2">
      <c r="A6" s="133" t="s">
        <v>114</v>
      </c>
      <c r="D6" s="134">
        <v>2006</v>
      </c>
      <c r="E6" s="134">
        <v>2007</v>
      </c>
      <c r="F6" s="134">
        <v>2008</v>
      </c>
      <c r="G6" s="134">
        <v>2009</v>
      </c>
      <c r="H6" s="134">
        <v>2010</v>
      </c>
    </row>
    <row r="7" spans="1:10" x14ac:dyDescent="0.2">
      <c r="A7" s="126" t="s">
        <v>115</v>
      </c>
      <c r="D7" s="135">
        <f>D57</f>
        <v>17.956912442878533</v>
      </c>
      <c r="E7" s="136">
        <f>E57</f>
        <v>20.532897546774123</v>
      </c>
      <c r="F7" s="136">
        <f>F57</f>
        <v>25.613076252470886</v>
      </c>
      <c r="G7" s="136">
        <f>G57</f>
        <v>30.176852190064441</v>
      </c>
      <c r="H7" s="137">
        <f>H57</f>
        <v>34.593228755766035</v>
      </c>
    </row>
    <row r="8" spans="1:10" x14ac:dyDescent="0.2">
      <c r="A8" s="126" t="s">
        <v>116</v>
      </c>
      <c r="D8" s="138">
        <f>D130/1000</f>
        <v>13.344093371215935</v>
      </c>
      <c r="E8" s="139">
        <f>E130/1000</f>
        <v>11.145833017483239</v>
      </c>
      <c r="F8" s="139">
        <f>F130/1000</f>
        <v>28.544629743782362</v>
      </c>
      <c r="G8" s="139">
        <f>G130/1000</f>
        <v>28.723435027392856</v>
      </c>
      <c r="H8" s="140">
        <f>H130/1000</f>
        <v>28.895669719171661</v>
      </c>
    </row>
    <row r="9" spans="1:10" x14ac:dyDescent="0.2">
      <c r="A9" s="126" t="s">
        <v>117</v>
      </c>
      <c r="D9" s="138">
        <f t="shared" ref="D9:H10" si="0">D55</f>
        <v>16.632239805457715</v>
      </c>
      <c r="E9" s="139">
        <f t="shared" si="0"/>
        <v>16.825447391567906</v>
      </c>
      <c r="F9" s="139">
        <f t="shared" si="0"/>
        <v>18.695589179367598</v>
      </c>
      <c r="G9" s="139">
        <f t="shared" si="0"/>
        <v>19.029952667386617</v>
      </c>
      <c r="H9" s="140">
        <f t="shared" si="0"/>
        <v>19.364286430508887</v>
      </c>
    </row>
    <row r="10" spans="1:10" x14ac:dyDescent="0.2">
      <c r="A10" s="126" t="s">
        <v>118</v>
      </c>
      <c r="D10" s="141">
        <f t="shared" si="0"/>
        <v>0</v>
      </c>
      <c r="E10" s="142">
        <f t="shared" si="0"/>
        <v>0</v>
      </c>
      <c r="F10" s="142">
        <f t="shared" si="0"/>
        <v>0</v>
      </c>
      <c r="G10" s="142">
        <f t="shared" si="0"/>
        <v>0</v>
      </c>
      <c r="H10" s="143">
        <f t="shared" si="0"/>
        <v>0</v>
      </c>
    </row>
    <row r="11" spans="1:10" ht="13.5" thickBot="1" x14ac:dyDescent="0.25">
      <c r="A11" s="133" t="s">
        <v>119</v>
      </c>
      <c r="D11" s="144">
        <f>D7-SUM(D8:D10)</f>
        <v>-12.019420733795116</v>
      </c>
      <c r="E11" s="144">
        <f>E7-SUM(E8:E10)</f>
        <v>-7.4383828622770238</v>
      </c>
      <c r="F11" s="144">
        <f>F7-SUM(F8:F10)</f>
        <v>-21.627142670679074</v>
      </c>
      <c r="G11" s="144">
        <f>G7-SUM(G8:G10)</f>
        <v>-17.576535504715036</v>
      </c>
      <c r="H11" s="144">
        <f>H7-SUM(H8:H10)</f>
        <v>-13.666727393914513</v>
      </c>
    </row>
    <row r="12" spans="1:10" ht="13.5" thickTop="1" x14ac:dyDescent="0.2">
      <c r="D12" s="145"/>
      <c r="E12" s="145"/>
      <c r="F12" s="145"/>
      <c r="G12" s="145"/>
      <c r="H12" s="145"/>
    </row>
    <row r="13" spans="1:10" x14ac:dyDescent="0.2">
      <c r="A13" s="198" t="str">
        <f>"NPV (WACC = "&amp;D27*100&amp;"% Real)"</f>
        <v>NPV (WACC = 5.9% Real)</v>
      </c>
      <c r="D13" s="146">
        <f>NPV(D27,D11:H11)*(1+D27)^(0.5)</f>
        <v>-62.185376705309316</v>
      </c>
      <c r="E13" s="145"/>
      <c r="F13" s="145"/>
      <c r="G13" s="145"/>
      <c r="H13" s="145"/>
    </row>
    <row r="15" spans="1:10" x14ac:dyDescent="0.2">
      <c r="A15" s="133" t="s">
        <v>120</v>
      </c>
      <c r="D15" s="134">
        <v>2006</v>
      </c>
      <c r="E15" s="134">
        <v>2007</v>
      </c>
      <c r="F15" s="134">
        <v>2008</v>
      </c>
      <c r="G15" s="134">
        <v>2009</v>
      </c>
      <c r="H15" s="134">
        <v>2010</v>
      </c>
    </row>
    <row r="16" spans="1:10" x14ac:dyDescent="0.2">
      <c r="A16" s="126" t="s">
        <v>121</v>
      </c>
      <c r="D16" s="135">
        <f>D435/1000000</f>
        <v>17.501905078466411</v>
      </c>
      <c r="E16" s="136">
        <f>E435/1000000</f>
        <v>21.283796690940491</v>
      </c>
      <c r="F16" s="136">
        <f>F435/1000000</f>
        <v>25.169421337386535</v>
      </c>
      <c r="G16" s="136">
        <f>G435/1000000</f>
        <v>29.763412193987921</v>
      </c>
      <c r="H16" s="137">
        <f>H435/1000000</f>
        <v>35.208730951819462</v>
      </c>
    </row>
    <row r="17" spans="1:8" x14ac:dyDescent="0.2">
      <c r="A17" s="126" t="s">
        <v>116</v>
      </c>
      <c r="D17" s="138">
        <f t="shared" ref="D17:H18" si="1">D8</f>
        <v>13.344093371215935</v>
      </c>
      <c r="E17" s="139">
        <f t="shared" si="1"/>
        <v>11.145833017483239</v>
      </c>
      <c r="F17" s="139">
        <f t="shared" si="1"/>
        <v>28.544629743782362</v>
      </c>
      <c r="G17" s="139">
        <f t="shared" si="1"/>
        <v>28.723435027392856</v>
      </c>
      <c r="H17" s="140">
        <f t="shared" si="1"/>
        <v>28.895669719171661</v>
      </c>
    </row>
    <row r="18" spans="1:8" x14ac:dyDescent="0.2">
      <c r="A18" s="126" t="s">
        <v>117</v>
      </c>
      <c r="D18" s="138">
        <f t="shared" si="1"/>
        <v>16.632239805457715</v>
      </c>
      <c r="E18" s="139">
        <f t="shared" si="1"/>
        <v>16.825447391567906</v>
      </c>
      <c r="F18" s="139">
        <f t="shared" si="1"/>
        <v>18.695589179367598</v>
      </c>
      <c r="G18" s="139">
        <f t="shared" si="1"/>
        <v>19.029952667386617</v>
      </c>
      <c r="H18" s="140">
        <f t="shared" si="1"/>
        <v>19.364286430508887</v>
      </c>
    </row>
    <row r="19" spans="1:8" x14ac:dyDescent="0.2">
      <c r="A19" s="126" t="s">
        <v>118</v>
      </c>
      <c r="D19" s="141">
        <f>D45</f>
        <v>0</v>
      </c>
      <c r="E19" s="142">
        <f>E45</f>
        <v>0</v>
      </c>
      <c r="F19" s="142">
        <f>F45</f>
        <v>0</v>
      </c>
      <c r="G19" s="142">
        <f>G45</f>
        <v>0</v>
      </c>
      <c r="H19" s="143">
        <f>H45</f>
        <v>0</v>
      </c>
    </row>
    <row r="20" spans="1:8" ht="13.5" thickBot="1" x14ac:dyDescent="0.25">
      <c r="A20" s="133" t="s">
        <v>119</v>
      </c>
      <c r="D20" s="147">
        <f>D16-SUM(D17:D19)</f>
        <v>-12.474428098207238</v>
      </c>
      <c r="E20" s="147">
        <f>E16-SUM(E17:E19)</f>
        <v>-6.6874837181106557</v>
      </c>
      <c r="F20" s="147">
        <f>F16-SUM(F17:F19)</f>
        <v>-22.070797585763426</v>
      </c>
      <c r="G20" s="147">
        <f>G16-SUM(G17:G19)</f>
        <v>-17.989975500791555</v>
      </c>
      <c r="H20" s="147">
        <f>H16-SUM(H17:H19)</f>
        <v>-13.051225197861086</v>
      </c>
    </row>
    <row r="21" spans="1:8" ht="13.5" thickTop="1" x14ac:dyDescent="0.2">
      <c r="D21" s="145"/>
      <c r="E21" s="145"/>
      <c r="F21" s="145"/>
      <c r="G21" s="145"/>
      <c r="H21" s="145"/>
    </row>
    <row r="22" spans="1:8" x14ac:dyDescent="0.2">
      <c r="A22" s="133" t="str">
        <f>"NPV (WACC = "&amp;D27*100&amp;"% Real)"</f>
        <v>NPV (WACC = 5.9% Real)</v>
      </c>
      <c r="D22" s="146">
        <f>NPV(D27,D20:H20)*(1+D27)^(0.5)</f>
        <v>-62.185646244298319</v>
      </c>
      <c r="E22" s="145"/>
      <c r="F22" s="145"/>
      <c r="G22" s="145"/>
      <c r="H22" s="145"/>
    </row>
    <row r="23" spans="1:8" x14ac:dyDescent="0.2">
      <c r="D23" s="145"/>
      <c r="E23" s="148"/>
      <c r="F23" s="148"/>
      <c r="G23" s="145"/>
      <c r="H23" s="145"/>
    </row>
    <row r="24" spans="1:8" x14ac:dyDescent="0.2">
      <c r="A24" s="126" t="s">
        <v>122</v>
      </c>
      <c r="D24" s="149">
        <f>D13-D22</f>
        <v>2.6953898900217155E-4</v>
      </c>
      <c r="E24" s="150"/>
      <c r="F24" s="150"/>
      <c r="G24" s="145"/>
      <c r="H24" s="145"/>
    </row>
    <row r="25" spans="1:8" s="152" customFormat="1" x14ac:dyDescent="0.2">
      <c r="A25" s="151"/>
      <c r="D25" s="153"/>
      <c r="E25" s="154"/>
      <c r="F25" s="154"/>
      <c r="G25" s="154"/>
      <c r="H25" s="154"/>
    </row>
    <row r="26" spans="1:8" s="152" customFormat="1" x14ac:dyDescent="0.2">
      <c r="F26" s="156"/>
      <c r="G26" s="156"/>
      <c r="H26" s="156"/>
    </row>
    <row r="27" spans="1:8" s="152" customFormat="1" x14ac:dyDescent="0.2">
      <c r="A27" s="300" t="str">
        <f>'Data 2006-08'!A141</f>
        <v>'Vanilla' after tax WACC (real)</v>
      </c>
      <c r="B27" s="130"/>
      <c r="C27" s="130"/>
      <c r="D27" s="300">
        <f>'Data 2006-08'!C141</f>
        <v>5.8999999999999997E-2</v>
      </c>
      <c r="F27" s="154"/>
      <c r="G27" s="154"/>
      <c r="H27" s="154"/>
    </row>
    <row r="28" spans="1:8" s="152" customFormat="1" x14ac:dyDescent="0.2">
      <c r="A28" s="151"/>
      <c r="C28" s="157"/>
      <c r="D28" s="158"/>
      <c r="E28" s="154"/>
      <c r="F28" s="154"/>
      <c r="G28" s="154"/>
      <c r="H28" s="154"/>
    </row>
    <row r="29" spans="1:8" s="152" customFormat="1" ht="18.75" x14ac:dyDescent="0.3">
      <c r="A29" s="151"/>
      <c r="C29" s="159" t="s">
        <v>355</v>
      </c>
      <c r="D29" s="537">
        <v>-0.2</v>
      </c>
      <c r="E29" s="154"/>
      <c r="F29" s="154"/>
      <c r="G29" s="154"/>
      <c r="H29" s="154"/>
    </row>
    <row r="30" spans="1:8" s="152" customFormat="1" x14ac:dyDescent="0.2">
      <c r="A30" s="151"/>
      <c r="C30" s="160"/>
      <c r="D30" s="161"/>
      <c r="E30" s="154"/>
      <c r="F30" s="154"/>
      <c r="G30" s="154"/>
      <c r="H30" s="154"/>
    </row>
    <row r="31" spans="1:8" s="152" customFormat="1" x14ac:dyDescent="0.2">
      <c r="A31" s="151"/>
      <c r="C31" s="160"/>
      <c r="D31" s="161"/>
      <c r="E31" s="154"/>
      <c r="F31" s="154"/>
      <c r="G31" s="154"/>
      <c r="H31" s="154"/>
    </row>
    <row r="32" spans="1:8" s="152" customFormat="1" x14ac:dyDescent="0.2">
      <c r="A32" s="162" t="s">
        <v>123</v>
      </c>
      <c r="B32" s="163"/>
      <c r="C32" s="163"/>
      <c r="D32" s="163"/>
      <c r="E32" s="163"/>
      <c r="F32" s="163"/>
      <c r="G32" s="163"/>
      <c r="H32" s="163"/>
    </row>
    <row r="33" spans="1:9" s="152" customFormat="1" x14ac:dyDescent="0.2">
      <c r="A33" s="133" t="s">
        <v>118</v>
      </c>
      <c r="B33" s="126"/>
      <c r="C33" s="126"/>
      <c r="D33" s="126"/>
      <c r="E33" s="126"/>
      <c r="F33" s="126"/>
      <c r="G33" s="126"/>
      <c r="H33" s="126"/>
    </row>
    <row r="34" spans="1:9" s="152" customFormat="1" x14ac:dyDescent="0.2">
      <c r="A34" s="133" t="s">
        <v>124</v>
      </c>
      <c r="B34" s="126"/>
      <c r="C34" s="126"/>
      <c r="D34" s="134">
        <v>2006</v>
      </c>
      <c r="E34" s="134">
        <v>2007</v>
      </c>
      <c r="F34" s="134">
        <v>2008</v>
      </c>
      <c r="G34" s="134">
        <v>2009</v>
      </c>
      <c r="H34" s="134">
        <v>2010</v>
      </c>
    </row>
    <row r="35" spans="1:9" s="152" customFormat="1" x14ac:dyDescent="0.2">
      <c r="A35" s="126" t="s">
        <v>121</v>
      </c>
      <c r="B35" s="126"/>
      <c r="C35" s="126"/>
      <c r="D35" s="164">
        <f>D435/1000000*D71</f>
        <v>18.396223419293595</v>
      </c>
      <c r="E35" s="165">
        <f>E435/1000000*E71</f>
        <v>22.944070328512275</v>
      </c>
      <c r="F35" s="165">
        <f>F435/1000000*F71</f>
        <v>27.827398448198689</v>
      </c>
      <c r="G35" s="165">
        <f>G435/1000000*G71</f>
        <v>33.748937656107479</v>
      </c>
      <c r="H35" s="166">
        <f>H435/1000000*H71</f>
        <v>40.945461626049067</v>
      </c>
    </row>
    <row r="36" spans="1:9" s="152" customFormat="1" x14ac:dyDescent="0.2">
      <c r="A36" s="126" t="s">
        <v>125</v>
      </c>
      <c r="B36" s="126"/>
      <c r="C36" s="126"/>
      <c r="D36" s="167">
        <f t="shared" ref="D36:H39" si="2">D80</f>
        <v>0</v>
      </c>
      <c r="E36" s="168">
        <f t="shared" si="2"/>
        <v>0</v>
      </c>
      <c r="F36" s="168">
        <f t="shared" si="2"/>
        <v>0</v>
      </c>
      <c r="G36" s="168">
        <f t="shared" si="2"/>
        <v>0</v>
      </c>
      <c r="H36" s="169">
        <f t="shared" si="2"/>
        <v>0</v>
      </c>
    </row>
    <row r="37" spans="1:9" s="152" customFormat="1" x14ac:dyDescent="0.2">
      <c r="A37" s="126" t="s">
        <v>126</v>
      </c>
      <c r="B37" s="126"/>
      <c r="C37" s="126"/>
      <c r="D37" s="167">
        <f t="shared" si="2"/>
        <v>17.482119692268306</v>
      </c>
      <c r="E37" s="168">
        <f t="shared" si="2"/>
        <v>18.137940982359517</v>
      </c>
      <c r="F37" s="168">
        <f t="shared" si="2"/>
        <v>20.669907438249997</v>
      </c>
      <c r="G37" s="168">
        <f t="shared" si="2"/>
        <v>21.578194125875019</v>
      </c>
      <c r="H37" s="169">
        <f t="shared" si="2"/>
        <v>22.519404293248211</v>
      </c>
    </row>
    <row r="38" spans="1:9" s="152" customFormat="1" x14ac:dyDescent="0.2">
      <c r="A38" s="126" t="s">
        <v>127</v>
      </c>
      <c r="B38" s="126"/>
      <c r="C38" s="126"/>
      <c r="D38" s="167">
        <f t="shared" si="2"/>
        <v>2.6268986476407843</v>
      </c>
      <c r="E38" s="168">
        <f t="shared" si="2"/>
        <v>6.5672956427944067</v>
      </c>
      <c r="F38" s="168">
        <f t="shared" si="2"/>
        <v>12.283698492796528</v>
      </c>
      <c r="G38" s="168">
        <f t="shared" si="2"/>
        <v>19.648447461503146</v>
      </c>
      <c r="H38" s="169">
        <f t="shared" si="2"/>
        <v>24.663309170444922</v>
      </c>
    </row>
    <row r="39" spans="1:9" s="152" customFormat="1" x14ac:dyDescent="0.2">
      <c r="A39" s="126" t="s">
        <v>128</v>
      </c>
      <c r="B39" s="126"/>
      <c r="C39" s="126"/>
      <c r="D39" s="167">
        <f t="shared" si="2"/>
        <v>0.2627890487506141</v>
      </c>
      <c r="E39" s="168">
        <f t="shared" si="2"/>
        <v>0.72221165870474835</v>
      </c>
      <c r="F39" s="168">
        <f t="shared" si="2"/>
        <v>1.4541630414734068</v>
      </c>
      <c r="G39" s="168">
        <f t="shared" si="2"/>
        <v>2.5067216049792811</v>
      </c>
      <c r="H39" s="169">
        <f t="shared" si="2"/>
        <v>3.4829614248619314</v>
      </c>
    </row>
    <row r="40" spans="1:9" s="152" customFormat="1" x14ac:dyDescent="0.2">
      <c r="A40" s="126" t="s">
        <v>129</v>
      </c>
      <c r="B40" s="126"/>
      <c r="C40" s="126"/>
      <c r="D40" s="167">
        <f>D84</f>
        <v>0</v>
      </c>
      <c r="E40" s="170">
        <v>0</v>
      </c>
      <c r="F40" s="170">
        <v>0</v>
      </c>
      <c r="G40" s="170">
        <v>0</v>
      </c>
      <c r="H40" s="171">
        <v>0</v>
      </c>
    </row>
    <row r="41" spans="1:9" s="152" customFormat="1" x14ac:dyDescent="0.2">
      <c r="A41" s="126" t="s">
        <v>130</v>
      </c>
      <c r="B41" s="126"/>
      <c r="C41" s="126"/>
      <c r="D41" s="172">
        <f>SUM(D35:D36)-SUM(D37:D40)</f>
        <v>-1.975583969366113</v>
      </c>
      <c r="E41" s="173">
        <f>SUM(E35:E36)-SUM(E37:E40)</f>
        <v>-2.4833779553463948</v>
      </c>
      <c r="F41" s="173">
        <f>SUM(F35:F36)-SUM(F37:F40)</f>
        <v>-6.5803705243212427</v>
      </c>
      <c r="G41" s="173">
        <f>SUM(G35:G36)-SUM(G37:G40)</f>
        <v>-9.9844255362499723</v>
      </c>
      <c r="H41" s="174">
        <f>SUM(H35:H36)-SUM(H37:H40)</f>
        <v>-9.7202132625060003</v>
      </c>
    </row>
    <row r="42" spans="1:9" s="152" customFormat="1" x14ac:dyDescent="0.2">
      <c r="A42" s="126" t="s">
        <v>131</v>
      </c>
      <c r="B42" s="126"/>
      <c r="C42" s="126"/>
      <c r="D42" s="172">
        <f>IF(D41&lt;0,0,D41*D65)</f>
        <v>0</v>
      </c>
      <c r="E42" s="173">
        <f>IF(E41&lt;0,0,E41*E65)</f>
        <v>0</v>
      </c>
      <c r="F42" s="173">
        <f>IF(F41&lt;0,0,F41*F65)</f>
        <v>0</v>
      </c>
      <c r="G42" s="173">
        <f>IF(G41&lt;0,0,G41*G65)</f>
        <v>0</v>
      </c>
      <c r="H42" s="174">
        <f>IF(H41&lt;0,0,H41*H65)</f>
        <v>0</v>
      </c>
    </row>
    <row r="43" spans="1:9" s="152" customFormat="1" x14ac:dyDescent="0.2">
      <c r="A43" s="126" t="s">
        <v>132</v>
      </c>
      <c r="B43" s="126"/>
      <c r="C43" s="126"/>
      <c r="D43" s="172">
        <f>D76*D42</f>
        <v>0</v>
      </c>
      <c r="E43" s="173">
        <f>E76*E42</f>
        <v>0</v>
      </c>
      <c r="F43" s="173">
        <f>F76*F42</f>
        <v>0</v>
      </c>
      <c r="G43" s="173">
        <f>G76*G42</f>
        <v>0</v>
      </c>
      <c r="H43" s="174">
        <f>H76*H42</f>
        <v>0</v>
      </c>
    </row>
    <row r="44" spans="1:9" s="152" customFormat="1" x14ac:dyDescent="0.2">
      <c r="A44" s="126" t="s">
        <v>133</v>
      </c>
      <c r="B44" s="126"/>
      <c r="C44" s="126"/>
      <c r="D44" s="172">
        <f>D42-D43</f>
        <v>0</v>
      </c>
      <c r="E44" s="173">
        <f>E42-E43</f>
        <v>0</v>
      </c>
      <c r="F44" s="173">
        <f>F42-F43</f>
        <v>0</v>
      </c>
      <c r="G44" s="173">
        <f>G42-G43</f>
        <v>0</v>
      </c>
      <c r="H44" s="174">
        <f>H42-H43</f>
        <v>0</v>
      </c>
    </row>
    <row r="45" spans="1:9" s="152" customFormat="1" x14ac:dyDescent="0.2">
      <c r="A45" s="126" t="s">
        <v>134</v>
      </c>
      <c r="B45" s="126"/>
      <c r="C45" s="126"/>
      <c r="D45" s="175">
        <f>D44/D71</f>
        <v>0</v>
      </c>
      <c r="E45" s="176">
        <f>E44/E71</f>
        <v>0</v>
      </c>
      <c r="F45" s="176">
        <f>F44/F71</f>
        <v>0</v>
      </c>
      <c r="G45" s="176">
        <f>G44/G71</f>
        <v>0</v>
      </c>
      <c r="H45" s="177">
        <f>H44/H71</f>
        <v>0</v>
      </c>
    </row>
    <row r="46" spans="1:9" s="152" customFormat="1" x14ac:dyDescent="0.2">
      <c r="A46" s="126"/>
      <c r="B46" s="126"/>
      <c r="C46" s="126"/>
      <c r="D46" s="168"/>
      <c r="E46" s="168"/>
      <c r="F46" s="168"/>
      <c r="G46" s="168"/>
      <c r="H46" s="168"/>
    </row>
    <row r="47" spans="1:9" s="152" customFormat="1" x14ac:dyDescent="0.2">
      <c r="A47" s="178"/>
      <c r="B47" s="178"/>
      <c r="C47" s="178"/>
      <c r="D47" s="176"/>
      <c r="E47" s="176"/>
      <c r="F47" s="176"/>
      <c r="G47" s="176"/>
      <c r="H47" s="176"/>
      <c r="I47" s="179"/>
    </row>
    <row r="48" spans="1:9" s="152" customFormat="1" x14ac:dyDescent="0.2">
      <c r="A48" s="126"/>
      <c r="B48" s="126"/>
      <c r="C48" s="126"/>
      <c r="D48" s="168"/>
      <c r="E48" s="168"/>
      <c r="F48" s="168"/>
      <c r="G48" s="168"/>
      <c r="H48" s="168"/>
    </row>
    <row r="49" spans="1:18" s="152" customFormat="1" x14ac:dyDescent="0.2">
      <c r="A49" s="126"/>
      <c r="B49" s="126"/>
      <c r="C49" s="126"/>
      <c r="D49" s="168"/>
      <c r="E49" s="168"/>
      <c r="F49" s="168"/>
      <c r="G49" s="168"/>
      <c r="H49" s="168"/>
    </row>
    <row r="50" spans="1:18" ht="25.5" x14ac:dyDescent="0.2">
      <c r="A50" s="180" t="s">
        <v>135</v>
      </c>
      <c r="B50" s="152"/>
      <c r="C50" s="152"/>
    </row>
    <row r="51" spans="1:18" x14ac:dyDescent="0.2">
      <c r="C51" s="155"/>
      <c r="L51" s="157"/>
      <c r="M51" s="157"/>
      <c r="N51" s="157"/>
      <c r="O51" s="157"/>
      <c r="P51" s="157"/>
      <c r="Q51" s="152"/>
      <c r="R51" s="152"/>
    </row>
    <row r="52" spans="1:18" x14ac:dyDescent="0.2">
      <c r="A52" s="181" t="s">
        <v>113</v>
      </c>
      <c r="B52" s="155"/>
      <c r="C52" s="155"/>
      <c r="D52" s="182">
        <v>2006</v>
      </c>
      <c r="E52" s="182">
        <v>2007</v>
      </c>
      <c r="F52" s="182">
        <v>2008</v>
      </c>
      <c r="G52" s="182">
        <v>2009</v>
      </c>
      <c r="H52" s="182">
        <v>2010</v>
      </c>
      <c r="I52" s="183"/>
      <c r="J52" s="183"/>
      <c r="L52" s="184"/>
      <c r="M52" s="184"/>
      <c r="N52" s="184"/>
      <c r="O52" s="184"/>
      <c r="P52" s="184"/>
      <c r="Q52" s="152"/>
      <c r="R52" s="152"/>
    </row>
    <row r="53" spans="1:18" x14ac:dyDescent="0.2">
      <c r="A53" s="185" t="s">
        <v>136</v>
      </c>
      <c r="B53" s="155"/>
      <c r="C53" s="155"/>
      <c r="D53" s="189">
        <f>D185/1000*$D$27</f>
        <v>0.36535075903859443</v>
      </c>
      <c r="E53" s="189">
        <f>E185/1000*$D$27</f>
        <v>0.97901474756760543</v>
      </c>
      <c r="F53" s="189">
        <f>F185/1000*$D$27</f>
        <v>1.9220285274013955</v>
      </c>
      <c r="G53" s="189">
        <f>G185/1000*$D$27</f>
        <v>3.2305377384171696</v>
      </c>
      <c r="H53" s="189">
        <f>H185/1000*$D$27</f>
        <v>4.3766253036682619</v>
      </c>
      <c r="I53" s="186"/>
      <c r="J53" s="186"/>
      <c r="L53" s="187"/>
      <c r="M53" s="187"/>
      <c r="N53" s="187"/>
      <c r="O53" s="187"/>
      <c r="P53" s="187"/>
      <c r="Q53" s="188"/>
      <c r="R53" s="188"/>
    </row>
    <row r="54" spans="1:18" x14ac:dyDescent="0.2">
      <c r="A54" s="185" t="s">
        <v>137</v>
      </c>
      <c r="B54" s="155"/>
      <c r="C54" s="155"/>
      <c r="D54" s="189">
        <f>D182/1000</f>
        <v>0.95932187838222538</v>
      </c>
      <c r="E54" s="189">
        <f>E182/1000</f>
        <v>2.7284354076386124</v>
      </c>
      <c r="F54" s="189">
        <f>F182/1000</f>
        <v>4.9954585457018927</v>
      </c>
      <c r="G54" s="189">
        <f>G182/1000</f>
        <v>7.916361784260654</v>
      </c>
      <c r="H54" s="189">
        <f>H182/1000</f>
        <v>10.852317021588881</v>
      </c>
      <c r="I54" s="189"/>
      <c r="J54" s="189"/>
      <c r="L54" s="187"/>
      <c r="M54" s="187"/>
      <c r="N54" s="187"/>
      <c r="O54" s="187"/>
      <c r="P54" s="187"/>
      <c r="Q54" s="188"/>
      <c r="R54" s="188"/>
    </row>
    <row r="55" spans="1:18" x14ac:dyDescent="0.2">
      <c r="A55" s="185" t="s">
        <v>138</v>
      </c>
      <c r="B55" s="155"/>
      <c r="C55" s="155"/>
      <c r="D55" s="189">
        <f>D114/1000</f>
        <v>16.632239805457715</v>
      </c>
      <c r="E55" s="189">
        <f>E114/1000</f>
        <v>16.825447391567906</v>
      </c>
      <c r="F55" s="189">
        <f>F114/1000</f>
        <v>18.695589179367598</v>
      </c>
      <c r="G55" s="189">
        <f>G114/1000</f>
        <v>19.029952667386617</v>
      </c>
      <c r="H55" s="189">
        <f>H114/1000</f>
        <v>19.364286430508887</v>
      </c>
      <c r="I55" s="189"/>
      <c r="J55" s="189"/>
      <c r="L55" s="187"/>
      <c r="M55" s="187"/>
      <c r="N55" s="187"/>
      <c r="O55" s="187"/>
      <c r="P55" s="187"/>
      <c r="Q55" s="188"/>
      <c r="R55" s="188"/>
    </row>
    <row r="56" spans="1:18" x14ac:dyDescent="0.2">
      <c r="A56" s="190" t="s">
        <v>139</v>
      </c>
      <c r="B56" s="157"/>
      <c r="C56" s="155"/>
      <c r="D56" s="189">
        <f>D93</f>
        <v>0</v>
      </c>
      <c r="E56" s="189">
        <f>E93</f>
        <v>0</v>
      </c>
      <c r="F56" s="189">
        <f>F93</f>
        <v>0</v>
      </c>
      <c r="G56" s="189">
        <f>G93</f>
        <v>0</v>
      </c>
      <c r="H56" s="189">
        <f>H93</f>
        <v>0</v>
      </c>
      <c r="I56" s="189"/>
      <c r="J56" s="189"/>
      <c r="L56" s="187"/>
      <c r="M56" s="187"/>
      <c r="N56" s="187"/>
      <c r="O56" s="187"/>
      <c r="P56" s="187"/>
      <c r="Q56" s="188"/>
      <c r="R56" s="188"/>
    </row>
    <row r="57" spans="1:18" ht="13.5" thickBot="1" x14ac:dyDescent="0.25">
      <c r="A57" s="181" t="s">
        <v>114</v>
      </c>
      <c r="B57" s="191"/>
      <c r="C57" s="155"/>
      <c r="D57" s="192">
        <f>SUM(D53:D56)</f>
        <v>17.956912442878533</v>
      </c>
      <c r="E57" s="192">
        <f>SUM(E53:E56)</f>
        <v>20.532897546774123</v>
      </c>
      <c r="F57" s="192">
        <f>SUM(F53:F56)</f>
        <v>25.613076252470886</v>
      </c>
      <c r="G57" s="192">
        <f>SUM(G53:G56)</f>
        <v>30.176852190064441</v>
      </c>
      <c r="H57" s="192">
        <f>SUM(H53:H56)</f>
        <v>34.593228755766035</v>
      </c>
      <c r="I57" s="193"/>
      <c r="J57" s="193"/>
      <c r="L57" s="187"/>
      <c r="M57" s="187"/>
      <c r="N57" s="187"/>
      <c r="O57" s="187"/>
      <c r="P57" s="187"/>
      <c r="Q57" s="188"/>
      <c r="R57" s="188"/>
    </row>
    <row r="58" spans="1:18" s="157" customFormat="1" ht="13.5" thickTop="1" x14ac:dyDescent="0.2">
      <c r="A58" s="194"/>
      <c r="B58" s="195"/>
      <c r="D58" s="196"/>
      <c r="E58" s="196"/>
      <c r="F58" s="196"/>
      <c r="G58" s="196"/>
      <c r="H58" s="196"/>
      <c r="I58" s="196"/>
      <c r="J58" s="196"/>
    </row>
    <row r="59" spans="1:18" s="157" customFormat="1" x14ac:dyDescent="0.2">
      <c r="A59" s="179"/>
      <c r="B59" s="179"/>
      <c r="C59" s="179"/>
      <c r="D59" s="197"/>
      <c r="E59" s="197"/>
      <c r="F59" s="197"/>
      <c r="G59" s="197"/>
      <c r="H59" s="197"/>
      <c r="I59" s="189"/>
      <c r="J59" s="189"/>
    </row>
    <row r="60" spans="1:18" s="152" customFormat="1" x14ac:dyDescent="0.2">
      <c r="C60" s="155"/>
    </row>
    <row r="61" spans="1:18" s="152" customFormat="1" x14ac:dyDescent="0.2">
      <c r="A61" s="198" t="s">
        <v>140</v>
      </c>
      <c r="C61" s="155"/>
    </row>
    <row r="62" spans="1:18" s="152" customFormat="1" x14ac:dyDescent="0.2">
      <c r="C62" s="155"/>
      <c r="D62" s="199">
        <v>2006</v>
      </c>
      <c r="E62" s="200">
        <v>2007</v>
      </c>
      <c r="F62" s="200">
        <v>2008</v>
      </c>
      <c r="G62" s="200">
        <v>2009</v>
      </c>
      <c r="H62" s="200">
        <v>2010</v>
      </c>
      <c r="I62" s="201"/>
      <c r="J62" s="201"/>
    </row>
    <row r="63" spans="1:18" s="152" customFormat="1" x14ac:dyDescent="0.2">
      <c r="A63" s="157" t="s">
        <v>16</v>
      </c>
      <c r="C63" s="155"/>
      <c r="D63" s="301">
        <f>'Data 2006-08'!$C$134</f>
        <v>2.5600000000000001E-2</v>
      </c>
      <c r="E63" s="301">
        <f>'Data 2006-08'!$C$134</f>
        <v>2.5600000000000001E-2</v>
      </c>
      <c r="F63" s="301">
        <f>'Data 2006-08'!$C$134</f>
        <v>2.5600000000000001E-2</v>
      </c>
      <c r="G63" s="301">
        <f>'Data 2006-08'!$C$134</f>
        <v>2.5600000000000001E-2</v>
      </c>
      <c r="H63" s="301">
        <f>'Data 2006-08'!$C$134</f>
        <v>2.5600000000000001E-2</v>
      </c>
      <c r="I63" s="202"/>
      <c r="J63" s="202"/>
    </row>
    <row r="64" spans="1:18" s="152" customFormat="1" x14ac:dyDescent="0.2">
      <c r="A64" s="157" t="s">
        <v>141</v>
      </c>
      <c r="D64" s="302">
        <f>'Data 2006-08'!$C$133</f>
        <v>0.6</v>
      </c>
      <c r="E64" s="302">
        <f>'Data 2006-08'!$C$133</f>
        <v>0.6</v>
      </c>
      <c r="F64" s="302">
        <f>'Data 2006-08'!$C$133</f>
        <v>0.6</v>
      </c>
      <c r="G64" s="302">
        <f>'Data 2006-08'!$C$133</f>
        <v>0.6</v>
      </c>
      <c r="H64" s="302">
        <f>'Data 2006-08'!$C$133</f>
        <v>0.6</v>
      </c>
      <c r="I64" s="204"/>
      <c r="J64" s="204"/>
    </row>
    <row r="65" spans="1:10" s="152" customFormat="1" x14ac:dyDescent="0.2">
      <c r="A65" s="157" t="s">
        <v>142</v>
      </c>
      <c r="D65" s="302">
        <f>'Data 2006-08'!$C$169</f>
        <v>0.3</v>
      </c>
      <c r="E65" s="302">
        <f>'Data 2006-08'!$C$169</f>
        <v>0.3</v>
      </c>
      <c r="F65" s="302">
        <f>'Data 2006-08'!$C$169</f>
        <v>0.3</v>
      </c>
      <c r="G65" s="302">
        <f>'Data 2006-08'!$C$169</f>
        <v>0.3</v>
      </c>
      <c r="H65" s="302">
        <f>'Data 2006-08'!$C$169</f>
        <v>0.3</v>
      </c>
      <c r="I65" s="203"/>
      <c r="J65" s="203"/>
    </row>
    <row r="66" spans="1:10" s="152" customFormat="1" x14ac:dyDescent="0.2">
      <c r="A66" s="157" t="s">
        <v>143</v>
      </c>
      <c r="D66" s="205">
        <f>SUM(D53:D55)</f>
        <v>17.956912442878533</v>
      </c>
      <c r="E66" s="205">
        <f>SUM(E53:E55)</f>
        <v>20.532897546774123</v>
      </c>
      <c r="F66" s="205">
        <f>SUM(F53:F55)</f>
        <v>25.613076252470886</v>
      </c>
      <c r="G66" s="205">
        <f>SUM(G53:G55)</f>
        <v>30.176852190064441</v>
      </c>
      <c r="H66" s="205">
        <f>SUM(H53:H55)</f>
        <v>34.593228755766035</v>
      </c>
      <c r="I66" s="205"/>
      <c r="J66" s="205"/>
    </row>
    <row r="67" spans="1:10" s="152" customFormat="1" x14ac:dyDescent="0.2">
      <c r="A67" s="152" t="s">
        <v>144</v>
      </c>
      <c r="D67" s="205">
        <f>D124/1000</f>
        <v>0</v>
      </c>
      <c r="E67" s="205">
        <f>E124/1000</f>
        <v>0</v>
      </c>
      <c r="F67" s="205">
        <f>F124/1000</f>
        <v>0</v>
      </c>
      <c r="G67" s="205">
        <f>G124/1000</f>
        <v>0</v>
      </c>
      <c r="H67" s="205">
        <f>H124/1000</f>
        <v>0</v>
      </c>
      <c r="I67" s="205"/>
      <c r="J67" s="205"/>
    </row>
    <row r="68" spans="1:10" s="152" customFormat="1" x14ac:dyDescent="0.2">
      <c r="A68" s="152" t="s">
        <v>145</v>
      </c>
      <c r="D68" s="206">
        <f>D114/1000</f>
        <v>16.632239805457715</v>
      </c>
      <c r="E68" s="206">
        <f>E114/1000</f>
        <v>16.825447391567906</v>
      </c>
      <c r="F68" s="206">
        <f>F114/1000</f>
        <v>18.695589179367598</v>
      </c>
      <c r="G68" s="206">
        <f>G114/1000</f>
        <v>19.029952667386617</v>
      </c>
      <c r="H68" s="206">
        <f>H114/1000</f>
        <v>19.364286430508887</v>
      </c>
      <c r="I68" s="206"/>
      <c r="J68" s="206"/>
    </row>
    <row r="69" spans="1:10" s="152" customFormat="1" x14ac:dyDescent="0.2">
      <c r="A69" s="157" t="s">
        <v>146</v>
      </c>
      <c r="D69" s="205">
        <f>D185/1000</f>
        <v>6.1923857464168552</v>
      </c>
      <c r="E69" s="205">
        <f>E185/1000</f>
        <v>16.593470297756024</v>
      </c>
      <c r="F69" s="205">
        <f>F185/1000</f>
        <v>32.576754701718571</v>
      </c>
      <c r="G69" s="205">
        <f>G185/1000</f>
        <v>54.754876922324911</v>
      </c>
      <c r="H69" s="205">
        <f>H185/1000</f>
        <v>74.180089892682403</v>
      </c>
      <c r="I69" s="205"/>
      <c r="J69" s="205"/>
    </row>
    <row r="70" spans="1:10" s="152" customFormat="1" x14ac:dyDescent="0.2">
      <c r="A70" s="157" t="str">
        <f>"Debt ("&amp;D64*100&amp;"% of RAB)"</f>
        <v>Debt (60% of RAB)</v>
      </c>
      <c r="D70" s="205">
        <f>D64*D69</f>
        <v>3.7154314478501131</v>
      </c>
      <c r="E70" s="205">
        <f>E64*E69</f>
        <v>9.9560821786536149</v>
      </c>
      <c r="F70" s="205">
        <f>F64*F69</f>
        <v>19.546052821031143</v>
      </c>
      <c r="G70" s="205">
        <f>G64*G69</f>
        <v>32.852926153394947</v>
      </c>
      <c r="H70" s="205">
        <f>H64*H69</f>
        <v>44.508053935609439</v>
      </c>
      <c r="I70" s="205"/>
      <c r="J70" s="205"/>
    </row>
    <row r="71" spans="1:10" s="152" customFormat="1" x14ac:dyDescent="0.2">
      <c r="A71" s="152" t="s">
        <v>147</v>
      </c>
      <c r="D71" s="207">
        <f>(148.4/144.8)*(1+D63)</f>
        <v>1.0510983425414364</v>
      </c>
      <c r="E71" s="207">
        <f>D71*(1+E63)</f>
        <v>1.0780064601104973</v>
      </c>
      <c r="F71" s="207">
        <f>E71*(1+F63)</f>
        <v>1.1056034254893261</v>
      </c>
      <c r="G71" s="207">
        <f>F71*(1+G63)</f>
        <v>1.1339068731818529</v>
      </c>
      <c r="H71" s="207">
        <f>G71*(1+H63)</f>
        <v>1.1629348891353084</v>
      </c>
      <c r="I71" s="208"/>
      <c r="J71" s="208"/>
    </row>
    <row r="72" spans="1:10" s="152" customFormat="1" x14ac:dyDescent="0.2">
      <c r="D72" s="209"/>
      <c r="I72" s="157"/>
      <c r="J72" s="157"/>
    </row>
    <row r="73" spans="1:10" s="152" customFormat="1" x14ac:dyDescent="0.2">
      <c r="A73" s="152" t="s">
        <v>79</v>
      </c>
      <c r="D73" s="303">
        <f>'Data 2006-08'!C128</f>
        <v>2.64E-2</v>
      </c>
      <c r="I73" s="157"/>
      <c r="J73" s="157"/>
    </row>
    <row r="74" spans="1:10" s="152" customFormat="1" x14ac:dyDescent="0.2">
      <c r="A74" s="152" t="s">
        <v>148</v>
      </c>
      <c r="D74" s="304">
        <f>'Data 2006-08'!C129</f>
        <v>1.4250000000000001E-2</v>
      </c>
      <c r="I74" s="157"/>
      <c r="J74" s="157"/>
    </row>
    <row r="75" spans="1:10" s="152" customFormat="1" x14ac:dyDescent="0.2">
      <c r="A75" s="152" t="s">
        <v>84</v>
      </c>
      <c r="D75" s="210">
        <f>(1+SUM(D73:D74))*(1+D63)-1</f>
        <v>6.7290640000000179E-2</v>
      </c>
      <c r="I75" s="157"/>
      <c r="J75" s="157"/>
    </row>
    <row r="76" spans="1:10" s="152" customFormat="1" x14ac:dyDescent="0.2">
      <c r="A76" s="152" t="s">
        <v>17</v>
      </c>
      <c r="D76" s="305">
        <f>'Data 2006-08'!C132</f>
        <v>0.5</v>
      </c>
      <c r="I76" s="157"/>
      <c r="J76" s="157"/>
    </row>
    <row r="77" spans="1:10" s="152" customFormat="1" x14ac:dyDescent="0.2">
      <c r="I77" s="157"/>
      <c r="J77" s="157"/>
    </row>
    <row r="78" spans="1:10" s="152" customFormat="1" x14ac:dyDescent="0.2">
      <c r="A78" s="198" t="s">
        <v>149</v>
      </c>
      <c r="D78" s="199">
        <v>2006</v>
      </c>
      <c r="E78" s="200">
        <v>2007</v>
      </c>
      <c r="F78" s="200">
        <v>2008</v>
      </c>
      <c r="G78" s="200">
        <v>2009</v>
      </c>
      <c r="H78" s="200">
        <v>2010</v>
      </c>
      <c r="I78" s="201"/>
      <c r="J78" s="201"/>
    </row>
    <row r="79" spans="1:10" s="152" customFormat="1" x14ac:dyDescent="0.2">
      <c r="A79" s="152" t="s">
        <v>150</v>
      </c>
      <c r="D79" s="211">
        <f t="shared" ref="D79:H81" si="3">D66*D$71</f>
        <v>18.874480905871323</v>
      </c>
      <c r="E79" s="211">
        <f t="shared" si="3"/>
        <v>22.134596200209486</v>
      </c>
      <c r="F79" s="211">
        <f t="shared" si="3"/>
        <v>28.317904842051124</v>
      </c>
      <c r="G79" s="211">
        <f t="shared" si="3"/>
        <v>34.217740109306916</v>
      </c>
      <c r="H79" s="211">
        <f t="shared" si="3"/>
        <v>40.229672647919138</v>
      </c>
      <c r="I79" s="206"/>
      <c r="J79" s="206"/>
    </row>
    <row r="80" spans="1:10" s="152" customFormat="1" x14ac:dyDescent="0.2">
      <c r="A80" s="152" t="s">
        <v>4</v>
      </c>
      <c r="D80" s="206">
        <f t="shared" si="3"/>
        <v>0</v>
      </c>
      <c r="E80" s="206">
        <f t="shared" si="3"/>
        <v>0</v>
      </c>
      <c r="F80" s="206">
        <f t="shared" si="3"/>
        <v>0</v>
      </c>
      <c r="G80" s="206">
        <f t="shared" si="3"/>
        <v>0</v>
      </c>
      <c r="H80" s="206">
        <f t="shared" si="3"/>
        <v>0</v>
      </c>
      <c r="I80" s="206"/>
      <c r="J80" s="206"/>
    </row>
    <row r="81" spans="1:10" s="152" customFormat="1" x14ac:dyDescent="0.2">
      <c r="A81" s="152" t="s">
        <v>126</v>
      </c>
      <c r="D81" s="206">
        <f t="shared" si="3"/>
        <v>17.482119692268306</v>
      </c>
      <c r="E81" s="206">
        <f t="shared" si="3"/>
        <v>18.137940982359517</v>
      </c>
      <c r="F81" s="206">
        <f t="shared" si="3"/>
        <v>20.669907438249997</v>
      </c>
      <c r="G81" s="206">
        <f t="shared" si="3"/>
        <v>21.578194125875019</v>
      </c>
      <c r="H81" s="206">
        <f t="shared" si="3"/>
        <v>22.519404293248211</v>
      </c>
      <c r="I81" s="206"/>
      <c r="J81" s="206"/>
    </row>
    <row r="82" spans="1:10" s="152" customFormat="1" x14ac:dyDescent="0.2">
      <c r="A82" s="152" t="s">
        <v>127</v>
      </c>
      <c r="D82" s="206">
        <f>D307/1000</f>
        <v>2.6268986476407843</v>
      </c>
      <c r="E82" s="206">
        <f>E307/1000</f>
        <v>6.5672956427944067</v>
      </c>
      <c r="F82" s="206">
        <f>F307/1000</f>
        <v>12.283698492796528</v>
      </c>
      <c r="G82" s="206">
        <f>G307/1000</f>
        <v>19.648447461503146</v>
      </c>
      <c r="H82" s="206">
        <f>H307/1000</f>
        <v>24.663309170444922</v>
      </c>
      <c r="I82" s="206"/>
      <c r="J82" s="206"/>
    </row>
    <row r="83" spans="1:10" s="152" customFormat="1" x14ac:dyDescent="0.2">
      <c r="A83" s="152" t="s">
        <v>128</v>
      </c>
      <c r="D83" s="206">
        <f>D70*D71*$D$75</f>
        <v>0.2627890487506141</v>
      </c>
      <c r="E83" s="206">
        <f>E70*E71*$D$75</f>
        <v>0.72221165870474835</v>
      </c>
      <c r="F83" s="206">
        <f>F70*F71*$D$75</f>
        <v>1.4541630414734068</v>
      </c>
      <c r="G83" s="206">
        <f>G70*G71*$D$75</f>
        <v>2.5067216049792811</v>
      </c>
      <c r="H83" s="206">
        <f>H70*H71*$D$75</f>
        <v>3.4829614248619314</v>
      </c>
      <c r="I83" s="206"/>
      <c r="J83" s="206"/>
    </row>
    <row r="84" spans="1:10" s="152" customFormat="1" x14ac:dyDescent="0.2">
      <c r="A84" s="152" t="s">
        <v>129</v>
      </c>
      <c r="D84" s="206">
        <v>0</v>
      </c>
      <c r="E84" s="206">
        <f>IF(D85&lt;0,-D85,0)</f>
        <v>1.4973264827883845</v>
      </c>
      <c r="F84" s="206">
        <f>IF(E85&lt;0,-E85,0)</f>
        <v>4.790178566437568</v>
      </c>
      <c r="G84" s="206">
        <f>IF(F85&lt;0,-F85,0)</f>
        <v>10.880042696906376</v>
      </c>
      <c r="H84" s="206">
        <f>IF(G85&lt;0,-G85,0)</f>
        <v>20.395665779956914</v>
      </c>
      <c r="I84" s="206"/>
      <c r="J84" s="206"/>
    </row>
    <row r="85" spans="1:10" s="152" customFormat="1" x14ac:dyDescent="0.2">
      <c r="A85" s="152" t="s">
        <v>151</v>
      </c>
      <c r="D85" s="206">
        <f>SUM(D79:D80)-SUM(D81:D84)</f>
        <v>-1.4973264827883845</v>
      </c>
      <c r="E85" s="206">
        <f>SUM(E79:E80)-SUM(E81:E84)</f>
        <v>-4.790178566437568</v>
      </c>
      <c r="F85" s="206">
        <f>SUM(F79:F80)-SUM(F81:F84)</f>
        <v>-10.880042696906376</v>
      </c>
      <c r="G85" s="206">
        <f>SUM(G79:G80)-SUM(G81:G84)</f>
        <v>-20.395665779956914</v>
      </c>
      <c r="H85" s="206">
        <f>SUM(H79:H80)-SUM(H81:H84)</f>
        <v>-30.831668020592836</v>
      </c>
      <c r="I85" s="206"/>
      <c r="J85" s="206"/>
    </row>
    <row r="86" spans="1:10" s="152" customFormat="1" x14ac:dyDescent="0.2">
      <c r="A86" s="152" t="s">
        <v>152</v>
      </c>
      <c r="D86" s="206">
        <f>IF(D85&lt;0,0,D85*D65/(1-D65*(1-$D$76)))</f>
        <v>0</v>
      </c>
      <c r="E86" s="206">
        <f>IF(E85&lt;0,0,E85*E65/(1-E65*(1-$D$76)))</f>
        <v>0</v>
      </c>
      <c r="F86" s="206">
        <f>IF(F85&lt;0,0,F85*F65/(1-F65*(1-$D$76)))</f>
        <v>0</v>
      </c>
      <c r="G86" s="206">
        <f>IF(G85&lt;0,0,G85*G65/(1-G65*(1-$D$76)))</f>
        <v>0</v>
      </c>
      <c r="H86" s="206">
        <f>IF(H85&lt;0,0,H85*H65/(1-H65*(1-$D$76)))</f>
        <v>0</v>
      </c>
      <c r="I86" s="206"/>
      <c r="J86" s="206"/>
    </row>
    <row r="87" spans="1:10" s="152" customFormat="1" x14ac:dyDescent="0.2">
      <c r="A87" s="152" t="s">
        <v>132</v>
      </c>
      <c r="D87" s="212">
        <f>D86*$D$76</f>
        <v>0</v>
      </c>
      <c r="E87" s="212">
        <f>E86*$D$76</f>
        <v>0</v>
      </c>
      <c r="F87" s="212">
        <f>F86*$D$76</f>
        <v>0</v>
      </c>
      <c r="G87" s="212">
        <f>G86*$D$76</f>
        <v>0</v>
      </c>
      <c r="H87" s="212">
        <f>H86*$D$76</f>
        <v>0</v>
      </c>
      <c r="I87" s="206"/>
      <c r="J87" s="206"/>
    </row>
    <row r="88" spans="1:10" s="152" customFormat="1" x14ac:dyDescent="0.2">
      <c r="A88" s="152" t="s">
        <v>153</v>
      </c>
      <c r="D88" s="213">
        <f>D86-D87</f>
        <v>0</v>
      </c>
      <c r="E88" s="213">
        <f>E86-E87</f>
        <v>0</v>
      </c>
      <c r="F88" s="213">
        <f>F86-F87</f>
        <v>0</v>
      </c>
      <c r="G88" s="213">
        <f>G86-G87</f>
        <v>0</v>
      </c>
      <c r="H88" s="213">
        <f>H86-H87</f>
        <v>0</v>
      </c>
      <c r="I88" s="214"/>
      <c r="J88" s="214"/>
    </row>
    <row r="89" spans="1:10" s="152" customFormat="1" x14ac:dyDescent="0.2">
      <c r="I89" s="157"/>
      <c r="J89" s="157"/>
    </row>
    <row r="90" spans="1:10" s="152" customFormat="1" x14ac:dyDescent="0.2">
      <c r="A90" s="198" t="s">
        <v>113</v>
      </c>
      <c r="D90" s="199">
        <v>2006</v>
      </c>
      <c r="E90" s="200">
        <v>2007</v>
      </c>
      <c r="F90" s="200">
        <v>2008</v>
      </c>
      <c r="G90" s="200">
        <v>2009</v>
      </c>
      <c r="H90" s="200">
        <v>2010</v>
      </c>
      <c r="I90" s="201"/>
      <c r="J90" s="201"/>
    </row>
    <row r="91" spans="1:10" s="152" customFormat="1" x14ac:dyDescent="0.2">
      <c r="A91" s="152" t="s">
        <v>152</v>
      </c>
      <c r="D91" s="211">
        <f t="shared" ref="D91:H92" si="4">D86/D$71</f>
        <v>0</v>
      </c>
      <c r="E91" s="211">
        <f t="shared" si="4"/>
        <v>0</v>
      </c>
      <c r="F91" s="211">
        <f t="shared" si="4"/>
        <v>0</v>
      </c>
      <c r="G91" s="211">
        <f t="shared" si="4"/>
        <v>0</v>
      </c>
      <c r="H91" s="211">
        <f t="shared" si="4"/>
        <v>0</v>
      </c>
      <c r="I91" s="206"/>
      <c r="J91" s="206"/>
    </row>
    <row r="92" spans="1:10" s="152" customFormat="1" x14ac:dyDescent="0.2">
      <c r="A92" s="152" t="s">
        <v>132</v>
      </c>
      <c r="D92" s="212">
        <f t="shared" si="4"/>
        <v>0</v>
      </c>
      <c r="E92" s="212">
        <f t="shared" si="4"/>
        <v>0</v>
      </c>
      <c r="F92" s="212">
        <f t="shared" si="4"/>
        <v>0</v>
      </c>
      <c r="G92" s="212">
        <f t="shared" si="4"/>
        <v>0</v>
      </c>
      <c r="H92" s="212">
        <f t="shared" si="4"/>
        <v>0</v>
      </c>
      <c r="I92" s="206"/>
      <c r="J92" s="206"/>
    </row>
    <row r="93" spans="1:10" s="152" customFormat="1" x14ac:dyDescent="0.2">
      <c r="A93" s="152" t="s">
        <v>154</v>
      </c>
      <c r="D93" s="213">
        <f>D91-D92</f>
        <v>0</v>
      </c>
      <c r="E93" s="213">
        <f>E91-E92</f>
        <v>0</v>
      </c>
      <c r="F93" s="213">
        <f>F91-F92</f>
        <v>0</v>
      </c>
      <c r="G93" s="213">
        <f>G91-G92</f>
        <v>0</v>
      </c>
      <c r="H93" s="213">
        <f>H91-H92</f>
        <v>0</v>
      </c>
      <c r="I93" s="214"/>
      <c r="J93" s="214"/>
    </row>
    <row r="94" spans="1:10" s="152" customFormat="1" x14ac:dyDescent="0.2">
      <c r="D94" s="209"/>
      <c r="E94" s="209"/>
      <c r="F94" s="209"/>
      <c r="G94" s="209"/>
      <c r="H94" s="209"/>
      <c r="I94" s="208"/>
      <c r="J94" s="208"/>
    </row>
    <row r="95" spans="1:10" s="152" customFormat="1" x14ac:dyDescent="0.2">
      <c r="A95" s="152" t="s">
        <v>155</v>
      </c>
      <c r="D95" s="215">
        <f>D93/D69</f>
        <v>0</v>
      </c>
      <c r="E95" s="215">
        <f>E93/E69</f>
        <v>0</v>
      </c>
      <c r="F95" s="215">
        <f>F93/F69</f>
        <v>0</v>
      </c>
      <c r="G95" s="215">
        <f>G93/G69</f>
        <v>0</v>
      </c>
      <c r="H95" s="215">
        <f>H93/H69</f>
        <v>0</v>
      </c>
      <c r="I95" s="161"/>
      <c r="J95" s="161"/>
    </row>
    <row r="96" spans="1:10" x14ac:dyDescent="0.2">
      <c r="I96" s="157"/>
      <c r="J96" s="157"/>
    </row>
    <row r="97" spans="1:10" x14ac:dyDescent="0.2">
      <c r="I97" s="157"/>
      <c r="J97" s="157"/>
    </row>
    <row r="98" spans="1:10" x14ac:dyDescent="0.2">
      <c r="A98" s="178"/>
      <c r="B98" s="178"/>
      <c r="C98" s="178"/>
      <c r="D98" s="178"/>
      <c r="E98" s="178"/>
      <c r="F98" s="178"/>
      <c r="G98" s="178"/>
      <c r="H98" s="178"/>
      <c r="I98" s="157"/>
      <c r="J98" s="157"/>
    </row>
    <row r="99" spans="1:10" x14ac:dyDescent="0.2">
      <c r="A99" s="133"/>
      <c r="I99" s="157"/>
      <c r="J99" s="157"/>
    </row>
    <row r="100" spans="1:10" x14ac:dyDescent="0.2">
      <c r="A100" s="162" t="s">
        <v>156</v>
      </c>
      <c r="I100" s="157"/>
      <c r="J100" s="157"/>
    </row>
    <row r="101" spans="1:10" x14ac:dyDescent="0.2">
      <c r="A101" s="130" t="s">
        <v>157</v>
      </c>
      <c r="B101" s="216"/>
      <c r="C101" s="217"/>
      <c r="D101" s="134">
        <v>2006</v>
      </c>
      <c r="E101" s="134">
        <v>2007</v>
      </c>
      <c r="F101" s="134">
        <v>2008</v>
      </c>
      <c r="G101" s="134">
        <v>2009</v>
      </c>
      <c r="H101" s="134">
        <v>2010</v>
      </c>
      <c r="I101" s="216"/>
      <c r="J101" s="216"/>
    </row>
    <row r="102" spans="1:10" x14ac:dyDescent="0.2">
      <c r="A102" s="133"/>
      <c r="B102" s="157"/>
      <c r="C102" s="157"/>
      <c r="I102" s="157"/>
      <c r="J102" s="157"/>
    </row>
    <row r="103" spans="1:10" x14ac:dyDescent="0.2">
      <c r="A103" s="128" t="s">
        <v>158</v>
      </c>
      <c r="B103" s="157"/>
      <c r="C103" s="157"/>
      <c r="I103" s="157"/>
      <c r="J103" s="157"/>
    </row>
    <row r="104" spans="1:10" x14ac:dyDescent="0.2">
      <c r="A104" s="155" t="s">
        <v>159</v>
      </c>
      <c r="B104" s="218"/>
      <c r="C104" s="219"/>
      <c r="D104" s="220">
        <f>D349*J349/1000</f>
        <v>1226.0000000000002</v>
      </c>
      <c r="E104" s="220">
        <f>E349*K349/1000</f>
        <v>1245.0000000000005</v>
      </c>
      <c r="F104" s="220">
        <f>F349*L349/1000</f>
        <v>1228</v>
      </c>
      <c r="G104" s="220">
        <f>G349*M349/1000</f>
        <v>1210.0870228849401</v>
      </c>
      <c r="H104" s="220">
        <f>H349*N349/1000</f>
        <v>1193.4952009413314</v>
      </c>
      <c r="I104" s="221"/>
      <c r="J104" s="221"/>
    </row>
    <row r="105" spans="1:10" x14ac:dyDescent="0.2">
      <c r="A105" s="155" t="s">
        <v>90</v>
      </c>
      <c r="B105" s="220"/>
      <c r="C105" s="219"/>
      <c r="D105" s="220">
        <f>D350/1000</f>
        <v>420</v>
      </c>
      <c r="E105" s="220">
        <f>E350/1000</f>
        <v>420</v>
      </c>
      <c r="F105" s="220">
        <f>F350/1000</f>
        <v>420</v>
      </c>
      <c r="G105" s="220">
        <f>G350/1000</f>
        <v>420</v>
      </c>
      <c r="H105" s="220">
        <f>H350/1000</f>
        <v>420</v>
      </c>
      <c r="I105" s="220"/>
      <c r="J105" s="220"/>
    </row>
    <row r="106" spans="1:10" x14ac:dyDescent="0.2">
      <c r="A106" s="222" t="s">
        <v>45</v>
      </c>
      <c r="B106" s="220"/>
      <c r="C106" s="219"/>
      <c r="D106" s="223">
        <f>SUM(D104:D105)</f>
        <v>1646.0000000000002</v>
      </c>
      <c r="E106" s="223">
        <f>SUM(E104:E105)</f>
        <v>1665.0000000000005</v>
      </c>
      <c r="F106" s="223">
        <f>SUM(F104:F105)</f>
        <v>1648</v>
      </c>
      <c r="G106" s="223">
        <f>SUM(G104:G105)</f>
        <v>1630.0870228849401</v>
      </c>
      <c r="H106" s="223">
        <f>SUM(H104:H105)</f>
        <v>1613.4952009413314</v>
      </c>
      <c r="I106" s="220"/>
      <c r="J106" s="220"/>
    </row>
    <row r="107" spans="1:10" x14ac:dyDescent="0.2">
      <c r="A107" s="133"/>
      <c r="B107" s="224"/>
      <c r="C107" s="219"/>
      <c r="D107" s="131"/>
      <c r="E107" s="131"/>
      <c r="F107" s="131"/>
      <c r="G107" s="131"/>
      <c r="H107" s="131"/>
      <c r="I107" s="220"/>
      <c r="J107" s="220"/>
    </row>
    <row r="108" spans="1:10" x14ac:dyDescent="0.2">
      <c r="A108" s="225" t="s">
        <v>160</v>
      </c>
      <c r="B108" s="226"/>
      <c r="C108" s="219"/>
      <c r="D108" s="227"/>
      <c r="E108" s="131"/>
      <c r="F108" s="131"/>
      <c r="G108" s="131"/>
      <c r="H108" s="131"/>
      <c r="I108" s="220"/>
      <c r="J108" s="220"/>
    </row>
    <row r="109" spans="1:10" x14ac:dyDescent="0.2">
      <c r="A109" t="s">
        <v>24</v>
      </c>
      <c r="B109" s="220"/>
      <c r="C109" s="219"/>
      <c r="D109" s="220">
        <f>(((D365*12+D367)*J370+(D365*4+D367)*J371)+((D366*12+D368)*J372+(D366*4+D368)*J373))/1000</f>
        <v>8217.7584121904783</v>
      </c>
      <c r="E109" s="220">
        <f>(((E365*12+E367)*K370+(E365*4+E367)*K371)+((E366*12+E368)*K372+(E366*4+E368)*K373))/1000</f>
        <v>8491.0986150406861</v>
      </c>
      <c r="F109" s="220">
        <f>(((F365*12+F367)*L370+(F365*4+F367)*L371)+((F366*12+F368)*L372+(F366*4+F368)*L373))/1000</f>
        <v>8814.3692569719806</v>
      </c>
      <c r="G109" s="220">
        <f>(((G365*12+G367)*M370+(G365*4+G367)*M371)+((G366*12+G368)*M372+(G366*4+G368)*M373))/1000</f>
        <v>9138.6753182674383</v>
      </c>
      <c r="H109" s="220">
        <f>(((H365*12+H367)*N370+(H365*4+H367)*N371)+((H366*12+H368)*N372+(H366*4+H368)*N373))/1000</f>
        <v>9474.2230899699407</v>
      </c>
      <c r="I109" s="221"/>
      <c r="J109" s="221"/>
    </row>
    <row r="110" spans="1:10" x14ac:dyDescent="0.2">
      <c r="A110" s="228" t="s">
        <v>161</v>
      </c>
      <c r="B110" s="226"/>
      <c r="C110" s="219"/>
      <c r="D110" s="220">
        <f>SUMPRODUCT(D356:D362,J356:J362)/1000</f>
        <v>524.07484200810632</v>
      </c>
      <c r="E110" s="220">
        <f>SUMPRODUCT(E356:E362,K356:K362)/1000</f>
        <v>303.58641847367193</v>
      </c>
      <c r="F110" s="220">
        <f>SUMPRODUCT(F356:F362,L356:L362)/1000</f>
        <v>1867.4575643420726</v>
      </c>
      <c r="G110" s="220">
        <f>SUMPRODUCT(G356:G362,M356:M362)/1000</f>
        <v>1895.4279681806904</v>
      </c>
      <c r="H110" s="220">
        <f>SUMPRODUCT(H356:H362,N356:N362)/1000</f>
        <v>1910.8057815440689</v>
      </c>
      <c r="I110" s="221"/>
      <c r="J110" s="221"/>
    </row>
    <row r="111" spans="1:10" x14ac:dyDescent="0.2">
      <c r="A111" s="157" t="s">
        <v>54</v>
      </c>
      <c r="B111" s="226"/>
      <c r="C111" s="219"/>
      <c r="D111" s="220">
        <f>SUM(D351,D375)/1000</f>
        <v>6244.4065512591296</v>
      </c>
      <c r="E111" s="220">
        <f>SUM(E351,E375)/1000</f>
        <v>6365.7623580535455</v>
      </c>
      <c r="F111" s="220">
        <f>SUM(F351,F375)/1000</f>
        <v>6365.7623580535455</v>
      </c>
      <c r="G111" s="220">
        <f>SUM(G351,G375)/1000</f>
        <v>6365.7623580535455</v>
      </c>
      <c r="H111" s="220">
        <f>SUM(H351,H375)/1000</f>
        <v>6365.7623580535455</v>
      </c>
      <c r="I111" s="221"/>
      <c r="J111" s="221"/>
    </row>
    <row r="112" spans="1:10" x14ac:dyDescent="0.2">
      <c r="A112" s="229" t="s">
        <v>45</v>
      </c>
      <c r="B112" s="220"/>
      <c r="C112" s="219"/>
      <c r="D112" s="223">
        <f>SUM(D109:D111)</f>
        <v>14986.239805457713</v>
      </c>
      <c r="E112" s="223">
        <f>SUM(E109:E111)</f>
        <v>15160.447391567903</v>
      </c>
      <c r="F112" s="223">
        <f>SUM(F109:F111)</f>
        <v>17047.589179367598</v>
      </c>
      <c r="G112" s="223">
        <f>SUM(G109:G111)</f>
        <v>17399.865644501675</v>
      </c>
      <c r="H112" s="223">
        <f>SUM(H109:H111)</f>
        <v>17750.791229567556</v>
      </c>
      <c r="I112" s="220"/>
      <c r="J112" s="220"/>
    </row>
    <row r="113" spans="1:10" x14ac:dyDescent="0.2">
      <c r="B113" s="220"/>
      <c r="C113" s="219"/>
      <c r="D113" s="131"/>
      <c r="E113" s="131"/>
      <c r="F113" s="131"/>
      <c r="G113" s="131"/>
      <c r="H113" s="131"/>
      <c r="I113" s="220"/>
      <c r="J113" s="220"/>
    </row>
    <row r="114" spans="1:10" x14ac:dyDescent="0.2">
      <c r="A114" s="155" t="s">
        <v>162</v>
      </c>
      <c r="B114" s="226"/>
      <c r="C114" s="219"/>
      <c r="D114" s="223">
        <f>SUM(D106,D112)</f>
        <v>16632.239805457713</v>
      </c>
      <c r="E114" s="223">
        <f>SUM(E106,E112)</f>
        <v>16825.447391567905</v>
      </c>
      <c r="F114" s="223">
        <f>SUM(F106,F112)</f>
        <v>18695.589179367598</v>
      </c>
      <c r="G114" s="223">
        <f>SUM(G106,G112)</f>
        <v>19029.952667386617</v>
      </c>
      <c r="H114" s="223">
        <f>SUM(H106,H112)</f>
        <v>19364.286430508888</v>
      </c>
      <c r="I114" s="220"/>
      <c r="J114" s="220"/>
    </row>
    <row r="115" spans="1:10" x14ac:dyDescent="0.2">
      <c r="A115" s="133"/>
      <c r="B115" s="224"/>
      <c r="C115" s="219"/>
      <c r="D115" s="218"/>
      <c r="E115" s="218"/>
      <c r="F115" s="218"/>
      <c r="G115" s="218"/>
      <c r="H115" s="218"/>
      <c r="I115" s="220"/>
      <c r="J115" s="220"/>
    </row>
    <row r="116" spans="1:10" x14ac:dyDescent="0.2">
      <c r="A116" s="230"/>
      <c r="B116" s="178"/>
      <c r="C116" s="178"/>
      <c r="D116" s="178"/>
      <c r="E116" s="178"/>
      <c r="F116" s="178"/>
      <c r="G116" s="178"/>
      <c r="H116" s="178"/>
      <c r="I116" s="157"/>
      <c r="J116" s="157"/>
    </row>
    <row r="117" spans="1:10" x14ac:dyDescent="0.2">
      <c r="I117" s="157"/>
      <c r="J117" s="157"/>
    </row>
    <row r="118" spans="1:10" x14ac:dyDescent="0.2">
      <c r="A118" s="133"/>
      <c r="B118" s="198"/>
      <c r="C118" s="198"/>
      <c r="D118" s="131"/>
      <c r="E118" s="131"/>
      <c r="F118" s="131"/>
      <c r="G118" s="131"/>
      <c r="H118" s="131"/>
      <c r="I118" s="220"/>
      <c r="J118" s="220"/>
    </row>
    <row r="119" spans="1:10" x14ac:dyDescent="0.2">
      <c r="A119" s="162" t="s">
        <v>163</v>
      </c>
      <c r="I119" s="157"/>
      <c r="J119" s="157"/>
    </row>
    <row r="120" spans="1:10" x14ac:dyDescent="0.2">
      <c r="A120" s="130" t="s">
        <v>157</v>
      </c>
      <c r="B120" s="216"/>
      <c r="D120" s="134">
        <v>2006</v>
      </c>
      <c r="E120" s="134">
        <v>2007</v>
      </c>
      <c r="F120" s="134">
        <v>2008</v>
      </c>
      <c r="G120" s="134">
        <v>2009</v>
      </c>
      <c r="H120" s="134">
        <v>2010</v>
      </c>
      <c r="I120" s="216"/>
      <c r="J120" s="216"/>
    </row>
    <row r="121" spans="1:10" x14ac:dyDescent="0.2">
      <c r="A121" s="155"/>
      <c r="B121" s="224"/>
      <c r="D121" s="130"/>
      <c r="E121" s="130"/>
      <c r="F121" s="130"/>
      <c r="G121" s="130"/>
      <c r="H121" s="130"/>
      <c r="I121" s="157"/>
      <c r="J121" s="157"/>
    </row>
    <row r="122" spans="1:10" x14ac:dyDescent="0.2">
      <c r="A122" s="155" t="s">
        <v>164</v>
      </c>
      <c r="B122" s="231"/>
      <c r="D122" s="220">
        <f>(D323*J323+D332*J332)/1000</f>
        <v>892.71812499999999</v>
      </c>
      <c r="E122" s="220">
        <f>(E323*K323+E332*K332)/1000</f>
        <v>0</v>
      </c>
      <c r="F122" s="220">
        <f>(F323*L323+F332*L332)/1000</f>
        <v>0</v>
      </c>
      <c r="G122" s="220">
        <f>(G323*M323+G332*M332)/1000</f>
        <v>0</v>
      </c>
      <c r="H122" s="220">
        <f>(H323*N323+H332*N332)/1000</f>
        <v>0</v>
      </c>
      <c r="I122" s="221"/>
      <c r="J122" s="221"/>
    </row>
    <row r="123" spans="1:10" x14ac:dyDescent="0.2">
      <c r="A123" s="155" t="s">
        <v>165</v>
      </c>
      <c r="B123" s="231"/>
      <c r="D123" s="220">
        <f>(SUMPRODUCT(D325:D329,J325:J329)+SUMPRODUCT(D334:D338,J334:J338))/1000</f>
        <v>5971.3752462159355</v>
      </c>
      <c r="E123" s="220">
        <f>(SUMPRODUCT(E325:E329,K325:K329)+SUMPRODUCT(E334:E338,K334:K338))/1000</f>
        <v>6095.833017483239</v>
      </c>
      <c r="F123" s="220">
        <f>(SUMPRODUCT(F325:F329,L325:L329)+SUMPRODUCT(F334:F338,L334:L338))/1000</f>
        <v>27944.629743782363</v>
      </c>
      <c r="G123" s="220">
        <f>(SUMPRODUCT(G325:G329,M325:M329)+SUMPRODUCT(G334:G338,M334:M338))/1000</f>
        <v>28173.435027392858</v>
      </c>
      <c r="H123" s="220">
        <f>(SUMPRODUCT(H325:H329,N325:N329)+SUMPRODUCT(H334:H338,N334:N338))/1000</f>
        <v>28345.669719171659</v>
      </c>
      <c r="I123" s="221"/>
      <c r="J123" s="221"/>
    </row>
    <row r="124" spans="1:10" x14ac:dyDescent="0.2">
      <c r="A124" s="155" t="s">
        <v>4</v>
      </c>
      <c r="B124" s="232"/>
      <c r="D124" s="538">
        <v>0</v>
      </c>
      <c r="E124" s="538">
        <v>0</v>
      </c>
      <c r="F124" s="538">
        <v>0</v>
      </c>
      <c r="G124" s="538">
        <v>0</v>
      </c>
      <c r="H124" s="538">
        <v>0</v>
      </c>
      <c r="I124" s="221"/>
      <c r="J124" s="221"/>
    </row>
    <row r="125" spans="1:10" x14ac:dyDescent="0.2">
      <c r="A125" s="229" t="s">
        <v>166</v>
      </c>
      <c r="B125" s="233"/>
      <c r="D125" s="223">
        <f>D122+D123-D124</f>
        <v>6864.0933712159358</v>
      </c>
      <c r="E125" s="223">
        <f>E122+E123-E124</f>
        <v>6095.833017483239</v>
      </c>
      <c r="F125" s="223">
        <f>F122+F123-F124</f>
        <v>27944.629743782363</v>
      </c>
      <c r="G125" s="223">
        <f>G122+G123-G124</f>
        <v>28173.435027392858</v>
      </c>
      <c r="H125" s="223">
        <f>H122+H123-H124</f>
        <v>28345.669719171659</v>
      </c>
      <c r="I125" s="220"/>
      <c r="J125" s="220"/>
    </row>
    <row r="126" spans="1:10" x14ac:dyDescent="0.2">
      <c r="A126" s="155"/>
      <c r="B126" s="232"/>
      <c r="D126" s="220"/>
      <c r="E126" s="220"/>
      <c r="F126" s="220"/>
      <c r="G126" s="220"/>
      <c r="H126" s="220"/>
      <c r="I126" s="220"/>
      <c r="J126" s="220"/>
    </row>
    <row r="127" spans="1:10" x14ac:dyDescent="0.2">
      <c r="A127" s="155" t="s">
        <v>90</v>
      </c>
      <c r="B127" s="231"/>
      <c r="D127" s="220">
        <f>D340/1000</f>
        <v>5730</v>
      </c>
      <c r="E127" s="220">
        <f>E340/1000</f>
        <v>5000</v>
      </c>
      <c r="F127" s="220">
        <f>F340/1000</f>
        <v>500</v>
      </c>
      <c r="G127" s="220">
        <f>G340/1000</f>
        <v>500</v>
      </c>
      <c r="H127" s="220">
        <f>H340/1000</f>
        <v>500</v>
      </c>
      <c r="I127" s="220"/>
      <c r="J127" s="220"/>
    </row>
    <row r="128" spans="1:10" x14ac:dyDescent="0.2">
      <c r="A128" s="157" t="s">
        <v>167</v>
      </c>
      <c r="B128" s="231"/>
      <c r="D128" s="220">
        <f>D342/1000</f>
        <v>750</v>
      </c>
      <c r="E128" s="220">
        <f>E342/1000</f>
        <v>50</v>
      </c>
      <c r="F128" s="220">
        <f>F342/1000</f>
        <v>100</v>
      </c>
      <c r="G128" s="220">
        <f>G342/1000</f>
        <v>50</v>
      </c>
      <c r="H128" s="220">
        <f>H342/1000</f>
        <v>50</v>
      </c>
      <c r="I128" s="221"/>
      <c r="J128" s="221"/>
    </row>
    <row r="129" spans="1:10" x14ac:dyDescent="0.2">
      <c r="A129" s="155"/>
      <c r="B129" s="157"/>
      <c r="D129" s="234"/>
      <c r="E129" s="234"/>
      <c r="F129" s="234"/>
      <c r="G129" s="234"/>
      <c r="H129" s="234"/>
      <c r="I129" s="220"/>
      <c r="J129" s="220"/>
    </row>
    <row r="130" spans="1:10" x14ac:dyDescent="0.2">
      <c r="A130" s="155" t="s">
        <v>168</v>
      </c>
      <c r="B130" s="226"/>
      <c r="D130" s="223">
        <f>SUM(D125:D128)</f>
        <v>13344.093371215935</v>
      </c>
      <c r="E130" s="223">
        <f>SUM(E125:E128)</f>
        <v>11145.833017483239</v>
      </c>
      <c r="F130" s="223">
        <f>SUM(F125:F128)</f>
        <v>28544.629743782363</v>
      </c>
      <c r="G130" s="223">
        <f>SUM(G125:G128)</f>
        <v>28723.435027392858</v>
      </c>
      <c r="H130" s="223">
        <f>SUM(H125:H128)</f>
        <v>28895.669719171659</v>
      </c>
      <c r="I130" s="220"/>
      <c r="J130" s="220"/>
    </row>
    <row r="131" spans="1:10" x14ac:dyDescent="0.2">
      <c r="B131" s="224"/>
      <c r="D131" s="218"/>
      <c r="E131" s="218"/>
      <c r="F131" s="218"/>
      <c r="G131" s="218"/>
      <c r="H131" s="218"/>
      <c r="I131" s="157"/>
      <c r="J131" s="157"/>
    </row>
    <row r="132" spans="1:10" x14ac:dyDescent="0.2">
      <c r="A132" s="230"/>
      <c r="B132" s="178"/>
      <c r="C132" s="178"/>
      <c r="D132" s="178"/>
      <c r="E132" s="178"/>
      <c r="F132" s="178"/>
      <c r="G132" s="178"/>
      <c r="H132" s="178"/>
      <c r="I132" s="157"/>
      <c r="J132" s="157"/>
    </row>
    <row r="133" spans="1:10" x14ac:dyDescent="0.2">
      <c r="A133" s="133"/>
      <c r="I133" s="157"/>
      <c r="J133" s="157"/>
    </row>
    <row r="134" spans="1:10" x14ac:dyDescent="0.2">
      <c r="A134" s="133"/>
      <c r="I134" s="157"/>
      <c r="J134" s="157"/>
    </row>
    <row r="135" spans="1:10" x14ac:dyDescent="0.2">
      <c r="A135" s="235" t="s">
        <v>169</v>
      </c>
      <c r="B135" s="152"/>
      <c r="C135" s="152"/>
      <c r="D135" s="152"/>
      <c r="I135" s="157"/>
      <c r="J135" s="157"/>
    </row>
    <row r="136" spans="1:10" x14ac:dyDescent="0.2">
      <c r="A136" s="130" t="s">
        <v>157</v>
      </c>
      <c r="B136" s="130"/>
      <c r="C136" s="130"/>
      <c r="D136" s="134">
        <v>2006</v>
      </c>
      <c r="E136" s="134">
        <v>2007</v>
      </c>
      <c r="F136" s="134">
        <v>2008</v>
      </c>
      <c r="G136" s="134">
        <v>2009</v>
      </c>
      <c r="H136" s="134">
        <v>2010</v>
      </c>
      <c r="I136" s="216"/>
      <c r="J136" s="216"/>
    </row>
    <row r="137" spans="1:10" s="155" customFormat="1" x14ac:dyDescent="0.2">
      <c r="I137" s="157"/>
      <c r="J137" s="157"/>
    </row>
    <row r="138" spans="1:10" x14ac:dyDescent="0.2">
      <c r="A138" s="130" t="s">
        <v>170</v>
      </c>
      <c r="B138" s="155"/>
      <c r="C138" s="155"/>
      <c r="D138" s="155"/>
      <c r="E138" s="155"/>
      <c r="F138" s="155"/>
      <c r="G138" s="155"/>
      <c r="H138" s="155"/>
      <c r="I138" s="157"/>
      <c r="J138" s="157"/>
    </row>
    <row r="139" spans="1:10" x14ac:dyDescent="0.2">
      <c r="A139" s="155" t="s">
        <v>171</v>
      </c>
      <c r="B139" s="157"/>
      <c r="C139" s="157"/>
      <c r="D139" s="221">
        <v>0</v>
      </c>
      <c r="E139" s="234">
        <f>D143</f>
        <v>879.96500892857136</v>
      </c>
      <c r="F139" s="234">
        <f>E143</f>
        <v>854.45877678571424</v>
      </c>
      <c r="G139" s="234">
        <f>F143</f>
        <v>828.95254464285711</v>
      </c>
      <c r="H139" s="234">
        <f>G143</f>
        <v>803.44631249999998</v>
      </c>
      <c r="I139" s="220"/>
      <c r="J139" s="220"/>
    </row>
    <row r="140" spans="1:10" x14ac:dyDescent="0.2">
      <c r="A140" s="155" t="s">
        <v>172</v>
      </c>
      <c r="B140" s="157"/>
      <c r="C140" s="157"/>
      <c r="D140" s="234">
        <f>D122</f>
        <v>892.71812499999999</v>
      </c>
      <c r="E140" s="234">
        <f>E122</f>
        <v>0</v>
      </c>
      <c r="F140" s="234">
        <f>F122</f>
        <v>0</v>
      </c>
      <c r="G140" s="234">
        <f>G122</f>
        <v>0</v>
      </c>
      <c r="H140" s="234">
        <f>H122</f>
        <v>0</v>
      </c>
      <c r="I140" s="220"/>
      <c r="J140" s="220"/>
    </row>
    <row r="141" spans="1:10" x14ac:dyDescent="0.2">
      <c r="A141" s="126" t="s">
        <v>5</v>
      </c>
      <c r="B141" s="157"/>
      <c r="C141" s="157"/>
      <c r="D141" s="538">
        <v>0</v>
      </c>
      <c r="E141" s="538">
        <v>0</v>
      </c>
      <c r="F141" s="538">
        <v>0</v>
      </c>
      <c r="G141" s="538">
        <v>0</v>
      </c>
      <c r="H141" s="538">
        <v>0</v>
      </c>
      <c r="I141" s="220"/>
      <c r="J141" s="220"/>
    </row>
    <row r="142" spans="1:10" x14ac:dyDescent="0.2">
      <c r="A142" s="126" t="s">
        <v>137</v>
      </c>
      <c r="B142" s="157"/>
      <c r="C142" s="157"/>
      <c r="D142" s="220">
        <f>D215</f>
        <v>12.753116071428572</v>
      </c>
      <c r="E142" s="220">
        <f>E215</f>
        <v>25.506232142857144</v>
      </c>
      <c r="F142" s="220">
        <f>F215</f>
        <v>25.506232142857144</v>
      </c>
      <c r="G142" s="220">
        <f>G215</f>
        <v>25.506232142857144</v>
      </c>
      <c r="H142" s="220">
        <f>H215</f>
        <v>25.506232142857144</v>
      </c>
      <c r="I142" s="220"/>
      <c r="J142" s="220"/>
    </row>
    <row r="143" spans="1:10" x14ac:dyDescent="0.2">
      <c r="A143" s="155" t="s">
        <v>173</v>
      </c>
      <c r="B143" s="157"/>
      <c r="C143" s="157"/>
      <c r="D143" s="236">
        <f>D139+D140-D141-D142</f>
        <v>879.96500892857136</v>
      </c>
      <c r="E143" s="236">
        <f>E139+E140-E141-E142</f>
        <v>854.45877678571424</v>
      </c>
      <c r="F143" s="236">
        <f>F139+F140-F141-F142</f>
        <v>828.95254464285711</v>
      </c>
      <c r="G143" s="236">
        <f>G139+G140-G141-G142</f>
        <v>803.44631249999998</v>
      </c>
      <c r="H143" s="236">
        <f>H139+H140-H141-H142</f>
        <v>777.94008035714285</v>
      </c>
      <c r="I143" s="220"/>
      <c r="J143" s="220"/>
    </row>
    <row r="144" spans="1:10" x14ac:dyDescent="0.2">
      <c r="A144" s="155"/>
      <c r="B144" s="157"/>
      <c r="C144" s="157"/>
      <c r="D144" s="234"/>
      <c r="E144" s="234"/>
      <c r="F144" s="234"/>
      <c r="G144" s="234"/>
      <c r="H144" s="234"/>
      <c r="I144" s="220"/>
      <c r="J144" s="220"/>
    </row>
    <row r="145" spans="1:10" x14ac:dyDescent="0.2">
      <c r="A145" s="155" t="s">
        <v>174</v>
      </c>
      <c r="B145" s="157"/>
      <c r="C145" s="157"/>
      <c r="D145" s="234">
        <f>(D143+D139)/2</f>
        <v>439.98250446428568</v>
      </c>
      <c r="E145" s="234">
        <f>(E143+E139)/2</f>
        <v>867.21189285714286</v>
      </c>
      <c r="F145" s="234">
        <f>(F143+F139)/2</f>
        <v>841.70566071428561</v>
      </c>
      <c r="G145" s="234">
        <f>(G143+G139)/2</f>
        <v>816.1994285714286</v>
      </c>
      <c r="H145" s="234">
        <f>(H143+H139)/2</f>
        <v>790.69319642857135</v>
      </c>
      <c r="I145" s="220"/>
      <c r="J145" s="220"/>
    </row>
    <row r="146" spans="1:10" x14ac:dyDescent="0.2">
      <c r="A146" s="155"/>
      <c r="B146" s="155"/>
      <c r="C146" s="155"/>
      <c r="D146" s="155"/>
      <c r="E146" s="155"/>
      <c r="F146" s="155"/>
      <c r="G146" s="155"/>
      <c r="H146" s="155"/>
      <c r="I146" s="157"/>
      <c r="J146" s="157"/>
    </row>
    <row r="147" spans="1:10" x14ac:dyDescent="0.2">
      <c r="A147" s="155"/>
      <c r="B147" s="155"/>
      <c r="C147" s="155"/>
      <c r="D147" s="155"/>
      <c r="E147" s="155"/>
      <c r="F147" s="155"/>
      <c r="G147" s="155"/>
      <c r="H147" s="155"/>
      <c r="I147" s="157"/>
      <c r="J147" s="157"/>
    </row>
    <row r="148" spans="1:10" x14ac:dyDescent="0.2">
      <c r="A148" s="130" t="s">
        <v>175</v>
      </c>
      <c r="B148" s="155"/>
      <c r="C148" s="155"/>
      <c r="D148" s="155"/>
      <c r="E148" s="155"/>
      <c r="F148" s="155"/>
      <c r="G148" s="155"/>
      <c r="H148" s="155"/>
      <c r="I148" s="157"/>
      <c r="J148" s="157"/>
    </row>
    <row r="149" spans="1:10" x14ac:dyDescent="0.2">
      <c r="A149" s="155" t="s">
        <v>171</v>
      </c>
      <c r="B149" s="157"/>
      <c r="C149" s="157"/>
      <c r="D149" s="221">
        <v>0</v>
      </c>
      <c r="E149" s="234">
        <f>D153</f>
        <v>5672.8064839051385</v>
      </c>
      <c r="F149" s="234">
        <f>E153</f>
        <v>10866.710325892622</v>
      </c>
      <c r="G149" s="234">
        <f>F153</f>
        <v>36207.387756115953</v>
      </c>
      <c r="H149" s="234">
        <f>G153</f>
        <v>58970.967231391012</v>
      </c>
      <c r="I149" s="220"/>
      <c r="J149" s="220"/>
    </row>
    <row r="150" spans="1:10" x14ac:dyDescent="0.2">
      <c r="A150" s="155" t="s">
        <v>172</v>
      </c>
      <c r="B150" s="157"/>
      <c r="C150" s="157"/>
      <c r="D150" s="234">
        <f>D123-D124</f>
        <v>5971.3752462159355</v>
      </c>
      <c r="E150" s="234">
        <f>E123-E124</f>
        <v>6095.833017483239</v>
      </c>
      <c r="F150" s="234">
        <f>F123-F124</f>
        <v>27944.629743782363</v>
      </c>
      <c r="G150" s="234">
        <f>G123-G124</f>
        <v>28173.435027392858</v>
      </c>
      <c r="H150" s="234">
        <f>H123-H124</f>
        <v>28345.669719171659</v>
      </c>
      <c r="I150" s="220"/>
      <c r="J150" s="220"/>
    </row>
    <row r="151" spans="1:10" x14ac:dyDescent="0.2">
      <c r="A151" s="126" t="s">
        <v>5</v>
      </c>
      <c r="B151" s="157"/>
      <c r="C151" s="157"/>
      <c r="D151" s="538">
        <v>0</v>
      </c>
      <c r="E151" s="538">
        <v>0</v>
      </c>
      <c r="F151" s="538">
        <v>0</v>
      </c>
      <c r="G151" s="538">
        <v>0</v>
      </c>
      <c r="H151" s="538">
        <v>0</v>
      </c>
      <c r="I151" s="220"/>
      <c r="J151" s="220"/>
    </row>
    <row r="152" spans="1:10" x14ac:dyDescent="0.2">
      <c r="A152" s="126" t="s">
        <v>137</v>
      </c>
      <c r="B152" s="157"/>
      <c r="C152" s="157"/>
      <c r="D152" s="220">
        <f>D225</f>
        <v>298.56876231079679</v>
      </c>
      <c r="E152" s="220">
        <f>E225</f>
        <v>901.92917549575554</v>
      </c>
      <c r="F152" s="220">
        <f>F225</f>
        <v>2603.9523135590357</v>
      </c>
      <c r="G152" s="220">
        <f>G225</f>
        <v>5409.8555521177968</v>
      </c>
      <c r="H152" s="220">
        <f>H225</f>
        <v>8235.8107894460227</v>
      </c>
      <c r="I152" s="220"/>
      <c r="J152" s="220"/>
    </row>
    <row r="153" spans="1:10" x14ac:dyDescent="0.2">
      <c r="A153" s="155" t="s">
        <v>173</v>
      </c>
      <c r="B153" s="157"/>
      <c r="C153" s="157"/>
      <c r="D153" s="236">
        <f>D149+D150-D151-D152</f>
        <v>5672.8064839051385</v>
      </c>
      <c r="E153" s="236">
        <f>E149+E150-E151-E152</f>
        <v>10866.710325892622</v>
      </c>
      <c r="F153" s="236">
        <f>F149+F150-F151-F152</f>
        <v>36207.387756115953</v>
      </c>
      <c r="G153" s="236">
        <f>G149+G150-G151-G152</f>
        <v>58970.967231391012</v>
      </c>
      <c r="H153" s="236">
        <f>H149+H150-H151-H152</f>
        <v>79080.826161116653</v>
      </c>
      <c r="I153" s="220"/>
      <c r="J153" s="220"/>
    </row>
    <row r="154" spans="1:10" x14ac:dyDescent="0.2">
      <c r="A154" s="155"/>
      <c r="B154" s="157"/>
      <c r="C154" s="157"/>
      <c r="D154" s="234"/>
      <c r="E154" s="234"/>
      <c r="F154" s="234"/>
      <c r="G154" s="234"/>
      <c r="H154" s="234"/>
      <c r="I154" s="220"/>
      <c r="J154" s="220"/>
    </row>
    <row r="155" spans="1:10" x14ac:dyDescent="0.2">
      <c r="A155" s="155" t="s">
        <v>174</v>
      </c>
      <c r="B155" s="157"/>
      <c r="C155" s="157"/>
      <c r="D155" s="234">
        <f>(D153+D149)/2</f>
        <v>2836.4032419525693</v>
      </c>
      <c r="E155" s="234">
        <f>(E153+E149)/2</f>
        <v>8269.7584048988792</v>
      </c>
      <c r="F155" s="234">
        <f>(F153+F149)/2</f>
        <v>23537.049041004288</v>
      </c>
      <c r="G155" s="234">
        <f>(G153+G149)/2</f>
        <v>47589.177493753479</v>
      </c>
      <c r="H155" s="234">
        <f>(H153+H149)/2</f>
        <v>69025.896696253825</v>
      </c>
      <c r="I155" s="220"/>
      <c r="J155" s="220"/>
    </row>
    <row r="156" spans="1:10" x14ac:dyDescent="0.2">
      <c r="A156" s="155"/>
      <c r="B156" s="155"/>
      <c r="C156" s="155"/>
      <c r="E156" s="155"/>
      <c r="F156" s="155"/>
      <c r="G156" s="155"/>
      <c r="H156" s="155"/>
      <c r="I156" s="157"/>
      <c r="J156" s="157"/>
    </row>
    <row r="157" spans="1:10" x14ac:dyDescent="0.2">
      <c r="A157" s="155"/>
      <c r="B157" s="155"/>
      <c r="C157" s="155"/>
      <c r="D157" s="155"/>
      <c r="E157" s="155"/>
      <c r="F157" s="155"/>
      <c r="G157" s="155"/>
      <c r="H157" s="155"/>
      <c r="I157" s="157"/>
      <c r="J157" s="157"/>
    </row>
    <row r="158" spans="1:10" x14ac:dyDescent="0.2">
      <c r="A158" s="130" t="s">
        <v>90</v>
      </c>
      <c r="B158" s="155"/>
      <c r="C158" s="155"/>
      <c r="D158" s="155"/>
      <c r="E158" s="155"/>
      <c r="F158" s="155"/>
      <c r="G158" s="155"/>
      <c r="H158" s="155"/>
      <c r="I158" s="157"/>
      <c r="J158" s="157"/>
    </row>
    <row r="159" spans="1:10" x14ac:dyDescent="0.2">
      <c r="A159" s="155" t="s">
        <v>171</v>
      </c>
      <c r="B159" s="220"/>
      <c r="C159" s="220"/>
      <c r="D159" s="221">
        <v>0</v>
      </c>
      <c r="E159" s="234">
        <f>D163</f>
        <v>5157</v>
      </c>
      <c r="F159" s="234">
        <f>E163</f>
        <v>8511</v>
      </c>
      <c r="G159" s="234">
        <f>F163</f>
        <v>6815</v>
      </c>
      <c r="H159" s="234">
        <f>G163</f>
        <v>5019</v>
      </c>
      <c r="I159" s="220"/>
      <c r="J159" s="220"/>
    </row>
    <row r="160" spans="1:10" x14ac:dyDescent="0.2">
      <c r="A160" s="155" t="s">
        <v>172</v>
      </c>
      <c r="B160" s="220"/>
      <c r="C160" s="220"/>
      <c r="D160" s="234">
        <f>D127</f>
        <v>5730</v>
      </c>
      <c r="E160" s="234">
        <f>E127</f>
        <v>5000</v>
      </c>
      <c r="F160" s="234">
        <f>F127</f>
        <v>500</v>
      </c>
      <c r="G160" s="234">
        <f>G127</f>
        <v>500</v>
      </c>
      <c r="H160" s="234">
        <f>H127</f>
        <v>500</v>
      </c>
      <c r="I160" s="220"/>
      <c r="J160" s="220"/>
    </row>
    <row r="161" spans="1:10" x14ac:dyDescent="0.2">
      <c r="A161" s="126" t="s">
        <v>5</v>
      </c>
      <c r="B161" s="220"/>
      <c r="C161" s="220"/>
      <c r="D161" s="538">
        <v>0</v>
      </c>
      <c r="E161" s="538">
        <v>0</v>
      </c>
      <c r="F161" s="538">
        <v>0</v>
      </c>
      <c r="G161" s="538">
        <v>0</v>
      </c>
      <c r="H161" s="538">
        <v>0</v>
      </c>
      <c r="I161" s="220"/>
      <c r="J161" s="220"/>
    </row>
    <row r="162" spans="1:10" x14ac:dyDescent="0.2">
      <c r="A162" s="155" t="s">
        <v>176</v>
      </c>
      <c r="B162" s="220"/>
      <c r="C162" s="220"/>
      <c r="D162" s="220">
        <f>D235</f>
        <v>573</v>
      </c>
      <c r="E162" s="220">
        <f>E235</f>
        <v>1646</v>
      </c>
      <c r="F162" s="220">
        <f>F235</f>
        <v>2196</v>
      </c>
      <c r="G162" s="220">
        <f>G235</f>
        <v>2296</v>
      </c>
      <c r="H162" s="220">
        <f>H235</f>
        <v>2396</v>
      </c>
      <c r="I162" s="220"/>
      <c r="J162" s="220"/>
    </row>
    <row r="163" spans="1:10" x14ac:dyDescent="0.2">
      <c r="A163" s="155" t="s">
        <v>173</v>
      </c>
      <c r="B163" s="220"/>
      <c r="C163" s="220"/>
      <c r="D163" s="236">
        <f>D159+D160-D161-D162</f>
        <v>5157</v>
      </c>
      <c r="E163" s="236">
        <f>E159+E160-E161-E162</f>
        <v>8511</v>
      </c>
      <c r="F163" s="236">
        <f>F159+F160-F161-F162</f>
        <v>6815</v>
      </c>
      <c r="G163" s="236">
        <f>G159+G160-G161-G162</f>
        <v>5019</v>
      </c>
      <c r="H163" s="236">
        <f>H159+H160-H161-H162</f>
        <v>3123</v>
      </c>
      <c r="I163" s="220"/>
      <c r="J163" s="220"/>
    </row>
    <row r="164" spans="1:10" x14ac:dyDescent="0.2">
      <c r="A164" s="155"/>
      <c r="B164" s="220"/>
      <c r="C164" s="220"/>
      <c r="D164" s="234"/>
      <c r="E164" s="234"/>
      <c r="F164" s="234"/>
      <c r="G164" s="234"/>
      <c r="H164" s="234"/>
      <c r="I164" s="220"/>
      <c r="J164" s="220"/>
    </row>
    <row r="165" spans="1:10" x14ac:dyDescent="0.2">
      <c r="A165" s="155" t="s">
        <v>174</v>
      </c>
      <c r="B165" s="220"/>
      <c r="C165" s="220"/>
      <c r="D165" s="234">
        <f>(D163+D159)/2</f>
        <v>2578.5</v>
      </c>
      <c r="E165" s="234">
        <f>(E163+E159)/2</f>
        <v>6834</v>
      </c>
      <c r="F165" s="234">
        <f>(F163+F159)/2</f>
        <v>7663</v>
      </c>
      <c r="G165" s="234">
        <f>(G163+G159)/2</f>
        <v>5917</v>
      </c>
      <c r="H165" s="234">
        <f>(H163+H159)/2</f>
        <v>4071</v>
      </c>
      <c r="I165" s="220"/>
      <c r="J165" s="220"/>
    </row>
    <row r="166" spans="1:10" x14ac:dyDescent="0.2">
      <c r="A166" s="155"/>
      <c r="B166" s="155"/>
      <c r="C166" s="155"/>
      <c r="E166" s="155"/>
      <c r="F166" s="155"/>
      <c r="G166" s="155"/>
      <c r="H166" s="155"/>
      <c r="I166" s="157"/>
      <c r="J166" s="157"/>
    </row>
    <row r="167" spans="1:10" x14ac:dyDescent="0.2">
      <c r="A167" s="155"/>
      <c r="B167" s="155"/>
      <c r="C167" s="155"/>
      <c r="D167" s="155"/>
      <c r="E167" s="155"/>
      <c r="F167" s="155"/>
      <c r="G167" s="155"/>
      <c r="H167" s="155"/>
      <c r="I167" s="157"/>
      <c r="J167" s="157"/>
    </row>
    <row r="168" spans="1:10" x14ac:dyDescent="0.2">
      <c r="A168" s="130" t="s">
        <v>167</v>
      </c>
      <c r="B168" s="155"/>
      <c r="C168" s="155"/>
      <c r="D168" s="155"/>
      <c r="E168" s="155"/>
      <c r="F168" s="155"/>
      <c r="G168" s="155"/>
      <c r="H168" s="155"/>
      <c r="I168" s="157"/>
      <c r="J168" s="157"/>
    </row>
    <row r="169" spans="1:10" x14ac:dyDescent="0.2">
      <c r="A169" s="155" t="s">
        <v>171</v>
      </c>
      <c r="B169" s="220"/>
      <c r="C169" s="220"/>
      <c r="D169" s="221">
        <v>0</v>
      </c>
      <c r="E169" s="234">
        <f>D173</f>
        <v>675</v>
      </c>
      <c r="F169" s="234">
        <f>E173</f>
        <v>570</v>
      </c>
      <c r="G169" s="234">
        <f>F173</f>
        <v>500</v>
      </c>
      <c r="H169" s="234">
        <f>G173</f>
        <v>365</v>
      </c>
      <c r="I169" s="220"/>
      <c r="J169" s="220"/>
    </row>
    <row r="170" spans="1:10" x14ac:dyDescent="0.2">
      <c r="A170" s="155" t="s">
        <v>172</v>
      </c>
      <c r="B170" s="220"/>
      <c r="C170" s="220"/>
      <c r="D170" s="234">
        <f>D128</f>
        <v>750</v>
      </c>
      <c r="E170" s="234">
        <f>E128</f>
        <v>50</v>
      </c>
      <c r="F170" s="234">
        <f>F128</f>
        <v>100</v>
      </c>
      <c r="G170" s="234">
        <f>G128</f>
        <v>50</v>
      </c>
      <c r="H170" s="234">
        <f>H128</f>
        <v>50</v>
      </c>
      <c r="I170" s="220"/>
      <c r="J170" s="220"/>
    </row>
    <row r="171" spans="1:10" x14ac:dyDescent="0.2">
      <c r="A171" s="126" t="s">
        <v>5</v>
      </c>
      <c r="B171" s="220"/>
      <c r="C171" s="220"/>
      <c r="D171" s="538">
        <v>0</v>
      </c>
      <c r="E171" s="538">
        <v>0</v>
      </c>
      <c r="F171" s="538">
        <v>0</v>
      </c>
      <c r="G171" s="538">
        <v>0</v>
      </c>
      <c r="H171" s="538">
        <v>0</v>
      </c>
      <c r="I171" s="220"/>
      <c r="J171" s="220"/>
    </row>
    <row r="172" spans="1:10" x14ac:dyDescent="0.2">
      <c r="A172" s="155" t="s">
        <v>176</v>
      </c>
      <c r="B172" s="220"/>
      <c r="C172" s="220"/>
      <c r="D172" s="220">
        <f>D245</f>
        <v>75</v>
      </c>
      <c r="E172" s="220">
        <f>E245</f>
        <v>155</v>
      </c>
      <c r="F172" s="220">
        <f>F245</f>
        <v>170</v>
      </c>
      <c r="G172" s="220">
        <f>G245</f>
        <v>185</v>
      </c>
      <c r="H172" s="220">
        <f>H245</f>
        <v>195</v>
      </c>
      <c r="I172" s="220"/>
      <c r="J172" s="220"/>
    </row>
    <row r="173" spans="1:10" x14ac:dyDescent="0.2">
      <c r="A173" s="155" t="s">
        <v>173</v>
      </c>
      <c r="B173" s="220"/>
      <c r="C173" s="220"/>
      <c r="D173" s="236">
        <f>D169+D170-D171-D172</f>
        <v>675</v>
      </c>
      <c r="E173" s="236">
        <f>E169+E170-E171-E172</f>
        <v>570</v>
      </c>
      <c r="F173" s="236">
        <f>F169+F170-F171-F172</f>
        <v>500</v>
      </c>
      <c r="G173" s="236">
        <f>G169+G170-G171-G172</f>
        <v>365</v>
      </c>
      <c r="H173" s="236">
        <f>H169+H170-H171-H172</f>
        <v>220</v>
      </c>
      <c r="I173" s="220"/>
      <c r="J173" s="220"/>
    </row>
    <row r="174" spans="1:10" x14ac:dyDescent="0.2">
      <c r="A174" s="155"/>
      <c r="B174" s="220"/>
      <c r="C174" s="220"/>
      <c r="D174" s="234"/>
      <c r="E174" s="234"/>
      <c r="F174" s="234"/>
      <c r="G174" s="234"/>
      <c r="H174" s="234"/>
      <c r="I174" s="220"/>
      <c r="J174" s="220"/>
    </row>
    <row r="175" spans="1:10" x14ac:dyDescent="0.2">
      <c r="A175" s="155" t="s">
        <v>174</v>
      </c>
      <c r="B175" s="220"/>
      <c r="C175" s="220"/>
      <c r="D175" s="234">
        <f>(D173+D169)/2</f>
        <v>337.5</v>
      </c>
      <c r="E175" s="234">
        <f>(E173+E169)/2</f>
        <v>622.5</v>
      </c>
      <c r="F175" s="234">
        <f>(F173+F169)/2</f>
        <v>535</v>
      </c>
      <c r="G175" s="234">
        <f>(G173+G169)/2</f>
        <v>432.5</v>
      </c>
      <c r="H175" s="234">
        <f>(H173+H169)/2</f>
        <v>292.5</v>
      </c>
      <c r="I175" s="220"/>
      <c r="J175" s="220"/>
    </row>
    <row r="176" spans="1:10" x14ac:dyDescent="0.2">
      <c r="A176" s="155"/>
      <c r="B176" s="220"/>
      <c r="C176" s="220"/>
      <c r="D176" s="234"/>
      <c r="E176" s="234"/>
      <c r="F176" s="234"/>
      <c r="G176" s="234"/>
      <c r="H176" s="234"/>
      <c r="I176" s="220"/>
      <c r="J176" s="220"/>
    </row>
    <row r="177" spans="1:10" x14ac:dyDescent="0.2">
      <c r="A177" s="155"/>
      <c r="B177" s="220"/>
      <c r="C177" s="220"/>
      <c r="D177" s="234"/>
      <c r="E177" s="234"/>
      <c r="F177" s="234"/>
      <c r="G177" s="234"/>
      <c r="H177" s="234"/>
      <c r="I177" s="220"/>
      <c r="J177" s="220"/>
    </row>
    <row r="178" spans="1:10" x14ac:dyDescent="0.2">
      <c r="A178" s="130" t="s">
        <v>45</v>
      </c>
      <c r="B178" s="234"/>
      <c r="C178" s="234"/>
      <c r="D178" s="234"/>
      <c r="E178" s="234"/>
      <c r="F178" s="234"/>
      <c r="G178" s="234"/>
      <c r="H178" s="234"/>
      <c r="I178" s="220"/>
      <c r="J178" s="220"/>
    </row>
    <row r="179" spans="1:10" x14ac:dyDescent="0.2">
      <c r="A179" s="155" t="s">
        <v>171</v>
      </c>
      <c r="B179" s="234"/>
      <c r="C179" s="234"/>
      <c r="D179" s="234">
        <f t="shared" ref="D179:H183" si="5">SUM(D139,D149,D159,D169)</f>
        <v>0</v>
      </c>
      <c r="E179" s="234">
        <f t="shared" si="5"/>
        <v>12384.77149283371</v>
      </c>
      <c r="F179" s="234">
        <f t="shared" si="5"/>
        <v>20802.169102678337</v>
      </c>
      <c r="G179" s="234">
        <f t="shared" si="5"/>
        <v>44351.340300758813</v>
      </c>
      <c r="H179" s="234">
        <f t="shared" si="5"/>
        <v>65158.413543891009</v>
      </c>
      <c r="I179" s="220"/>
      <c r="J179" s="220"/>
    </row>
    <row r="180" spans="1:10" x14ac:dyDescent="0.2">
      <c r="A180" s="155" t="s">
        <v>172</v>
      </c>
      <c r="B180" s="234"/>
      <c r="C180" s="234"/>
      <c r="D180" s="234">
        <f t="shared" si="5"/>
        <v>13344.093371215935</v>
      </c>
      <c r="E180" s="234">
        <f t="shared" si="5"/>
        <v>11145.833017483239</v>
      </c>
      <c r="F180" s="234">
        <f t="shared" si="5"/>
        <v>28544.629743782363</v>
      </c>
      <c r="G180" s="234">
        <f t="shared" si="5"/>
        <v>28723.435027392858</v>
      </c>
      <c r="H180" s="234">
        <f t="shared" si="5"/>
        <v>28895.669719171659</v>
      </c>
      <c r="I180" s="220"/>
      <c r="J180" s="220"/>
    </row>
    <row r="181" spans="1:10" x14ac:dyDescent="0.2">
      <c r="A181" s="155" t="s">
        <v>177</v>
      </c>
      <c r="B181" s="234"/>
      <c r="C181" s="234"/>
      <c r="D181" s="234">
        <f t="shared" si="5"/>
        <v>0</v>
      </c>
      <c r="E181" s="234">
        <f t="shared" si="5"/>
        <v>0</v>
      </c>
      <c r="F181" s="234">
        <f t="shared" si="5"/>
        <v>0</v>
      </c>
      <c r="G181" s="234">
        <f t="shared" si="5"/>
        <v>0</v>
      </c>
      <c r="H181" s="234">
        <f t="shared" si="5"/>
        <v>0</v>
      </c>
      <c r="I181" s="220"/>
      <c r="J181" s="220"/>
    </row>
    <row r="182" spans="1:10" x14ac:dyDescent="0.2">
      <c r="A182" s="155" t="s">
        <v>176</v>
      </c>
      <c r="B182" s="234"/>
      <c r="C182" s="234"/>
      <c r="D182" s="234">
        <f t="shared" si="5"/>
        <v>959.32187838222535</v>
      </c>
      <c r="E182" s="234">
        <f t="shared" si="5"/>
        <v>2728.4354076386126</v>
      </c>
      <c r="F182" s="234">
        <f t="shared" si="5"/>
        <v>4995.4585457018929</v>
      </c>
      <c r="G182" s="234">
        <f t="shared" si="5"/>
        <v>7916.3617842606536</v>
      </c>
      <c r="H182" s="234">
        <f t="shared" si="5"/>
        <v>10852.31702158888</v>
      </c>
      <c r="I182" s="220"/>
      <c r="J182" s="220"/>
    </row>
    <row r="183" spans="1:10" x14ac:dyDescent="0.2">
      <c r="A183" s="155" t="s">
        <v>173</v>
      </c>
      <c r="B183" s="234"/>
      <c r="C183" s="234"/>
      <c r="D183" s="236">
        <f t="shared" si="5"/>
        <v>12384.77149283371</v>
      </c>
      <c r="E183" s="236">
        <f t="shared" si="5"/>
        <v>20802.169102678337</v>
      </c>
      <c r="F183" s="236">
        <f t="shared" si="5"/>
        <v>44351.340300758813</v>
      </c>
      <c r="G183" s="236">
        <f t="shared" si="5"/>
        <v>65158.413543891009</v>
      </c>
      <c r="H183" s="236">
        <f t="shared" si="5"/>
        <v>83201.766241473801</v>
      </c>
      <c r="I183" s="220"/>
      <c r="J183" s="220"/>
    </row>
    <row r="184" spans="1:10" x14ac:dyDescent="0.2">
      <c r="A184" s="155"/>
      <c r="B184" s="234"/>
      <c r="C184" s="234"/>
      <c r="D184" s="234"/>
      <c r="E184" s="234"/>
      <c r="F184" s="234"/>
      <c r="G184" s="234"/>
      <c r="H184" s="234"/>
      <c r="I184" s="220"/>
      <c r="J184" s="220"/>
    </row>
    <row r="185" spans="1:10" x14ac:dyDescent="0.2">
      <c r="A185" s="155" t="s">
        <v>174</v>
      </c>
      <c r="B185" s="234"/>
      <c r="C185" s="234"/>
      <c r="D185" s="234">
        <f>SUM(D145,D155,D165,D175)</f>
        <v>6192.385746416855</v>
      </c>
      <c r="E185" s="234">
        <f>SUM(E145,E155,E165,E175)</f>
        <v>16593.470297756023</v>
      </c>
      <c r="F185" s="234">
        <f>SUM(F145,F155,F165,F175)</f>
        <v>32576.754701718572</v>
      </c>
      <c r="G185" s="234">
        <f>SUM(G145,G155,G165,G175)</f>
        <v>54754.876922324911</v>
      </c>
      <c r="H185" s="234">
        <f>SUM(H145,H155,H165,H175)</f>
        <v>74180.089892682401</v>
      </c>
      <c r="I185" s="220"/>
      <c r="J185" s="220"/>
    </row>
    <row r="186" spans="1:10" x14ac:dyDescent="0.2">
      <c r="D186" s="237"/>
      <c r="E186" s="237"/>
      <c r="F186" s="237"/>
      <c r="G186" s="237"/>
      <c r="H186" s="237"/>
      <c r="I186" s="195"/>
      <c r="J186" s="195"/>
    </row>
    <row r="187" spans="1:10" x14ac:dyDescent="0.2">
      <c r="A187" s="128" t="s">
        <v>178</v>
      </c>
      <c r="I187" s="157"/>
      <c r="J187" s="157"/>
    </row>
    <row r="188" spans="1:10" x14ac:dyDescent="0.2">
      <c r="D188" s="238">
        <v>2006</v>
      </c>
      <c r="E188" s="238">
        <v>2007</v>
      </c>
      <c r="F188" s="238">
        <v>2008</v>
      </c>
      <c r="G188" s="238">
        <v>2009</v>
      </c>
      <c r="H188" s="238">
        <v>2010</v>
      </c>
      <c r="I188" s="239"/>
      <c r="J188" s="239"/>
    </row>
    <row r="189" spans="1:10" x14ac:dyDescent="0.2">
      <c r="A189" s="127" t="s">
        <v>179</v>
      </c>
      <c r="I189" s="157"/>
      <c r="J189" s="157"/>
    </row>
    <row r="190" spans="1:10" x14ac:dyDescent="0.2">
      <c r="A190" s="240" t="s">
        <v>170</v>
      </c>
      <c r="D190" s="539">
        <v>35</v>
      </c>
      <c r="E190" s="539">
        <v>35</v>
      </c>
      <c r="F190" s="539">
        <v>35</v>
      </c>
      <c r="G190" s="539">
        <v>35</v>
      </c>
      <c r="H190" s="539">
        <v>35</v>
      </c>
      <c r="I190" s="241"/>
      <c r="J190" s="241"/>
    </row>
    <row r="191" spans="1:10" x14ac:dyDescent="0.2">
      <c r="A191" s="240" t="s">
        <v>175</v>
      </c>
      <c r="D191" s="539">
        <v>10</v>
      </c>
      <c r="E191" s="539">
        <v>10</v>
      </c>
      <c r="F191" s="539">
        <v>10</v>
      </c>
      <c r="G191" s="539">
        <v>10</v>
      </c>
      <c r="H191" s="539">
        <v>10</v>
      </c>
      <c r="I191" s="241"/>
      <c r="J191" s="241"/>
    </row>
    <row r="192" spans="1:10" x14ac:dyDescent="0.2">
      <c r="A192" s="131" t="s">
        <v>90</v>
      </c>
      <c r="D192" s="539">
        <v>5</v>
      </c>
      <c r="E192" s="539">
        <v>5</v>
      </c>
      <c r="F192" s="539">
        <v>5</v>
      </c>
      <c r="G192" s="539">
        <v>5</v>
      </c>
      <c r="H192" s="539">
        <v>5</v>
      </c>
      <c r="I192" s="241"/>
      <c r="J192" s="241"/>
    </row>
    <row r="193" spans="1:10" x14ac:dyDescent="0.2">
      <c r="A193" s="131" t="s">
        <v>167</v>
      </c>
      <c r="D193" s="539">
        <v>5</v>
      </c>
      <c r="E193" s="539">
        <v>5</v>
      </c>
      <c r="F193" s="539">
        <v>5</v>
      </c>
      <c r="G193" s="539">
        <v>5</v>
      </c>
      <c r="H193" s="539">
        <v>5</v>
      </c>
      <c r="I193" s="241"/>
      <c r="J193" s="241"/>
    </row>
    <row r="194" spans="1:10" x14ac:dyDescent="0.2">
      <c r="I194" s="157"/>
      <c r="J194" s="157"/>
    </row>
    <row r="195" spans="1:10" s="152" customFormat="1" x14ac:dyDescent="0.2">
      <c r="I195" s="157"/>
      <c r="J195" s="157"/>
    </row>
    <row r="196" spans="1:10" s="190" customFormat="1" x14ac:dyDescent="0.2">
      <c r="A196" s="162" t="s">
        <v>180</v>
      </c>
      <c r="I196" s="242"/>
      <c r="J196" s="242"/>
    </row>
    <row r="197" spans="1:10" s="190" customFormat="1" x14ac:dyDescent="0.2">
      <c r="I197" s="242"/>
      <c r="J197" s="242"/>
    </row>
    <row r="198" spans="1:10" s="190" customFormat="1" x14ac:dyDescent="0.2">
      <c r="A198" s="243" t="s">
        <v>181</v>
      </c>
      <c r="D198" s="244">
        <v>2006</v>
      </c>
      <c r="E198" s="244">
        <v>2007</v>
      </c>
      <c r="F198" s="244">
        <v>2008</v>
      </c>
      <c r="G198" s="244">
        <v>2009</v>
      </c>
      <c r="H198" s="244">
        <v>2010</v>
      </c>
      <c r="I198" s="239"/>
      <c r="J198" s="239"/>
    </row>
    <row r="199" spans="1:10" s="190" customFormat="1" x14ac:dyDescent="0.2">
      <c r="B199" s="245">
        <v>2006</v>
      </c>
      <c r="D199" s="190">
        <v>0.5</v>
      </c>
      <c r="E199" s="190">
        <v>1.5</v>
      </c>
      <c r="F199" s="190">
        <v>2.5</v>
      </c>
      <c r="G199" s="190">
        <v>3.5</v>
      </c>
      <c r="H199" s="190">
        <v>4.5</v>
      </c>
      <c r="I199" s="242"/>
      <c r="J199" s="242"/>
    </row>
    <row r="200" spans="1:10" s="190" customFormat="1" x14ac:dyDescent="0.2">
      <c r="B200" s="245">
        <v>2007</v>
      </c>
      <c r="E200" s="190">
        <v>0.5</v>
      </c>
      <c r="F200" s="190">
        <v>1.5</v>
      </c>
      <c r="G200" s="190">
        <v>2.5</v>
      </c>
      <c r="H200" s="190">
        <v>3.5</v>
      </c>
      <c r="I200" s="242"/>
      <c r="J200" s="242"/>
    </row>
    <row r="201" spans="1:10" s="190" customFormat="1" x14ac:dyDescent="0.2">
      <c r="B201" s="245">
        <v>2008</v>
      </c>
      <c r="F201" s="190">
        <v>0.5</v>
      </c>
      <c r="G201" s="190">
        <v>1.5</v>
      </c>
      <c r="H201" s="190">
        <v>2.5</v>
      </c>
      <c r="I201" s="242"/>
      <c r="J201" s="242"/>
    </row>
    <row r="202" spans="1:10" s="190" customFormat="1" x14ac:dyDescent="0.2">
      <c r="B202" s="245">
        <v>2009</v>
      </c>
      <c r="G202" s="190">
        <v>0.5</v>
      </c>
      <c r="H202" s="190">
        <v>1.5</v>
      </c>
      <c r="I202" s="242"/>
      <c r="J202" s="242"/>
    </row>
    <row r="203" spans="1:10" s="190" customFormat="1" x14ac:dyDescent="0.2">
      <c r="B203" s="245">
        <v>2010</v>
      </c>
      <c r="H203" s="190">
        <v>0.5</v>
      </c>
      <c r="I203" s="242"/>
      <c r="J203" s="242"/>
    </row>
    <row r="204" spans="1:10" s="190" customFormat="1" x14ac:dyDescent="0.2">
      <c r="B204" s="245"/>
      <c r="I204" s="242"/>
      <c r="J204" s="242"/>
    </row>
    <row r="205" spans="1:10" s="190" customFormat="1" x14ac:dyDescent="0.2">
      <c r="B205" s="245"/>
      <c r="I205" s="242"/>
      <c r="J205" s="242"/>
    </row>
    <row r="206" spans="1:10" s="190" customFormat="1" x14ac:dyDescent="0.2">
      <c r="I206" s="242"/>
      <c r="J206" s="242"/>
    </row>
    <row r="207" spans="1:10" s="190" customFormat="1" x14ac:dyDescent="0.2">
      <c r="A207" s="240" t="s">
        <v>170</v>
      </c>
      <c r="C207" s="190" t="s">
        <v>182</v>
      </c>
      <c r="D207" s="244">
        <v>2006</v>
      </c>
      <c r="E207" s="244">
        <v>2007</v>
      </c>
      <c r="F207" s="244">
        <v>2008</v>
      </c>
      <c r="G207" s="244">
        <v>2009</v>
      </c>
      <c r="H207" s="244">
        <v>2010</v>
      </c>
      <c r="I207" s="239"/>
      <c r="J207" s="239"/>
    </row>
    <row r="208" spans="1:10" s="190" customFormat="1" x14ac:dyDescent="0.2">
      <c r="B208" s="245">
        <v>2006</v>
      </c>
      <c r="C208" s="246">
        <f>D$190</f>
        <v>35</v>
      </c>
      <c r="D208" s="247">
        <f>($D$140*0.5)/$C208</f>
        <v>12.753116071428572</v>
      </c>
      <c r="E208" s="247">
        <f>IF($C208&gt;E$199,$D$140/$C208,IF($C208&lt;=E$199,$D$140-SUM($D208:D208),0))</f>
        <v>25.506232142857144</v>
      </c>
      <c r="F208" s="247">
        <f>IF($C208&gt;F$199,$D$140/$C208,IF($C208&lt;=F$199,$D$140-SUM($D208:E208),0))</f>
        <v>25.506232142857144</v>
      </c>
      <c r="G208" s="247">
        <f>IF($C208&gt;G$199,$D$140/$C208,IF($C208&lt;=G$199,$D$140-SUM($D208:F208),0))</f>
        <v>25.506232142857144</v>
      </c>
      <c r="H208" s="247">
        <f>IF($C208&gt;H$199,$D$140/$C208,IF($C208&lt;=H$199,$D$140-SUM($D208:G208),0))</f>
        <v>25.506232142857144</v>
      </c>
      <c r="I208" s="248"/>
      <c r="J208" s="248"/>
    </row>
    <row r="209" spans="1:10" s="190" customFormat="1" x14ac:dyDescent="0.2">
      <c r="B209" s="245">
        <v>2007</v>
      </c>
      <c r="C209" s="246">
        <f>E$190</f>
        <v>35</v>
      </c>
      <c r="D209" s="247"/>
      <c r="E209" s="247">
        <f>($E$140*0.5)/$C209</f>
        <v>0</v>
      </c>
      <c r="F209" s="247">
        <f>IF($C209&gt;F$200,$E$140/$C209,IF($C209&lt;=F$200,$E$140-SUM($D209:E209),0))</f>
        <v>0</v>
      </c>
      <c r="G209" s="247">
        <f>IF($C209&gt;G$200,$E$140/$C209,IF($C209&lt;=G$200,$E$140-SUM($D209:F209),0))</f>
        <v>0</v>
      </c>
      <c r="H209" s="247">
        <f>IF($C209&gt;H$200,$E$140/$C209,IF($C209&lt;=H$200,$E$140-SUM($D209:G209),0))</f>
        <v>0</v>
      </c>
      <c r="I209" s="248"/>
      <c r="J209" s="248"/>
    </row>
    <row r="210" spans="1:10" s="190" customFormat="1" x14ac:dyDescent="0.2">
      <c r="B210" s="245">
        <v>2008</v>
      </c>
      <c r="C210" s="246">
        <f>F$190</f>
        <v>35</v>
      </c>
      <c r="D210" s="247"/>
      <c r="E210" s="247"/>
      <c r="F210" s="247">
        <f>($F$140*0.5)/$C210</f>
        <v>0</v>
      </c>
      <c r="G210" s="247">
        <f>IF($C210&gt;G$201,$F$140/$C210,IF($C210&lt;=G$201,$F$140-SUM($D210:F210),0))</f>
        <v>0</v>
      </c>
      <c r="H210" s="247">
        <f>IF($C210&gt;H$201,$F$140/$C210,IF($C210&lt;=H$201,$F$140-SUM($D210:G210),0))</f>
        <v>0</v>
      </c>
      <c r="I210" s="248"/>
      <c r="J210" s="248"/>
    </row>
    <row r="211" spans="1:10" s="190" customFormat="1" x14ac:dyDescent="0.2">
      <c r="B211" s="245">
        <v>2009</v>
      </c>
      <c r="C211" s="246">
        <f>G$190</f>
        <v>35</v>
      </c>
      <c r="D211" s="247"/>
      <c r="E211" s="247"/>
      <c r="F211" s="247"/>
      <c r="G211" s="247">
        <f>($G$140*0.5)/$C211</f>
        <v>0</v>
      </c>
      <c r="H211" s="247">
        <f>IF($C211&gt;H$202,$G$140/$C211,IF($C211&lt;=H$202,$G$140-SUM($D211:G211),0))</f>
        <v>0</v>
      </c>
      <c r="I211" s="248"/>
      <c r="J211" s="248"/>
    </row>
    <row r="212" spans="1:10" s="190" customFormat="1" x14ac:dyDescent="0.2">
      <c r="B212" s="245">
        <v>2010</v>
      </c>
      <c r="C212" s="246">
        <f>H$190</f>
        <v>35</v>
      </c>
      <c r="D212" s="247"/>
      <c r="E212" s="247"/>
      <c r="F212" s="247"/>
      <c r="G212" s="247"/>
      <c r="H212" s="247">
        <f>($H$140*0.5)/$C212</f>
        <v>0</v>
      </c>
      <c r="I212" s="248"/>
      <c r="J212" s="248"/>
    </row>
    <row r="213" spans="1:10" s="190" customFormat="1" x14ac:dyDescent="0.2">
      <c r="B213" s="245"/>
      <c r="C213" s="246"/>
      <c r="D213" s="249"/>
      <c r="E213" s="249"/>
      <c r="F213" s="249"/>
      <c r="G213" s="249"/>
      <c r="H213" s="249"/>
      <c r="I213" s="248"/>
      <c r="J213" s="248"/>
    </row>
    <row r="214" spans="1:10" s="190" customFormat="1" x14ac:dyDescent="0.2">
      <c r="B214" s="245"/>
      <c r="C214" s="246"/>
      <c r="D214" s="249"/>
      <c r="E214" s="249"/>
      <c r="F214" s="249"/>
      <c r="G214" s="249"/>
      <c r="H214" s="249"/>
      <c r="I214" s="242"/>
      <c r="J214" s="248"/>
    </row>
    <row r="215" spans="1:10" s="190" customFormat="1" x14ac:dyDescent="0.2">
      <c r="D215" s="250">
        <f>SUM(D208:D214)</f>
        <v>12.753116071428572</v>
      </c>
      <c r="E215" s="250">
        <f>SUM(E208:E214)</f>
        <v>25.506232142857144</v>
      </c>
      <c r="F215" s="250">
        <f>SUM(F208:F214)</f>
        <v>25.506232142857144</v>
      </c>
      <c r="G215" s="250">
        <f>SUM(G208:G214)</f>
        <v>25.506232142857144</v>
      </c>
      <c r="H215" s="250">
        <f>SUM(H208:H214)</f>
        <v>25.506232142857144</v>
      </c>
      <c r="I215" s="248"/>
      <c r="J215" s="248"/>
    </row>
    <row r="216" spans="1:10" s="190" customFormat="1" x14ac:dyDescent="0.2">
      <c r="D216" s="248"/>
      <c r="E216" s="248"/>
      <c r="F216" s="248"/>
      <c r="G216" s="248"/>
      <c r="H216" s="248"/>
      <c r="I216" s="242"/>
      <c r="J216" s="242"/>
    </row>
    <row r="217" spans="1:10" s="190" customFormat="1" x14ac:dyDescent="0.2">
      <c r="A217" s="240" t="s">
        <v>175</v>
      </c>
      <c r="C217" s="190" t="s">
        <v>182</v>
      </c>
      <c r="D217" s="244">
        <v>2006</v>
      </c>
      <c r="E217" s="244">
        <v>2007</v>
      </c>
      <c r="F217" s="244">
        <v>2008</v>
      </c>
      <c r="G217" s="244">
        <v>2009</v>
      </c>
      <c r="H217" s="244">
        <v>2010</v>
      </c>
      <c r="I217" s="239"/>
      <c r="J217" s="239"/>
    </row>
    <row r="218" spans="1:10" s="190" customFormat="1" x14ac:dyDescent="0.2">
      <c r="B218" s="245">
        <v>2006</v>
      </c>
      <c r="C218" s="246">
        <f>D$191</f>
        <v>10</v>
      </c>
      <c r="D218" s="247">
        <f>($D$150*0.5)/$C218</f>
        <v>298.56876231079679</v>
      </c>
      <c r="E218" s="247">
        <f>IF($C218&gt;E$199,$D$150/$C218,IF($C218&lt;=E$199,$D$150-SUM($D218:D218),0))</f>
        <v>597.13752462159357</v>
      </c>
      <c r="F218" s="247">
        <f>IF($C218&gt;F$199,$D$150/$C218,IF($C218&lt;=F$199,$D$150-SUM($D218:E218),0))</f>
        <v>597.13752462159357</v>
      </c>
      <c r="G218" s="247">
        <f>IF($C218&gt;G$199,$D$150/$C218,IF($C218&lt;=G$199,$D$150-SUM($D218:F218),0))</f>
        <v>597.13752462159357</v>
      </c>
      <c r="H218" s="247">
        <f>IF($C218&gt;H$199,$D$150/$C218,IF($C218&lt;=H$199,$D$150-SUM($D218:G218),0))</f>
        <v>597.13752462159357</v>
      </c>
      <c r="I218" s="248"/>
      <c r="J218" s="248"/>
    </row>
    <row r="219" spans="1:10" s="190" customFormat="1" x14ac:dyDescent="0.2">
      <c r="B219" s="245">
        <v>2007</v>
      </c>
      <c r="C219" s="246">
        <f>E$191</f>
        <v>10</v>
      </c>
      <c r="D219" s="247"/>
      <c r="E219" s="247">
        <f>($E$150*0.5)/$C219</f>
        <v>304.79165087416197</v>
      </c>
      <c r="F219" s="247">
        <f>IF($C219&gt;F$200,$E$150/$C219,IF($C219&lt;=F$200,$E$150-SUM($D219:E219),0))</f>
        <v>609.58330174832395</v>
      </c>
      <c r="G219" s="247">
        <f>IF($C219&gt;G$200,$E$150/$C219,IF($C219&lt;=G$200,$E$150-SUM($D219:F219),0))</f>
        <v>609.58330174832395</v>
      </c>
      <c r="H219" s="247">
        <f>IF($C219&gt;H$200,$E$150/$C219,IF($C219&lt;=H$200,$E$150-SUM($D219:G219),0))</f>
        <v>609.58330174832395</v>
      </c>
      <c r="I219" s="248"/>
      <c r="J219" s="248"/>
    </row>
    <row r="220" spans="1:10" s="190" customFormat="1" x14ac:dyDescent="0.2">
      <c r="B220" s="245">
        <v>2008</v>
      </c>
      <c r="C220" s="246">
        <f>F$191</f>
        <v>10</v>
      </c>
      <c r="D220" s="247"/>
      <c r="E220" s="247"/>
      <c r="F220" s="247">
        <f>($F$150*0.5)/$C220</f>
        <v>1397.2314871891181</v>
      </c>
      <c r="G220" s="247">
        <f>IF($C220&gt;G$201,$F$150/$C220,IF($C220&lt;=G$201,$F$150-SUM($D220:F220),0))</f>
        <v>2794.4629743782361</v>
      </c>
      <c r="H220" s="247">
        <f>IF($C220&gt;H$201,$F$150/$C220,IF($C220&lt;=H$201,$F$150-SUM($D220:G220),0))</f>
        <v>2794.4629743782361</v>
      </c>
      <c r="I220" s="248"/>
      <c r="J220" s="248"/>
    </row>
    <row r="221" spans="1:10" s="190" customFormat="1" x14ac:dyDescent="0.2">
      <c r="B221" s="245">
        <v>2009</v>
      </c>
      <c r="C221" s="246">
        <f>G$191</f>
        <v>10</v>
      </c>
      <c r="D221" s="247"/>
      <c r="E221" s="247"/>
      <c r="F221" s="247"/>
      <c r="G221" s="247">
        <f>($G$150*0.5)/$C221</f>
        <v>1408.6717513696428</v>
      </c>
      <c r="H221" s="247">
        <f>IF($C221&gt;H$202,$G$150/$C221,IF($C221&lt;=H$202,$G$150-SUM($D221:G221),0))</f>
        <v>2817.3435027392857</v>
      </c>
      <c r="I221" s="248"/>
      <c r="J221" s="248"/>
    </row>
    <row r="222" spans="1:10" s="190" customFormat="1" x14ac:dyDescent="0.2">
      <c r="B222" s="245">
        <v>2010</v>
      </c>
      <c r="C222" s="246">
        <f>H$191</f>
        <v>10</v>
      </c>
      <c r="D222" s="247"/>
      <c r="E222" s="247"/>
      <c r="F222" s="247"/>
      <c r="G222" s="247"/>
      <c r="H222" s="247">
        <f>($H$150*0.5)/$C222</f>
        <v>1417.283485958583</v>
      </c>
      <c r="I222" s="248"/>
      <c r="J222" s="248"/>
    </row>
    <row r="223" spans="1:10" s="190" customFormat="1" x14ac:dyDescent="0.2">
      <c r="B223" s="245"/>
      <c r="C223" s="246"/>
      <c r="D223" s="249"/>
      <c r="E223" s="249"/>
      <c r="F223" s="249"/>
      <c r="G223" s="249"/>
      <c r="H223" s="249"/>
      <c r="I223" s="248"/>
      <c r="J223" s="248"/>
    </row>
    <row r="224" spans="1:10" s="190" customFormat="1" x14ac:dyDescent="0.2">
      <c r="B224" s="245"/>
      <c r="C224" s="246"/>
      <c r="D224" s="249"/>
      <c r="E224" s="249"/>
      <c r="F224" s="249"/>
      <c r="G224" s="249"/>
      <c r="H224" s="249"/>
      <c r="I224" s="242"/>
      <c r="J224" s="248"/>
    </row>
    <row r="225" spans="1:10" s="190" customFormat="1" x14ac:dyDescent="0.2">
      <c r="D225" s="250">
        <f>SUM(D218:D224)</f>
        <v>298.56876231079679</v>
      </c>
      <c r="E225" s="250">
        <f>SUM(E218:E224)</f>
        <v>901.92917549575554</v>
      </c>
      <c r="F225" s="250">
        <f>SUM(F218:F224)</f>
        <v>2603.9523135590357</v>
      </c>
      <c r="G225" s="250">
        <f>SUM(G218:G224)</f>
        <v>5409.8555521177968</v>
      </c>
      <c r="H225" s="250">
        <f>SUM(H218:H224)</f>
        <v>8235.8107894460227</v>
      </c>
      <c r="I225" s="248"/>
      <c r="J225" s="248"/>
    </row>
    <row r="226" spans="1:10" s="190" customFormat="1" x14ac:dyDescent="0.2">
      <c r="I226" s="242"/>
      <c r="J226" s="242"/>
    </row>
    <row r="227" spans="1:10" s="190" customFormat="1" x14ac:dyDescent="0.2">
      <c r="A227" s="218" t="s">
        <v>90</v>
      </c>
      <c r="C227" s="190" t="s">
        <v>182</v>
      </c>
      <c r="D227" s="244">
        <v>2006</v>
      </c>
      <c r="E227" s="244">
        <v>2007</v>
      </c>
      <c r="F227" s="244">
        <v>2008</v>
      </c>
      <c r="G227" s="244">
        <v>2009</v>
      </c>
      <c r="H227" s="244">
        <v>2010</v>
      </c>
      <c r="I227" s="239"/>
      <c r="J227" s="239"/>
    </row>
    <row r="228" spans="1:10" s="190" customFormat="1" x14ac:dyDescent="0.2">
      <c r="B228" s="245">
        <v>2006</v>
      </c>
      <c r="C228" s="246">
        <f>D$192</f>
        <v>5</v>
      </c>
      <c r="D228" s="247">
        <f>($D$127*0.5)/$C228</f>
        <v>573</v>
      </c>
      <c r="E228" s="247">
        <f>IF($C228&gt;E$199,$D$127/$C228,IF($C228&lt;=E$199,$D$127-SUM($D228:D228),0))</f>
        <v>1146</v>
      </c>
      <c r="F228" s="247">
        <f>IF($C228&gt;F$199,$D$127/$C228,IF($C228&lt;=F$199,$D$127-SUM($D228:E228),0))</f>
        <v>1146</v>
      </c>
      <c r="G228" s="247">
        <f>IF($C228&gt;G$199,$D$127/$C228,IF($C228&lt;=G$199,$D$127-SUM($D228:F228),0))</f>
        <v>1146</v>
      </c>
      <c r="H228" s="247">
        <f>IF($C228&gt;H$199,$D$127/$C228,IF($C228&lt;=H$199,$D$127-SUM($D228:G228),0))</f>
        <v>1146</v>
      </c>
      <c r="I228" s="248"/>
      <c r="J228" s="248"/>
    </row>
    <row r="229" spans="1:10" s="190" customFormat="1" x14ac:dyDescent="0.2">
      <c r="B229" s="245">
        <v>2007</v>
      </c>
      <c r="C229" s="246">
        <f>E$192</f>
        <v>5</v>
      </c>
      <c r="D229" s="247"/>
      <c r="E229" s="247">
        <f>($E$127*0.5)/$C229</f>
        <v>500</v>
      </c>
      <c r="F229" s="247">
        <f>IF($C229&gt;F$200,$E$127/$C229,IF($C229&lt;=F$200,$E$127-SUM($D229:E229),0))</f>
        <v>1000</v>
      </c>
      <c r="G229" s="247">
        <f>IF($C229&gt;G$200,$E$127/$C229,IF($C229&lt;=G$200,$E$127-SUM($D229:F229),0))</f>
        <v>1000</v>
      </c>
      <c r="H229" s="247">
        <f>IF($C229&gt;H$200,$E$127/$C229,IF($C229&lt;=H$200,$E$127-SUM($D229:G229),0))</f>
        <v>1000</v>
      </c>
      <c r="I229" s="248"/>
      <c r="J229" s="248"/>
    </row>
    <row r="230" spans="1:10" s="190" customFormat="1" x14ac:dyDescent="0.2">
      <c r="B230" s="245">
        <v>2008</v>
      </c>
      <c r="C230" s="246">
        <f>F$192</f>
        <v>5</v>
      </c>
      <c r="D230" s="247"/>
      <c r="E230" s="247"/>
      <c r="F230" s="247">
        <f>($F$127*0.5)/$C230</f>
        <v>50</v>
      </c>
      <c r="G230" s="247">
        <f>IF($C230&gt;G$201,$F$127/$C230,IF($C230&lt;=G$201,$F$127-SUM($D230:F230),0))</f>
        <v>100</v>
      </c>
      <c r="H230" s="247">
        <f>IF($C230&gt;H$201,$F$127/$C230,IF($C230&lt;=H$201,$F$127-SUM($D230:G230),0))</f>
        <v>100</v>
      </c>
      <c r="I230" s="248"/>
      <c r="J230" s="248"/>
    </row>
    <row r="231" spans="1:10" s="190" customFormat="1" x14ac:dyDescent="0.2">
      <c r="B231" s="245">
        <v>2009</v>
      </c>
      <c r="C231" s="246">
        <f>G$192</f>
        <v>5</v>
      </c>
      <c r="D231" s="247"/>
      <c r="E231" s="247"/>
      <c r="F231" s="247"/>
      <c r="G231" s="247">
        <f>($G$127*0.5)/$C231</f>
        <v>50</v>
      </c>
      <c r="H231" s="247">
        <f>IF($C231&gt;H$202,$G$127/$C231,IF($C231&lt;=H$202,$G$127-SUM($D231:G231),0))</f>
        <v>100</v>
      </c>
      <c r="I231" s="248"/>
      <c r="J231" s="248"/>
    </row>
    <row r="232" spans="1:10" s="190" customFormat="1" x14ac:dyDescent="0.2">
      <c r="B232" s="245">
        <v>2010</v>
      </c>
      <c r="C232" s="246">
        <f>H$192</f>
        <v>5</v>
      </c>
      <c r="D232" s="247"/>
      <c r="E232" s="247"/>
      <c r="F232" s="247"/>
      <c r="G232" s="247"/>
      <c r="H232" s="247">
        <f>($H$127*0.5)/$C232</f>
        <v>50</v>
      </c>
      <c r="I232" s="248"/>
      <c r="J232" s="248"/>
    </row>
    <row r="233" spans="1:10" s="190" customFormat="1" x14ac:dyDescent="0.2">
      <c r="B233" s="245"/>
      <c r="C233" s="246"/>
      <c r="D233" s="249"/>
      <c r="E233" s="249"/>
      <c r="F233" s="249"/>
      <c r="G233" s="249"/>
      <c r="H233" s="249"/>
      <c r="I233" s="248"/>
      <c r="J233" s="248"/>
    </row>
    <row r="234" spans="1:10" s="190" customFormat="1" x14ac:dyDescent="0.2">
      <c r="B234" s="245"/>
      <c r="C234" s="246"/>
      <c r="D234" s="249"/>
      <c r="E234" s="249"/>
      <c r="F234" s="249"/>
      <c r="G234" s="249"/>
      <c r="H234" s="249"/>
      <c r="I234" s="242"/>
      <c r="J234" s="248"/>
    </row>
    <row r="235" spans="1:10" s="190" customFormat="1" x14ac:dyDescent="0.2">
      <c r="D235" s="250">
        <f>SUM(D228:D234)</f>
        <v>573</v>
      </c>
      <c r="E235" s="250">
        <f>SUM(E228:E234)</f>
        <v>1646</v>
      </c>
      <c r="F235" s="250">
        <f>SUM(F228:F234)</f>
        <v>2196</v>
      </c>
      <c r="G235" s="250">
        <f>SUM(G228:G234)</f>
        <v>2296</v>
      </c>
      <c r="H235" s="250">
        <f>SUM(H228:H234)</f>
        <v>2396</v>
      </c>
      <c r="I235" s="248"/>
      <c r="J235" s="248"/>
    </row>
    <row r="236" spans="1:10" s="190" customFormat="1" x14ac:dyDescent="0.2">
      <c r="I236" s="242"/>
      <c r="J236" s="242"/>
    </row>
    <row r="237" spans="1:10" s="190" customFormat="1" x14ac:dyDescent="0.2">
      <c r="A237" s="218" t="s">
        <v>167</v>
      </c>
      <c r="C237" s="190" t="s">
        <v>182</v>
      </c>
      <c r="D237" s="244">
        <v>2006</v>
      </c>
      <c r="E237" s="244">
        <v>2007</v>
      </c>
      <c r="F237" s="244">
        <v>2008</v>
      </c>
      <c r="G237" s="244">
        <v>2009</v>
      </c>
      <c r="H237" s="244">
        <v>2010</v>
      </c>
      <c r="I237" s="239"/>
      <c r="J237" s="239"/>
    </row>
    <row r="238" spans="1:10" s="190" customFormat="1" x14ac:dyDescent="0.2">
      <c r="B238" s="245">
        <v>2006</v>
      </c>
      <c r="C238" s="246">
        <f>D$193</f>
        <v>5</v>
      </c>
      <c r="D238" s="247">
        <f>($D$128*0.5)/$C238</f>
        <v>75</v>
      </c>
      <c r="E238" s="247">
        <f>IF($C238&gt;E$199,$D$128/$C238,IF($C238&lt;=E$199,$D$128-SUM($D238:D238),0))</f>
        <v>150</v>
      </c>
      <c r="F238" s="247">
        <f>IF($C238&gt;F$199,$D$128/$C238,IF($C238&lt;=F$199,$D$128-SUM($D238:E238),0))</f>
        <v>150</v>
      </c>
      <c r="G238" s="247">
        <f>IF($C238&gt;G$199,$D$128/$C238,IF($C238&lt;=G$199,$D$128-SUM($D238:F238),0))</f>
        <v>150</v>
      </c>
      <c r="H238" s="247">
        <f>IF($C238&gt;H$199,$D$128/$C238,IF($C238&lt;=H$199,$D$128-SUM($D238:G238),0))</f>
        <v>150</v>
      </c>
      <c r="I238" s="248"/>
      <c r="J238" s="248"/>
    </row>
    <row r="239" spans="1:10" s="190" customFormat="1" x14ac:dyDescent="0.2">
      <c r="B239" s="245">
        <v>2007</v>
      </c>
      <c r="C239" s="246">
        <f>E$193</f>
        <v>5</v>
      </c>
      <c r="D239" s="247"/>
      <c r="E239" s="247">
        <f>($E$128*0.5)/$C239</f>
        <v>5</v>
      </c>
      <c r="F239" s="247">
        <f>IF($C239&gt;F$200,$E$128/$C239,IF($C239&lt;=F$200,$E$128-SUM($D239:E239),0))</f>
        <v>10</v>
      </c>
      <c r="G239" s="247">
        <f>IF($C239&gt;G$200,$E$128/$C239,IF($C239&lt;=G$200,$E$128-SUM($D239:F239),0))</f>
        <v>10</v>
      </c>
      <c r="H239" s="247">
        <f>IF($C239&gt;H$200,$E$128/$C239,IF($C239&lt;=H$200,$E$128-SUM($D239:G239),0))</f>
        <v>10</v>
      </c>
      <c r="I239" s="248"/>
      <c r="J239" s="248"/>
    </row>
    <row r="240" spans="1:10" s="190" customFormat="1" x14ac:dyDescent="0.2">
      <c r="B240" s="245">
        <v>2008</v>
      </c>
      <c r="C240" s="246">
        <f>F$193</f>
        <v>5</v>
      </c>
      <c r="D240" s="247"/>
      <c r="E240" s="247"/>
      <c r="F240" s="247">
        <f>($F$128*0.5)/$C240</f>
        <v>10</v>
      </c>
      <c r="G240" s="247">
        <f>IF($C240&gt;G$201,$F$128/$C240,IF($C240&lt;=G$201,$F$128-SUM($D240:F240),0))</f>
        <v>20</v>
      </c>
      <c r="H240" s="247">
        <f>IF($C240&gt;H$201,$F$128/$C240,IF($C240&lt;=H$201,$F$128-SUM($D240:G240),0))</f>
        <v>20</v>
      </c>
      <c r="I240" s="248"/>
      <c r="J240" s="248"/>
    </row>
    <row r="241" spans="1:10" s="190" customFormat="1" x14ac:dyDescent="0.2">
      <c r="B241" s="245">
        <v>2009</v>
      </c>
      <c r="C241" s="246">
        <f>G$193</f>
        <v>5</v>
      </c>
      <c r="D241" s="247"/>
      <c r="E241" s="247"/>
      <c r="F241" s="247"/>
      <c r="G241" s="247">
        <f>($G$128*0.5)/$C241</f>
        <v>5</v>
      </c>
      <c r="H241" s="247">
        <f>IF($C241&gt;H$202,$G$128/$C241,IF($C241&lt;=H$202,$G$128-SUM($D241:G241),0))</f>
        <v>10</v>
      </c>
      <c r="I241" s="248"/>
      <c r="J241" s="248"/>
    </row>
    <row r="242" spans="1:10" s="190" customFormat="1" x14ac:dyDescent="0.2">
      <c r="B242" s="245">
        <v>2010</v>
      </c>
      <c r="C242" s="246">
        <f>H$193</f>
        <v>5</v>
      </c>
      <c r="D242" s="247"/>
      <c r="E242" s="247"/>
      <c r="F242" s="247"/>
      <c r="G242" s="247"/>
      <c r="H242" s="247">
        <f>($H$128*0.5)/$C242</f>
        <v>5</v>
      </c>
      <c r="I242" s="248"/>
      <c r="J242" s="248"/>
    </row>
    <row r="243" spans="1:10" s="190" customFormat="1" x14ac:dyDescent="0.2">
      <c r="B243" s="245"/>
      <c r="C243" s="246"/>
      <c r="D243" s="249"/>
      <c r="E243" s="249"/>
      <c r="F243" s="249"/>
      <c r="G243" s="249"/>
      <c r="H243" s="249"/>
      <c r="I243" s="248"/>
      <c r="J243" s="248"/>
    </row>
    <row r="244" spans="1:10" s="190" customFormat="1" x14ac:dyDescent="0.2">
      <c r="B244" s="245"/>
      <c r="C244" s="246"/>
      <c r="D244" s="249"/>
      <c r="E244" s="249"/>
      <c r="F244" s="249"/>
      <c r="G244" s="249"/>
      <c r="H244" s="249"/>
      <c r="I244" s="242"/>
      <c r="J244" s="248"/>
    </row>
    <row r="245" spans="1:10" s="190" customFormat="1" x14ac:dyDescent="0.2">
      <c r="D245" s="250">
        <f>SUM(D238:D244)</f>
        <v>75</v>
      </c>
      <c r="E245" s="250">
        <f>SUM(E238:E244)</f>
        <v>155</v>
      </c>
      <c r="F245" s="250">
        <f>SUM(F238:F244)</f>
        <v>170</v>
      </c>
      <c r="G245" s="250">
        <f>SUM(G238:G244)</f>
        <v>185</v>
      </c>
      <c r="H245" s="250">
        <f>SUM(H238:H244)</f>
        <v>195</v>
      </c>
      <c r="I245" s="248"/>
      <c r="J245" s="248"/>
    </row>
    <row r="246" spans="1:10" s="152" customFormat="1" x14ac:dyDescent="0.2">
      <c r="I246" s="157"/>
      <c r="J246" s="157"/>
    </row>
    <row r="247" spans="1:10" s="152" customFormat="1" x14ac:dyDescent="0.2">
      <c r="A247" s="179"/>
      <c r="B247" s="179"/>
      <c r="C247" s="179"/>
      <c r="D247" s="179"/>
      <c r="E247" s="179"/>
      <c r="F247" s="179"/>
      <c r="G247" s="179"/>
      <c r="H247" s="179"/>
      <c r="I247" s="157"/>
      <c r="J247" s="157"/>
    </row>
    <row r="248" spans="1:10" s="152" customFormat="1" x14ac:dyDescent="0.2">
      <c r="I248" s="157"/>
      <c r="J248" s="157"/>
    </row>
    <row r="249" spans="1:10" s="152" customFormat="1" x14ac:dyDescent="0.2">
      <c r="I249" s="157"/>
      <c r="J249" s="157"/>
    </row>
    <row r="250" spans="1:10" x14ac:dyDescent="0.2">
      <c r="A250" s="128" t="s">
        <v>183</v>
      </c>
      <c r="I250" s="157"/>
      <c r="J250" s="157"/>
    </row>
    <row r="251" spans="1:10" x14ac:dyDescent="0.2">
      <c r="A251" s="133" t="s">
        <v>184</v>
      </c>
      <c r="B251" s="130"/>
      <c r="C251" s="130"/>
      <c r="D251" s="134">
        <v>2006</v>
      </c>
      <c r="E251" s="134">
        <v>2007</v>
      </c>
      <c r="F251" s="134">
        <v>2008</v>
      </c>
      <c r="G251" s="134">
        <v>2009</v>
      </c>
      <c r="H251" s="134">
        <v>2010</v>
      </c>
      <c r="I251" s="216"/>
      <c r="J251" s="216"/>
    </row>
    <row r="252" spans="1:10" x14ac:dyDescent="0.2">
      <c r="A252" s="128" t="s">
        <v>185</v>
      </c>
      <c r="I252" s="157"/>
      <c r="J252" s="157"/>
    </row>
    <row r="253" spans="1:10" ht="24" x14ac:dyDescent="0.2">
      <c r="A253" s="133" t="s">
        <v>186</v>
      </c>
      <c r="D253" s="251" t="s">
        <v>187</v>
      </c>
      <c r="E253" s="252"/>
      <c r="I253" s="157"/>
      <c r="J253" s="157"/>
    </row>
    <row r="254" spans="1:10" x14ac:dyDescent="0.2">
      <c r="A254" s="130" t="s">
        <v>188</v>
      </c>
      <c r="C254" s="252"/>
      <c r="D254" s="252"/>
      <c r="E254" s="252"/>
      <c r="I254" s="157"/>
      <c r="J254" s="157"/>
    </row>
    <row r="255" spans="1:10" x14ac:dyDescent="0.2">
      <c r="A255" s="126" t="s">
        <v>49</v>
      </c>
      <c r="D255" s="303">
        <f>'Data 2006-08'!C176</f>
        <v>0.375</v>
      </c>
      <c r="F255" s="202"/>
      <c r="I255" s="157"/>
      <c r="J255" s="157"/>
    </row>
    <row r="256" spans="1:10" x14ac:dyDescent="0.2">
      <c r="A256" s="126" t="s">
        <v>50</v>
      </c>
      <c r="D256" s="304">
        <f>'Data 2006-08'!C177</f>
        <v>0.06</v>
      </c>
      <c r="F256" s="202"/>
      <c r="I256" s="157"/>
      <c r="J256" s="157"/>
    </row>
    <row r="257" spans="1:10" x14ac:dyDescent="0.2">
      <c r="A257" s="126" t="s">
        <v>90</v>
      </c>
      <c r="D257" s="304">
        <f>'Data 2006-08'!C178</f>
        <v>0.4</v>
      </c>
      <c r="F257" s="202"/>
      <c r="I257" s="157"/>
      <c r="J257" s="157"/>
    </row>
    <row r="258" spans="1:10" x14ac:dyDescent="0.2">
      <c r="A258" s="131" t="s">
        <v>91</v>
      </c>
      <c r="D258" s="306">
        <f>'Data 2006-08'!C179</f>
        <v>0.1764705882352941</v>
      </c>
      <c r="F258" s="202"/>
      <c r="I258" s="157"/>
      <c r="J258" s="157"/>
    </row>
    <row r="259" spans="1:10" s="152" customFormat="1" x14ac:dyDescent="0.2">
      <c r="D259" s="253"/>
      <c r="I259" s="157"/>
      <c r="J259" s="157"/>
    </row>
    <row r="260" spans="1:10" s="152" customFormat="1" x14ac:dyDescent="0.2">
      <c r="A260" s="254" t="s">
        <v>189</v>
      </c>
      <c r="D260" s="253"/>
      <c r="I260" s="157"/>
      <c r="J260" s="157"/>
    </row>
    <row r="261" spans="1:10" s="152" customFormat="1" x14ac:dyDescent="0.2">
      <c r="A261" s="126" t="s">
        <v>49</v>
      </c>
      <c r="D261" s="218">
        <f>D263-D262</f>
        <v>6864.0933712159358</v>
      </c>
      <c r="E261" s="218">
        <f>E263-E262</f>
        <v>6095.833017483239</v>
      </c>
      <c r="F261" s="218">
        <f>F263-F262</f>
        <v>27944.629743782363</v>
      </c>
      <c r="G261" s="218">
        <f>G263-G262</f>
        <v>28173.435027392858</v>
      </c>
      <c r="H261" s="218">
        <f>H263-H262</f>
        <v>28345.669719171659</v>
      </c>
      <c r="I261" s="220"/>
      <c r="J261" s="220"/>
    </row>
    <row r="262" spans="1:10" s="152" customFormat="1" x14ac:dyDescent="0.2">
      <c r="A262" s="126" t="s">
        <v>50</v>
      </c>
      <c r="D262" s="220">
        <f>D274</f>
        <v>0</v>
      </c>
      <c r="E262" s="220">
        <f>E274</f>
        <v>0</v>
      </c>
      <c r="F262" s="220">
        <f>F274</f>
        <v>0</v>
      </c>
      <c r="G262" s="220">
        <f>G274</f>
        <v>0</v>
      </c>
      <c r="H262" s="220">
        <f>H274</f>
        <v>0</v>
      </c>
      <c r="I262" s="220"/>
      <c r="J262" s="220"/>
    </row>
    <row r="263" spans="1:10" s="152" customFormat="1" x14ac:dyDescent="0.2">
      <c r="A263" s="152" t="s">
        <v>190</v>
      </c>
      <c r="D263" s="223">
        <f>D122+D123</f>
        <v>6864.0933712159358</v>
      </c>
      <c r="E263" s="223">
        <f>E122+E123</f>
        <v>6095.833017483239</v>
      </c>
      <c r="F263" s="223">
        <f>F122+F123</f>
        <v>27944.629743782363</v>
      </c>
      <c r="G263" s="223">
        <f>G122+G123</f>
        <v>28173.435027392858</v>
      </c>
      <c r="H263" s="223">
        <f>H122+H123</f>
        <v>28345.669719171659</v>
      </c>
      <c r="I263" s="220"/>
      <c r="J263" s="220"/>
    </row>
    <row r="264" spans="1:10" s="152" customFormat="1" x14ac:dyDescent="0.2">
      <c r="D264" s="220"/>
      <c r="E264" s="220"/>
      <c r="F264" s="220"/>
      <c r="G264" s="220"/>
      <c r="H264" s="220"/>
      <c r="I264" s="220"/>
      <c r="J264" s="220"/>
    </row>
    <row r="265" spans="1:10" s="152" customFormat="1" x14ac:dyDescent="0.2">
      <c r="A265" s="254" t="s">
        <v>189</v>
      </c>
      <c r="D265" s="253"/>
      <c r="I265" s="157"/>
      <c r="J265" s="157"/>
    </row>
    <row r="266" spans="1:10" s="157" customFormat="1" x14ac:dyDescent="0.2">
      <c r="A266" s="255" t="s">
        <v>50</v>
      </c>
      <c r="B266" s="220"/>
      <c r="C266" s="220"/>
      <c r="D266" s="256"/>
      <c r="E266" s="256"/>
      <c r="F266" s="256"/>
      <c r="G266" s="256"/>
      <c r="H266" s="256"/>
      <c r="I266" s="220"/>
      <c r="J266" s="220"/>
    </row>
    <row r="267" spans="1:10" s="157" customFormat="1" x14ac:dyDescent="0.2">
      <c r="A267" t="s">
        <v>191</v>
      </c>
      <c r="B267" s="216"/>
      <c r="C267" s="216"/>
      <c r="D267" s="220">
        <f>IF(D323&lt;1000,0,D323*J323)/1000+IF(D332&lt;1000,0,D332*J332)/1000</f>
        <v>0</v>
      </c>
      <c r="E267" s="220">
        <f>IF(E323&lt;1000,0,E323*K323)/1000+IF(E332&lt;1000,0,E332*K332)/1000</f>
        <v>0</v>
      </c>
      <c r="F267" s="220">
        <f>IF(F323&lt;1000,0,F323*L323)/1000+IF(F332&lt;1000,0,F332*L332)/1000</f>
        <v>0</v>
      </c>
      <c r="G267" s="220">
        <f>IF(G323&lt;1000,0,G323*M323)/1000+IF(G332&lt;1000,0,G332*M332)/1000</f>
        <v>0</v>
      </c>
      <c r="H267" s="220">
        <f>IF(H323&lt;1000,0,H323*N323)/1000+IF(H332&lt;1000,0,H332*N332)/1000</f>
        <v>0</v>
      </c>
      <c r="I267" s="216"/>
      <c r="J267" s="216"/>
    </row>
    <row r="268" spans="1:10" s="157" customFormat="1" x14ac:dyDescent="0.2">
      <c r="A268" t="s">
        <v>192</v>
      </c>
      <c r="B268" s="216"/>
      <c r="C268" s="216"/>
      <c r="D268" s="220"/>
      <c r="E268" s="220"/>
      <c r="F268" s="220"/>
      <c r="G268" s="220"/>
      <c r="H268" s="220"/>
      <c r="I268" s="216"/>
      <c r="J268" s="216"/>
    </row>
    <row r="269" spans="1:10" s="157" customFormat="1" x14ac:dyDescent="0.2">
      <c r="A269" s="157" t="s">
        <v>193</v>
      </c>
      <c r="B269" s="220"/>
      <c r="C269" s="220"/>
      <c r="D269" s="220">
        <f>IF(D325&lt;1000,0,D325*J325)/1000+IF(D334&lt;1000,0,D334*J334)/1000</f>
        <v>0</v>
      </c>
      <c r="E269" s="220">
        <f t="shared" ref="E269:H271" si="6">IF(E325&lt;1000,0,E325*K325)/1000+IF(E334&lt;1000,0,E334*K334)/1000</f>
        <v>0</v>
      </c>
      <c r="F269" s="220">
        <f t="shared" si="6"/>
        <v>0</v>
      </c>
      <c r="G269" s="220">
        <f t="shared" si="6"/>
        <v>0</v>
      </c>
      <c r="H269" s="220">
        <f t="shared" si="6"/>
        <v>0</v>
      </c>
      <c r="I269" s="220"/>
      <c r="J269" s="220"/>
    </row>
    <row r="270" spans="1:10" s="157" customFormat="1" x14ac:dyDescent="0.2">
      <c r="A270" s="157" t="s">
        <v>194</v>
      </c>
      <c r="B270" s="220"/>
      <c r="C270" s="220"/>
      <c r="D270" s="220">
        <f>IF(D326&lt;1000,0,D326*J326)/1000+IF(D335&lt;1000,0,D335*J335)/1000</f>
        <v>0</v>
      </c>
      <c r="E270" s="220">
        <f t="shared" si="6"/>
        <v>0</v>
      </c>
      <c r="F270" s="220">
        <f t="shared" si="6"/>
        <v>0</v>
      </c>
      <c r="G270" s="220">
        <f t="shared" si="6"/>
        <v>0</v>
      </c>
      <c r="H270" s="220">
        <f t="shared" si="6"/>
        <v>0</v>
      </c>
      <c r="I270" s="220"/>
      <c r="J270" s="220"/>
    </row>
    <row r="271" spans="1:10" s="157" customFormat="1" x14ac:dyDescent="0.2">
      <c r="A271" s="157" t="s">
        <v>195</v>
      </c>
      <c r="B271" s="220"/>
      <c r="C271" s="220"/>
      <c r="D271" s="220">
        <f>IF(D327&lt;1000,0,D327*J327)/1000+IF(D336&lt;1000,0,D336*J336)/1000</f>
        <v>0</v>
      </c>
      <c r="E271" s="220">
        <f t="shared" si="6"/>
        <v>0</v>
      </c>
      <c r="F271" s="220">
        <f t="shared" si="6"/>
        <v>0</v>
      </c>
      <c r="G271" s="220">
        <f t="shared" si="6"/>
        <v>0</v>
      </c>
      <c r="H271" s="220">
        <f t="shared" si="6"/>
        <v>0</v>
      </c>
      <c r="I271" s="220"/>
      <c r="J271" s="220"/>
    </row>
    <row r="272" spans="1:10" s="157" customFormat="1" x14ac:dyDescent="0.2">
      <c r="A272" s="157" t="s">
        <v>196</v>
      </c>
      <c r="B272" s="220"/>
      <c r="C272" s="220"/>
      <c r="D272" s="220">
        <f>IF(D329&lt;1000,0,D329*J329)/1000+IF(D338&lt;1000,0,D338*J338)/1000</f>
        <v>0</v>
      </c>
      <c r="E272" s="220">
        <f>IF(E329&lt;1000,0,E329*K329)/1000+IF(E338&lt;1000,0,E338*K338)/1000</f>
        <v>0</v>
      </c>
      <c r="F272" s="220">
        <f>IF(F329&lt;1000,0,F329*L329)/1000+IF(F338&lt;1000,0,F338*L338)/1000</f>
        <v>0</v>
      </c>
      <c r="G272" s="220">
        <f>IF(G329&lt;1000,0,G329*M329)/1000+IF(G338&lt;1000,0,G338*M338)/1000</f>
        <v>0</v>
      </c>
      <c r="H272" s="220">
        <f>IF(H329&lt;1000,0,H329*N329)/1000+IF(H338&lt;1000,0,H338*N338)/1000</f>
        <v>0</v>
      </c>
      <c r="I272" s="220"/>
      <c r="J272" s="220"/>
    </row>
    <row r="273" spans="1:10" s="157" customFormat="1" x14ac:dyDescent="0.2">
      <c r="A273" s="228" t="s">
        <v>356</v>
      </c>
      <c r="B273" s="220"/>
      <c r="C273" s="220"/>
      <c r="D273" s="220">
        <f>IF(D328&lt;1000,0,D328*J328)/1000+IF(D337&lt;1000,0,D337*J337)/1000</f>
        <v>0</v>
      </c>
      <c r="E273" s="220">
        <f>IF(E328&lt;1000,0,E328*K328)/1000+IF(E337&lt;1000,0,E337*K337)/1000</f>
        <v>0</v>
      </c>
      <c r="F273" s="220">
        <f>IF(F328&lt;1000,0,F328*L328)/1000+IF(F337&lt;1000,0,F337*L337)/1000</f>
        <v>0</v>
      </c>
      <c r="G273" s="220">
        <f>IF(G328&lt;1000,0,G328*M328)/1000+IF(G337&lt;1000,0,G337*M337)/1000</f>
        <v>0</v>
      </c>
      <c r="H273" s="220">
        <f>IF(H328&lt;1000,0,H328*N328)/1000+IF(H337&lt;1000,0,H337*N337)/1000</f>
        <v>0</v>
      </c>
      <c r="I273" s="220"/>
      <c r="J273" s="220"/>
    </row>
    <row r="274" spans="1:10" s="157" customFormat="1" x14ac:dyDescent="0.2">
      <c r="A274" s="257" t="s">
        <v>197</v>
      </c>
      <c r="B274" s="220"/>
      <c r="C274" s="220"/>
      <c r="D274" s="223">
        <f>SUM(D267:D273)</f>
        <v>0</v>
      </c>
      <c r="E274" s="223">
        <f>SUM(E267:E273)</f>
        <v>0</v>
      </c>
      <c r="F274" s="223">
        <f>SUM(F267:F273)</f>
        <v>0</v>
      </c>
      <c r="G274" s="223">
        <f>SUM(G267:G273)</f>
        <v>0</v>
      </c>
      <c r="H274" s="223">
        <f>SUM(H267:H273)</f>
        <v>0</v>
      </c>
      <c r="I274" s="220"/>
      <c r="J274" s="220"/>
    </row>
    <row r="275" spans="1:10" s="152" customFormat="1" x14ac:dyDescent="0.2">
      <c r="D275" s="253"/>
      <c r="I275" s="157"/>
      <c r="J275" s="157"/>
    </row>
    <row r="276" spans="1:10" s="152" customFormat="1" x14ac:dyDescent="0.2">
      <c r="D276" s="253"/>
      <c r="I276" s="157"/>
      <c r="J276" s="157"/>
    </row>
    <row r="277" spans="1:10" s="152" customFormat="1" x14ac:dyDescent="0.2">
      <c r="D277" s="253"/>
      <c r="I277" s="157"/>
      <c r="J277" s="157"/>
    </row>
    <row r="278" spans="1:10" s="152" customFormat="1" x14ac:dyDescent="0.2">
      <c r="A278" s="126" t="s">
        <v>147</v>
      </c>
      <c r="D278" s="258">
        <f>(148.4/144.8)*(1+D$63)</f>
        <v>1.0510983425414364</v>
      </c>
      <c r="E278" s="258">
        <f>D278*(1+E$63)</f>
        <v>1.0780064601104973</v>
      </c>
      <c r="F278" s="258">
        <f>E278*(1+F$63)</f>
        <v>1.1056034254893261</v>
      </c>
      <c r="G278" s="258">
        <f>F278*(1+G$63)</f>
        <v>1.1339068731818529</v>
      </c>
      <c r="H278" s="258">
        <f>G278*(1+H$63)</f>
        <v>1.1629348891353084</v>
      </c>
      <c r="I278" s="259"/>
      <c r="J278" s="259"/>
    </row>
    <row r="279" spans="1:10" s="152" customFormat="1" x14ac:dyDescent="0.2">
      <c r="D279" s="253"/>
      <c r="I279" s="157"/>
      <c r="J279" s="157"/>
    </row>
    <row r="280" spans="1:10" s="157" customFormat="1" x14ac:dyDescent="0.2">
      <c r="A280" s="216" t="s">
        <v>198</v>
      </c>
    </row>
    <row r="281" spans="1:10" s="152" customFormat="1" x14ac:dyDescent="0.2">
      <c r="A281" s="260" t="s">
        <v>49</v>
      </c>
      <c r="B281" s="157"/>
      <c r="C281" s="157"/>
      <c r="D281" s="157"/>
      <c r="E281" s="157"/>
      <c r="F281" s="157"/>
      <c r="G281" s="157"/>
      <c r="H281" s="157"/>
      <c r="I281" s="157"/>
      <c r="J281" s="157"/>
    </row>
    <row r="282" spans="1:10" s="152" customFormat="1" x14ac:dyDescent="0.2">
      <c r="A282" s="152" t="s">
        <v>199</v>
      </c>
      <c r="B282" s="157"/>
      <c r="C282" s="157"/>
      <c r="D282" s="221">
        <v>0</v>
      </c>
      <c r="E282" s="220">
        <f>D285</f>
        <v>5862.0551969969692</v>
      </c>
      <c r="F282" s="220">
        <f>E285</f>
        <v>9003.0042383620657</v>
      </c>
      <c r="G282" s="220">
        <f>F285</f>
        <v>30729.616323591101</v>
      </c>
      <c r="H282" s="220">
        <f>G285</f>
        <v>45162.177142440727</v>
      </c>
      <c r="I282" s="220"/>
      <c r="J282" s="220"/>
    </row>
    <row r="283" spans="1:10" s="152" customFormat="1" x14ac:dyDescent="0.2">
      <c r="A283" s="152" t="s">
        <v>176</v>
      </c>
      <c r="B283" s="157"/>
      <c r="C283" s="157"/>
      <c r="D283" s="220">
        <f>$D$255*(D282+D284*0.5)</f>
        <v>1352.7819685377622</v>
      </c>
      <c r="E283" s="220">
        <f>$D$255*(E282+E284*0.5)</f>
        <v>3430.3983312367009</v>
      </c>
      <c r="F283" s="220">
        <f>$D$255*(F282+F284*0.5)</f>
        <v>9169.0662835276544</v>
      </c>
      <c r="G283" s="220">
        <f>$D$255*(G282+G284*0.5)</f>
        <v>17513.490799853498</v>
      </c>
      <c r="H283" s="220">
        <f>$D$255*(H282+H284*0.5)</f>
        <v>23116.59797947733</v>
      </c>
      <c r="I283" s="220"/>
      <c r="J283" s="220"/>
    </row>
    <row r="284" spans="1:10" s="152" customFormat="1" x14ac:dyDescent="0.2">
      <c r="A284" s="152" t="s">
        <v>200</v>
      </c>
      <c r="B284" s="157"/>
      <c r="C284" s="157"/>
      <c r="D284" s="220">
        <f>D261*D$278</f>
        <v>7214.837165534731</v>
      </c>
      <c r="E284" s="220">
        <f>E261*E$278</f>
        <v>6571.3473726017974</v>
      </c>
      <c r="F284" s="220">
        <f>F261*F$278</f>
        <v>30895.678368756689</v>
      </c>
      <c r="G284" s="220">
        <f>G261*G$278</f>
        <v>31946.051618703124</v>
      </c>
      <c r="H284" s="220">
        <f>H261*H$278</f>
        <v>32964.168272330964</v>
      </c>
      <c r="I284" s="220"/>
      <c r="J284" s="220"/>
    </row>
    <row r="285" spans="1:10" s="152" customFormat="1" x14ac:dyDescent="0.2">
      <c r="A285" s="152" t="s">
        <v>201</v>
      </c>
      <c r="B285" s="157"/>
      <c r="C285" s="157"/>
      <c r="D285" s="223">
        <f>D282-D283+D284</f>
        <v>5862.0551969969692</v>
      </c>
      <c r="E285" s="223">
        <f>E282-E283+E284</f>
        <v>9003.0042383620657</v>
      </c>
      <c r="F285" s="223">
        <f>F282-F283+F284</f>
        <v>30729.616323591101</v>
      </c>
      <c r="G285" s="223">
        <f>G282-G283+G284</f>
        <v>45162.177142440727</v>
      </c>
      <c r="H285" s="223">
        <f>H282-H283+H284</f>
        <v>55009.747435294361</v>
      </c>
      <c r="I285" s="220"/>
      <c r="J285" s="220"/>
    </row>
    <row r="286" spans="1:10" s="152" customFormat="1" x14ac:dyDescent="0.2">
      <c r="A286" s="157"/>
      <c r="B286" s="157"/>
      <c r="C286" s="157"/>
      <c r="I286" s="157"/>
      <c r="J286" s="157"/>
    </row>
    <row r="287" spans="1:10" s="152" customFormat="1" x14ac:dyDescent="0.2">
      <c r="A287" s="260" t="s">
        <v>50</v>
      </c>
      <c r="B287" s="157"/>
      <c r="C287" s="157"/>
      <c r="D287" s="157"/>
      <c r="E287" s="157"/>
      <c r="F287" s="157"/>
      <c r="G287" s="157"/>
      <c r="H287" s="157"/>
      <c r="I287" s="157"/>
      <c r="J287" s="157"/>
    </row>
    <row r="288" spans="1:10" s="152" customFormat="1" x14ac:dyDescent="0.2">
      <c r="A288" s="152" t="s">
        <v>199</v>
      </c>
      <c r="B288" s="157"/>
      <c r="C288" s="157"/>
      <c r="D288" s="221">
        <v>0</v>
      </c>
      <c r="E288" s="220">
        <f>D291</f>
        <v>0</v>
      </c>
      <c r="F288" s="220">
        <f>E291</f>
        <v>0</v>
      </c>
      <c r="G288" s="220">
        <f>F291</f>
        <v>0</v>
      </c>
      <c r="H288" s="220">
        <f>G291</f>
        <v>0</v>
      </c>
      <c r="I288" s="220"/>
      <c r="J288" s="220"/>
    </row>
    <row r="289" spans="1:10" s="152" customFormat="1" x14ac:dyDescent="0.2">
      <c r="A289" s="152" t="s">
        <v>176</v>
      </c>
      <c r="B289" s="157"/>
      <c r="C289" s="157"/>
      <c r="D289" s="220">
        <f>$D$256*(D288+D290*0.5)</f>
        <v>0</v>
      </c>
      <c r="E289" s="220">
        <f>$D$256*(E288+E290*0.5)</f>
        <v>0</v>
      </c>
      <c r="F289" s="220">
        <f>$D$256*(F288+F290*0.5)</f>
        <v>0</v>
      </c>
      <c r="G289" s="220">
        <f>$D$256*(G288+G290*0.5)</f>
        <v>0</v>
      </c>
      <c r="H289" s="220">
        <f>$D$256*(H288+H290*0.5)</f>
        <v>0</v>
      </c>
      <c r="I289" s="220"/>
      <c r="J289" s="220"/>
    </row>
    <row r="290" spans="1:10" s="152" customFormat="1" x14ac:dyDescent="0.2">
      <c r="A290" s="152" t="s">
        <v>200</v>
      </c>
      <c r="B290" s="157"/>
      <c r="C290" s="157"/>
      <c r="D290" s="220">
        <f>D263*D$278-D284</f>
        <v>0</v>
      </c>
      <c r="E290" s="220">
        <f>E263*E$278-E284</f>
        <v>0</v>
      </c>
      <c r="F290" s="220">
        <f>F263*F$278-F284</f>
        <v>0</v>
      </c>
      <c r="G290" s="220">
        <f>G263*G$278-G284</f>
        <v>0</v>
      </c>
      <c r="H290" s="220">
        <f>H263*H$278-H284</f>
        <v>0</v>
      </c>
      <c r="I290" s="220"/>
      <c r="J290" s="220"/>
    </row>
    <row r="291" spans="1:10" s="152" customFormat="1" x14ac:dyDescent="0.2">
      <c r="A291" s="152" t="s">
        <v>201</v>
      </c>
      <c r="B291" s="157"/>
      <c r="C291" s="157"/>
      <c r="D291" s="223">
        <f>D288-D289+D290</f>
        <v>0</v>
      </c>
      <c r="E291" s="223">
        <f>E288-E289+E290</f>
        <v>0</v>
      </c>
      <c r="F291" s="223">
        <f>F288-F289+F290</f>
        <v>0</v>
      </c>
      <c r="G291" s="223">
        <f>G288-G289+G290</f>
        <v>0</v>
      </c>
      <c r="H291" s="223">
        <f>H288-H289+H290</f>
        <v>0</v>
      </c>
      <c r="I291" s="220"/>
      <c r="J291" s="220"/>
    </row>
    <row r="292" spans="1:10" s="152" customFormat="1" x14ac:dyDescent="0.2">
      <c r="A292" s="157"/>
      <c r="B292" s="157"/>
      <c r="C292" s="157"/>
      <c r="D292" s="220"/>
      <c r="E292" s="220"/>
      <c r="F292" s="220"/>
      <c r="G292" s="220"/>
      <c r="H292" s="220"/>
      <c r="I292" s="220"/>
      <c r="J292" s="220"/>
    </row>
    <row r="293" spans="1:10" s="152" customFormat="1" x14ac:dyDescent="0.2">
      <c r="A293" s="260" t="s">
        <v>90</v>
      </c>
      <c r="I293" s="157"/>
      <c r="J293" s="157"/>
    </row>
    <row r="294" spans="1:10" s="152" customFormat="1" x14ac:dyDescent="0.2">
      <c r="A294" s="152" t="s">
        <v>199</v>
      </c>
      <c r="B294" s="157"/>
      <c r="C294" s="157"/>
      <c r="D294" s="221">
        <v>0</v>
      </c>
      <c r="E294" s="220">
        <f>D297</f>
        <v>4818.234802209945</v>
      </c>
      <c r="F294" s="220">
        <f>E297</f>
        <v>7202.9667217679562</v>
      </c>
      <c r="G294" s="220">
        <f>F297</f>
        <v>4764.0214032565036</v>
      </c>
      <c r="H294" s="220">
        <f>G297</f>
        <v>3311.9755912266437</v>
      </c>
      <c r="I294" s="220"/>
      <c r="J294" s="220"/>
    </row>
    <row r="295" spans="1:10" s="152" customFormat="1" x14ac:dyDescent="0.2">
      <c r="A295" s="152" t="s">
        <v>176</v>
      </c>
      <c r="B295" s="157"/>
      <c r="C295" s="157"/>
      <c r="D295" s="220">
        <f>$D$257*(D294+D296*0.5)</f>
        <v>1204.5587005524862</v>
      </c>
      <c r="E295" s="220">
        <f>$D$257*(E294+E296*0.5)</f>
        <v>3005.3003809944753</v>
      </c>
      <c r="F295" s="220">
        <f>$D$257*(F294+F296*0.5)</f>
        <v>2991.7470312561154</v>
      </c>
      <c r="G295" s="220">
        <f>$D$257*(G294+G296*0.5)</f>
        <v>2018.9992486207866</v>
      </c>
      <c r="H295" s="220">
        <f>$D$257*(H294+H296*0.5)</f>
        <v>1441.0837254041883</v>
      </c>
      <c r="I295" s="220"/>
      <c r="J295" s="220"/>
    </row>
    <row r="296" spans="1:10" s="152" customFormat="1" x14ac:dyDescent="0.2">
      <c r="A296" s="152" t="s">
        <v>200</v>
      </c>
      <c r="B296" s="157"/>
      <c r="C296" s="157"/>
      <c r="D296" s="220">
        <f>D127*D$278</f>
        <v>6022.7935027624308</v>
      </c>
      <c r="E296" s="220">
        <f>E127*E$278</f>
        <v>5390.032300552486</v>
      </c>
      <c r="F296" s="220">
        <f>F127*F$278</f>
        <v>552.80171274466306</v>
      </c>
      <c r="G296" s="220">
        <f>G127*G$278</f>
        <v>566.95343659092646</v>
      </c>
      <c r="H296" s="220">
        <f>H127*H$278</f>
        <v>581.46744456765418</v>
      </c>
      <c r="I296" s="220"/>
      <c r="J296" s="220"/>
    </row>
    <row r="297" spans="1:10" s="152" customFormat="1" x14ac:dyDescent="0.2">
      <c r="A297" s="152" t="s">
        <v>201</v>
      </c>
      <c r="B297" s="157"/>
      <c r="C297" s="157"/>
      <c r="D297" s="223">
        <f>D294-D295+D296</f>
        <v>4818.234802209945</v>
      </c>
      <c r="E297" s="223">
        <f>E294-E295+E296</f>
        <v>7202.9667217679562</v>
      </c>
      <c r="F297" s="223">
        <f>F294-F295+F296</f>
        <v>4764.0214032565036</v>
      </c>
      <c r="G297" s="223">
        <f>G294-G295+G296</f>
        <v>3311.9755912266437</v>
      </c>
      <c r="H297" s="223">
        <f>H294-H295+H296</f>
        <v>2452.3593103901094</v>
      </c>
      <c r="I297" s="220"/>
      <c r="J297" s="220"/>
    </row>
    <row r="298" spans="1:10" s="152" customFormat="1" x14ac:dyDescent="0.2">
      <c r="A298" s="157"/>
      <c r="B298" s="157"/>
      <c r="C298" s="157"/>
      <c r="D298" s="220"/>
      <c r="E298" s="220"/>
      <c r="F298" s="220"/>
      <c r="G298" s="220"/>
      <c r="H298" s="220"/>
      <c r="I298" s="220"/>
      <c r="J298" s="220"/>
    </row>
    <row r="299" spans="1:10" s="152" customFormat="1" x14ac:dyDescent="0.2">
      <c r="A299" s="260" t="s">
        <v>91</v>
      </c>
      <c r="I299" s="157"/>
      <c r="J299" s="157"/>
    </row>
    <row r="300" spans="1:10" s="152" customFormat="1" x14ac:dyDescent="0.2">
      <c r="A300" s="152" t="s">
        <v>199</v>
      </c>
      <c r="B300" s="157"/>
      <c r="C300" s="157"/>
      <c r="D300" s="221">
        <v>0</v>
      </c>
      <c r="E300" s="220">
        <f>D303</f>
        <v>718.7657783555411</v>
      </c>
      <c r="F300" s="220">
        <f>E303</f>
        <v>641.06917079783602</v>
      </c>
      <c r="G300" s="220">
        <f>F303</f>
        <v>628.74433533400941</v>
      </c>
      <c r="H300" s="220">
        <f>G303</f>
        <v>569.48226596423922</v>
      </c>
      <c r="I300" s="220"/>
      <c r="J300" s="220"/>
    </row>
    <row r="301" spans="1:10" s="152" customFormat="1" x14ac:dyDescent="0.2">
      <c r="A301" s="152" t="s">
        <v>176</v>
      </c>
      <c r="B301" s="157"/>
      <c r="C301" s="157"/>
      <c r="D301" s="220">
        <f>$D$258*(D300+D302*0.5)</f>
        <v>69.55797855053622</v>
      </c>
      <c r="E301" s="220">
        <f>$D$258*(E300+E302*0.5)</f>
        <v>131.59693056323002</v>
      </c>
      <c r="F301" s="220">
        <f>$D$258*(F300+F302*0.5)</f>
        <v>122.88517801275921</v>
      </c>
      <c r="G301" s="220">
        <f>$D$258*(G300+G302*0.5)</f>
        <v>115.95741302886277</v>
      </c>
      <c r="H301" s="220">
        <f>$D$258*(H300+H302*0.5)</f>
        <v>105.62746556340386</v>
      </c>
      <c r="I301" s="220"/>
      <c r="J301" s="220"/>
    </row>
    <row r="302" spans="1:10" s="152" customFormat="1" x14ac:dyDescent="0.2">
      <c r="A302" s="152" t="s">
        <v>200</v>
      </c>
      <c r="B302" s="157"/>
      <c r="C302" s="157"/>
      <c r="D302" s="220">
        <f>D128*D278</f>
        <v>788.32375690607728</v>
      </c>
      <c r="E302" s="220">
        <f>E128*E278</f>
        <v>53.900323005524861</v>
      </c>
      <c r="F302" s="220">
        <f>F128*F278</f>
        <v>110.56034254893261</v>
      </c>
      <c r="G302" s="220">
        <f>G128*G278</f>
        <v>56.695343659092643</v>
      </c>
      <c r="H302" s="220">
        <f>H128*H278</f>
        <v>58.146744456765418</v>
      </c>
      <c r="I302" s="220"/>
      <c r="J302" s="220"/>
    </row>
    <row r="303" spans="1:10" s="152" customFormat="1" x14ac:dyDescent="0.2">
      <c r="A303" s="152" t="s">
        <v>201</v>
      </c>
      <c r="B303" s="157"/>
      <c r="C303" s="157"/>
      <c r="D303" s="223">
        <f>D300-D301+D302</f>
        <v>718.7657783555411</v>
      </c>
      <c r="E303" s="223">
        <f>E300-E301+E302</f>
        <v>641.06917079783602</v>
      </c>
      <c r="F303" s="223">
        <f>F300-F301+F302</f>
        <v>628.74433533400941</v>
      </c>
      <c r="G303" s="223">
        <f>G300-G301+G302</f>
        <v>569.48226596423922</v>
      </c>
      <c r="H303" s="223">
        <f>H300-H301+H302</f>
        <v>522.00154485760072</v>
      </c>
      <c r="I303" s="220"/>
      <c r="J303" s="220"/>
    </row>
    <row r="304" spans="1:10" s="152" customFormat="1" x14ac:dyDescent="0.2">
      <c r="B304" s="157"/>
      <c r="C304" s="157"/>
      <c r="D304" s="220"/>
      <c r="E304" s="220"/>
      <c r="F304" s="220"/>
      <c r="G304" s="220"/>
      <c r="H304" s="220"/>
      <c r="I304" s="220"/>
      <c r="J304" s="220"/>
    </row>
    <row r="305" spans="1:16" s="152" customFormat="1" x14ac:dyDescent="0.2">
      <c r="A305" s="260" t="s">
        <v>45</v>
      </c>
      <c r="B305" s="220"/>
      <c r="C305" s="220"/>
      <c r="D305" s="220"/>
      <c r="E305" s="220"/>
      <c r="F305" s="220"/>
      <c r="G305" s="220"/>
      <c r="H305" s="220"/>
      <c r="I305" s="220"/>
      <c r="J305" s="220"/>
    </row>
    <row r="306" spans="1:16" s="152" customFormat="1" x14ac:dyDescent="0.2">
      <c r="A306" s="152" t="s">
        <v>199</v>
      </c>
      <c r="B306" s="220"/>
      <c r="C306" s="220"/>
      <c r="D306" s="220">
        <f t="shared" ref="D306:H309" si="7">SUM(D282,D288,D294,D300)</f>
        <v>0</v>
      </c>
      <c r="E306" s="220">
        <f t="shared" si="7"/>
        <v>11399.055777562455</v>
      </c>
      <c r="F306" s="220">
        <f t="shared" si="7"/>
        <v>16847.040130927857</v>
      </c>
      <c r="G306" s="220">
        <f t="shared" si="7"/>
        <v>36122.382062181612</v>
      </c>
      <c r="H306" s="220">
        <f t="shared" si="7"/>
        <v>49043.634999631606</v>
      </c>
      <c r="I306" s="220"/>
      <c r="J306" s="220"/>
    </row>
    <row r="307" spans="1:16" s="152" customFormat="1" x14ac:dyDescent="0.2">
      <c r="A307" s="152" t="s">
        <v>176</v>
      </c>
      <c r="B307" s="220"/>
      <c r="C307" s="220"/>
      <c r="D307" s="220">
        <f t="shared" si="7"/>
        <v>2626.8986476407845</v>
      </c>
      <c r="E307" s="220">
        <f t="shared" si="7"/>
        <v>6567.2956427944064</v>
      </c>
      <c r="F307" s="220">
        <f t="shared" si="7"/>
        <v>12283.698492796528</v>
      </c>
      <c r="G307" s="220">
        <f t="shared" si="7"/>
        <v>19648.447461503147</v>
      </c>
      <c r="H307" s="220">
        <f t="shared" si="7"/>
        <v>24663.309170444922</v>
      </c>
      <c r="I307" s="220"/>
      <c r="J307" s="220"/>
    </row>
    <row r="308" spans="1:16" s="152" customFormat="1" x14ac:dyDescent="0.2">
      <c r="A308" s="152" t="s">
        <v>200</v>
      </c>
      <c r="B308" s="220"/>
      <c r="C308" s="220"/>
      <c r="D308" s="220">
        <f t="shared" si="7"/>
        <v>14025.954425203239</v>
      </c>
      <c r="E308" s="220">
        <f t="shared" si="7"/>
        <v>12015.279996159807</v>
      </c>
      <c r="F308" s="220">
        <f t="shared" si="7"/>
        <v>31559.040424050283</v>
      </c>
      <c r="G308" s="220">
        <f t="shared" si="7"/>
        <v>32569.700398953144</v>
      </c>
      <c r="H308" s="220">
        <f t="shared" si="7"/>
        <v>33603.782461355389</v>
      </c>
      <c r="I308" s="220"/>
      <c r="J308" s="220"/>
    </row>
    <row r="309" spans="1:16" s="152" customFormat="1" x14ac:dyDescent="0.2">
      <c r="A309" s="152" t="s">
        <v>201</v>
      </c>
      <c r="D309" s="223">
        <f t="shared" si="7"/>
        <v>11399.055777562455</v>
      </c>
      <c r="E309" s="223">
        <f t="shared" si="7"/>
        <v>16847.040130927857</v>
      </c>
      <c r="F309" s="223">
        <f t="shared" si="7"/>
        <v>36122.382062181612</v>
      </c>
      <c r="G309" s="223">
        <f t="shared" si="7"/>
        <v>49043.634999631606</v>
      </c>
      <c r="H309" s="223">
        <f t="shared" si="7"/>
        <v>57984.10829054207</v>
      </c>
      <c r="I309" s="220"/>
      <c r="J309" s="220"/>
    </row>
    <row r="310" spans="1:16" s="152" customFormat="1" x14ac:dyDescent="0.2">
      <c r="A310" s="261"/>
      <c r="C310" s="262"/>
      <c r="D310" s="163"/>
      <c r="E310" s="163"/>
      <c r="F310" s="163"/>
      <c r="G310" s="163"/>
      <c r="H310" s="163"/>
      <c r="I310" s="224"/>
      <c r="J310" s="224"/>
    </row>
    <row r="311" spans="1:16" x14ac:dyDescent="0.2">
      <c r="D311" s="263"/>
      <c r="E311" s="263"/>
      <c r="F311" s="263"/>
      <c r="G311" s="263"/>
      <c r="H311" s="263"/>
      <c r="I311" s="221"/>
      <c r="J311" s="221"/>
    </row>
    <row r="312" spans="1:16" s="155" customFormat="1" x14ac:dyDescent="0.2">
      <c r="A312" s="178"/>
      <c r="B312" s="178"/>
      <c r="C312" s="178"/>
      <c r="D312" s="178"/>
      <c r="E312" s="178"/>
      <c r="F312" s="178"/>
      <c r="G312" s="178"/>
      <c r="H312" s="178"/>
      <c r="I312" s="157"/>
      <c r="J312" s="157"/>
    </row>
    <row r="313" spans="1:16" x14ac:dyDescent="0.2">
      <c r="A313" s="133"/>
      <c r="I313" s="157"/>
      <c r="J313" s="157"/>
    </row>
    <row r="314" spans="1:16" x14ac:dyDescent="0.2">
      <c r="A314" s="133"/>
      <c r="I314" s="157"/>
      <c r="J314" s="157"/>
    </row>
    <row r="315" spans="1:16" x14ac:dyDescent="0.2">
      <c r="A315" s="162" t="s">
        <v>202</v>
      </c>
      <c r="I315" s="157"/>
      <c r="J315" s="157"/>
    </row>
    <row r="316" spans="1:16" x14ac:dyDescent="0.2">
      <c r="A316" s="130" t="s">
        <v>203</v>
      </c>
      <c r="I316" s="157"/>
      <c r="J316" s="157"/>
    </row>
    <row r="317" spans="1:16" x14ac:dyDescent="0.2">
      <c r="A317" s="133"/>
      <c r="I317" s="157"/>
      <c r="J317" s="157"/>
    </row>
    <row r="318" spans="1:16" customFormat="1" x14ac:dyDescent="0.2">
      <c r="A318" s="264" t="s">
        <v>204</v>
      </c>
      <c r="B318" s="265"/>
      <c r="C318" s="265"/>
      <c r="D318" s="266">
        <v>2006</v>
      </c>
      <c r="E318" s="266">
        <v>2007</v>
      </c>
      <c r="F318" s="266">
        <v>2008</v>
      </c>
      <c r="G318" s="266">
        <v>2009</v>
      </c>
      <c r="H318" s="266">
        <v>2010</v>
      </c>
      <c r="J318" s="266">
        <v>2006</v>
      </c>
      <c r="K318" s="266">
        <v>2007</v>
      </c>
      <c r="L318" s="266">
        <v>2008</v>
      </c>
      <c r="M318" s="266">
        <v>2009</v>
      </c>
      <c r="N318" s="266">
        <v>2010</v>
      </c>
    </row>
    <row r="319" spans="1:16" customFormat="1" x14ac:dyDescent="0.2">
      <c r="A319" s="264"/>
      <c r="B319" s="264"/>
      <c r="C319" s="264"/>
      <c r="D319" s="267"/>
      <c r="E319" s="267"/>
      <c r="F319" s="267"/>
      <c r="G319" s="267"/>
      <c r="H319" s="267"/>
      <c r="J319" s="267"/>
      <c r="K319" s="267"/>
      <c r="L319" s="267"/>
      <c r="M319" s="267"/>
      <c r="N319" s="267"/>
    </row>
    <row r="320" spans="1:16" customFormat="1" x14ac:dyDescent="0.2">
      <c r="A320" s="268" t="s">
        <v>205</v>
      </c>
      <c r="B320" s="268"/>
      <c r="C320" s="268"/>
      <c r="D320" s="269"/>
      <c r="E320" s="269"/>
      <c r="F320" s="269"/>
      <c r="G320" s="269"/>
      <c r="H320" s="269"/>
      <c r="J320" s="270"/>
      <c r="K320" s="271"/>
      <c r="L320" s="272"/>
      <c r="M320" s="272"/>
      <c r="N320" s="272"/>
      <c r="O320" s="272"/>
      <c r="P320" s="272"/>
    </row>
    <row r="321" spans="1:16" s="228" customFormat="1" x14ac:dyDescent="0.2">
      <c r="A321" s="264" t="s">
        <v>206</v>
      </c>
      <c r="B321" s="264"/>
      <c r="C321" s="264"/>
      <c r="D321" s="269"/>
      <c r="E321" s="269"/>
      <c r="F321" s="269"/>
      <c r="G321" s="269"/>
      <c r="H321" s="269"/>
      <c r="J321" s="264" t="s">
        <v>207</v>
      </c>
      <c r="K321" s="273"/>
      <c r="L321" s="271"/>
      <c r="M321" s="271"/>
      <c r="N321" s="271"/>
      <c r="O321" s="271"/>
      <c r="P321" s="271"/>
    </row>
    <row r="322" spans="1:16" customFormat="1" x14ac:dyDescent="0.2">
      <c r="A322" t="s">
        <v>208</v>
      </c>
      <c r="J322" s="271"/>
      <c r="K322" s="271"/>
      <c r="L322" s="274"/>
      <c r="M322" s="274"/>
      <c r="N322" s="274"/>
      <c r="O322" s="274"/>
      <c r="P322" s="274"/>
    </row>
    <row r="323" spans="1:16" customFormat="1" x14ac:dyDescent="0.2">
      <c r="A323" t="s">
        <v>191</v>
      </c>
      <c r="D323" s="540">
        <v>37.301250000000003</v>
      </c>
      <c r="E323" s="540">
        <v>37.301250000000003</v>
      </c>
      <c r="F323" s="540">
        <v>37.301250000000003</v>
      </c>
      <c r="G323" s="540">
        <v>37.301250000000003</v>
      </c>
      <c r="H323" s="540">
        <v>37.301250000000003</v>
      </c>
      <c r="J323" s="543">
        <v>0</v>
      </c>
      <c r="K323" s="543">
        <v>0</v>
      </c>
      <c r="L323" s="543">
        <v>0</v>
      </c>
      <c r="M323" s="543">
        <v>0</v>
      </c>
      <c r="N323" s="543">
        <v>0</v>
      </c>
      <c r="O323" s="274"/>
      <c r="P323" s="274"/>
    </row>
    <row r="324" spans="1:16" customFormat="1" x14ac:dyDescent="0.2">
      <c r="A324" t="s">
        <v>192</v>
      </c>
      <c r="D324" s="541"/>
      <c r="E324" s="541"/>
      <c r="F324" s="541"/>
      <c r="G324" s="541"/>
      <c r="H324" s="541"/>
      <c r="I324" s="228"/>
      <c r="J324" s="382"/>
      <c r="K324" s="544"/>
      <c r="L324" s="382"/>
      <c r="M324" s="382"/>
      <c r="N324" s="382"/>
      <c r="O324" s="276"/>
      <c r="P324" s="276"/>
    </row>
    <row r="325" spans="1:16" customFormat="1" x14ac:dyDescent="0.2">
      <c r="A325" t="s">
        <v>209</v>
      </c>
      <c r="D325" s="540">
        <v>85.26</v>
      </c>
      <c r="E325" s="540">
        <v>85.26</v>
      </c>
      <c r="F325" s="540">
        <v>85.26</v>
      </c>
      <c r="G325" s="540">
        <v>85.26</v>
      </c>
      <c r="H325" s="540">
        <v>85.26</v>
      </c>
      <c r="J325" s="543">
        <v>7171</v>
      </c>
      <c r="K325" s="543">
        <v>7730</v>
      </c>
      <c r="L325" s="543">
        <v>8081</v>
      </c>
      <c r="M325" s="543">
        <v>7984</v>
      </c>
      <c r="N325" s="543">
        <v>8804</v>
      </c>
      <c r="O325" s="277"/>
      <c r="P325" s="277"/>
    </row>
    <row r="326" spans="1:16" customFormat="1" x14ac:dyDescent="0.2">
      <c r="A326" t="s">
        <v>210</v>
      </c>
      <c r="D326" s="540">
        <v>165.19125</v>
      </c>
      <c r="E326" s="540">
        <v>165.19125</v>
      </c>
      <c r="F326" s="540">
        <v>165.19125</v>
      </c>
      <c r="G326" s="540">
        <v>165.19125</v>
      </c>
      <c r="H326" s="540">
        <v>165.19125</v>
      </c>
      <c r="J326" s="543">
        <v>3074</v>
      </c>
      <c r="K326" s="543">
        <v>3074</v>
      </c>
      <c r="L326" s="543">
        <v>3074</v>
      </c>
      <c r="M326" s="543">
        <v>3074</v>
      </c>
      <c r="N326" s="543">
        <v>3074</v>
      </c>
      <c r="O326" s="274"/>
      <c r="P326" s="274"/>
    </row>
    <row r="327" spans="1:16" customFormat="1" x14ac:dyDescent="0.2">
      <c r="A327" t="s">
        <v>211</v>
      </c>
      <c r="D327" s="540">
        <v>314.39625000000001</v>
      </c>
      <c r="E327" s="540">
        <v>314.39625000000001</v>
      </c>
      <c r="F327" s="540">
        <v>314.39625000000001</v>
      </c>
      <c r="G327" s="540">
        <v>314.39625000000001</v>
      </c>
      <c r="H327" s="540">
        <v>314.39625000000001</v>
      </c>
      <c r="J327" s="543">
        <v>678</v>
      </c>
      <c r="K327" s="543">
        <v>678</v>
      </c>
      <c r="L327" s="543">
        <v>678</v>
      </c>
      <c r="M327" s="543">
        <v>678</v>
      </c>
      <c r="N327" s="543">
        <v>678</v>
      </c>
      <c r="O327" s="274"/>
      <c r="P327" s="274"/>
    </row>
    <row r="328" spans="1:16" customFormat="1" x14ac:dyDescent="0.2">
      <c r="A328" t="s">
        <v>357</v>
      </c>
      <c r="D328" s="540">
        <v>399.65625</v>
      </c>
      <c r="E328" s="540">
        <v>399.65625</v>
      </c>
      <c r="F328" s="540">
        <v>399.65625</v>
      </c>
      <c r="G328" s="540">
        <v>399.65625</v>
      </c>
      <c r="H328" s="540">
        <v>399.65625</v>
      </c>
      <c r="J328" s="543">
        <v>1142</v>
      </c>
      <c r="K328" s="543">
        <v>1231</v>
      </c>
      <c r="L328" s="543">
        <v>1286</v>
      </c>
      <c r="M328" s="543">
        <v>1271</v>
      </c>
      <c r="N328" s="543">
        <v>1401</v>
      </c>
      <c r="O328" s="274"/>
      <c r="P328" s="274"/>
    </row>
    <row r="329" spans="1:16" customFormat="1" x14ac:dyDescent="0.2">
      <c r="A329" t="s">
        <v>212</v>
      </c>
      <c r="D329" s="540">
        <v>378.34125</v>
      </c>
      <c r="E329" s="540">
        <v>378.34125</v>
      </c>
      <c r="F329" s="540">
        <v>378.34125</v>
      </c>
      <c r="G329" s="540">
        <v>378.34125</v>
      </c>
      <c r="H329" s="540">
        <v>378.34125</v>
      </c>
      <c r="J329" s="543">
        <v>40</v>
      </c>
      <c r="K329" s="543">
        <v>43</v>
      </c>
      <c r="L329" s="543">
        <v>45</v>
      </c>
      <c r="M329" s="543">
        <v>44</v>
      </c>
      <c r="N329" s="543">
        <v>49</v>
      </c>
      <c r="O329" s="274"/>
      <c r="P329" s="274"/>
    </row>
    <row r="330" spans="1:16" customFormat="1" x14ac:dyDescent="0.2">
      <c r="D330" s="541"/>
      <c r="E330" s="541"/>
      <c r="F330" s="541"/>
      <c r="G330" s="541"/>
      <c r="H330" s="541"/>
      <c r="I330" s="228"/>
      <c r="J330" s="544"/>
      <c r="K330" s="544"/>
      <c r="L330" s="544"/>
      <c r="M330" s="544"/>
      <c r="N330" s="544"/>
      <c r="O330" s="274"/>
      <c r="P330" s="274"/>
    </row>
    <row r="331" spans="1:16" customFormat="1" x14ac:dyDescent="0.2">
      <c r="A331" t="s">
        <v>213</v>
      </c>
      <c r="D331" s="563"/>
      <c r="E331" s="563"/>
      <c r="F331" s="563"/>
      <c r="G331" s="563"/>
      <c r="H331" s="563"/>
      <c r="J331" s="544"/>
      <c r="K331" s="544"/>
      <c r="L331" s="544"/>
      <c r="M331" s="544"/>
      <c r="N331" s="544"/>
      <c r="O331" s="274"/>
      <c r="P331" s="274"/>
    </row>
    <row r="332" spans="1:16" customFormat="1" x14ac:dyDescent="0.2">
      <c r="A332" t="s">
        <v>191</v>
      </c>
      <c r="D332" s="540">
        <v>137.34125</v>
      </c>
      <c r="E332" s="540">
        <v>139.21534200000002</v>
      </c>
      <c r="F332" s="540">
        <v>141.13122625160003</v>
      </c>
      <c r="G332" s="540">
        <v>143.08983472201069</v>
      </c>
      <c r="H332" s="540">
        <v>145.09212016131153</v>
      </c>
      <c r="I332" s="228"/>
      <c r="J332" s="543">
        <v>6500</v>
      </c>
      <c r="K332" s="543">
        <v>0</v>
      </c>
      <c r="L332" s="543">
        <v>0</v>
      </c>
      <c r="M332" s="543">
        <v>0</v>
      </c>
      <c r="N332" s="543">
        <v>0</v>
      </c>
      <c r="O332" s="274"/>
      <c r="P332" s="274"/>
    </row>
    <row r="333" spans="1:16" customFormat="1" x14ac:dyDescent="0.2">
      <c r="A333" t="s">
        <v>192</v>
      </c>
      <c r="D333" s="563"/>
      <c r="E333" s="563"/>
      <c r="F333" s="563"/>
      <c r="G333" s="563"/>
      <c r="H333" s="563"/>
      <c r="J333" s="543"/>
      <c r="K333" s="543"/>
      <c r="L333" s="543"/>
      <c r="M333" s="543"/>
      <c r="N333" s="543"/>
      <c r="O333" s="276"/>
      <c r="P333" s="276"/>
    </row>
    <row r="334" spans="1:16" customFormat="1" x14ac:dyDescent="0.2">
      <c r="A334" t="s">
        <v>209</v>
      </c>
      <c r="D334" s="540">
        <v>191.96666666666667</v>
      </c>
      <c r="E334" s="540">
        <v>193.98942533333332</v>
      </c>
      <c r="F334" s="540">
        <v>196.05729151826665</v>
      </c>
      <c r="G334" s="540">
        <v>198.17127111912401</v>
      </c>
      <c r="H334" s="540">
        <v>200.33239246508049</v>
      </c>
      <c r="J334" s="543">
        <v>0</v>
      </c>
      <c r="K334" s="543">
        <v>0</v>
      </c>
      <c r="L334" s="543">
        <v>6123.9024244176217</v>
      </c>
      <c r="M334" s="543">
        <v>6123.9024244176217</v>
      </c>
      <c r="N334" s="543">
        <v>6123.9024244176217</v>
      </c>
      <c r="O334" s="277"/>
      <c r="P334" s="277"/>
    </row>
    <row r="335" spans="1:16" customFormat="1" x14ac:dyDescent="0.2">
      <c r="A335" t="s">
        <v>210</v>
      </c>
      <c r="D335" s="540">
        <v>333.23124999999999</v>
      </c>
      <c r="E335" s="540">
        <v>336.62174199999998</v>
      </c>
      <c r="F335" s="540">
        <v>340.08784197159997</v>
      </c>
      <c r="G335" s="540">
        <v>343.63123597256663</v>
      </c>
      <c r="H335" s="540">
        <v>347.2536476597549</v>
      </c>
      <c r="J335" s="543">
        <v>4255</v>
      </c>
      <c r="K335" s="543">
        <v>4255</v>
      </c>
      <c r="L335" s="543">
        <v>19897</v>
      </c>
      <c r="M335" s="543">
        <v>19897</v>
      </c>
      <c r="N335" s="543">
        <v>19897</v>
      </c>
      <c r="O335" s="274"/>
      <c r="P335" s="274"/>
    </row>
    <row r="336" spans="1:16" customFormat="1" x14ac:dyDescent="0.2">
      <c r="A336" t="s">
        <v>211</v>
      </c>
      <c r="D336" s="540">
        <v>538.67142788597039</v>
      </c>
      <c r="E336" s="540">
        <v>543.02461422882766</v>
      </c>
      <c r="F336" s="540">
        <v>547.47487662713047</v>
      </c>
      <c r="G336" s="540">
        <v>552.02437987691542</v>
      </c>
      <c r="H336" s="540">
        <v>556.67533704917059</v>
      </c>
      <c r="J336" s="543">
        <v>3157</v>
      </c>
      <c r="K336" s="543">
        <v>3157</v>
      </c>
      <c r="L336" s="543">
        <v>8628</v>
      </c>
      <c r="M336" s="543">
        <v>8628</v>
      </c>
      <c r="N336" s="543">
        <v>8268</v>
      </c>
      <c r="O336" s="274"/>
      <c r="P336" s="274"/>
    </row>
    <row r="337" spans="1:16" customFormat="1" x14ac:dyDescent="0.2">
      <c r="A337" t="s">
        <v>357</v>
      </c>
      <c r="D337" s="540">
        <v>736.45142788597036</v>
      </c>
      <c r="E337" s="540">
        <v>742.95701022882758</v>
      </c>
      <c r="F337" s="540">
        <v>749.60766705793026</v>
      </c>
      <c r="G337" s="540">
        <v>756.40663353432228</v>
      </c>
      <c r="H337" s="540">
        <v>763.35721696313749</v>
      </c>
      <c r="J337" s="543">
        <v>468.67173433833449</v>
      </c>
      <c r="K337" s="543">
        <v>468.55725663087549</v>
      </c>
      <c r="L337" s="543">
        <v>17759.590336343601</v>
      </c>
      <c r="M337" s="543">
        <v>17759.590336343601</v>
      </c>
      <c r="N337" s="543">
        <v>17759.590336343601</v>
      </c>
      <c r="O337" s="274"/>
      <c r="P337" s="274"/>
    </row>
    <row r="338" spans="1:16" customFormat="1" x14ac:dyDescent="0.2">
      <c r="A338" t="s">
        <v>212</v>
      </c>
      <c r="D338" s="540">
        <v>918.84791666666661</v>
      </c>
      <c r="E338" s="540">
        <v>930.54441533333329</v>
      </c>
      <c r="F338" s="540">
        <v>942.50174592026679</v>
      </c>
      <c r="G338" s="540">
        <v>954.72572497928877</v>
      </c>
      <c r="H338" s="540">
        <v>967.2222987713269</v>
      </c>
      <c r="J338" s="543">
        <v>766</v>
      </c>
      <c r="K338" s="543">
        <v>766</v>
      </c>
      <c r="L338" s="543">
        <v>0</v>
      </c>
      <c r="M338" s="543">
        <v>0</v>
      </c>
      <c r="N338" s="543">
        <v>0</v>
      </c>
      <c r="O338" s="274"/>
      <c r="P338" s="274"/>
    </row>
    <row r="339" spans="1:16" customFormat="1" x14ac:dyDescent="0.2">
      <c r="A339" s="278"/>
      <c r="B339" s="278"/>
      <c r="C339" s="278"/>
      <c r="D339" s="564"/>
      <c r="E339" s="564"/>
      <c r="F339" s="564"/>
      <c r="G339" s="564"/>
      <c r="H339" s="564"/>
      <c r="J339" s="271"/>
      <c r="K339" s="271"/>
      <c r="L339" s="274"/>
      <c r="M339" s="274"/>
      <c r="N339" s="274"/>
      <c r="O339" s="274"/>
      <c r="P339" s="274"/>
    </row>
    <row r="340" spans="1:16" customFormat="1" x14ac:dyDescent="0.2">
      <c r="A340" s="278" t="s">
        <v>215</v>
      </c>
      <c r="B340" s="279"/>
      <c r="C340" s="279"/>
      <c r="D340" s="542">
        <v>5730000</v>
      </c>
      <c r="E340" s="542">
        <v>5000000</v>
      </c>
      <c r="F340" s="542">
        <v>500000</v>
      </c>
      <c r="G340" s="542">
        <v>500000</v>
      </c>
      <c r="H340" s="542">
        <v>500000</v>
      </c>
      <c r="J340" s="271"/>
      <c r="K340" s="271"/>
      <c r="L340" s="274"/>
      <c r="M340" s="274"/>
      <c r="N340" s="274"/>
      <c r="O340" s="274"/>
      <c r="P340" s="274"/>
    </row>
    <row r="341" spans="1:16" customFormat="1" x14ac:dyDescent="0.2">
      <c r="A341" s="278"/>
      <c r="B341" s="278"/>
      <c r="C341" s="278"/>
      <c r="D341" s="564"/>
      <c r="E341" s="564"/>
      <c r="F341" s="564"/>
      <c r="G341" s="564"/>
      <c r="H341" s="564"/>
      <c r="J341" s="280"/>
      <c r="K341" s="280"/>
      <c r="L341" s="274"/>
      <c r="M341" s="274"/>
      <c r="N341" s="274"/>
      <c r="O341" s="274"/>
      <c r="P341" s="274"/>
    </row>
    <row r="342" spans="1:16" customFormat="1" x14ac:dyDescent="0.2">
      <c r="A342" s="278" t="s">
        <v>216</v>
      </c>
      <c r="B342" s="279"/>
      <c r="C342" s="279"/>
      <c r="D342" s="542">
        <v>750000</v>
      </c>
      <c r="E342" s="542">
        <v>50000</v>
      </c>
      <c r="F342" s="542">
        <v>100000</v>
      </c>
      <c r="G342" s="542">
        <v>50000</v>
      </c>
      <c r="H342" s="542">
        <v>50000</v>
      </c>
      <c r="J342" s="272"/>
      <c r="K342" s="271"/>
      <c r="L342" s="276"/>
      <c r="M342" s="276"/>
      <c r="N342" s="276"/>
      <c r="O342" s="276"/>
      <c r="P342" s="276"/>
    </row>
    <row r="343" spans="1:16" customFormat="1" x14ac:dyDescent="0.2">
      <c r="A343" s="278"/>
      <c r="B343" s="278"/>
      <c r="C343" s="278"/>
      <c r="D343" s="564"/>
      <c r="E343" s="564"/>
      <c r="F343" s="564"/>
      <c r="G343" s="564"/>
      <c r="H343" s="564"/>
      <c r="J343" s="271"/>
      <c r="K343" s="271"/>
      <c r="L343" s="277"/>
      <c r="M343" s="277"/>
      <c r="N343" s="277"/>
      <c r="O343" s="277"/>
      <c r="P343" s="277"/>
    </row>
    <row r="344" spans="1:16" customFormat="1" x14ac:dyDescent="0.2">
      <c r="J344" s="271"/>
      <c r="K344" s="271"/>
      <c r="L344" s="274"/>
      <c r="M344" s="274"/>
      <c r="N344" s="274"/>
      <c r="O344" s="274"/>
      <c r="P344" s="274"/>
    </row>
    <row r="345" spans="1:16" customFormat="1" x14ac:dyDescent="0.2">
      <c r="J345" s="271"/>
      <c r="K345" s="271"/>
      <c r="L345" s="274"/>
      <c r="M345" s="274"/>
      <c r="N345" s="274"/>
      <c r="O345" s="274"/>
      <c r="P345" s="274"/>
    </row>
    <row r="346" spans="1:16" customFormat="1" x14ac:dyDescent="0.2">
      <c r="A346" s="264" t="s">
        <v>217</v>
      </c>
      <c r="B346" s="265"/>
      <c r="C346" s="265"/>
      <c r="D346" s="266">
        <v>2006</v>
      </c>
      <c r="E346" s="266">
        <v>2007</v>
      </c>
      <c r="F346" s="266">
        <v>2008</v>
      </c>
      <c r="G346" s="266">
        <v>2009</v>
      </c>
      <c r="H346" s="266">
        <v>2010</v>
      </c>
      <c r="J346" s="266">
        <v>2006</v>
      </c>
      <c r="K346" s="266">
        <v>2007</v>
      </c>
      <c r="L346" s="266">
        <v>2008</v>
      </c>
      <c r="M346" s="266">
        <v>2009</v>
      </c>
      <c r="N346" s="266">
        <v>2010</v>
      </c>
      <c r="O346" s="274"/>
      <c r="P346" s="274"/>
    </row>
    <row r="347" spans="1:16" customFormat="1" x14ac:dyDescent="0.2">
      <c r="J347" s="271"/>
      <c r="K347" s="271"/>
      <c r="L347" s="274"/>
      <c r="M347" s="274"/>
      <c r="N347" s="274"/>
      <c r="O347" s="274"/>
      <c r="P347" s="274"/>
    </row>
    <row r="348" spans="1:16" customFormat="1" x14ac:dyDescent="0.2">
      <c r="A348" s="281" t="s">
        <v>51</v>
      </c>
      <c r="B348" s="281"/>
      <c r="C348" s="281"/>
      <c r="J348" s="270" t="s">
        <v>218</v>
      </c>
      <c r="K348" s="271"/>
      <c r="L348" s="274"/>
      <c r="M348" s="274"/>
      <c r="N348" s="274"/>
      <c r="O348" s="274"/>
      <c r="P348" s="274"/>
    </row>
    <row r="349" spans="1:16" customFormat="1" x14ac:dyDescent="0.2">
      <c r="A349" s="264" t="s">
        <v>219</v>
      </c>
      <c r="B349" s="264"/>
      <c r="C349" s="264"/>
      <c r="D349" s="545">
        <v>1.640241300098602</v>
      </c>
      <c r="E349" s="545">
        <v>1.6395822818441947</v>
      </c>
      <c r="F349" s="545">
        <v>1.6405941226017764</v>
      </c>
      <c r="G349" s="545">
        <v>1.64</v>
      </c>
      <c r="H349" s="545">
        <v>1.64</v>
      </c>
      <c r="J349" s="543">
        <v>747451</v>
      </c>
      <c r="K349" s="543">
        <v>759339.75</v>
      </c>
      <c r="L349" s="543">
        <v>748509.32542202831</v>
      </c>
      <c r="M349" s="543">
        <v>737857.94078350009</v>
      </c>
      <c r="N349" s="543">
        <v>727740.97618373868</v>
      </c>
      <c r="O349" s="274"/>
      <c r="P349" s="274"/>
    </row>
    <row r="350" spans="1:16" customFormat="1" x14ac:dyDescent="0.2">
      <c r="A350" s="268" t="s">
        <v>220</v>
      </c>
      <c r="D350" s="546">
        <v>420000</v>
      </c>
      <c r="E350" s="546">
        <v>420000</v>
      </c>
      <c r="F350" s="546">
        <v>420000</v>
      </c>
      <c r="G350" s="546">
        <v>420000</v>
      </c>
      <c r="H350" s="546">
        <v>420000</v>
      </c>
      <c r="J350" s="272"/>
      <c r="K350" s="271"/>
      <c r="L350" s="276"/>
      <c r="M350" s="276"/>
      <c r="N350" s="276"/>
      <c r="O350" s="276"/>
      <c r="P350" s="276"/>
    </row>
    <row r="351" spans="1:16" customFormat="1" x14ac:dyDescent="0.2">
      <c r="A351" s="268" t="s">
        <v>214</v>
      </c>
      <c r="B351" s="268"/>
      <c r="C351" s="268"/>
      <c r="D351" s="546">
        <v>600000</v>
      </c>
      <c r="E351" s="546">
        <v>600000</v>
      </c>
      <c r="F351" s="546">
        <v>600000</v>
      </c>
      <c r="G351" s="546">
        <v>600000</v>
      </c>
      <c r="H351" s="546">
        <v>600000</v>
      </c>
      <c r="J351" s="272"/>
      <c r="K351" s="271"/>
      <c r="L351" s="276"/>
      <c r="M351" s="276"/>
      <c r="N351" s="276"/>
      <c r="O351" s="276"/>
      <c r="P351" s="276"/>
    </row>
    <row r="352" spans="1:16" customFormat="1" x14ac:dyDescent="0.2">
      <c r="D352" s="547"/>
      <c r="E352" s="547"/>
      <c r="F352" s="547"/>
      <c r="G352" s="547"/>
      <c r="H352" s="547"/>
      <c r="J352" s="271"/>
      <c r="K352" s="271"/>
      <c r="L352" s="277"/>
      <c r="M352" s="277"/>
      <c r="N352" s="277"/>
      <c r="O352" s="277"/>
      <c r="P352" s="277"/>
    </row>
    <row r="353" spans="1:16" customFormat="1" x14ac:dyDescent="0.2">
      <c r="A353" s="281" t="s">
        <v>221</v>
      </c>
      <c r="B353" s="281"/>
      <c r="C353" s="281"/>
      <c r="D353" s="547"/>
      <c r="E353" s="547"/>
      <c r="F353" s="547"/>
      <c r="G353" s="547"/>
      <c r="H353" s="547"/>
      <c r="J353" s="271"/>
      <c r="K353" s="271"/>
      <c r="L353" s="274"/>
      <c r="M353" s="274"/>
      <c r="N353" s="274"/>
      <c r="O353" s="274"/>
      <c r="P353" s="274"/>
    </row>
    <row r="354" spans="1:16" customFormat="1" x14ac:dyDescent="0.2">
      <c r="A354" s="268" t="s">
        <v>222</v>
      </c>
      <c r="B354" s="268"/>
      <c r="C354" s="268"/>
      <c r="D354" s="547"/>
      <c r="E354" s="547"/>
      <c r="F354" s="547"/>
      <c r="G354" s="547"/>
      <c r="H354" s="547"/>
      <c r="J354" s="264" t="s">
        <v>207</v>
      </c>
      <c r="K354" s="271"/>
      <c r="L354" s="274"/>
      <c r="M354" s="274"/>
      <c r="N354" s="274"/>
      <c r="O354" s="274"/>
      <c r="P354" s="274"/>
    </row>
    <row r="355" spans="1:16" customFormat="1" x14ac:dyDescent="0.2">
      <c r="A355" t="s">
        <v>213</v>
      </c>
      <c r="D355" s="547"/>
      <c r="E355" s="547"/>
      <c r="F355" s="547"/>
      <c r="G355" s="547"/>
      <c r="H355" s="547"/>
      <c r="J355" s="271"/>
      <c r="K355" s="271"/>
      <c r="L355" s="274"/>
      <c r="M355" s="274"/>
      <c r="N355" s="274"/>
      <c r="O355" s="274"/>
      <c r="P355" s="274"/>
    </row>
    <row r="356" spans="1:16" customFormat="1" x14ac:dyDescent="0.2">
      <c r="A356" t="s">
        <v>191</v>
      </c>
      <c r="D356" s="545">
        <v>34.6</v>
      </c>
      <c r="E356" s="545">
        <v>35.110669999999999</v>
      </c>
      <c r="F356" s="545">
        <v>35.632727940999999</v>
      </c>
      <c r="G356" s="545">
        <v>36.166427774084298</v>
      </c>
      <c r="H356" s="545">
        <v>36.712029113446377</v>
      </c>
      <c r="J356" s="274">
        <f>J332</f>
        <v>6500</v>
      </c>
      <c r="K356" s="274">
        <f>K332</f>
        <v>0</v>
      </c>
      <c r="L356" s="274">
        <f>L332</f>
        <v>0</v>
      </c>
      <c r="M356" s="274">
        <f>M332</f>
        <v>0</v>
      </c>
      <c r="N356" s="274">
        <f>N332</f>
        <v>0</v>
      </c>
      <c r="O356" s="274"/>
      <c r="P356" s="274"/>
    </row>
    <row r="357" spans="1:16" customFormat="1" x14ac:dyDescent="0.2">
      <c r="A357" t="s">
        <v>192</v>
      </c>
      <c r="D357" s="541"/>
      <c r="E357" s="541"/>
      <c r="F357" s="541"/>
      <c r="G357" s="541"/>
      <c r="H357" s="541"/>
      <c r="J357" s="271"/>
      <c r="K357" s="271"/>
      <c r="L357" s="274"/>
      <c r="M357" s="274"/>
      <c r="N357" s="274"/>
      <c r="O357" s="274"/>
      <c r="P357" s="274"/>
    </row>
    <row r="358" spans="1:16" customFormat="1" x14ac:dyDescent="0.2">
      <c r="A358" t="s">
        <v>209</v>
      </c>
      <c r="D358" s="545">
        <v>34.6</v>
      </c>
      <c r="E358" s="545">
        <v>35.110669999999999</v>
      </c>
      <c r="F358" s="545">
        <v>35.632727940999999</v>
      </c>
      <c r="G358" s="545">
        <v>36.166427774084298</v>
      </c>
      <c r="H358" s="545">
        <v>36.712029113446377</v>
      </c>
      <c r="J358" s="274">
        <f t="shared" ref="J358:N362" si="8">J334</f>
        <v>0</v>
      </c>
      <c r="K358" s="274">
        <f t="shared" si="8"/>
        <v>0</v>
      </c>
      <c r="L358" s="274">
        <f t="shared" si="8"/>
        <v>6123.9024244176217</v>
      </c>
      <c r="M358" s="274">
        <f t="shared" si="8"/>
        <v>6123.9024244176217</v>
      </c>
      <c r="N358" s="274">
        <f t="shared" si="8"/>
        <v>6123.9024244176217</v>
      </c>
      <c r="O358" s="274"/>
      <c r="P358" s="274"/>
    </row>
    <row r="359" spans="1:16" customFormat="1" x14ac:dyDescent="0.2">
      <c r="A359" t="s">
        <v>210</v>
      </c>
      <c r="D359" s="545">
        <v>34.6</v>
      </c>
      <c r="E359" s="545">
        <v>35.110669999999999</v>
      </c>
      <c r="F359" s="545">
        <v>35.632727940999999</v>
      </c>
      <c r="G359" s="545">
        <v>36.166427774084298</v>
      </c>
      <c r="H359" s="545">
        <v>36.712029113446377</v>
      </c>
      <c r="I359" s="271"/>
      <c r="J359" s="274">
        <f t="shared" si="8"/>
        <v>4255</v>
      </c>
      <c r="K359" s="274">
        <f t="shared" si="8"/>
        <v>4255</v>
      </c>
      <c r="L359" s="274">
        <f t="shared" si="8"/>
        <v>19897</v>
      </c>
      <c r="M359" s="274">
        <f t="shared" si="8"/>
        <v>19897</v>
      </c>
      <c r="N359" s="274">
        <f t="shared" si="8"/>
        <v>19897</v>
      </c>
      <c r="O359" s="276"/>
      <c r="P359" s="276"/>
    </row>
    <row r="360" spans="1:16" customFormat="1" x14ac:dyDescent="0.2">
      <c r="A360" t="s">
        <v>211</v>
      </c>
      <c r="D360" s="545">
        <v>34.6</v>
      </c>
      <c r="E360" s="545">
        <v>35.110669999999999</v>
      </c>
      <c r="F360" s="545">
        <v>35.632727940999999</v>
      </c>
      <c r="G360" s="545">
        <v>36.166427774084298</v>
      </c>
      <c r="H360" s="545">
        <v>36.712029113446377</v>
      </c>
      <c r="I360" s="271"/>
      <c r="J360" s="274">
        <f t="shared" si="8"/>
        <v>3157</v>
      </c>
      <c r="K360" s="274">
        <f t="shared" si="8"/>
        <v>3157</v>
      </c>
      <c r="L360" s="274">
        <f t="shared" si="8"/>
        <v>8628</v>
      </c>
      <c r="M360" s="274">
        <f t="shared" si="8"/>
        <v>8628</v>
      </c>
      <c r="N360" s="274">
        <f t="shared" si="8"/>
        <v>8268</v>
      </c>
      <c r="O360" s="277"/>
      <c r="P360" s="277"/>
    </row>
    <row r="361" spans="1:16" customFormat="1" x14ac:dyDescent="0.2">
      <c r="A361" t="s">
        <v>357</v>
      </c>
      <c r="D361" s="545">
        <v>34.6</v>
      </c>
      <c r="E361" s="545">
        <v>35.110669999999999</v>
      </c>
      <c r="F361" s="545">
        <v>35.632727940999999</v>
      </c>
      <c r="G361" s="545">
        <v>36.166427774084298</v>
      </c>
      <c r="H361" s="545">
        <v>36.712029113446377</v>
      </c>
      <c r="I361" s="271"/>
      <c r="J361" s="274">
        <f t="shared" si="8"/>
        <v>468.67173433833449</v>
      </c>
      <c r="K361" s="274">
        <f t="shared" si="8"/>
        <v>468.55725663087549</v>
      </c>
      <c r="L361" s="274">
        <f t="shared" si="8"/>
        <v>17759.590336343601</v>
      </c>
      <c r="M361" s="274">
        <f t="shared" si="8"/>
        <v>17759.590336343601</v>
      </c>
      <c r="N361" s="274">
        <f t="shared" si="8"/>
        <v>17759.590336343601</v>
      </c>
      <c r="O361" s="274"/>
      <c r="P361" s="274"/>
    </row>
    <row r="362" spans="1:16" customFormat="1" x14ac:dyDescent="0.2">
      <c r="A362" t="s">
        <v>212</v>
      </c>
      <c r="D362" s="545">
        <v>34.6</v>
      </c>
      <c r="E362" s="545">
        <v>35.110669999999999</v>
      </c>
      <c r="F362" s="545">
        <v>35.632727940999999</v>
      </c>
      <c r="G362" s="545">
        <v>36.166427774084298</v>
      </c>
      <c r="H362" s="545">
        <v>36.712029113446377</v>
      </c>
      <c r="I362" s="271"/>
      <c r="J362" s="274">
        <f t="shared" si="8"/>
        <v>766</v>
      </c>
      <c r="K362" s="274">
        <f t="shared" si="8"/>
        <v>766</v>
      </c>
      <c r="L362" s="274">
        <f t="shared" si="8"/>
        <v>0</v>
      </c>
      <c r="M362" s="274">
        <f t="shared" si="8"/>
        <v>0</v>
      </c>
      <c r="N362" s="274">
        <f t="shared" si="8"/>
        <v>0</v>
      </c>
      <c r="O362" s="274"/>
      <c r="P362" s="274"/>
    </row>
    <row r="363" spans="1:16" customFormat="1" x14ac:dyDescent="0.2">
      <c r="D363" s="541"/>
      <c r="E363" s="541"/>
      <c r="F363" s="541"/>
      <c r="G363" s="541"/>
      <c r="H363" s="541"/>
      <c r="I363" s="271"/>
      <c r="J363" s="267"/>
      <c r="K363" s="267"/>
      <c r="L363" s="274"/>
      <c r="M363" s="274"/>
      <c r="N363" s="274"/>
      <c r="O363" s="274"/>
      <c r="P363" s="274"/>
    </row>
    <row r="364" spans="1:16" customFormat="1" x14ac:dyDescent="0.2">
      <c r="A364" s="282" t="s">
        <v>223</v>
      </c>
      <c r="B364" s="282"/>
      <c r="C364" s="282"/>
      <c r="D364" s="541"/>
      <c r="E364" s="541"/>
      <c r="F364" s="541"/>
      <c r="G364" s="541"/>
      <c r="H364" s="541"/>
      <c r="I364" s="271"/>
      <c r="N364" s="276"/>
      <c r="O364" s="276"/>
      <c r="P364" s="276"/>
    </row>
    <row r="365" spans="1:16" customFormat="1" x14ac:dyDescent="0.2">
      <c r="A365" s="283" t="s">
        <v>191</v>
      </c>
      <c r="B365" s="283"/>
      <c r="C365" s="283"/>
      <c r="D365" s="545">
        <v>1.5</v>
      </c>
      <c r="E365" s="545">
        <v>1.5</v>
      </c>
      <c r="F365" s="545">
        <v>1.5</v>
      </c>
      <c r="G365" s="545">
        <v>1.5</v>
      </c>
      <c r="H365" s="545">
        <v>1.5</v>
      </c>
      <c r="I365" s="271"/>
      <c r="N365" s="271"/>
      <c r="O365" s="271"/>
      <c r="P365" s="271"/>
    </row>
    <row r="366" spans="1:16" customFormat="1" x14ac:dyDescent="0.2">
      <c r="A366" s="283" t="s">
        <v>224</v>
      </c>
      <c r="B366" s="283"/>
      <c r="C366" s="283"/>
      <c r="D366" s="545">
        <v>2.5</v>
      </c>
      <c r="E366" s="545">
        <v>2.5</v>
      </c>
      <c r="F366" s="545">
        <v>2.5</v>
      </c>
      <c r="G366" s="545">
        <v>2.5</v>
      </c>
      <c r="H366" s="545">
        <v>2.5</v>
      </c>
      <c r="I366" s="271"/>
      <c r="J366" s="271"/>
      <c r="K366" s="271"/>
      <c r="L366" s="271"/>
      <c r="M366" s="271"/>
      <c r="N366" s="271"/>
      <c r="O366" s="271"/>
      <c r="P366" s="271"/>
    </row>
    <row r="367" spans="1:16" customFormat="1" x14ac:dyDescent="0.2">
      <c r="A367" s="283" t="s">
        <v>225</v>
      </c>
      <c r="B367" s="283"/>
      <c r="C367" s="283"/>
      <c r="D367" s="545">
        <v>4.5</v>
      </c>
      <c r="E367" s="545">
        <v>4.5</v>
      </c>
      <c r="F367" s="545">
        <v>4.5</v>
      </c>
      <c r="G367" s="545">
        <v>4.5</v>
      </c>
      <c r="H367" s="545">
        <v>4.5</v>
      </c>
      <c r="I367" s="271"/>
      <c r="J367" s="271"/>
      <c r="K367" s="271"/>
      <c r="L367" s="271"/>
      <c r="M367" s="271"/>
      <c r="N367" s="271"/>
      <c r="O367" s="271"/>
      <c r="P367" s="271"/>
    </row>
    <row r="368" spans="1:16" customFormat="1" x14ac:dyDescent="0.2">
      <c r="A368" s="283" t="s">
        <v>226</v>
      </c>
      <c r="B368" s="283"/>
      <c r="C368" s="283"/>
      <c r="D368" s="545">
        <v>6.2</v>
      </c>
      <c r="E368" s="545">
        <v>6.2</v>
      </c>
      <c r="F368" s="545">
        <v>6.2</v>
      </c>
      <c r="G368" s="545">
        <v>6.2</v>
      </c>
      <c r="H368" s="545">
        <v>6.2</v>
      </c>
      <c r="I368" s="271"/>
      <c r="J368" s="271"/>
      <c r="K368" s="271"/>
      <c r="L368" s="271"/>
      <c r="M368" s="271"/>
      <c r="N368" s="271"/>
      <c r="O368" s="271"/>
      <c r="P368" s="271"/>
    </row>
    <row r="369" spans="1:16" customFormat="1" x14ac:dyDescent="0.2">
      <c r="D369" s="547"/>
      <c r="E369" s="547"/>
      <c r="F369" s="547"/>
      <c r="G369" s="547"/>
      <c r="H369" s="547"/>
      <c r="I369" s="271"/>
      <c r="J369" s="264" t="s">
        <v>227</v>
      </c>
      <c r="K369" s="271"/>
      <c r="L369" s="276"/>
      <c r="M369" s="276"/>
      <c r="N369" s="271"/>
      <c r="O369" s="271"/>
      <c r="P369" s="271"/>
    </row>
    <row r="370" spans="1:16" customFormat="1" x14ac:dyDescent="0.2">
      <c r="A370" t="s">
        <v>228</v>
      </c>
      <c r="D370" s="547"/>
      <c r="E370" s="547"/>
      <c r="F370" s="547"/>
      <c r="G370" s="547"/>
      <c r="H370" s="547"/>
      <c r="J370" s="548">
        <v>2840.5</v>
      </c>
      <c r="K370" s="548">
        <v>0</v>
      </c>
      <c r="L370" s="548">
        <v>0</v>
      </c>
      <c r="M370" s="548">
        <v>0</v>
      </c>
      <c r="N370" s="548">
        <v>0</v>
      </c>
    </row>
    <row r="371" spans="1:16" customFormat="1" x14ac:dyDescent="0.2">
      <c r="A371" t="s">
        <v>229</v>
      </c>
      <c r="D371" s="547"/>
      <c r="E371" s="547"/>
      <c r="F371" s="547"/>
      <c r="G371" s="547"/>
      <c r="H371" s="547"/>
      <c r="J371" s="548">
        <v>704157.15653132333</v>
      </c>
      <c r="K371" s="548">
        <v>695525.52097347646</v>
      </c>
      <c r="L371" s="548">
        <v>605602.09639550466</v>
      </c>
      <c r="M371" s="548">
        <v>515942.71175697667</v>
      </c>
      <c r="N371" s="548">
        <v>425738.74715721508</v>
      </c>
    </row>
    <row r="372" spans="1:16" customFormat="1" x14ac:dyDescent="0.2">
      <c r="A372" t="s">
        <v>230</v>
      </c>
      <c r="D372" s="547"/>
      <c r="E372" s="547"/>
      <c r="F372" s="547"/>
      <c r="G372" s="547"/>
      <c r="H372" s="547"/>
      <c r="J372" s="548">
        <v>5242.6427209510994</v>
      </c>
      <c r="K372" s="548">
        <v>7714.5067294751007</v>
      </c>
      <c r="L372" s="548">
        <v>7022.5067294751007</v>
      </c>
      <c r="M372" s="548">
        <v>6312.5067294751007</v>
      </c>
      <c r="N372" s="548">
        <v>5576.5067294751007</v>
      </c>
    </row>
    <row r="373" spans="1:16" customFormat="1" x14ac:dyDescent="0.2">
      <c r="A373" t="s">
        <v>231</v>
      </c>
      <c r="D373" s="547"/>
      <c r="E373" s="547"/>
      <c r="F373" s="547"/>
      <c r="G373" s="547"/>
      <c r="H373" s="547"/>
      <c r="J373" s="548">
        <v>35210.700747725568</v>
      </c>
      <c r="K373" s="548">
        <v>56099.7222970484</v>
      </c>
      <c r="L373" s="548">
        <v>135884.7222970484</v>
      </c>
      <c r="M373" s="548">
        <v>215602.7222970484</v>
      </c>
      <c r="N373" s="548">
        <v>296425.72229704843</v>
      </c>
    </row>
    <row r="374" spans="1:16" customFormat="1" x14ac:dyDescent="0.2">
      <c r="D374" s="547"/>
      <c r="E374" s="547"/>
      <c r="F374" s="547"/>
      <c r="G374" s="547"/>
      <c r="H374" s="547"/>
      <c r="J374" s="284">
        <f>SUM(J370:J373)</f>
        <v>747451</v>
      </c>
      <c r="K374" s="284">
        <f>SUM(K370:K373)</f>
        <v>759339.75</v>
      </c>
      <c r="L374" s="284">
        <f>SUM(L370:L373)</f>
        <v>748509.3254220282</v>
      </c>
      <c r="M374" s="284">
        <f>SUM(M370:M373)</f>
        <v>737857.94078350021</v>
      </c>
      <c r="N374" s="284">
        <f>SUM(N370:N373)</f>
        <v>727740.97618373856</v>
      </c>
    </row>
    <row r="375" spans="1:16" customFormat="1" x14ac:dyDescent="0.2">
      <c r="A375" s="278" t="s">
        <v>54</v>
      </c>
      <c r="D375" s="542">
        <v>5644406.5512591293</v>
      </c>
      <c r="E375" s="542">
        <v>5765762.3580535455</v>
      </c>
      <c r="F375" s="542">
        <v>5765762.3580535455</v>
      </c>
      <c r="G375" s="542">
        <v>5765762.3580535455</v>
      </c>
      <c r="H375" s="542">
        <v>5765762.3580535455</v>
      </c>
    </row>
    <row r="376" spans="1:16" customFormat="1" x14ac:dyDescent="0.2"/>
    <row r="377" spans="1:16" customFormat="1" x14ac:dyDescent="0.2">
      <c r="A377" s="285"/>
      <c r="B377" s="285"/>
      <c r="C377" s="285"/>
      <c r="D377" s="285"/>
      <c r="E377" s="285"/>
      <c r="F377" s="285"/>
      <c r="G377" s="285"/>
      <c r="H377" s="285"/>
      <c r="I377" s="285"/>
      <c r="J377" s="285"/>
      <c r="K377" s="285"/>
      <c r="L377" s="285"/>
      <c r="M377" s="285"/>
      <c r="N377" s="285"/>
    </row>
    <row r="378" spans="1:16" customFormat="1" x14ac:dyDescent="0.2"/>
    <row r="379" spans="1:16" customFormat="1" x14ac:dyDescent="0.2"/>
    <row r="380" spans="1:16" customFormat="1" x14ac:dyDescent="0.2">
      <c r="A380" s="264" t="s">
        <v>232</v>
      </c>
      <c r="B380" s="265"/>
      <c r="C380" s="265"/>
      <c r="D380" s="266">
        <v>2006</v>
      </c>
      <c r="E380" s="266">
        <v>2007</v>
      </c>
      <c r="F380" s="266">
        <v>2008</v>
      </c>
      <c r="G380" s="266">
        <v>2009</v>
      </c>
      <c r="H380" s="266">
        <v>2010</v>
      </c>
      <c r="J380" s="266">
        <v>2006</v>
      </c>
      <c r="K380" s="266">
        <v>2007</v>
      </c>
      <c r="L380" s="266">
        <v>2008</v>
      </c>
      <c r="M380" s="266">
        <v>2009</v>
      </c>
      <c r="N380" s="266">
        <v>2010</v>
      </c>
    </row>
    <row r="381" spans="1:16" customFormat="1" x14ac:dyDescent="0.2">
      <c r="A381" s="130" t="s">
        <v>203</v>
      </c>
    </row>
    <row r="382" spans="1:16" customFormat="1" ht="15.75" x14ac:dyDescent="0.25">
      <c r="A382" s="130"/>
      <c r="C382" s="286" t="s">
        <v>358</v>
      </c>
      <c r="D382" s="549">
        <v>1</v>
      </c>
    </row>
    <row r="383" spans="1:16" customFormat="1" x14ac:dyDescent="0.2">
      <c r="D383" s="133" t="s">
        <v>233</v>
      </c>
      <c r="J383" s="133" t="s">
        <v>23</v>
      </c>
    </row>
    <row r="384" spans="1:16" customFormat="1" x14ac:dyDescent="0.2">
      <c r="A384" s="255" t="s">
        <v>234</v>
      </c>
      <c r="B384" s="255"/>
      <c r="C384" s="255"/>
      <c r="D384" t="s">
        <v>235</v>
      </c>
      <c r="J384" s="267"/>
      <c r="K384" s="267"/>
      <c r="L384" s="267"/>
      <c r="M384" s="267"/>
      <c r="N384" s="267"/>
    </row>
    <row r="385" spans="1:19" customFormat="1" x14ac:dyDescent="0.2">
      <c r="A385" s="126" t="s">
        <v>236</v>
      </c>
      <c r="B385" s="126"/>
      <c r="C385" s="550">
        <v>42.070596695126952</v>
      </c>
      <c r="D385" s="287">
        <f>C385*$D$382</f>
        <v>42.070596695126952</v>
      </c>
      <c r="E385" s="288">
        <f t="shared" ref="E385:H388" si="9">D385*(1-$D$29)</f>
        <v>50.484716034152342</v>
      </c>
      <c r="F385" s="288">
        <f t="shared" si="9"/>
        <v>60.581659240982809</v>
      </c>
      <c r="G385" s="288">
        <f t="shared" si="9"/>
        <v>72.697991089179368</v>
      </c>
      <c r="H385" s="288">
        <f t="shared" si="9"/>
        <v>87.237589307015242</v>
      </c>
      <c r="J385" s="289">
        <f t="shared" ref="J385:N388" si="10">J370</f>
        <v>2840.5</v>
      </c>
      <c r="K385" s="289">
        <f t="shared" si="10"/>
        <v>0</v>
      </c>
      <c r="L385" s="289">
        <f t="shared" si="10"/>
        <v>0</v>
      </c>
      <c r="M385" s="289">
        <f t="shared" si="10"/>
        <v>0</v>
      </c>
      <c r="N385" s="289">
        <f t="shared" si="10"/>
        <v>0</v>
      </c>
      <c r="O385" s="290"/>
      <c r="P385" s="290"/>
      <c r="Q385" s="290"/>
      <c r="R385" s="290"/>
      <c r="S385" s="290"/>
    </row>
    <row r="386" spans="1:19" customFormat="1" x14ac:dyDescent="0.2">
      <c r="A386" s="126" t="s">
        <v>237</v>
      </c>
      <c r="B386" s="126"/>
      <c r="C386" s="550">
        <v>14.817964794680439</v>
      </c>
      <c r="D386" s="287">
        <f>C386*$D$382</f>
        <v>14.817964794680439</v>
      </c>
      <c r="E386" s="288">
        <f t="shared" si="9"/>
        <v>17.781557753616525</v>
      </c>
      <c r="F386" s="288">
        <f t="shared" si="9"/>
        <v>21.337869304339829</v>
      </c>
      <c r="G386" s="288">
        <f t="shared" si="9"/>
        <v>25.605443165207795</v>
      </c>
      <c r="H386" s="288">
        <f t="shared" si="9"/>
        <v>30.726531798249354</v>
      </c>
      <c r="J386" s="289">
        <f t="shared" si="10"/>
        <v>704157.15653132333</v>
      </c>
      <c r="K386" s="289">
        <f t="shared" si="10"/>
        <v>695525.52097347646</v>
      </c>
      <c r="L386" s="289">
        <f t="shared" si="10"/>
        <v>605602.09639550466</v>
      </c>
      <c r="M386" s="289">
        <f t="shared" si="10"/>
        <v>515942.71175697667</v>
      </c>
      <c r="N386" s="289">
        <f t="shared" si="10"/>
        <v>425738.74715721508</v>
      </c>
      <c r="O386" s="290"/>
      <c r="P386" s="290"/>
      <c r="Q386" s="290"/>
      <c r="R386" s="290"/>
      <c r="S386" s="290"/>
    </row>
    <row r="387" spans="1:19" customFormat="1" x14ac:dyDescent="0.2">
      <c r="A387" s="126" t="s">
        <v>238</v>
      </c>
      <c r="B387" s="126"/>
      <c r="C387" s="550">
        <v>42.070596695126952</v>
      </c>
      <c r="D387" s="287">
        <f>C387*$D$382</f>
        <v>42.070596695126952</v>
      </c>
      <c r="E387" s="288">
        <f t="shared" si="9"/>
        <v>50.484716034152342</v>
      </c>
      <c r="F387" s="288">
        <f t="shared" si="9"/>
        <v>60.581659240982809</v>
      </c>
      <c r="G387" s="288">
        <f t="shared" si="9"/>
        <v>72.697991089179368</v>
      </c>
      <c r="H387" s="288">
        <f t="shared" si="9"/>
        <v>87.237589307015242</v>
      </c>
      <c r="J387" s="289">
        <f t="shared" si="10"/>
        <v>5242.6427209510994</v>
      </c>
      <c r="K387" s="289">
        <f t="shared" si="10"/>
        <v>7714.5067294751007</v>
      </c>
      <c r="L387" s="289">
        <f t="shared" si="10"/>
        <v>7022.5067294751007</v>
      </c>
      <c r="M387" s="289">
        <f t="shared" si="10"/>
        <v>6312.5067294751007</v>
      </c>
      <c r="N387" s="289">
        <f t="shared" si="10"/>
        <v>5576.5067294751007</v>
      </c>
      <c r="O387" s="290"/>
      <c r="P387" s="290"/>
      <c r="Q387" s="290"/>
      <c r="R387" s="290"/>
      <c r="S387" s="290"/>
    </row>
    <row r="388" spans="1:19" customFormat="1" x14ac:dyDescent="0.2">
      <c r="A388" s="126" t="s">
        <v>239</v>
      </c>
      <c r="B388" s="126"/>
      <c r="C388" s="550">
        <v>14.817964794680439</v>
      </c>
      <c r="D388" s="287">
        <f>C388*$D$382</f>
        <v>14.817964794680439</v>
      </c>
      <c r="E388" s="288">
        <f t="shared" si="9"/>
        <v>17.781557753616525</v>
      </c>
      <c r="F388" s="288">
        <f t="shared" si="9"/>
        <v>21.337869304339829</v>
      </c>
      <c r="G388" s="288">
        <f t="shared" si="9"/>
        <v>25.605443165207795</v>
      </c>
      <c r="H388" s="288">
        <f t="shared" si="9"/>
        <v>30.726531798249354</v>
      </c>
      <c r="J388" s="289">
        <f t="shared" si="10"/>
        <v>35210.700747725568</v>
      </c>
      <c r="K388" s="289">
        <f t="shared" si="10"/>
        <v>56099.7222970484</v>
      </c>
      <c r="L388" s="289">
        <f t="shared" si="10"/>
        <v>135884.7222970484</v>
      </c>
      <c r="M388" s="289">
        <f t="shared" si="10"/>
        <v>215602.7222970484</v>
      </c>
      <c r="N388" s="289">
        <f t="shared" si="10"/>
        <v>296425.72229704843</v>
      </c>
      <c r="O388" s="290"/>
      <c r="P388" s="290"/>
      <c r="Q388" s="290"/>
      <c r="R388" s="290"/>
      <c r="S388" s="290"/>
    </row>
    <row r="389" spans="1:19" customFormat="1" x14ac:dyDescent="0.2">
      <c r="A389" s="126"/>
      <c r="B389" s="126"/>
      <c r="C389" s="551"/>
      <c r="D389" s="228"/>
      <c r="E389" s="228"/>
      <c r="F389" s="228"/>
      <c r="G389" s="228"/>
      <c r="H389" s="228"/>
      <c r="J389" s="284">
        <f>SUM(J385:J388)</f>
        <v>747451</v>
      </c>
      <c r="K389" s="284">
        <f>SUM(K385:K388)</f>
        <v>759339.75</v>
      </c>
      <c r="L389" s="284">
        <f>SUM(L385:L388)</f>
        <v>748509.3254220282</v>
      </c>
      <c r="M389" s="284">
        <f>SUM(M385:M388)</f>
        <v>737857.94078350021</v>
      </c>
      <c r="N389" s="284">
        <f>SUM(N385:N388)</f>
        <v>727740.97618373856</v>
      </c>
      <c r="O389" s="290"/>
      <c r="P389" s="290"/>
      <c r="Q389" s="290"/>
      <c r="R389" s="290"/>
      <c r="S389" s="290"/>
    </row>
    <row r="390" spans="1:19" customFormat="1" x14ac:dyDescent="0.2">
      <c r="A390" s="255" t="s">
        <v>234</v>
      </c>
      <c r="B390" s="255"/>
      <c r="C390" s="552"/>
      <c r="D390" t="s">
        <v>240</v>
      </c>
      <c r="E390" s="228"/>
      <c r="F390" s="228"/>
      <c r="G390" s="228"/>
      <c r="H390" s="228"/>
      <c r="J390" s="291"/>
      <c r="K390" s="291"/>
      <c r="L390" s="291"/>
      <c r="M390" s="291"/>
      <c r="N390" s="291"/>
      <c r="O390" s="292"/>
      <c r="P390" s="292"/>
      <c r="Q390" s="292"/>
      <c r="R390" s="292"/>
      <c r="S390" s="292"/>
    </row>
    <row r="391" spans="1:19" customFormat="1" x14ac:dyDescent="0.2">
      <c r="A391" s="126" t="s">
        <v>251</v>
      </c>
      <c r="B391" s="126"/>
      <c r="C391" s="550">
        <v>0</v>
      </c>
      <c r="D391" s="287">
        <f>C391*$D$382</f>
        <v>0</v>
      </c>
      <c r="E391" s="288">
        <f t="shared" ref="E391:H394" si="11">D391*(1-$D$29)</f>
        <v>0</v>
      </c>
      <c r="F391" s="288">
        <f t="shared" si="11"/>
        <v>0</v>
      </c>
      <c r="G391" s="288">
        <f t="shared" si="11"/>
        <v>0</v>
      </c>
      <c r="H391" s="288">
        <f t="shared" si="11"/>
        <v>0</v>
      </c>
      <c r="J391" s="553">
        <v>0</v>
      </c>
      <c r="K391" s="553">
        <v>0</v>
      </c>
      <c r="L391" s="553">
        <v>0</v>
      </c>
      <c r="M391" s="553">
        <v>0</v>
      </c>
      <c r="N391" s="553">
        <v>0</v>
      </c>
      <c r="O391" s="292"/>
      <c r="P391" s="271"/>
      <c r="Q391" s="271"/>
      <c r="R391" s="271"/>
      <c r="S391" s="271"/>
    </row>
    <row r="392" spans="1:19" customFormat="1" x14ac:dyDescent="0.2">
      <c r="A392" s="126" t="s">
        <v>252</v>
      </c>
      <c r="B392" s="126"/>
      <c r="C392" s="550">
        <v>0</v>
      </c>
      <c r="D392" s="287">
        <f>C392*$D$382</f>
        <v>0</v>
      </c>
      <c r="E392" s="288">
        <f t="shared" si="11"/>
        <v>0</v>
      </c>
      <c r="F392" s="288">
        <f t="shared" si="11"/>
        <v>0</v>
      </c>
      <c r="G392" s="288">
        <f t="shared" si="11"/>
        <v>0</v>
      </c>
      <c r="H392" s="288">
        <f t="shared" si="11"/>
        <v>0</v>
      </c>
      <c r="J392" s="553">
        <v>541474.83945697406</v>
      </c>
      <c r="K392" s="553">
        <v>534697.81323619781</v>
      </c>
      <c r="L392" s="553">
        <v>488233.27305191796</v>
      </c>
      <c r="M392" s="553">
        <v>441987.50174757856</v>
      </c>
      <c r="N392" s="553">
        <v>395296.78029193444</v>
      </c>
      <c r="O392" s="271"/>
      <c r="P392" s="271"/>
      <c r="Q392" s="271"/>
      <c r="R392" s="271"/>
      <c r="S392" s="271"/>
    </row>
    <row r="393" spans="1:19" customFormat="1" x14ac:dyDescent="0.2">
      <c r="A393" s="126" t="s">
        <v>253</v>
      </c>
      <c r="B393" s="126"/>
      <c r="C393" s="550">
        <v>0</v>
      </c>
      <c r="D393" s="287">
        <f>C393*$D$382</f>
        <v>0</v>
      </c>
      <c r="E393" s="288">
        <f t="shared" si="11"/>
        <v>0</v>
      </c>
      <c r="F393" s="288">
        <f t="shared" si="11"/>
        <v>0</v>
      </c>
      <c r="G393" s="288">
        <f t="shared" si="11"/>
        <v>0</v>
      </c>
      <c r="H393" s="288">
        <f t="shared" si="11"/>
        <v>0</v>
      </c>
      <c r="J393" s="553">
        <v>6508.9489249309008</v>
      </c>
      <c r="K393" s="553">
        <v>5882.9389853199536</v>
      </c>
      <c r="L393" s="553">
        <v>5218.1334253192936</v>
      </c>
      <c r="M393" s="553">
        <v>4535.2401989378968</v>
      </c>
      <c r="N393" s="553">
        <v>3829.5488259490016</v>
      </c>
      <c r="O393" s="271"/>
      <c r="P393" s="271"/>
      <c r="Q393" s="271"/>
      <c r="R393" s="271"/>
      <c r="S393" s="271"/>
    </row>
    <row r="394" spans="1:19" customFormat="1" x14ac:dyDescent="0.2">
      <c r="A394" s="126" t="s">
        <v>254</v>
      </c>
      <c r="B394" s="126"/>
      <c r="C394" s="550">
        <v>0</v>
      </c>
      <c r="D394" s="287">
        <f>C394*$D$382</f>
        <v>0</v>
      </c>
      <c r="E394" s="288">
        <f t="shared" si="11"/>
        <v>0</v>
      </c>
      <c r="F394" s="288">
        <f t="shared" si="11"/>
        <v>0</v>
      </c>
      <c r="G394" s="288">
        <f t="shared" si="11"/>
        <v>0</v>
      </c>
      <c r="H394" s="288">
        <f t="shared" si="11"/>
        <v>0</v>
      </c>
      <c r="J394" s="553">
        <v>29415.451934137975</v>
      </c>
      <c r="K394" s="553">
        <v>47080.830466136853</v>
      </c>
      <c r="L394" s="553">
        <v>105119.68334438653</v>
      </c>
      <c r="M394" s="553">
        <v>163130.54146459873</v>
      </c>
      <c r="N394" s="553">
        <v>222112.24617836383</v>
      </c>
      <c r="O394" s="271"/>
      <c r="P394" s="271"/>
      <c r="Q394" s="271"/>
      <c r="R394" s="271"/>
      <c r="S394" s="271"/>
    </row>
    <row r="395" spans="1:19" customFormat="1" x14ac:dyDescent="0.2">
      <c r="A395" s="126"/>
      <c r="B395" s="126"/>
      <c r="C395" s="551"/>
      <c r="J395" s="284">
        <f>SUM(J391:J394)</f>
        <v>577399.24031604291</v>
      </c>
      <c r="K395" s="284">
        <f>SUM(K391:K394)</f>
        <v>587661.58268765453</v>
      </c>
      <c r="L395" s="284">
        <f>SUM(L391:L394)</f>
        <v>598571.08982162375</v>
      </c>
      <c r="M395" s="284">
        <f>SUM(M391:M394)</f>
        <v>609653.28341111518</v>
      </c>
      <c r="N395" s="284">
        <f>SUM(N391:N394)</f>
        <v>621238.57529624726</v>
      </c>
      <c r="O395" s="271"/>
      <c r="P395" s="271"/>
      <c r="Q395" s="271"/>
      <c r="R395" s="271"/>
      <c r="S395" s="271"/>
    </row>
    <row r="396" spans="1:19" customFormat="1" x14ac:dyDescent="0.2">
      <c r="A396" s="255" t="s">
        <v>241</v>
      </c>
      <c r="B396" s="255"/>
      <c r="C396" s="552"/>
      <c r="O396" s="271"/>
      <c r="P396" s="271"/>
      <c r="Q396" s="271"/>
      <c r="R396" s="271"/>
      <c r="S396" s="271"/>
    </row>
    <row r="397" spans="1:19" customFormat="1" x14ac:dyDescent="0.2">
      <c r="A397" s="255" t="s">
        <v>242</v>
      </c>
      <c r="B397" s="255"/>
      <c r="C397" s="552"/>
      <c r="D397" t="s">
        <v>243</v>
      </c>
      <c r="O397" s="271"/>
      <c r="P397" s="271"/>
      <c r="Q397" s="271"/>
      <c r="R397" s="271"/>
      <c r="S397" s="271"/>
    </row>
    <row r="398" spans="1:19" customFormat="1" x14ac:dyDescent="0.2">
      <c r="A398" s="126" t="s">
        <v>244</v>
      </c>
      <c r="B398" s="126"/>
      <c r="C398" s="550">
        <v>145.88</v>
      </c>
      <c r="D398" s="293">
        <f>C398</f>
        <v>145.88</v>
      </c>
      <c r="E398" s="288">
        <f t="shared" ref="E398:H399" si="12">D398*(1-$D$29)</f>
        <v>175.05599999999998</v>
      </c>
      <c r="F398" s="288">
        <f t="shared" si="12"/>
        <v>210.06719999999999</v>
      </c>
      <c r="G398" s="288">
        <f t="shared" si="12"/>
        <v>252.08063999999996</v>
      </c>
      <c r="H398" s="288">
        <f t="shared" si="12"/>
        <v>302.49676799999992</v>
      </c>
      <c r="J398" s="553">
        <v>81</v>
      </c>
      <c r="K398" s="553">
        <v>81</v>
      </c>
      <c r="L398" s="553">
        <v>81</v>
      </c>
      <c r="M398" s="553">
        <v>81</v>
      </c>
      <c r="N398" s="553">
        <v>81</v>
      </c>
      <c r="O398" s="271"/>
      <c r="P398" s="271"/>
      <c r="Q398" s="271"/>
      <c r="R398" s="271"/>
      <c r="S398" s="271"/>
    </row>
    <row r="399" spans="1:19" customFormat="1" x14ac:dyDescent="0.2">
      <c r="A399" s="126" t="s">
        <v>245</v>
      </c>
      <c r="B399" s="126"/>
      <c r="C399" s="550">
        <v>0.95</v>
      </c>
      <c r="D399" s="293">
        <f>C399</f>
        <v>0.95</v>
      </c>
      <c r="E399" s="288">
        <f t="shared" si="12"/>
        <v>1.1399999999999999</v>
      </c>
      <c r="F399" s="288">
        <f t="shared" si="12"/>
        <v>1.3679999999999999</v>
      </c>
      <c r="G399" s="288">
        <f t="shared" si="12"/>
        <v>1.6415999999999997</v>
      </c>
      <c r="H399" s="288">
        <f t="shared" si="12"/>
        <v>1.9699199999999997</v>
      </c>
      <c r="J399" s="553">
        <v>109501</v>
      </c>
      <c r="K399" s="553">
        <v>113971</v>
      </c>
      <c r="L399" s="553">
        <v>118623</v>
      </c>
      <c r="M399" s="553">
        <v>123465</v>
      </c>
      <c r="N399" s="553">
        <v>128505</v>
      </c>
      <c r="O399" s="271"/>
      <c r="P399" s="271"/>
      <c r="Q399" s="271"/>
      <c r="R399" s="271"/>
      <c r="S399" s="271"/>
    </row>
    <row r="400" spans="1:19" customFormat="1" x14ac:dyDescent="0.2">
      <c r="A400" s="126"/>
      <c r="B400" s="126"/>
      <c r="C400" s="551"/>
      <c r="D400" s="294"/>
      <c r="E400" s="288"/>
      <c r="F400" s="288"/>
      <c r="G400" s="288"/>
      <c r="H400" s="288"/>
      <c r="J400" s="289"/>
      <c r="K400" s="289"/>
      <c r="L400" s="289"/>
      <c r="M400" s="289"/>
      <c r="N400" s="289"/>
      <c r="O400" s="271"/>
      <c r="P400" s="271"/>
      <c r="Q400" s="271"/>
      <c r="R400" s="271"/>
      <c r="S400" s="271"/>
    </row>
    <row r="401" spans="1:19" customFormat="1" x14ac:dyDescent="0.2">
      <c r="A401" s="255" t="s">
        <v>29</v>
      </c>
      <c r="B401" s="255"/>
      <c r="C401" s="552"/>
      <c r="D401" t="s">
        <v>243</v>
      </c>
      <c r="J401" s="228"/>
      <c r="K401" s="228"/>
      <c r="L401" s="228"/>
      <c r="M401" s="228"/>
      <c r="N401" s="228"/>
      <c r="O401" s="271"/>
      <c r="P401" s="271"/>
      <c r="Q401" s="271"/>
      <c r="R401" s="271"/>
      <c r="S401" s="271"/>
    </row>
    <row r="402" spans="1:19" customFormat="1" x14ac:dyDescent="0.2">
      <c r="A402" s="126" t="s">
        <v>246</v>
      </c>
      <c r="B402" s="126"/>
      <c r="C402" s="550">
        <v>2.6712717076258006</v>
      </c>
      <c r="D402" s="287">
        <f>C402*$D$382</f>
        <v>2.6712717076258006</v>
      </c>
      <c r="E402" s="295">
        <f t="shared" ref="E402:H406" si="13">D402*(1-$D$29)</f>
        <v>3.2055260491509605</v>
      </c>
      <c r="F402" s="295">
        <f t="shared" si="13"/>
        <v>3.8466312589811524</v>
      </c>
      <c r="G402" s="295">
        <f t="shared" si="13"/>
        <v>4.6159575107773829</v>
      </c>
      <c r="H402" s="295">
        <f t="shared" si="13"/>
        <v>5.5391490129328593</v>
      </c>
      <c r="J402" s="553">
        <v>327081.07016085723</v>
      </c>
      <c r="K402" s="553">
        <v>334788.23161118897</v>
      </c>
      <c r="L402" s="553">
        <v>342342.5113433029</v>
      </c>
      <c r="M402" s="553">
        <v>349977.60200844088</v>
      </c>
      <c r="N402" s="553">
        <v>358038.3536431223</v>
      </c>
      <c r="O402" s="271"/>
      <c r="P402" s="271"/>
      <c r="Q402" s="271"/>
      <c r="R402" s="271"/>
      <c r="S402" s="271"/>
    </row>
    <row r="403" spans="1:19" customFormat="1" x14ac:dyDescent="0.2">
      <c r="A403" s="126" t="s">
        <v>247</v>
      </c>
      <c r="B403" s="126"/>
      <c r="C403" s="550">
        <v>6.3748231507512765</v>
      </c>
      <c r="D403" s="287">
        <f>C403*$D$382</f>
        <v>6.3748231507512765</v>
      </c>
      <c r="E403" s="295">
        <f t="shared" si="13"/>
        <v>7.6497877809015318</v>
      </c>
      <c r="F403" s="295">
        <f t="shared" si="13"/>
        <v>9.1797453370818385</v>
      </c>
      <c r="G403" s="295">
        <f t="shared" si="13"/>
        <v>11.015694404498205</v>
      </c>
      <c r="H403" s="295">
        <f t="shared" si="13"/>
        <v>13.218833285397846</v>
      </c>
      <c r="J403" s="553">
        <v>336438.38255269907</v>
      </c>
      <c r="K403" s="553">
        <v>340055.93100589758</v>
      </c>
      <c r="L403" s="553">
        <v>321198.73973271751</v>
      </c>
      <c r="M403" s="553">
        <v>302440.52795478486</v>
      </c>
      <c r="N403" s="553">
        <v>283769.02061518887</v>
      </c>
      <c r="O403" s="271"/>
      <c r="P403" s="271"/>
      <c r="Q403" s="271"/>
      <c r="R403" s="271"/>
      <c r="S403" s="271"/>
    </row>
    <row r="404" spans="1:19" customFormat="1" x14ac:dyDescent="0.2">
      <c r="A404" s="126" t="s">
        <v>248</v>
      </c>
      <c r="B404" s="126"/>
      <c r="C404" s="550">
        <v>36.665237867209136</v>
      </c>
      <c r="D404" s="287">
        <f>C404*$D$382</f>
        <v>36.665237867209136</v>
      </c>
      <c r="E404" s="295">
        <f t="shared" si="13"/>
        <v>43.99828544065096</v>
      </c>
      <c r="F404" s="295">
        <f t="shared" si="13"/>
        <v>52.797942528781149</v>
      </c>
      <c r="G404" s="295">
        <f t="shared" si="13"/>
        <v>63.357531034537374</v>
      </c>
      <c r="H404" s="295">
        <f t="shared" si="13"/>
        <v>76.02903724144484</v>
      </c>
      <c r="J404" s="553">
        <v>82453.314942680299</v>
      </c>
      <c r="K404" s="553">
        <v>82990.399336892544</v>
      </c>
      <c r="L404" s="553">
        <v>83437.127095429198</v>
      </c>
      <c r="M404" s="553">
        <v>83883.667122120998</v>
      </c>
      <c r="N404" s="553">
        <v>84350.534545684379</v>
      </c>
      <c r="O404" s="271"/>
      <c r="P404" s="271"/>
      <c r="Q404" s="271"/>
      <c r="R404" s="271"/>
      <c r="S404" s="271"/>
    </row>
    <row r="405" spans="1:19" customFormat="1" x14ac:dyDescent="0.2">
      <c r="A405" s="126" t="s">
        <v>249</v>
      </c>
      <c r="B405" s="126"/>
      <c r="C405" s="550">
        <v>32.772471605734133</v>
      </c>
      <c r="D405" s="287">
        <f>C405*$D$382</f>
        <v>32.772471605734133</v>
      </c>
      <c r="E405" s="295">
        <f t="shared" si="13"/>
        <v>39.326965926880959</v>
      </c>
      <c r="F405" s="295">
        <f t="shared" si="13"/>
        <v>47.192359112257151</v>
      </c>
      <c r="G405" s="295">
        <f t="shared" si="13"/>
        <v>56.630830934708577</v>
      </c>
      <c r="H405" s="295">
        <f t="shared" si="13"/>
        <v>67.956997121650289</v>
      </c>
      <c r="J405" s="553">
        <v>1478.232343763259</v>
      </c>
      <c r="K405" s="553">
        <v>1505.1880460207444</v>
      </c>
      <c r="L405" s="553">
        <v>1530.9472505786187</v>
      </c>
      <c r="M405" s="553">
        <v>1556.1436981534141</v>
      </c>
      <c r="N405" s="553">
        <v>1583.0673797430527</v>
      </c>
      <c r="O405" s="271"/>
      <c r="P405" s="271"/>
      <c r="Q405" s="271"/>
      <c r="R405" s="271"/>
      <c r="S405" s="271"/>
    </row>
    <row r="406" spans="1:19" customFormat="1" x14ac:dyDescent="0.2">
      <c r="A406" s="222" t="s">
        <v>359</v>
      </c>
      <c r="B406" s="222"/>
      <c r="C406" s="222">
        <v>0</v>
      </c>
      <c r="D406" s="220">
        <f>C406*$D$382</f>
        <v>0</v>
      </c>
      <c r="E406" s="234">
        <f t="shared" si="13"/>
        <v>0</v>
      </c>
      <c r="F406" s="234">
        <f t="shared" si="13"/>
        <v>0</v>
      </c>
      <c r="G406" s="234">
        <f t="shared" si="13"/>
        <v>0</v>
      </c>
      <c r="H406" s="234">
        <f t="shared" si="13"/>
        <v>0</v>
      </c>
      <c r="I406" s="234"/>
      <c r="J406" s="236">
        <v>0</v>
      </c>
      <c r="K406" s="236">
        <v>0</v>
      </c>
      <c r="L406" s="236">
        <v>0</v>
      </c>
      <c r="M406" s="236">
        <v>0</v>
      </c>
      <c r="N406" s="236">
        <v>0</v>
      </c>
      <c r="O406" s="290"/>
      <c r="P406" s="290"/>
      <c r="Q406" s="290"/>
      <c r="R406" s="290"/>
      <c r="S406" s="290"/>
    </row>
    <row r="407" spans="1:19" customFormat="1" x14ac:dyDescent="0.2">
      <c r="A407" t="s">
        <v>45</v>
      </c>
      <c r="J407">
        <f>SUM(J402:J406)</f>
        <v>747450.99999999988</v>
      </c>
      <c r="K407">
        <f>SUM(K402:K406)</f>
        <v>759339.74999999977</v>
      </c>
      <c r="L407">
        <f>SUM(L402:L406)</f>
        <v>748509.32542202831</v>
      </c>
      <c r="M407">
        <f>SUM(M402:M406)</f>
        <v>737857.94078350009</v>
      </c>
      <c r="N407">
        <f>SUM(N402:N406)</f>
        <v>727740.97618373868</v>
      </c>
      <c r="O407" s="292"/>
      <c r="P407" s="292"/>
      <c r="Q407" s="292"/>
      <c r="R407" s="292"/>
      <c r="S407" s="292"/>
    </row>
    <row r="408" spans="1:19" customFormat="1" x14ac:dyDescent="0.2">
      <c r="O408" s="292"/>
      <c r="P408" s="271"/>
      <c r="Q408" s="271"/>
      <c r="R408" s="271"/>
      <c r="S408" s="271"/>
    </row>
    <row r="409" spans="1:19" customFormat="1" x14ac:dyDescent="0.2">
      <c r="A409" s="133" t="s">
        <v>250</v>
      </c>
      <c r="D409" s="126"/>
      <c r="O409" s="271"/>
      <c r="P409" s="271"/>
      <c r="Q409" s="271"/>
      <c r="R409" s="271"/>
      <c r="S409" s="271"/>
    </row>
    <row r="410" spans="1:19" customFormat="1" x14ac:dyDescent="0.2">
      <c r="A410" s="255" t="s">
        <v>234</v>
      </c>
      <c r="B410" s="255"/>
      <c r="C410" s="255"/>
      <c r="O410" s="271"/>
      <c r="P410" s="271"/>
      <c r="Q410" s="271"/>
      <c r="R410" s="271"/>
      <c r="S410" s="271"/>
    </row>
    <row r="411" spans="1:19" customFormat="1" x14ac:dyDescent="0.2">
      <c r="A411" s="126" t="s">
        <v>236</v>
      </c>
      <c r="B411" s="126"/>
      <c r="C411" s="126"/>
      <c r="D411" s="296">
        <f t="shared" ref="D411:H414" si="14">D385*J385</f>
        <v>119501.52991250811</v>
      </c>
      <c r="E411" s="296">
        <f t="shared" si="14"/>
        <v>0</v>
      </c>
      <c r="F411" s="296">
        <f t="shared" si="14"/>
        <v>0</v>
      </c>
      <c r="G411" s="296">
        <f t="shared" si="14"/>
        <v>0</v>
      </c>
      <c r="H411" s="296">
        <f t="shared" si="14"/>
        <v>0</v>
      </c>
    </row>
    <row r="412" spans="1:19" customFormat="1" x14ac:dyDescent="0.2">
      <c r="A412" s="126" t="s">
        <v>237</v>
      </c>
      <c r="B412" s="126"/>
      <c r="C412" s="126"/>
      <c r="D412" s="296">
        <f t="shared" si="14"/>
        <v>10434175.955403432</v>
      </c>
      <c r="E412" s="296">
        <f t="shared" si="14"/>
        <v>12367527.220304094</v>
      </c>
      <c r="F412" s="296">
        <f t="shared" si="14"/>
        <v>12922258.38332149</v>
      </c>
      <c r="G412" s="296">
        <f t="shared" si="14"/>
        <v>13210941.782396454</v>
      </c>
      <c r="H412" s="296">
        <f t="shared" si="14"/>
        <v>13081475.15227301</v>
      </c>
    </row>
    <row r="413" spans="1:19" customFormat="1" x14ac:dyDescent="0.2">
      <c r="A413" s="126" t="s">
        <v>238</v>
      </c>
      <c r="B413" s="126"/>
      <c r="C413" s="126"/>
      <c r="D413" s="296">
        <f t="shared" si="14"/>
        <v>220561.10752977669</v>
      </c>
      <c r="E413" s="296">
        <f t="shared" si="14"/>
        <v>389464.68158110778</v>
      </c>
      <c r="F413" s="296">
        <f t="shared" si="14"/>
        <v>425435.1097025692</v>
      </c>
      <c r="G413" s="296">
        <f t="shared" si="14"/>
        <v>458906.55796976568</v>
      </c>
      <c r="H413" s="296">
        <f t="shared" si="14"/>
        <v>486481.00383375556</v>
      </c>
    </row>
    <row r="414" spans="1:19" customFormat="1" x14ac:dyDescent="0.2">
      <c r="A414" s="126" t="s">
        <v>239</v>
      </c>
      <c r="B414" s="126"/>
      <c r="C414" s="126"/>
      <c r="D414" s="296">
        <f t="shared" si="14"/>
        <v>521750.92407582566</v>
      </c>
      <c r="E414" s="296">
        <f t="shared" si="14"/>
        <v>997540.45198681485</v>
      </c>
      <c r="F414" s="296">
        <f t="shared" si="14"/>
        <v>2899490.4448309313</v>
      </c>
      <c r="G414" s="296">
        <f t="shared" si="14"/>
        <v>5520603.2520411527</v>
      </c>
      <c r="H414" s="296">
        <f t="shared" si="14"/>
        <v>9108134.3819792904</v>
      </c>
    </row>
    <row r="415" spans="1:19" customFormat="1" x14ac:dyDescent="0.2">
      <c r="A415" s="126"/>
      <c r="B415" s="126"/>
      <c r="C415" s="126"/>
      <c r="D415" s="297">
        <f>SUM(D411:D414)</f>
        <v>11295989.516921543</v>
      </c>
      <c r="E415" s="297">
        <f>SUM(E411:E414)</f>
        <v>13754532.353872016</v>
      </c>
      <c r="F415" s="297">
        <f>SUM(F411:F414)</f>
        <v>16247183.93785499</v>
      </c>
      <c r="G415" s="297">
        <f>SUM(G411:G414)</f>
        <v>19190451.592407372</v>
      </c>
      <c r="H415" s="297">
        <f>SUM(H411:H414)</f>
        <v>22676090.538086057</v>
      </c>
    </row>
    <row r="416" spans="1:19" customFormat="1" x14ac:dyDescent="0.2">
      <c r="A416" s="255" t="s">
        <v>234</v>
      </c>
      <c r="B416" s="255"/>
      <c r="C416" s="255"/>
      <c r="D416" s="296"/>
      <c r="E416" s="296"/>
      <c r="F416" s="296"/>
      <c r="G416" s="296"/>
      <c r="H416" s="296"/>
    </row>
    <row r="417" spans="1:8" customFormat="1" x14ac:dyDescent="0.2">
      <c r="A417" s="126" t="s">
        <v>251</v>
      </c>
      <c r="B417" s="126"/>
      <c r="C417" s="126"/>
      <c r="D417" s="296">
        <f t="shared" ref="D417:H420" si="15">D391*J391</f>
        <v>0</v>
      </c>
      <c r="E417" s="296">
        <f t="shared" si="15"/>
        <v>0</v>
      </c>
      <c r="F417" s="296">
        <f t="shared" si="15"/>
        <v>0</v>
      </c>
      <c r="G417" s="296">
        <f t="shared" si="15"/>
        <v>0</v>
      </c>
      <c r="H417" s="296">
        <f t="shared" si="15"/>
        <v>0</v>
      </c>
    </row>
    <row r="418" spans="1:8" customFormat="1" x14ac:dyDescent="0.2">
      <c r="A418" s="126" t="s">
        <v>252</v>
      </c>
      <c r="B418" s="126"/>
      <c r="C418" s="126"/>
      <c r="D418" s="296">
        <f t="shared" si="15"/>
        <v>0</v>
      </c>
      <c r="E418" s="296">
        <f t="shared" si="15"/>
        <v>0</v>
      </c>
      <c r="F418" s="296">
        <f t="shared" si="15"/>
        <v>0</v>
      </c>
      <c r="G418" s="296">
        <f t="shared" si="15"/>
        <v>0</v>
      </c>
      <c r="H418" s="296">
        <f t="shared" si="15"/>
        <v>0</v>
      </c>
    </row>
    <row r="419" spans="1:8" customFormat="1" x14ac:dyDescent="0.2">
      <c r="A419" s="126" t="s">
        <v>253</v>
      </c>
      <c r="B419" s="126"/>
      <c r="C419" s="126"/>
      <c r="D419" s="296">
        <f t="shared" si="15"/>
        <v>0</v>
      </c>
      <c r="E419" s="296">
        <f t="shared" si="15"/>
        <v>0</v>
      </c>
      <c r="F419" s="296">
        <f t="shared" si="15"/>
        <v>0</v>
      </c>
      <c r="G419" s="296">
        <f t="shared" si="15"/>
        <v>0</v>
      </c>
      <c r="H419" s="296">
        <f t="shared" si="15"/>
        <v>0</v>
      </c>
    </row>
    <row r="420" spans="1:8" customFormat="1" x14ac:dyDescent="0.2">
      <c r="A420" s="126" t="s">
        <v>254</v>
      </c>
      <c r="B420" s="126"/>
      <c r="C420" s="126"/>
      <c r="D420" s="296">
        <f t="shared" si="15"/>
        <v>0</v>
      </c>
      <c r="E420" s="296">
        <f t="shared" si="15"/>
        <v>0</v>
      </c>
      <c r="F420" s="296">
        <f t="shared" si="15"/>
        <v>0</v>
      </c>
      <c r="G420" s="296">
        <f t="shared" si="15"/>
        <v>0</v>
      </c>
      <c r="H420" s="296">
        <f t="shared" si="15"/>
        <v>0</v>
      </c>
    </row>
    <row r="421" spans="1:8" customFormat="1" x14ac:dyDescent="0.2">
      <c r="A421" s="126"/>
      <c r="B421" s="126"/>
      <c r="C421" s="126"/>
      <c r="D421" s="297">
        <f>SUM(D417:D420)</f>
        <v>0</v>
      </c>
      <c r="E421" s="297">
        <f>SUM(E417:E420)</f>
        <v>0</v>
      </c>
      <c r="F421" s="297">
        <f>SUM(F417:F420)</f>
        <v>0</v>
      </c>
      <c r="G421" s="297">
        <f>SUM(G417:G420)</f>
        <v>0</v>
      </c>
      <c r="H421" s="297">
        <f>SUM(H417:H420)</f>
        <v>0</v>
      </c>
    </row>
    <row r="422" spans="1:8" customFormat="1" x14ac:dyDescent="0.2">
      <c r="A422" s="255" t="s">
        <v>241</v>
      </c>
      <c r="B422" s="255"/>
      <c r="C422" s="255"/>
      <c r="D422" s="296"/>
      <c r="E422" s="296"/>
      <c r="F422" s="296"/>
      <c r="G422" s="296"/>
      <c r="H422" s="296"/>
    </row>
    <row r="423" spans="1:8" customFormat="1" x14ac:dyDescent="0.2">
      <c r="A423" s="255" t="s">
        <v>242</v>
      </c>
      <c r="B423" s="255"/>
      <c r="C423" s="255"/>
      <c r="D423" s="296"/>
      <c r="E423" s="296"/>
      <c r="F423" s="296"/>
      <c r="G423" s="296"/>
      <c r="H423" s="296"/>
    </row>
    <row r="424" spans="1:8" customFormat="1" x14ac:dyDescent="0.2">
      <c r="A424" s="126" t="s">
        <v>244</v>
      </c>
      <c r="B424" s="126"/>
      <c r="C424" s="126"/>
      <c r="D424" s="296">
        <f t="shared" ref="D424:H425" si="16">D398*J398</f>
        <v>11816.279999999999</v>
      </c>
      <c r="E424" s="296">
        <f t="shared" si="16"/>
        <v>14179.535999999998</v>
      </c>
      <c r="F424" s="296">
        <f t="shared" si="16"/>
        <v>17015.443199999998</v>
      </c>
      <c r="G424" s="296">
        <f t="shared" si="16"/>
        <v>20418.531839999996</v>
      </c>
      <c r="H424" s="296">
        <f t="shared" si="16"/>
        <v>24502.238207999992</v>
      </c>
    </row>
    <row r="425" spans="1:8" customFormat="1" x14ac:dyDescent="0.2">
      <c r="A425" s="126" t="s">
        <v>245</v>
      </c>
      <c r="B425" s="126"/>
      <c r="C425" s="126"/>
      <c r="D425" s="296">
        <f t="shared" si="16"/>
        <v>104025.95</v>
      </c>
      <c r="E425" s="296">
        <f t="shared" si="16"/>
        <v>129926.93999999999</v>
      </c>
      <c r="F425" s="296">
        <f t="shared" si="16"/>
        <v>162276.264</v>
      </c>
      <c r="G425" s="296">
        <f t="shared" si="16"/>
        <v>202680.14399999997</v>
      </c>
      <c r="H425" s="296">
        <f t="shared" si="16"/>
        <v>253144.56959999996</v>
      </c>
    </row>
    <row r="426" spans="1:8" customFormat="1" x14ac:dyDescent="0.2">
      <c r="A426" s="126"/>
      <c r="B426" s="126"/>
      <c r="C426" s="126"/>
      <c r="D426" s="297">
        <f>SUM(D424:D425)</f>
        <v>115842.23</v>
      </c>
      <c r="E426" s="297">
        <f>SUM(E424:E425)</f>
        <v>144106.476</v>
      </c>
      <c r="F426" s="297">
        <f>SUM(F424:F425)</f>
        <v>179291.7072</v>
      </c>
      <c r="G426" s="297">
        <f>SUM(G424:G425)</f>
        <v>223098.67583999998</v>
      </c>
      <c r="H426" s="297">
        <f>SUM(H424:H425)</f>
        <v>277646.80780799995</v>
      </c>
    </row>
    <row r="427" spans="1:8" customFormat="1" x14ac:dyDescent="0.2">
      <c r="A427" s="126"/>
      <c r="B427" s="126"/>
      <c r="C427" s="126"/>
      <c r="D427" s="296"/>
      <c r="E427" s="296"/>
      <c r="F427" s="296"/>
      <c r="G427" s="296"/>
      <c r="H427" s="296"/>
    </row>
    <row r="428" spans="1:8" customFormat="1" x14ac:dyDescent="0.2">
      <c r="A428" s="126" t="s">
        <v>246</v>
      </c>
      <c r="B428" s="126"/>
      <c r="C428" s="126"/>
      <c r="D428" s="296">
        <f t="shared" ref="D428:H432" si="17">D402*J402</f>
        <v>873722.40882066742</v>
      </c>
      <c r="E428" s="296">
        <f t="shared" si="17"/>
        <v>1073172.3973788512</v>
      </c>
      <c r="F428" s="296">
        <f t="shared" si="17"/>
        <v>1316865.4054112588</v>
      </c>
      <c r="G428" s="296">
        <f t="shared" si="17"/>
        <v>1615481.7405947205</v>
      </c>
      <c r="H428" s="296">
        <f t="shared" si="17"/>
        <v>1983227.793174407</v>
      </c>
    </row>
    <row r="429" spans="1:8" customFormat="1" x14ac:dyDescent="0.2">
      <c r="A429" s="126" t="s">
        <v>247</v>
      </c>
      <c r="B429" s="126"/>
      <c r="C429" s="126"/>
      <c r="D429" s="296">
        <f t="shared" si="17"/>
        <v>2144735.1898982604</v>
      </c>
      <c r="E429" s="296">
        <f t="shared" si="17"/>
        <v>2601355.7058320097</v>
      </c>
      <c r="F429" s="296">
        <f t="shared" si="17"/>
        <v>2948522.6333379764</v>
      </c>
      <c r="G429" s="296">
        <f t="shared" si="17"/>
        <v>3331592.4314850066</v>
      </c>
      <c r="H429" s="296">
        <f t="shared" si="17"/>
        <v>3751095.3750728061</v>
      </c>
    </row>
    <row r="430" spans="1:8" customFormat="1" x14ac:dyDescent="0.2">
      <c r="A430" s="126" t="s">
        <v>248</v>
      </c>
      <c r="B430" s="126"/>
      <c r="C430" s="126"/>
      <c r="D430" s="296">
        <f t="shared" si="17"/>
        <v>3023170.4053132827</v>
      </c>
      <c r="E430" s="296">
        <f t="shared" si="17"/>
        <v>3651435.2788582081</v>
      </c>
      <c r="F430" s="296">
        <f t="shared" si="17"/>
        <v>4405308.641151079</v>
      </c>
      <c r="G430" s="296">
        <f t="shared" si="17"/>
        <v>5314662.0429805834</v>
      </c>
      <c r="H430" s="296">
        <f t="shared" si="17"/>
        <v>6413089.9323096173</v>
      </c>
    </row>
    <row r="431" spans="1:8" customFormat="1" x14ac:dyDescent="0.2">
      <c r="A431" s="126" t="s">
        <v>249</v>
      </c>
      <c r="B431" s="126"/>
      <c r="C431" s="126"/>
      <c r="D431" s="296">
        <f t="shared" si="17"/>
        <v>48445.32751265922</v>
      </c>
      <c r="E431" s="296">
        <f t="shared" si="17"/>
        <v>59194.478999406347</v>
      </c>
      <c r="F431" s="296">
        <f t="shared" si="17"/>
        <v>72249.012431228912</v>
      </c>
      <c r="G431" s="296">
        <f t="shared" si="17"/>
        <v>88125.710680238175</v>
      </c>
      <c r="H431" s="296">
        <f t="shared" si="17"/>
        <v>107580.5053685771</v>
      </c>
    </row>
    <row r="432" spans="1:8" customFormat="1" x14ac:dyDescent="0.2">
      <c r="A432" s="222" t="s">
        <v>359</v>
      </c>
      <c r="B432" s="222"/>
      <c r="C432" s="222"/>
      <c r="D432" s="297">
        <f>D406*J406</f>
        <v>0</v>
      </c>
      <c r="E432" s="297">
        <f t="shared" si="17"/>
        <v>0</v>
      </c>
      <c r="F432" s="297">
        <f t="shared" si="17"/>
        <v>0</v>
      </c>
      <c r="G432" s="297">
        <f t="shared" si="17"/>
        <v>0</v>
      </c>
      <c r="H432" s="297">
        <f t="shared" si="17"/>
        <v>0</v>
      </c>
    </row>
    <row r="433" spans="1:14" customFormat="1" x14ac:dyDescent="0.2">
      <c r="A433" t="s">
        <v>45</v>
      </c>
      <c r="D433">
        <f>SUM(D428:D432)</f>
        <v>6090073.3315448696</v>
      </c>
      <c r="E433">
        <f>SUM(E428:E432)</f>
        <v>7385157.8610684751</v>
      </c>
      <c r="F433">
        <f>SUM(F428:F432)</f>
        <v>8742945.6923315432</v>
      </c>
      <c r="G433">
        <f>SUM(G428:G432)</f>
        <v>10349861.925740549</v>
      </c>
      <c r="H433">
        <f>SUM(H428:H432)</f>
        <v>12254993.605925409</v>
      </c>
    </row>
    <row r="434" spans="1:14" customFormat="1" x14ac:dyDescent="0.2"/>
    <row r="435" spans="1:14" customFormat="1" ht="13.5" thickBot="1" x14ac:dyDescent="0.25">
      <c r="A435" t="s">
        <v>255</v>
      </c>
      <c r="D435" s="298">
        <f>SUM(D415,D421,D426,D433)</f>
        <v>17501905.078466412</v>
      </c>
      <c r="E435" s="298">
        <f>SUM(E415,E421,E426,E433)</f>
        <v>21283796.690940492</v>
      </c>
      <c r="F435" s="298">
        <f>SUM(F415,F421,F426,F433)</f>
        <v>25169421.337386534</v>
      </c>
      <c r="G435" s="298">
        <f>SUM(G415,G421,G426,G433)</f>
        <v>29763412.193987921</v>
      </c>
      <c r="H435" s="298">
        <f>SUM(H415,H421,H426,H433)</f>
        <v>35208730.951819465</v>
      </c>
    </row>
    <row r="436" spans="1:14" customFormat="1" ht="13.5" thickTop="1" x14ac:dyDescent="0.2">
      <c r="A436" s="268"/>
      <c r="B436" s="268"/>
      <c r="C436" s="268"/>
      <c r="D436" s="299"/>
      <c r="E436" s="299"/>
      <c r="F436" s="299"/>
      <c r="G436" s="299"/>
      <c r="H436" s="299"/>
    </row>
    <row r="437" spans="1:14" customFormat="1" x14ac:dyDescent="0.2">
      <c r="A437" s="268"/>
      <c r="B437" s="268"/>
      <c r="C437" s="268"/>
      <c r="D437" s="299"/>
      <c r="E437" s="299"/>
      <c r="F437" s="299"/>
      <c r="G437" s="299"/>
      <c r="H437" s="299"/>
    </row>
    <row r="438" spans="1:14" customFormat="1" x14ac:dyDescent="0.2">
      <c r="A438" s="268"/>
      <c r="B438" s="268"/>
      <c r="C438" s="268"/>
      <c r="D438" s="299"/>
      <c r="E438" s="299"/>
      <c r="F438" s="299"/>
      <c r="G438" s="299"/>
      <c r="H438" s="299"/>
    </row>
    <row r="439" spans="1:14" x14ac:dyDescent="0.2">
      <c r="A439" s="133"/>
      <c r="I439" s="157"/>
      <c r="J439" s="157"/>
    </row>
    <row r="440" spans="1:14" x14ac:dyDescent="0.2">
      <c r="A440" s="230"/>
      <c r="B440" s="178"/>
      <c r="C440" s="178"/>
      <c r="D440" s="178"/>
      <c r="E440" s="178"/>
      <c r="F440" s="178"/>
      <c r="G440" s="178"/>
      <c r="H440" s="178"/>
      <c r="I440" s="179"/>
      <c r="J440" s="179"/>
      <c r="K440" s="178"/>
      <c r="L440" s="178"/>
      <c r="M440" s="178"/>
      <c r="N440" s="178"/>
    </row>
    <row r="441" spans="1:14" x14ac:dyDescent="0.2">
      <c r="A441" s="133"/>
      <c r="I441" s="157"/>
      <c r="J441" s="157"/>
    </row>
    <row r="442" spans="1:14" x14ac:dyDescent="0.2">
      <c r="A442" s="133"/>
      <c r="I442" s="157"/>
      <c r="J442" s="157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4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51.85546875" style="21" customWidth="1"/>
    <col min="2" max="2" width="6.5703125" style="85" customWidth="1"/>
    <col min="3" max="3" width="25.42578125" style="21" customWidth="1"/>
    <col min="4" max="5" width="5.7109375" style="801" customWidth="1"/>
    <col min="6" max="6" width="5.5703125" style="801" customWidth="1"/>
    <col min="7" max="10" width="11.5703125" style="21" customWidth="1"/>
    <col min="11" max="11" width="5.7109375" style="794" customWidth="1"/>
    <col min="12" max="14" width="5.7109375" style="814" customWidth="1"/>
    <col min="15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55" t="str">
        <f>'Data 2006-08'!$A$1</f>
        <v>SP AusNet</v>
      </c>
      <c r="B1" s="96"/>
      <c r="D1" s="794"/>
      <c r="E1" s="794"/>
      <c r="F1" s="794"/>
      <c r="G1" s="4">
        <v>2012</v>
      </c>
      <c r="H1" s="5">
        <v>2013</v>
      </c>
      <c r="I1" s="5">
        <v>2014</v>
      </c>
      <c r="J1" s="6">
        <v>2015</v>
      </c>
      <c r="K1" s="56"/>
      <c r="L1" s="801"/>
      <c r="M1" s="801"/>
      <c r="N1" s="801"/>
      <c r="O1" s="46">
        <f>H1</f>
        <v>2013</v>
      </c>
      <c r="P1" s="47">
        <f>I1</f>
        <v>2014</v>
      </c>
      <c r="Q1" s="48">
        <f>J1</f>
        <v>2015</v>
      </c>
    </row>
    <row r="2" spans="1:17" s="1" customFormat="1" ht="15" x14ac:dyDescent="0.25">
      <c r="A2" s="30"/>
      <c r="B2" s="95"/>
      <c r="C2" s="2"/>
      <c r="D2" s="802"/>
      <c r="E2" s="802"/>
      <c r="F2" s="802"/>
      <c r="G2" s="816" t="s">
        <v>22</v>
      </c>
      <c r="H2" s="817" t="s">
        <v>22</v>
      </c>
      <c r="I2" s="817" t="s">
        <v>406</v>
      </c>
      <c r="J2" s="818" t="str">
        <f>I2</f>
        <v>Real 2013 $</v>
      </c>
      <c r="K2" s="894"/>
      <c r="L2" s="801"/>
      <c r="M2" s="801"/>
      <c r="N2" s="801"/>
      <c r="O2" s="68"/>
      <c r="P2" s="753"/>
      <c r="Q2" s="69"/>
    </row>
    <row r="3" spans="1:17" s="1" customFormat="1" ht="15.75" x14ac:dyDescent="0.25">
      <c r="A3" s="72" t="s">
        <v>401</v>
      </c>
      <c r="B3" s="452"/>
      <c r="C3" s="2"/>
      <c r="D3" s="802"/>
      <c r="E3" s="802"/>
      <c r="F3" s="802"/>
      <c r="G3" s="808" t="s">
        <v>20</v>
      </c>
      <c r="H3" s="63" t="s">
        <v>18</v>
      </c>
      <c r="I3" s="63" t="s">
        <v>18</v>
      </c>
      <c r="J3" s="64" t="s">
        <v>18</v>
      </c>
      <c r="K3" s="894"/>
      <c r="L3" s="801"/>
      <c r="M3" s="801"/>
      <c r="N3" s="801"/>
      <c r="O3" s="62" t="str">
        <f>H3</f>
        <v>Forecast</v>
      </c>
      <c r="P3" s="63" t="str">
        <f>I3</f>
        <v>Forecast</v>
      </c>
      <c r="Q3" s="64" t="str">
        <f>J3</f>
        <v>Forecast</v>
      </c>
    </row>
    <row r="4" spans="1:17" s="1" customFormat="1" ht="15.75" x14ac:dyDescent="0.25">
      <c r="B4" s="96"/>
      <c r="C4" s="41"/>
      <c r="D4" s="41"/>
      <c r="E4" s="41"/>
      <c r="F4" s="41"/>
      <c r="G4" s="42"/>
      <c r="H4" s="42"/>
      <c r="I4" s="42"/>
      <c r="J4" s="42"/>
      <c r="K4" s="42"/>
      <c r="L4" s="801"/>
      <c r="M4" s="801"/>
      <c r="N4" s="802"/>
      <c r="O4" s="2"/>
    </row>
    <row r="5" spans="1:17" s="1" customFormat="1" ht="15.75" x14ac:dyDescent="0.25">
      <c r="A5" s="97" t="s">
        <v>38</v>
      </c>
      <c r="B5" s="452"/>
      <c r="C5" s="2"/>
      <c r="D5" s="802"/>
      <c r="E5" s="802"/>
      <c r="F5" s="802"/>
      <c r="G5" s="2"/>
      <c r="H5" s="2"/>
      <c r="I5" s="2"/>
      <c r="J5" s="2"/>
      <c r="K5" s="802"/>
      <c r="L5" s="801"/>
      <c r="M5" s="801"/>
      <c r="N5" s="801"/>
      <c r="O5" s="21"/>
    </row>
    <row r="6" spans="1:17" s="1" customFormat="1" x14ac:dyDescent="0.2">
      <c r="A6" s="3"/>
      <c r="B6" s="93"/>
      <c r="C6" s="2"/>
      <c r="D6" s="802"/>
      <c r="E6" s="802"/>
      <c r="F6" s="802"/>
      <c r="G6" s="2"/>
      <c r="H6" s="2"/>
      <c r="I6" s="2"/>
      <c r="J6" s="2"/>
      <c r="K6" s="802"/>
      <c r="L6" s="802"/>
      <c r="M6" s="801"/>
      <c r="N6" s="801"/>
      <c r="O6" s="21"/>
    </row>
    <row r="7" spans="1:17" s="1" customFormat="1" x14ac:dyDescent="0.2">
      <c r="A7" s="3"/>
      <c r="B7" s="60"/>
      <c r="C7" s="2"/>
      <c r="D7" s="802"/>
      <c r="E7" s="802"/>
      <c r="F7" s="802"/>
      <c r="G7" s="4">
        <f t="shared" ref="G7:J7" si="0">G$1</f>
        <v>2012</v>
      </c>
      <c r="H7" s="5">
        <f t="shared" si="0"/>
        <v>2013</v>
      </c>
      <c r="I7" s="5">
        <f t="shared" si="0"/>
        <v>2014</v>
      </c>
      <c r="J7" s="6">
        <f t="shared" si="0"/>
        <v>2015</v>
      </c>
      <c r="K7" s="56"/>
      <c r="L7" s="802"/>
      <c r="M7" s="801"/>
      <c r="N7" s="801"/>
      <c r="O7" s="21"/>
    </row>
    <row r="8" spans="1:17" s="1" customFormat="1" x14ac:dyDescent="0.2">
      <c r="A8" s="43" t="s">
        <v>37</v>
      </c>
      <c r="B8" s="85"/>
      <c r="C8" s="33" t="s">
        <v>7</v>
      </c>
      <c r="D8" s="32"/>
      <c r="E8" s="32"/>
      <c r="F8" s="32"/>
      <c r="G8" s="754" t="str">
        <f t="shared" ref="G8:J8" si="1">G$2</f>
        <v>Nominal $</v>
      </c>
      <c r="H8" s="110" t="str">
        <f t="shared" si="1"/>
        <v>Nominal $</v>
      </c>
      <c r="I8" s="110" t="str">
        <f t="shared" si="1"/>
        <v>Real 2013 $</v>
      </c>
      <c r="J8" s="755" t="str">
        <f t="shared" si="1"/>
        <v>Real 2013 $</v>
      </c>
      <c r="K8" s="894"/>
      <c r="L8" s="802"/>
      <c r="M8" s="801"/>
      <c r="N8" s="801"/>
      <c r="O8" s="21"/>
    </row>
    <row r="9" spans="1:17" s="1" customFormat="1" x14ac:dyDescent="0.2">
      <c r="A9" s="7"/>
      <c r="B9" s="86"/>
      <c r="C9" s="99" t="s">
        <v>8</v>
      </c>
      <c r="D9" s="32"/>
      <c r="E9" s="32"/>
      <c r="F9" s="32"/>
      <c r="G9" s="52" t="str">
        <f t="shared" ref="G9:J9" si="2">G$3</f>
        <v>Actual</v>
      </c>
      <c r="H9" s="756" t="str">
        <f t="shared" si="2"/>
        <v>Forecast</v>
      </c>
      <c r="I9" s="756" t="str">
        <f t="shared" si="2"/>
        <v>Forecast</v>
      </c>
      <c r="J9" s="757" t="str">
        <f t="shared" si="2"/>
        <v>Forecast</v>
      </c>
      <c r="K9" s="894"/>
      <c r="L9" s="802"/>
      <c r="M9" s="801"/>
      <c r="N9" s="801"/>
      <c r="O9" s="21"/>
    </row>
    <row r="10" spans="1:17" s="1" customFormat="1" x14ac:dyDescent="0.2">
      <c r="A10" s="85" t="s">
        <v>42</v>
      </c>
      <c r="B10" s="85"/>
      <c r="C10" s="106" t="s">
        <v>378</v>
      </c>
      <c r="D10" s="809"/>
      <c r="E10" s="809"/>
      <c r="F10" s="809"/>
      <c r="G10" s="8"/>
      <c r="H10" s="9"/>
      <c r="I10" s="9"/>
      <c r="J10" s="758"/>
      <c r="K10" s="119"/>
      <c r="L10" s="802"/>
      <c r="M10" s="801"/>
      <c r="N10" s="801"/>
      <c r="O10" s="21"/>
    </row>
    <row r="11" spans="1:17" s="1" customFormat="1" x14ac:dyDescent="0.2">
      <c r="A11" s="84" t="s">
        <v>260</v>
      </c>
      <c r="B11" s="85"/>
      <c r="C11" s="316" t="s">
        <v>378</v>
      </c>
      <c r="D11" s="809"/>
      <c r="E11" s="809"/>
      <c r="F11" s="809"/>
      <c r="G11" s="8"/>
      <c r="H11" s="9"/>
      <c r="I11" s="9"/>
      <c r="J11" s="10"/>
      <c r="K11" s="119"/>
      <c r="L11" s="802"/>
      <c r="M11" s="801"/>
      <c r="N11" s="801"/>
      <c r="O11" s="21"/>
    </row>
    <row r="12" spans="1:17" s="1" customFormat="1" x14ac:dyDescent="0.2">
      <c r="A12" s="318" t="s">
        <v>362</v>
      </c>
      <c r="B12" s="85"/>
      <c r="C12" s="316">
        <v>15</v>
      </c>
      <c r="D12" s="809"/>
      <c r="E12" s="809"/>
      <c r="F12" s="809"/>
      <c r="G12" s="8"/>
      <c r="H12" s="9"/>
      <c r="I12" s="9"/>
      <c r="J12" s="10"/>
      <c r="K12" s="796"/>
      <c r="L12" s="802"/>
      <c r="M12" s="801"/>
      <c r="N12" s="801"/>
      <c r="O12" s="21"/>
    </row>
    <row r="13" spans="1:17" s="1" customFormat="1" x14ac:dyDescent="0.2">
      <c r="A13" s="318" t="s">
        <v>277</v>
      </c>
      <c r="B13" s="85"/>
      <c r="C13" s="316">
        <v>7</v>
      </c>
      <c r="D13" s="809"/>
      <c r="E13" s="809"/>
      <c r="F13" s="809"/>
      <c r="G13" s="8"/>
      <c r="H13" s="9"/>
      <c r="I13" s="9"/>
      <c r="J13" s="10"/>
      <c r="K13" s="15"/>
      <c r="L13" s="802"/>
      <c r="M13" s="801"/>
      <c r="N13" s="801"/>
      <c r="O13" s="21"/>
    </row>
    <row r="14" spans="1:17" s="1" customFormat="1" x14ac:dyDescent="0.2">
      <c r="A14" s="318" t="s">
        <v>279</v>
      </c>
      <c r="B14" s="88"/>
      <c r="C14" s="316">
        <v>7</v>
      </c>
      <c r="D14" s="809"/>
      <c r="E14" s="809"/>
      <c r="F14" s="809"/>
      <c r="G14" s="8"/>
      <c r="H14" s="9"/>
      <c r="I14" s="9"/>
      <c r="J14" s="10"/>
      <c r="K14" s="15"/>
      <c r="L14" s="802"/>
      <c r="M14" s="801"/>
      <c r="N14" s="801"/>
      <c r="O14" s="21"/>
    </row>
    <row r="15" spans="1:17" s="1" customFormat="1" x14ac:dyDescent="0.2">
      <c r="A15" s="318" t="s">
        <v>278</v>
      </c>
      <c r="B15" s="85"/>
      <c r="C15" s="107">
        <v>7</v>
      </c>
      <c r="D15" s="809"/>
      <c r="E15" s="809"/>
      <c r="F15" s="809"/>
      <c r="G15" s="8"/>
      <c r="H15" s="9"/>
      <c r="I15" s="9"/>
      <c r="J15" s="10"/>
      <c r="K15" s="15"/>
      <c r="L15" s="802"/>
      <c r="M15" s="801"/>
      <c r="N15" s="801"/>
      <c r="O15" s="21"/>
    </row>
    <row r="16" spans="1:17" s="1" customFormat="1" ht="13.5" thickBot="1" x14ac:dyDescent="0.25">
      <c r="A16" s="88" t="s">
        <v>45</v>
      </c>
      <c r="B16" s="85"/>
      <c r="C16" s="2"/>
      <c r="D16" s="802"/>
      <c r="E16" s="802"/>
      <c r="F16" s="802"/>
      <c r="G16" s="11">
        <v>140838402.08090585</v>
      </c>
      <c r="H16" s="12">
        <v>132934539.73226717</v>
      </c>
      <c r="I16" s="12">
        <v>17135464.194977008</v>
      </c>
      <c r="J16" s="13">
        <v>18034039.978675079</v>
      </c>
      <c r="K16" s="15"/>
      <c r="L16" s="802"/>
      <c r="M16" s="801"/>
      <c r="N16" s="801"/>
      <c r="O16" s="21"/>
    </row>
    <row r="17" spans="1:15" s="1" customFormat="1" ht="13.5" thickTop="1" x14ac:dyDescent="0.2">
      <c r="A17" s="14"/>
      <c r="B17" s="91"/>
      <c r="C17" s="2"/>
      <c r="D17" s="802"/>
      <c r="E17" s="802"/>
      <c r="F17" s="802"/>
      <c r="G17" s="15"/>
      <c r="H17" s="15"/>
      <c r="I17" s="15"/>
      <c r="J17" s="15"/>
      <c r="K17" s="15"/>
      <c r="L17" s="802"/>
      <c r="M17" s="801"/>
      <c r="N17" s="801"/>
      <c r="O17" s="21"/>
    </row>
    <row r="18" spans="1:15" s="1" customFormat="1" x14ac:dyDescent="0.2">
      <c r="A18" s="320"/>
      <c r="B18" s="433"/>
      <c r="C18" s="2"/>
      <c r="D18" s="802"/>
      <c r="E18" s="802"/>
      <c r="F18" s="802"/>
      <c r="G18" s="15"/>
      <c r="H18" s="15"/>
      <c r="I18" s="15"/>
      <c r="J18" s="15"/>
      <c r="K18" s="15"/>
      <c r="L18" s="802"/>
      <c r="M18" s="801"/>
      <c r="N18" s="801"/>
      <c r="O18" s="21"/>
    </row>
    <row r="19" spans="1:15" s="1" customFormat="1" x14ac:dyDescent="0.2">
      <c r="A19" s="320"/>
      <c r="B19" s="85"/>
      <c r="C19" s="2"/>
      <c r="D19" s="802"/>
      <c r="E19" s="802"/>
      <c r="F19" s="802"/>
      <c r="G19" s="4">
        <f t="shared" ref="G19:J19" si="3">G$1</f>
        <v>2012</v>
      </c>
      <c r="H19" s="5">
        <f t="shared" si="3"/>
        <v>2013</v>
      </c>
      <c r="I19" s="5">
        <f t="shared" si="3"/>
        <v>2014</v>
      </c>
      <c r="J19" s="6">
        <f t="shared" si="3"/>
        <v>2015</v>
      </c>
      <c r="K19" s="15"/>
      <c r="L19" s="802"/>
      <c r="M19" s="801"/>
      <c r="N19" s="801"/>
      <c r="O19" s="21"/>
    </row>
    <row r="20" spans="1:15" s="1" customFormat="1" x14ac:dyDescent="0.2">
      <c r="A20" s="320"/>
      <c r="B20" s="85"/>
      <c r="C20" s="308" t="s">
        <v>276</v>
      </c>
      <c r="D20" s="810"/>
      <c r="E20" s="810"/>
      <c r="F20" s="810"/>
      <c r="G20" s="754" t="str">
        <f t="shared" ref="G20:J20" si="4">G$2</f>
        <v>Nominal $</v>
      </c>
      <c r="H20" s="110" t="str">
        <f t="shared" si="4"/>
        <v>Nominal $</v>
      </c>
      <c r="I20" s="110" t="str">
        <f t="shared" si="4"/>
        <v>Real 2013 $</v>
      </c>
      <c r="J20" s="755" t="str">
        <f t="shared" si="4"/>
        <v>Real 2013 $</v>
      </c>
      <c r="K20" s="15"/>
      <c r="L20" s="802"/>
      <c r="M20" s="801"/>
      <c r="N20" s="801"/>
      <c r="O20" s="21"/>
    </row>
    <row r="21" spans="1:15" s="1" customFormat="1" x14ac:dyDescent="0.2">
      <c r="A21" s="74" t="s">
        <v>47</v>
      </c>
      <c r="B21" s="91"/>
      <c r="C21" s="321" t="s">
        <v>48</v>
      </c>
      <c r="D21" s="811"/>
      <c r="E21" s="811"/>
      <c r="F21" s="811"/>
      <c r="G21" s="52" t="str">
        <f t="shared" ref="G21:J21" si="5">G$3</f>
        <v>Actual</v>
      </c>
      <c r="H21" s="756" t="str">
        <f t="shared" si="5"/>
        <v>Forecast</v>
      </c>
      <c r="I21" s="756" t="str">
        <f t="shared" si="5"/>
        <v>Forecast</v>
      </c>
      <c r="J21" s="757" t="str">
        <f t="shared" si="5"/>
        <v>Forecast</v>
      </c>
      <c r="K21" s="15"/>
      <c r="L21" s="802"/>
      <c r="M21" s="801"/>
      <c r="N21" s="801"/>
      <c r="O21" s="21"/>
    </row>
    <row r="22" spans="1:15" s="1" customFormat="1" x14ac:dyDescent="0.2">
      <c r="A22" s="84" t="s">
        <v>363</v>
      </c>
      <c r="B22" s="91"/>
      <c r="C22" s="322">
        <v>0.375</v>
      </c>
      <c r="D22" s="812"/>
      <c r="E22" s="812"/>
      <c r="F22" s="812"/>
      <c r="G22" s="325">
        <f t="shared" ref="G22:J22" si="6">SUM(G10:G12)-G23</f>
        <v>0</v>
      </c>
      <c r="H22" s="19">
        <f t="shared" si="6"/>
        <v>0</v>
      </c>
      <c r="I22" s="19">
        <f t="shared" si="6"/>
        <v>0</v>
      </c>
      <c r="J22" s="759">
        <f t="shared" si="6"/>
        <v>0</v>
      </c>
      <c r="K22" s="15"/>
      <c r="L22" s="802"/>
      <c r="M22" s="801"/>
      <c r="N22" s="801"/>
      <c r="O22" s="21"/>
    </row>
    <row r="23" spans="1:15" s="1" customFormat="1" x14ac:dyDescent="0.2">
      <c r="A23" s="84" t="s">
        <v>364</v>
      </c>
      <c r="B23" s="88"/>
      <c r="C23" s="323">
        <v>0.06</v>
      </c>
      <c r="D23" s="813"/>
      <c r="E23" s="813"/>
      <c r="F23" s="813"/>
      <c r="G23" s="8"/>
      <c r="H23" s="9"/>
      <c r="I23" s="9"/>
      <c r="J23" s="10"/>
      <c r="K23" s="15"/>
      <c r="L23" s="802"/>
      <c r="M23" s="801"/>
      <c r="N23" s="801"/>
      <c r="O23" s="21"/>
    </row>
    <row r="24" spans="1:15" s="1" customFormat="1" x14ac:dyDescent="0.2">
      <c r="A24" s="84" t="s">
        <v>277</v>
      </c>
      <c r="B24" s="85"/>
      <c r="C24" s="323">
        <v>0.4</v>
      </c>
      <c r="D24" s="813"/>
      <c r="E24" s="813"/>
      <c r="F24" s="813"/>
      <c r="G24" s="325">
        <f t="shared" ref="G24:J26" si="7">G13</f>
        <v>0</v>
      </c>
      <c r="H24" s="19">
        <f>H13</f>
        <v>0</v>
      </c>
      <c r="I24" s="19">
        <f t="shared" si="7"/>
        <v>0</v>
      </c>
      <c r="J24" s="326">
        <f t="shared" si="7"/>
        <v>0</v>
      </c>
      <c r="K24" s="15"/>
      <c r="L24" s="802"/>
      <c r="M24" s="801"/>
      <c r="N24" s="801"/>
      <c r="O24" s="21"/>
    </row>
    <row r="25" spans="1:15" s="1" customFormat="1" x14ac:dyDescent="0.2">
      <c r="A25" s="84" t="s">
        <v>279</v>
      </c>
      <c r="B25" s="85"/>
      <c r="C25" s="323">
        <v>0.21428571428571427</v>
      </c>
      <c r="D25" s="813"/>
      <c r="E25" s="813"/>
      <c r="F25" s="813"/>
      <c r="G25" s="325">
        <f t="shared" si="7"/>
        <v>0</v>
      </c>
      <c r="H25" s="19">
        <f>H14</f>
        <v>0</v>
      </c>
      <c r="I25" s="19">
        <f t="shared" si="7"/>
        <v>0</v>
      </c>
      <c r="J25" s="326">
        <f t="shared" si="7"/>
        <v>0</v>
      </c>
      <c r="K25" s="15"/>
      <c r="L25" s="802"/>
      <c r="M25" s="801"/>
      <c r="N25" s="801"/>
      <c r="O25" s="21"/>
    </row>
    <row r="26" spans="1:15" s="1" customFormat="1" x14ac:dyDescent="0.2">
      <c r="A26" s="87" t="s">
        <v>278</v>
      </c>
      <c r="B26" s="85"/>
      <c r="C26" s="324">
        <v>0.1764705882352941</v>
      </c>
      <c r="D26" s="813"/>
      <c r="E26" s="813"/>
      <c r="F26" s="813"/>
      <c r="G26" s="325">
        <f t="shared" si="7"/>
        <v>0</v>
      </c>
      <c r="H26" s="19">
        <f t="shared" si="7"/>
        <v>0</v>
      </c>
      <c r="I26" s="19">
        <f t="shared" si="7"/>
        <v>0</v>
      </c>
      <c r="J26" s="326">
        <f t="shared" si="7"/>
        <v>0</v>
      </c>
      <c r="K26" s="15"/>
      <c r="L26" s="802"/>
      <c r="M26" s="801"/>
      <c r="N26" s="801"/>
      <c r="O26" s="21"/>
    </row>
    <row r="27" spans="1:15" s="1" customFormat="1" ht="13.5" thickBot="1" x14ac:dyDescent="0.25">
      <c r="A27" s="88" t="s">
        <v>45</v>
      </c>
      <c r="B27" s="60"/>
      <c r="C27" s="2"/>
      <c r="D27" s="802"/>
      <c r="E27" s="802"/>
      <c r="F27" s="802"/>
      <c r="G27" s="11">
        <f t="shared" ref="G27:J27" si="8">SUM(G21:G26)</f>
        <v>0</v>
      </c>
      <c r="H27" s="12">
        <f t="shared" si="8"/>
        <v>0</v>
      </c>
      <c r="I27" s="12">
        <f t="shared" si="8"/>
        <v>0</v>
      </c>
      <c r="J27" s="13">
        <f t="shared" si="8"/>
        <v>0</v>
      </c>
      <c r="K27" s="15"/>
      <c r="L27" s="802"/>
      <c r="M27" s="801"/>
      <c r="N27" s="801"/>
      <c r="O27" s="21"/>
    </row>
    <row r="28" spans="1:15" s="1" customFormat="1" ht="13.5" thickTop="1" x14ac:dyDescent="0.2">
      <c r="A28" s="14"/>
      <c r="B28" s="85"/>
      <c r="C28" s="2"/>
      <c r="D28" s="802"/>
      <c r="E28" s="802"/>
      <c r="F28" s="802"/>
      <c r="G28" s="15"/>
      <c r="H28" s="15"/>
      <c r="I28" s="15"/>
      <c r="J28" s="15"/>
      <c r="K28" s="15"/>
      <c r="L28" s="802"/>
      <c r="M28" s="801"/>
      <c r="N28" s="801"/>
      <c r="O28" s="21"/>
    </row>
    <row r="29" spans="1:15" s="1" customFormat="1" x14ac:dyDescent="0.2">
      <c r="A29" s="14"/>
      <c r="B29" s="85"/>
      <c r="C29" s="2"/>
      <c r="D29" s="802"/>
      <c r="E29" s="802"/>
      <c r="F29" s="802"/>
      <c r="G29" s="15"/>
      <c r="H29" s="15"/>
      <c r="I29" s="15"/>
      <c r="J29" s="15"/>
      <c r="K29" s="15"/>
      <c r="L29" s="802"/>
      <c r="M29" s="801"/>
      <c r="N29" s="801"/>
      <c r="O29" s="21"/>
    </row>
    <row r="30" spans="1:15" s="1" customFormat="1" x14ac:dyDescent="0.2">
      <c r="A30" s="14"/>
      <c r="B30" s="85"/>
      <c r="C30" s="2"/>
      <c r="D30" s="802"/>
      <c r="E30" s="802"/>
      <c r="F30" s="802"/>
      <c r="G30" s="4">
        <f t="shared" ref="G30:J30" si="9">G$1</f>
        <v>2012</v>
      </c>
      <c r="H30" s="5">
        <f t="shared" si="9"/>
        <v>2013</v>
      </c>
      <c r="I30" s="5">
        <f t="shared" si="9"/>
        <v>2014</v>
      </c>
      <c r="J30" s="6">
        <f t="shared" si="9"/>
        <v>2015</v>
      </c>
      <c r="K30" s="56"/>
      <c r="L30" s="802"/>
      <c r="M30" s="801"/>
      <c r="N30" s="801"/>
      <c r="O30" s="21"/>
    </row>
    <row r="31" spans="1:15" x14ac:dyDescent="0.2">
      <c r="A31" s="43" t="s">
        <v>3</v>
      </c>
      <c r="C31" s="2"/>
      <c r="D31" s="802"/>
      <c r="E31" s="802"/>
      <c r="F31" s="802"/>
      <c r="G31" s="754" t="str">
        <f t="shared" ref="G31:J31" si="10">G$2</f>
        <v>Nominal $</v>
      </c>
      <c r="H31" s="110" t="str">
        <f t="shared" si="10"/>
        <v>Nominal $</v>
      </c>
      <c r="I31" s="110" t="str">
        <f t="shared" si="10"/>
        <v>Real 2013 $</v>
      </c>
      <c r="J31" s="755" t="str">
        <f t="shared" si="10"/>
        <v>Real 2013 $</v>
      </c>
      <c r="K31" s="894"/>
      <c r="L31" s="802"/>
      <c r="M31" s="801"/>
      <c r="N31" s="801"/>
      <c r="O31" s="21"/>
    </row>
    <row r="32" spans="1:15" x14ac:dyDescent="0.2">
      <c r="A32" s="22"/>
      <c r="B32" s="55"/>
      <c r="C32" s="20"/>
      <c r="D32" s="814"/>
      <c r="E32" s="814"/>
      <c r="F32" s="814"/>
      <c r="G32" s="52" t="str">
        <f t="shared" ref="G32:J32" si="11">G$3</f>
        <v>Actual</v>
      </c>
      <c r="H32" s="756" t="str">
        <f t="shared" si="11"/>
        <v>Forecast</v>
      </c>
      <c r="I32" s="756" t="str">
        <f t="shared" si="11"/>
        <v>Forecast</v>
      </c>
      <c r="J32" s="757" t="str">
        <f t="shared" si="11"/>
        <v>Forecast</v>
      </c>
      <c r="K32" s="894"/>
      <c r="M32" s="801"/>
      <c r="N32" s="801"/>
      <c r="O32" s="21"/>
    </row>
    <row r="33" spans="1:15" x14ac:dyDescent="0.2">
      <c r="A33" s="38" t="s">
        <v>4</v>
      </c>
      <c r="C33" s="20"/>
      <c r="D33" s="814"/>
      <c r="E33" s="814"/>
      <c r="F33" s="814"/>
      <c r="G33" s="35"/>
      <c r="H33" s="36"/>
      <c r="I33" s="36"/>
      <c r="J33" s="37"/>
      <c r="K33" s="36"/>
      <c r="M33" s="801"/>
      <c r="N33" s="801"/>
      <c r="O33" s="21"/>
    </row>
    <row r="34" spans="1:15" x14ac:dyDescent="0.2">
      <c r="A34" s="85" t="s">
        <v>42</v>
      </c>
      <c r="C34" s="20"/>
      <c r="D34" s="814"/>
      <c r="E34" s="814"/>
      <c r="F34" s="814"/>
      <c r="G34" s="24"/>
      <c r="H34" s="25"/>
      <c r="I34" s="25"/>
      <c r="J34" s="26"/>
      <c r="K34" s="36"/>
      <c r="M34" s="801"/>
      <c r="N34" s="801"/>
      <c r="O34" s="21"/>
    </row>
    <row r="35" spans="1:15" x14ac:dyDescent="0.2">
      <c r="A35" s="85" t="s">
        <v>260</v>
      </c>
      <c r="C35" s="20"/>
      <c r="D35" s="814"/>
      <c r="E35" s="814"/>
      <c r="F35" s="814"/>
      <c r="G35" s="24"/>
      <c r="H35" s="25"/>
      <c r="I35" s="25"/>
      <c r="J35" s="26"/>
      <c r="K35" s="36"/>
      <c r="M35" s="801"/>
      <c r="N35" s="801"/>
      <c r="O35" s="21"/>
    </row>
    <row r="36" spans="1:15" x14ac:dyDescent="0.2">
      <c r="A36" s="85" t="s">
        <v>362</v>
      </c>
      <c r="C36" s="20"/>
      <c r="D36" s="814"/>
      <c r="E36" s="814"/>
      <c r="F36" s="814"/>
      <c r="G36" s="24"/>
      <c r="H36" s="25"/>
      <c r="I36" s="25"/>
      <c r="J36" s="26"/>
      <c r="K36" s="36"/>
      <c r="M36" s="801"/>
      <c r="N36" s="801"/>
      <c r="O36" s="21"/>
    </row>
    <row r="37" spans="1:15" x14ac:dyDescent="0.2">
      <c r="A37" s="85" t="s">
        <v>277</v>
      </c>
      <c r="C37" s="20"/>
      <c r="D37" s="814"/>
      <c r="E37" s="814"/>
      <c r="F37" s="814"/>
      <c r="G37" s="24"/>
      <c r="H37" s="25"/>
      <c r="I37" s="25"/>
      <c r="J37" s="26"/>
      <c r="K37" s="36"/>
      <c r="M37" s="801"/>
      <c r="N37" s="801"/>
      <c r="O37" s="21"/>
    </row>
    <row r="38" spans="1:15" x14ac:dyDescent="0.2">
      <c r="A38" s="85" t="s">
        <v>279</v>
      </c>
      <c r="B38" s="453"/>
      <c r="C38" s="20"/>
      <c r="D38" s="814"/>
      <c r="E38" s="814"/>
      <c r="F38" s="814"/>
      <c r="G38" s="24"/>
      <c r="H38" s="25"/>
      <c r="I38" s="25"/>
      <c r="J38" s="26"/>
      <c r="K38" s="36"/>
      <c r="M38" s="801"/>
      <c r="N38" s="801"/>
      <c r="O38" s="21"/>
    </row>
    <row r="39" spans="1:15" x14ac:dyDescent="0.2">
      <c r="A39" s="85" t="s">
        <v>278</v>
      </c>
      <c r="B39" s="454"/>
      <c r="C39" s="20"/>
      <c r="D39" s="814"/>
      <c r="E39" s="814"/>
      <c r="F39" s="814"/>
      <c r="G39" s="24"/>
      <c r="H39" s="25"/>
      <c r="I39" s="25"/>
      <c r="J39" s="26"/>
      <c r="K39" s="36"/>
      <c r="M39" s="801"/>
      <c r="N39" s="801"/>
      <c r="O39" s="21"/>
    </row>
    <row r="40" spans="1:15" ht="13.5" thickBot="1" x14ac:dyDescent="0.25">
      <c r="A40" s="22"/>
      <c r="C40" s="20"/>
      <c r="D40" s="814"/>
      <c r="E40" s="814"/>
      <c r="F40" s="814"/>
      <c r="G40" s="327">
        <f t="shared" ref="G40:J40" si="12">SUM(G34:G39)</f>
        <v>0</v>
      </c>
      <c r="H40" s="92">
        <f t="shared" si="12"/>
        <v>0</v>
      </c>
      <c r="I40" s="92">
        <f t="shared" si="12"/>
        <v>0</v>
      </c>
      <c r="J40" s="328">
        <f t="shared" si="12"/>
        <v>0</v>
      </c>
      <c r="K40" s="36"/>
      <c r="M40" s="801"/>
      <c r="N40" s="801"/>
      <c r="O40" s="21"/>
    </row>
    <row r="41" spans="1:15" ht="13.5" thickTop="1" x14ac:dyDescent="0.2">
      <c r="A41" s="22"/>
      <c r="C41" s="20"/>
      <c r="D41" s="814"/>
      <c r="E41" s="814"/>
      <c r="F41" s="814"/>
      <c r="G41" s="329"/>
      <c r="H41" s="94"/>
      <c r="I41" s="94"/>
      <c r="J41" s="330"/>
      <c r="K41" s="36"/>
      <c r="M41" s="801"/>
      <c r="N41" s="801"/>
      <c r="O41" s="21"/>
    </row>
    <row r="42" spans="1:15" x14ac:dyDescent="0.2">
      <c r="A42" s="38" t="s">
        <v>5</v>
      </c>
      <c r="C42" s="20"/>
      <c r="D42" s="814"/>
      <c r="E42" s="814"/>
      <c r="F42" s="814"/>
      <c r="G42" s="23"/>
      <c r="H42" s="20"/>
      <c r="I42" s="20"/>
      <c r="J42" s="732"/>
      <c r="K42" s="802"/>
      <c r="M42" s="802"/>
      <c r="N42" s="802"/>
      <c r="O42" s="2"/>
    </row>
    <row r="43" spans="1:15" x14ac:dyDescent="0.2">
      <c r="A43" s="85" t="s">
        <v>42</v>
      </c>
      <c r="C43" s="20"/>
      <c r="D43" s="814"/>
      <c r="E43" s="814"/>
      <c r="F43" s="814"/>
      <c r="G43" s="24"/>
      <c r="H43" s="25"/>
      <c r="I43" s="25"/>
      <c r="J43" s="26"/>
      <c r="K43" s="36"/>
      <c r="M43" s="802"/>
      <c r="N43" s="802"/>
      <c r="O43" s="2"/>
    </row>
    <row r="44" spans="1:15" x14ac:dyDescent="0.2">
      <c r="A44" s="85" t="s">
        <v>260</v>
      </c>
      <c r="B44" s="454"/>
      <c r="C44" s="20"/>
      <c r="D44" s="814"/>
      <c r="E44" s="814"/>
      <c r="F44" s="814"/>
      <c r="G44" s="24"/>
      <c r="H44" s="25"/>
      <c r="I44" s="25"/>
      <c r="J44" s="26"/>
      <c r="K44" s="36"/>
      <c r="M44" s="802"/>
      <c r="N44" s="802"/>
      <c r="O44" s="2"/>
    </row>
    <row r="45" spans="1:15" x14ac:dyDescent="0.2">
      <c r="A45" s="85" t="s">
        <v>362</v>
      </c>
      <c r="C45" s="20"/>
      <c r="D45" s="814"/>
      <c r="E45" s="814"/>
      <c r="F45" s="814"/>
      <c r="G45" s="24"/>
      <c r="H45" s="25"/>
      <c r="I45" s="25"/>
      <c r="J45" s="26"/>
      <c r="K45" s="36"/>
      <c r="M45" s="802"/>
      <c r="N45" s="802"/>
      <c r="O45" s="2"/>
    </row>
    <row r="46" spans="1:15" x14ac:dyDescent="0.2">
      <c r="A46" s="85" t="s">
        <v>277</v>
      </c>
      <c r="C46" s="20"/>
      <c r="D46" s="814"/>
      <c r="E46" s="814"/>
      <c r="F46" s="814"/>
      <c r="G46" s="24"/>
      <c r="H46" s="25"/>
      <c r="I46" s="25"/>
      <c r="J46" s="26"/>
      <c r="K46" s="36"/>
      <c r="M46" s="802"/>
      <c r="N46" s="802"/>
      <c r="O46" s="2"/>
    </row>
    <row r="47" spans="1:15" x14ac:dyDescent="0.2">
      <c r="A47" s="85" t="s">
        <v>279</v>
      </c>
      <c r="B47" s="91"/>
      <c r="C47" s="20"/>
      <c r="D47" s="814"/>
      <c r="E47" s="814"/>
      <c r="F47" s="814"/>
      <c r="G47" s="24"/>
      <c r="H47" s="25"/>
      <c r="I47" s="25"/>
      <c r="J47" s="26"/>
      <c r="K47" s="36"/>
      <c r="M47" s="802"/>
      <c r="N47" s="802"/>
      <c r="O47" s="2"/>
    </row>
    <row r="48" spans="1:15" x14ac:dyDescent="0.2">
      <c r="A48" s="85" t="s">
        <v>278</v>
      </c>
      <c r="C48" s="20"/>
      <c r="D48" s="814"/>
      <c r="E48" s="814"/>
      <c r="F48" s="814"/>
      <c r="G48" s="27"/>
      <c r="H48" s="28"/>
      <c r="I48" s="28"/>
      <c r="J48" s="29"/>
      <c r="K48" s="36"/>
      <c r="M48" s="802"/>
      <c r="N48" s="802"/>
      <c r="O48" s="2"/>
    </row>
    <row r="49" spans="1:15" s="1" customFormat="1" ht="13.5" thickBot="1" x14ac:dyDescent="0.25">
      <c r="A49" s="14"/>
      <c r="B49" s="91"/>
      <c r="C49" s="2"/>
      <c r="D49" s="802"/>
      <c r="E49" s="802"/>
      <c r="F49" s="802"/>
      <c r="G49" s="327">
        <f t="shared" ref="G49:J49" si="13">SUM(G43:G48)</f>
        <v>0</v>
      </c>
      <c r="H49" s="92">
        <f t="shared" si="13"/>
        <v>0</v>
      </c>
      <c r="I49" s="92">
        <f t="shared" si="13"/>
        <v>0</v>
      </c>
      <c r="J49" s="328">
        <f t="shared" si="13"/>
        <v>0</v>
      </c>
      <c r="K49" s="15"/>
      <c r="L49" s="802"/>
      <c r="M49" s="801"/>
      <c r="N49" s="801"/>
      <c r="O49" s="21"/>
    </row>
    <row r="50" spans="1:15" s="1" customFormat="1" ht="13.5" thickTop="1" x14ac:dyDescent="0.2">
      <c r="A50" s="14"/>
      <c r="B50" s="91"/>
      <c r="C50" s="2"/>
      <c r="D50" s="802"/>
      <c r="E50" s="802"/>
      <c r="F50" s="802"/>
      <c r="G50" s="15"/>
      <c r="H50" s="15"/>
      <c r="I50" s="15"/>
      <c r="J50" s="15"/>
      <c r="K50" s="15"/>
      <c r="L50" s="802"/>
      <c r="M50" s="801"/>
      <c r="N50" s="801"/>
      <c r="O50" s="21"/>
    </row>
    <row r="51" spans="1:15" s="1" customFormat="1" x14ac:dyDescent="0.2">
      <c r="A51" s="14"/>
      <c r="B51" s="85"/>
      <c r="C51" s="2"/>
      <c r="D51" s="802"/>
      <c r="E51" s="802"/>
      <c r="F51" s="802"/>
      <c r="G51" s="15"/>
      <c r="H51" s="15"/>
      <c r="I51" s="15"/>
      <c r="J51" s="15"/>
      <c r="K51" s="15"/>
      <c r="L51" s="802"/>
      <c r="M51" s="801"/>
      <c r="N51" s="801"/>
      <c r="O51" s="21"/>
    </row>
    <row r="52" spans="1:15" s="1" customFormat="1" x14ac:dyDescent="0.2">
      <c r="A52" s="3"/>
      <c r="B52" s="85"/>
      <c r="C52" s="2"/>
      <c r="D52" s="802"/>
      <c r="E52" s="802"/>
      <c r="F52" s="802"/>
      <c r="G52" s="4">
        <f t="shared" ref="G52:J52" si="14">G$1</f>
        <v>2012</v>
      </c>
      <c r="H52" s="5">
        <f t="shared" si="14"/>
        <v>2013</v>
      </c>
      <c r="I52" s="5">
        <f t="shared" si="14"/>
        <v>2014</v>
      </c>
      <c r="J52" s="6">
        <f t="shared" si="14"/>
        <v>2015</v>
      </c>
      <c r="K52" s="56"/>
      <c r="L52" s="802"/>
      <c r="M52" s="801"/>
      <c r="N52" s="801"/>
      <c r="O52" s="21"/>
    </row>
    <row r="53" spans="1:15" s="1" customFormat="1" x14ac:dyDescent="0.2">
      <c r="A53" s="43" t="s">
        <v>1</v>
      </c>
      <c r="B53" s="455"/>
      <c r="C53" s="2"/>
      <c r="D53" s="802"/>
      <c r="E53" s="802"/>
      <c r="F53" s="802"/>
      <c r="G53" s="754" t="str">
        <f t="shared" ref="G53:J53" si="15">G$2</f>
        <v>Nominal $</v>
      </c>
      <c r="H53" s="110" t="str">
        <f t="shared" si="15"/>
        <v>Nominal $</v>
      </c>
      <c r="I53" s="110" t="str">
        <f t="shared" si="15"/>
        <v>Real 2013 $</v>
      </c>
      <c r="J53" s="755" t="str">
        <f t="shared" si="15"/>
        <v>Real 2013 $</v>
      </c>
      <c r="K53" s="894"/>
      <c r="L53" s="802"/>
      <c r="M53" s="801"/>
      <c r="N53" s="801"/>
      <c r="O53" s="21"/>
    </row>
    <row r="54" spans="1:15" s="1" customFormat="1" x14ac:dyDescent="0.2">
      <c r="A54" s="3"/>
      <c r="B54" s="91"/>
      <c r="C54" s="2"/>
      <c r="D54" s="802"/>
      <c r="E54" s="802"/>
      <c r="F54" s="802"/>
      <c r="G54" s="754" t="str">
        <f t="shared" ref="G54:J54" si="16">G$3</f>
        <v>Actual</v>
      </c>
      <c r="H54" s="110" t="str">
        <f t="shared" si="16"/>
        <v>Forecast</v>
      </c>
      <c r="I54" s="110" t="str">
        <f t="shared" si="16"/>
        <v>Forecast</v>
      </c>
      <c r="J54" s="755" t="str">
        <f t="shared" si="16"/>
        <v>Forecast</v>
      </c>
      <c r="K54" s="894"/>
      <c r="L54" s="802"/>
      <c r="M54" s="801"/>
      <c r="N54" s="801"/>
      <c r="O54" s="21"/>
    </row>
    <row r="55" spans="1:15" s="1" customFormat="1" ht="13.5" thickBot="1" x14ac:dyDescent="0.25">
      <c r="A55" s="3" t="s">
        <v>391</v>
      </c>
      <c r="B55" s="85"/>
      <c r="C55" s="2"/>
      <c r="D55" s="802"/>
      <c r="E55" s="802"/>
      <c r="F55" s="802"/>
      <c r="G55" s="16">
        <v>40190981.149277501</v>
      </c>
      <c r="H55" s="17">
        <v>39489353.750032745</v>
      </c>
      <c r="I55" s="17">
        <v>30771605.313338093</v>
      </c>
      <c r="J55" s="18">
        <v>28439658.931913845</v>
      </c>
      <c r="K55" s="119"/>
      <c r="L55" s="802"/>
      <c r="M55" s="801"/>
      <c r="N55" s="801"/>
      <c r="O55" s="21"/>
    </row>
    <row r="56" spans="1:15" s="1" customFormat="1" ht="13.5" thickTop="1" x14ac:dyDescent="0.2">
      <c r="A56" s="3"/>
      <c r="B56" s="453"/>
      <c r="C56" s="802"/>
      <c r="D56" s="802"/>
      <c r="E56" s="802"/>
      <c r="F56" s="796"/>
      <c r="G56" s="796"/>
      <c r="H56" s="796"/>
      <c r="I56" s="796"/>
      <c r="J56" s="796"/>
      <c r="K56" s="796"/>
      <c r="L56" s="802"/>
      <c r="M56" s="801"/>
      <c r="N56" s="801"/>
      <c r="O56" s="21"/>
    </row>
    <row r="57" spans="1:15" s="1" customFormat="1" x14ac:dyDescent="0.2">
      <c r="A57" s="794"/>
      <c r="B57" s="449"/>
      <c r="C57" s="802"/>
      <c r="D57" s="802"/>
      <c r="E57" s="802"/>
      <c r="F57" s="796"/>
      <c r="G57" s="796"/>
      <c r="H57" s="796"/>
      <c r="I57" s="804"/>
      <c r="J57" s="804"/>
      <c r="K57" s="796"/>
      <c r="L57" s="802"/>
      <c r="M57" s="801"/>
      <c r="N57" s="801"/>
      <c r="O57" s="21"/>
    </row>
    <row r="58" spans="1:15" s="1" customFormat="1" x14ac:dyDescent="0.2">
      <c r="A58" s="60" t="s">
        <v>63</v>
      </c>
      <c r="B58" s="450"/>
      <c r="D58" s="794"/>
      <c r="E58" s="794"/>
      <c r="F58" s="796"/>
      <c r="G58" s="4">
        <f t="shared" ref="G58:J58" si="17">G$1</f>
        <v>2012</v>
      </c>
      <c r="H58" s="5">
        <f t="shared" si="17"/>
        <v>2013</v>
      </c>
      <c r="I58" s="5">
        <f t="shared" si="17"/>
        <v>2014</v>
      </c>
      <c r="J58" s="6">
        <f t="shared" si="17"/>
        <v>2015</v>
      </c>
      <c r="K58" s="796"/>
      <c r="L58" s="796"/>
      <c r="M58" s="801"/>
      <c r="N58" s="801"/>
      <c r="O58" s="21"/>
    </row>
    <row r="59" spans="1:15" s="1" customFormat="1" x14ac:dyDescent="0.2">
      <c r="B59" s="88"/>
      <c r="D59" s="794"/>
      <c r="E59" s="794"/>
      <c r="F59" s="796"/>
      <c r="G59" s="582" t="str">
        <f>G$2</f>
        <v>Nominal $</v>
      </c>
      <c r="K59" s="796"/>
      <c r="L59" s="802"/>
      <c r="M59" s="801"/>
      <c r="N59" s="801"/>
      <c r="O59" s="21"/>
    </row>
    <row r="60" spans="1:15" s="1" customFormat="1" ht="13.5" thickBot="1" x14ac:dyDescent="0.25">
      <c r="A60" s="78" t="s">
        <v>63</v>
      </c>
      <c r="B60" s="449"/>
      <c r="D60" s="794"/>
      <c r="E60" s="794"/>
      <c r="F60" s="796"/>
      <c r="G60" s="583">
        <v>94562803.278688535</v>
      </c>
      <c r="K60" s="796"/>
      <c r="L60" s="794"/>
      <c r="M60" s="801"/>
      <c r="N60" s="801"/>
      <c r="O60" s="21"/>
    </row>
    <row r="61" spans="1:15" s="1" customFormat="1" ht="13.5" thickTop="1" x14ac:dyDescent="0.2">
      <c r="A61" s="30"/>
      <c r="B61" s="450"/>
      <c r="D61" s="794"/>
      <c r="E61" s="794"/>
      <c r="F61" s="796"/>
      <c r="K61" s="796"/>
      <c r="L61" s="794"/>
      <c r="M61" s="801"/>
      <c r="N61" s="801"/>
      <c r="O61" s="21"/>
    </row>
    <row r="62" spans="1:15" s="1" customFormat="1" x14ac:dyDescent="0.2">
      <c r="A62" s="30"/>
      <c r="B62" s="450"/>
      <c r="D62" s="794"/>
      <c r="E62" s="794"/>
      <c r="F62" s="796"/>
      <c r="K62" s="796"/>
      <c r="L62" s="794"/>
      <c r="M62" s="801"/>
      <c r="N62" s="801"/>
      <c r="O62" s="21"/>
    </row>
    <row r="63" spans="1:15" s="1" customFormat="1" x14ac:dyDescent="0.2">
      <c r="A63" s="30"/>
      <c r="B63" s="88"/>
      <c r="C63" s="2"/>
      <c r="D63" s="802"/>
      <c r="E63" s="802"/>
      <c r="F63" s="796"/>
      <c r="K63" s="796"/>
      <c r="L63" s="794"/>
      <c r="M63" s="801"/>
      <c r="N63" s="801"/>
      <c r="O63" s="21"/>
    </row>
    <row r="64" spans="1:15" s="1" customFormat="1" x14ac:dyDescent="0.2">
      <c r="A64" s="30"/>
      <c r="B64" s="88"/>
      <c r="C64" s="2"/>
      <c r="D64" s="801"/>
      <c r="E64" s="801"/>
      <c r="F64" s="796"/>
      <c r="G64" s="19"/>
      <c r="H64" s="19"/>
      <c r="I64" s="19"/>
      <c r="J64" s="19"/>
      <c r="K64" s="796"/>
      <c r="L64" s="802"/>
      <c r="M64" s="801"/>
      <c r="N64" s="801"/>
      <c r="O64" s="21"/>
    </row>
    <row r="65" spans="1:17" x14ac:dyDescent="0.2">
      <c r="A65" s="60" t="s">
        <v>286</v>
      </c>
      <c r="B65" s="88"/>
      <c r="H65" s="913" t="s">
        <v>379</v>
      </c>
      <c r="I65" s="914"/>
      <c r="J65" s="915"/>
      <c r="K65" s="32"/>
      <c r="L65" s="802"/>
      <c r="N65" s="802"/>
      <c r="O65" s="913" t="s">
        <v>23</v>
      </c>
      <c r="P65" s="916"/>
      <c r="Q65" s="917"/>
    </row>
    <row r="66" spans="1:17" x14ac:dyDescent="0.2">
      <c r="L66" s="802"/>
      <c r="N66" s="802"/>
    </row>
    <row r="67" spans="1:17" x14ac:dyDescent="0.2">
      <c r="F67" s="802"/>
      <c r="H67" s="760">
        <f>H$1</f>
        <v>2013</v>
      </c>
      <c r="I67" s="760">
        <f>I$1</f>
        <v>2014</v>
      </c>
      <c r="J67" s="760">
        <f>J$1</f>
        <v>2015</v>
      </c>
      <c r="K67" s="56"/>
      <c r="L67" s="802"/>
      <c r="M67" s="801"/>
      <c r="N67" s="80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9"/>
      <c r="F68" s="802"/>
      <c r="H68" s="819" t="s">
        <v>20</v>
      </c>
      <c r="I68" s="715" t="s">
        <v>21</v>
      </c>
      <c r="J68" s="715" t="s">
        <v>21</v>
      </c>
      <c r="K68" s="894"/>
      <c r="L68" s="802"/>
      <c r="M68" s="801"/>
      <c r="N68" s="802"/>
      <c r="O68" s="761" t="str">
        <f>O3</f>
        <v>Forecast</v>
      </c>
      <c r="P68" s="309" t="str">
        <f>P3</f>
        <v>Forecast</v>
      </c>
      <c r="Q68" s="738" t="str">
        <f>Q3</f>
        <v>Forecast</v>
      </c>
    </row>
    <row r="69" spans="1:17" x14ac:dyDescent="0.2">
      <c r="B69" s="1"/>
      <c r="F69" s="802"/>
      <c r="H69" s="716" t="s">
        <v>22</v>
      </c>
      <c r="I69" s="716" t="s">
        <v>22</v>
      </c>
      <c r="J69" s="716" t="s">
        <v>22</v>
      </c>
      <c r="K69" s="894"/>
      <c r="L69" s="802"/>
      <c r="M69" s="801"/>
      <c r="N69" s="802"/>
      <c r="O69" s="721"/>
      <c r="P69" s="741"/>
      <c r="Q69" s="742"/>
    </row>
    <row r="70" spans="1:17" x14ac:dyDescent="0.2">
      <c r="B70" s="91"/>
      <c r="F70" s="802"/>
      <c r="H70" s="39"/>
      <c r="I70" s="20"/>
      <c r="J70" s="40"/>
      <c r="K70" s="802"/>
      <c r="L70" s="802"/>
      <c r="M70" s="801"/>
      <c r="N70" s="802"/>
      <c r="O70" s="39"/>
      <c r="P70" s="745"/>
      <c r="Q70" s="732"/>
    </row>
    <row r="71" spans="1:17" x14ac:dyDescent="0.2">
      <c r="A71" s="90" t="s">
        <v>24</v>
      </c>
      <c r="B71" s="91"/>
      <c r="F71" s="802"/>
      <c r="H71" s="340" t="s">
        <v>25</v>
      </c>
      <c r="I71" s="700"/>
      <c r="J71" s="123"/>
      <c r="K71" s="120"/>
      <c r="L71" s="802"/>
      <c r="M71" s="801"/>
      <c r="N71" s="802"/>
      <c r="O71" s="23"/>
      <c r="P71" s="20"/>
      <c r="Q71" s="732"/>
    </row>
    <row r="72" spans="1:17" x14ac:dyDescent="0.2">
      <c r="A72" s="84" t="s">
        <v>26</v>
      </c>
      <c r="B72" s="55"/>
      <c r="F72" s="802"/>
      <c r="H72" s="748">
        <f>'Data 2009-15 (Real $2008)'!H72</f>
        <v>0</v>
      </c>
      <c r="I72" s="752"/>
      <c r="J72" s="333"/>
      <c r="K72" s="121"/>
      <c r="L72" s="802"/>
      <c r="M72" s="801"/>
      <c r="N72" s="802"/>
      <c r="O72" s="79"/>
      <c r="P72" s="762"/>
      <c r="Q72" s="75"/>
    </row>
    <row r="73" spans="1:17" x14ac:dyDescent="0.2">
      <c r="A73" s="84" t="s">
        <v>27</v>
      </c>
      <c r="B73" s="451"/>
      <c r="F73" s="802"/>
      <c r="H73" s="748">
        <f>'Data 2009-15 (Real $2008)'!H73</f>
        <v>0</v>
      </c>
      <c r="I73" s="752"/>
      <c r="J73" s="333"/>
      <c r="K73" s="121"/>
      <c r="L73" s="802"/>
      <c r="M73" s="801"/>
      <c r="N73" s="802"/>
      <c r="O73" s="79"/>
      <c r="P73" s="762"/>
      <c r="Q73" s="75"/>
    </row>
    <row r="74" spans="1:17" x14ac:dyDescent="0.2">
      <c r="A74" s="565" t="s">
        <v>365</v>
      </c>
      <c r="B74" s="2"/>
      <c r="F74" s="802"/>
      <c r="H74" s="748">
        <f>'Data 2009-15 (Real $2008)'!H74</f>
        <v>0</v>
      </c>
      <c r="I74" s="752"/>
      <c r="J74" s="333"/>
      <c r="K74" s="121"/>
      <c r="L74" s="802"/>
      <c r="M74" s="801"/>
      <c r="N74" s="802"/>
      <c r="O74" s="79"/>
      <c r="P74" s="762"/>
      <c r="Q74" s="75"/>
    </row>
    <row r="75" spans="1:17" x14ac:dyDescent="0.2">
      <c r="A75" s="565" t="s">
        <v>366</v>
      </c>
      <c r="F75" s="802"/>
      <c r="H75" s="748">
        <f>'Data 2009-15 (Real $2008)'!H75</f>
        <v>0</v>
      </c>
      <c r="I75" s="752"/>
      <c r="J75" s="333"/>
      <c r="K75" s="121"/>
      <c r="L75" s="802"/>
      <c r="M75" s="801"/>
      <c r="N75" s="802"/>
      <c r="O75" s="79"/>
      <c r="P75" s="762"/>
      <c r="Q75" s="75"/>
    </row>
    <row r="76" spans="1:17" x14ac:dyDescent="0.2">
      <c r="A76" s="565" t="s">
        <v>367</v>
      </c>
      <c r="F76" s="802"/>
      <c r="H76" s="748">
        <f>'Data 2009-15 (Real $2008)'!H76</f>
        <v>0</v>
      </c>
      <c r="I76" s="752"/>
      <c r="J76" s="333"/>
      <c r="K76" s="121"/>
      <c r="L76" s="802"/>
      <c r="M76" s="801"/>
      <c r="N76" s="802"/>
      <c r="O76" s="79"/>
      <c r="P76" s="762"/>
      <c r="Q76" s="75"/>
    </row>
    <row r="77" spans="1:17" x14ac:dyDescent="0.2">
      <c r="A77" s="565" t="s">
        <v>368</v>
      </c>
      <c r="B77" s="2"/>
      <c r="F77" s="802"/>
      <c r="H77" s="748">
        <f>'Data 2009-15 (Real $2008)'!H77</f>
        <v>0</v>
      </c>
      <c r="I77" s="752"/>
      <c r="J77" s="333"/>
      <c r="K77" s="121"/>
      <c r="L77" s="802"/>
      <c r="M77" s="801"/>
      <c r="N77" s="802"/>
      <c r="O77" s="79"/>
      <c r="P77" s="762"/>
      <c r="Q77" s="75"/>
    </row>
    <row r="78" spans="1:17" x14ac:dyDescent="0.2">
      <c r="A78" s="565" t="s">
        <v>369</v>
      </c>
      <c r="B78" s="88"/>
      <c r="F78" s="802"/>
      <c r="H78" s="748">
        <f>'Data 2009-15 (Real $2008)'!H78</f>
        <v>0</v>
      </c>
      <c r="I78" s="752"/>
      <c r="J78" s="333"/>
      <c r="K78" s="121"/>
      <c r="L78" s="802"/>
      <c r="M78" s="801"/>
      <c r="N78" s="802"/>
      <c r="O78" s="79"/>
      <c r="P78" s="762"/>
      <c r="Q78" s="75"/>
    </row>
    <row r="79" spans="1:17" x14ac:dyDescent="0.2">
      <c r="A79" s="84"/>
      <c r="F79" s="802"/>
      <c r="H79" s="341"/>
      <c r="I79" s="334"/>
      <c r="J79" s="335"/>
      <c r="K79" s="802"/>
      <c r="L79" s="802"/>
      <c r="M79" s="801"/>
      <c r="N79" s="802"/>
      <c r="O79" s="23"/>
      <c r="P79" s="20"/>
      <c r="Q79" s="732"/>
    </row>
    <row r="80" spans="1:17" x14ac:dyDescent="0.2">
      <c r="A80" s="84"/>
      <c r="F80" s="802"/>
      <c r="H80" s="341"/>
      <c r="I80" s="334"/>
      <c r="J80" s="335"/>
      <c r="K80" s="802"/>
      <c r="L80" s="802"/>
      <c r="M80" s="801"/>
      <c r="N80" s="802"/>
      <c r="O80" s="23"/>
      <c r="P80" s="20"/>
      <c r="Q80" s="732"/>
    </row>
    <row r="81" spans="1:17" x14ac:dyDescent="0.2">
      <c r="A81" s="90" t="s">
        <v>24</v>
      </c>
      <c r="B81" s="320"/>
      <c r="F81" s="802"/>
      <c r="H81" s="521" t="s">
        <v>28</v>
      </c>
      <c r="I81" s="702"/>
      <c r="J81" s="336"/>
      <c r="K81" s="120"/>
      <c r="L81" s="802"/>
      <c r="M81" s="801"/>
      <c r="N81" s="802"/>
      <c r="O81" s="23"/>
      <c r="P81" s="20"/>
      <c r="Q81" s="732"/>
    </row>
    <row r="82" spans="1:17" x14ac:dyDescent="0.2">
      <c r="A82" s="84" t="s">
        <v>26</v>
      </c>
      <c r="B82" s="320"/>
      <c r="F82" s="802"/>
      <c r="H82" s="748">
        <f>'Data 2009-15 (Real $2008)'!H82</f>
        <v>0</v>
      </c>
      <c r="I82" s="752"/>
      <c r="J82" s="333"/>
      <c r="K82" s="121"/>
      <c r="L82" s="802"/>
      <c r="M82" s="801"/>
      <c r="N82" s="802"/>
      <c r="O82" s="79"/>
      <c r="P82" s="762"/>
      <c r="Q82" s="75"/>
    </row>
    <row r="83" spans="1:17" x14ac:dyDescent="0.2">
      <c r="A83" s="84" t="s">
        <v>27</v>
      </c>
      <c r="B83" s="433"/>
      <c r="F83" s="802"/>
      <c r="H83" s="748">
        <f>'Data 2009-15 (Real $2008)'!H83</f>
        <v>0</v>
      </c>
      <c r="I83" s="752"/>
      <c r="J83" s="333"/>
      <c r="K83" s="121"/>
      <c r="L83" s="802"/>
      <c r="M83" s="801"/>
      <c r="N83" s="802"/>
      <c r="O83" s="79"/>
      <c r="P83" s="762"/>
      <c r="Q83" s="75"/>
    </row>
    <row r="84" spans="1:17" x14ac:dyDescent="0.2">
      <c r="A84" s="565" t="s">
        <v>365</v>
      </c>
      <c r="F84" s="802"/>
      <c r="H84" s="748">
        <f>'Data 2009-15 (Real $2008)'!H84</f>
        <v>0</v>
      </c>
      <c r="I84" s="752"/>
      <c r="J84" s="333"/>
      <c r="K84" s="121"/>
      <c r="L84" s="802"/>
      <c r="M84" s="801"/>
      <c r="N84" s="802"/>
      <c r="O84" s="79"/>
      <c r="P84" s="762"/>
      <c r="Q84" s="75"/>
    </row>
    <row r="85" spans="1:17" x14ac:dyDescent="0.2">
      <c r="A85" s="565" t="s">
        <v>366</v>
      </c>
      <c r="F85" s="802"/>
      <c r="H85" s="748">
        <f>'Data 2009-15 (Real $2008)'!H85</f>
        <v>0</v>
      </c>
      <c r="I85" s="752"/>
      <c r="J85" s="333"/>
      <c r="K85" s="121"/>
      <c r="L85" s="802"/>
      <c r="M85" s="801"/>
      <c r="N85" s="802"/>
      <c r="O85" s="79"/>
      <c r="P85" s="762"/>
      <c r="Q85" s="75"/>
    </row>
    <row r="86" spans="1:17" x14ac:dyDescent="0.2">
      <c r="A86" s="565" t="s">
        <v>367</v>
      </c>
      <c r="F86" s="802"/>
      <c r="H86" s="748">
        <f>'Data 2009-15 (Real $2008)'!H86</f>
        <v>0</v>
      </c>
      <c r="I86" s="752"/>
      <c r="J86" s="333"/>
      <c r="K86" s="121"/>
      <c r="L86" s="802"/>
      <c r="M86" s="801"/>
      <c r="N86" s="802"/>
      <c r="O86" s="79"/>
      <c r="P86" s="762"/>
      <c r="Q86" s="75"/>
    </row>
    <row r="87" spans="1:17" x14ac:dyDescent="0.2">
      <c r="A87" s="565" t="s">
        <v>368</v>
      </c>
      <c r="F87" s="802"/>
      <c r="H87" s="748">
        <f>'Data 2009-15 (Real $2008)'!H87</f>
        <v>0</v>
      </c>
      <c r="I87" s="752"/>
      <c r="J87" s="333"/>
      <c r="K87" s="121"/>
      <c r="L87" s="802"/>
      <c r="M87" s="801"/>
      <c r="N87" s="802"/>
      <c r="O87" s="79"/>
      <c r="P87" s="762"/>
      <c r="Q87" s="75"/>
    </row>
    <row r="88" spans="1:17" x14ac:dyDescent="0.2">
      <c r="A88" s="565" t="s">
        <v>369</v>
      </c>
      <c r="B88" s="108"/>
      <c r="F88" s="802"/>
      <c r="H88" s="748">
        <f>'Data 2009-15 (Real $2008)'!H88</f>
        <v>0</v>
      </c>
      <c r="I88" s="752"/>
      <c r="J88" s="333"/>
      <c r="K88" s="121"/>
      <c r="L88" s="802"/>
      <c r="M88" s="801"/>
      <c r="N88" s="802"/>
      <c r="O88" s="79"/>
      <c r="P88" s="762"/>
      <c r="Q88" s="75"/>
    </row>
    <row r="89" spans="1:17" x14ac:dyDescent="0.2">
      <c r="A89" s="84"/>
      <c r="B89" s="88"/>
      <c r="F89" s="802"/>
      <c r="H89" s="341"/>
      <c r="I89" s="334"/>
      <c r="J89" s="335"/>
      <c r="K89" s="802"/>
      <c r="L89" s="802"/>
      <c r="M89" s="801"/>
      <c r="N89" s="802"/>
      <c r="O89" s="23"/>
      <c r="P89" s="20"/>
      <c r="Q89" s="732"/>
    </row>
    <row r="90" spans="1:17" x14ac:dyDescent="0.2">
      <c r="A90" s="84"/>
      <c r="B90" s="93"/>
      <c r="F90" s="802"/>
      <c r="H90" s="341"/>
      <c r="I90" s="334"/>
      <c r="J90" s="335"/>
      <c r="K90" s="802"/>
      <c r="L90" s="802"/>
      <c r="M90" s="801"/>
      <c r="N90" s="802"/>
      <c r="O90" s="23"/>
      <c r="P90" s="20"/>
      <c r="Q90" s="732"/>
    </row>
    <row r="91" spans="1:17" x14ac:dyDescent="0.2">
      <c r="A91" s="90" t="s">
        <v>29</v>
      </c>
      <c r="B91" s="93"/>
      <c r="F91" s="802"/>
      <c r="H91" s="340" t="s">
        <v>25</v>
      </c>
      <c r="I91" s="702"/>
      <c r="J91" s="336"/>
      <c r="K91" s="120"/>
      <c r="L91" s="802"/>
      <c r="M91" s="801"/>
      <c r="N91" s="802"/>
      <c r="O91" s="23"/>
      <c r="P91" s="20"/>
      <c r="Q91" s="732"/>
    </row>
    <row r="92" spans="1:17" x14ac:dyDescent="0.2">
      <c r="A92" s="84" t="s">
        <v>30</v>
      </c>
      <c r="B92" s="91"/>
      <c r="F92" s="802"/>
      <c r="H92" s="748">
        <f>'Data 2009-15 (Real $2008)'!H92</f>
        <v>0</v>
      </c>
      <c r="I92" s="752"/>
      <c r="J92" s="333"/>
      <c r="K92" s="121"/>
      <c r="L92" s="802"/>
      <c r="M92" s="801"/>
      <c r="N92" s="802"/>
      <c r="O92" s="79"/>
      <c r="P92" s="762"/>
      <c r="Q92" s="75"/>
    </row>
    <row r="93" spans="1:17" x14ac:dyDescent="0.2">
      <c r="A93" s="84" t="s">
        <v>31</v>
      </c>
      <c r="B93" s="86"/>
      <c r="F93" s="802"/>
      <c r="H93" s="748">
        <f>'Data 2009-15 (Real $2008)'!H93</f>
        <v>0</v>
      </c>
      <c r="I93" s="752"/>
      <c r="J93" s="333"/>
      <c r="K93" s="121"/>
      <c r="L93" s="802"/>
      <c r="M93" s="801"/>
      <c r="N93" s="802"/>
      <c r="O93" s="79"/>
      <c r="P93" s="762"/>
      <c r="Q93" s="75"/>
    </row>
    <row r="94" spans="1:17" x14ac:dyDescent="0.2">
      <c r="A94" s="84" t="s">
        <v>32</v>
      </c>
      <c r="B94" s="91"/>
      <c r="F94" s="802"/>
      <c r="H94" s="748">
        <f>'Data 2009-15 (Real $2008)'!H94</f>
        <v>0</v>
      </c>
      <c r="I94" s="752"/>
      <c r="J94" s="333"/>
      <c r="K94" s="121"/>
      <c r="L94" s="802"/>
      <c r="M94" s="801"/>
      <c r="N94" s="802"/>
      <c r="O94" s="79"/>
      <c r="P94" s="762"/>
      <c r="Q94" s="75"/>
    </row>
    <row r="95" spans="1:17" x14ac:dyDescent="0.2">
      <c r="A95" s="84" t="s">
        <v>33</v>
      </c>
      <c r="B95" s="93"/>
      <c r="F95" s="802"/>
      <c r="H95" s="748">
        <f>'Data 2009-15 (Real $2008)'!H95</f>
        <v>0</v>
      </c>
      <c r="I95" s="752"/>
      <c r="J95" s="333"/>
      <c r="K95" s="121"/>
      <c r="L95" s="802"/>
      <c r="M95" s="801"/>
      <c r="N95" s="802"/>
      <c r="O95" s="79"/>
      <c r="P95" s="762"/>
      <c r="Q95" s="75"/>
    </row>
    <row r="96" spans="1:17" x14ac:dyDescent="0.2">
      <c r="A96" s="84" t="s">
        <v>34</v>
      </c>
      <c r="B96" s="93"/>
      <c r="F96" s="802"/>
      <c r="H96" s="748">
        <f>'Data 2009-15 (Real $2008)'!H96</f>
        <v>0</v>
      </c>
      <c r="I96" s="752"/>
      <c r="J96" s="333"/>
      <c r="K96" s="121"/>
      <c r="L96" s="802"/>
      <c r="M96" s="801"/>
      <c r="N96" s="802"/>
      <c r="O96" s="79"/>
      <c r="P96" s="762"/>
      <c r="Q96" s="75"/>
    </row>
    <row r="97" spans="1:17" x14ac:dyDescent="0.2">
      <c r="A97" s="84" t="s">
        <v>35</v>
      </c>
      <c r="B97" s="93"/>
      <c r="F97" s="802"/>
      <c r="H97" s="748">
        <f>'Data 2009-15 (Real $2008)'!H97</f>
        <v>0</v>
      </c>
      <c r="I97" s="752"/>
      <c r="J97" s="333"/>
      <c r="K97" s="121"/>
      <c r="L97" s="802"/>
      <c r="M97" s="801"/>
      <c r="N97" s="802"/>
      <c r="O97" s="79"/>
      <c r="P97" s="762"/>
      <c r="Q97" s="75"/>
    </row>
    <row r="98" spans="1:17" x14ac:dyDescent="0.2">
      <c r="A98" s="565" t="s">
        <v>394</v>
      </c>
      <c r="B98" s="93"/>
      <c r="F98" s="802"/>
      <c r="H98" s="906">
        <f>'Data 2009-15 (Real $2008)'!H98</f>
        <v>130.44999999999999</v>
      </c>
      <c r="I98" s="908">
        <v>157.43989465182617</v>
      </c>
      <c r="J98" s="909">
        <v>190.01395498641716</v>
      </c>
      <c r="K98" s="121"/>
      <c r="L98" s="802"/>
      <c r="M98" s="801"/>
      <c r="N98" s="802"/>
      <c r="O98" s="79">
        <v>390822.125</v>
      </c>
      <c r="P98" s="762">
        <v>398557.46675785119</v>
      </c>
      <c r="Q98" s="75">
        <v>406120.02995804162</v>
      </c>
    </row>
    <row r="99" spans="1:17" x14ac:dyDescent="0.2">
      <c r="A99" s="565" t="s">
        <v>395</v>
      </c>
      <c r="B99" s="93"/>
      <c r="F99" s="802"/>
      <c r="H99" s="906">
        <f>'Data 2009-15 (Real $2008)'!H99</f>
        <v>149.9</v>
      </c>
      <c r="I99" s="908">
        <v>180.91406828906662</v>
      </c>
      <c r="J99" s="909">
        <v>218.34489729753875</v>
      </c>
      <c r="K99" s="121"/>
      <c r="L99" s="802"/>
      <c r="M99" s="801"/>
      <c r="N99" s="802"/>
      <c r="O99" s="79">
        <v>155344.875</v>
      </c>
      <c r="P99" s="762">
        <v>156548.59239537409</v>
      </c>
      <c r="Q99" s="75">
        <v>157702.89891689076</v>
      </c>
    </row>
    <row r="100" spans="1:17" x14ac:dyDescent="0.2">
      <c r="A100" s="565" t="s">
        <v>396</v>
      </c>
      <c r="B100" s="93"/>
      <c r="F100" s="802"/>
      <c r="H100" s="906">
        <f>'Data 2009-15 (Real $2008)'!H100</f>
        <v>181.1</v>
      </c>
      <c r="I100" s="908">
        <v>218.56929797965287</v>
      </c>
      <c r="J100" s="909">
        <v>263.79093329275696</v>
      </c>
      <c r="K100" s="121"/>
      <c r="L100" s="802"/>
      <c r="M100" s="801"/>
      <c r="N100" s="802"/>
      <c r="O100" s="79">
        <v>83175.75</v>
      </c>
      <c r="P100" s="762">
        <v>84284.130234145021</v>
      </c>
      <c r="Q100" s="75">
        <v>85357.055867229894</v>
      </c>
    </row>
    <row r="101" spans="1:17" x14ac:dyDescent="0.2">
      <c r="A101" s="565" t="s">
        <v>397</v>
      </c>
      <c r="B101" s="93"/>
      <c r="F101" s="802"/>
      <c r="H101" s="906">
        <f>'Data 2009-15 (Real $2008)'!H101</f>
        <v>200.89</v>
      </c>
      <c r="I101" s="908">
        <v>242.45381706864973</v>
      </c>
      <c r="J101" s="909">
        <v>292.61712086792903</v>
      </c>
      <c r="K101" s="121"/>
      <c r="L101" s="802"/>
      <c r="M101" s="801"/>
      <c r="N101" s="802"/>
      <c r="O101" s="79">
        <v>42268.18</v>
      </c>
      <c r="P101" s="762">
        <v>42292.871638879471</v>
      </c>
      <c r="Q101" s="75">
        <v>42316.309334747828</v>
      </c>
    </row>
    <row r="102" spans="1:17" x14ac:dyDescent="0.2">
      <c r="A102" s="565" t="s">
        <v>398</v>
      </c>
      <c r="B102" s="93"/>
      <c r="F102" s="802"/>
      <c r="H102" s="906">
        <f>'Data 2009-15 (Real $2008)'!H102</f>
        <v>258.68</v>
      </c>
      <c r="I102" s="908">
        <v>312.20047488336064</v>
      </c>
      <c r="J102" s="909">
        <v>376.79424971932843</v>
      </c>
      <c r="K102" s="121"/>
      <c r="L102" s="802"/>
      <c r="M102" s="801"/>
      <c r="N102" s="802"/>
      <c r="O102" s="79">
        <v>3786.4999750000002</v>
      </c>
      <c r="P102" s="762">
        <v>3826.2809487502545</v>
      </c>
      <c r="Q102" s="75">
        <v>3864.6927280900645</v>
      </c>
    </row>
    <row r="103" spans="1:17" x14ac:dyDescent="0.2">
      <c r="A103" s="84"/>
      <c r="B103" s="93"/>
      <c r="F103" s="802"/>
      <c r="H103" s="341"/>
      <c r="I103" s="334"/>
      <c r="J103" s="335"/>
      <c r="K103" s="802"/>
      <c r="L103" s="802"/>
      <c r="M103" s="801"/>
      <c r="N103" s="802"/>
      <c r="O103" s="23"/>
      <c r="P103" s="20"/>
      <c r="Q103" s="732"/>
    </row>
    <row r="104" spans="1:17" x14ac:dyDescent="0.2">
      <c r="A104" s="84"/>
      <c r="B104" s="93"/>
      <c r="F104" s="802"/>
      <c r="H104" s="341"/>
      <c r="I104" s="334"/>
      <c r="J104" s="335"/>
      <c r="K104" s="802"/>
      <c r="L104" s="802"/>
      <c r="M104" s="801"/>
      <c r="N104" s="802"/>
      <c r="O104" s="23"/>
      <c r="P104" s="20"/>
      <c r="Q104" s="732"/>
    </row>
    <row r="105" spans="1:17" x14ac:dyDescent="0.2">
      <c r="A105" s="90" t="s">
        <v>29</v>
      </c>
      <c r="F105" s="802"/>
      <c r="H105" s="521" t="s">
        <v>28</v>
      </c>
      <c r="I105" s="702"/>
      <c r="J105" s="336"/>
      <c r="K105" s="120"/>
      <c r="L105" s="802"/>
      <c r="M105" s="801"/>
      <c r="N105" s="802"/>
      <c r="O105" s="23"/>
      <c r="P105" s="20"/>
      <c r="Q105" s="732"/>
    </row>
    <row r="106" spans="1:17" x14ac:dyDescent="0.2">
      <c r="A106" s="84" t="s">
        <v>30</v>
      </c>
      <c r="B106" s="93"/>
      <c r="F106" s="802"/>
      <c r="H106" s="748">
        <f>'Data 2009-15 (Real $2008)'!H106</f>
        <v>0</v>
      </c>
      <c r="I106" s="752"/>
      <c r="J106" s="333"/>
      <c r="K106" s="121"/>
      <c r="L106" s="802"/>
      <c r="M106" s="801"/>
      <c r="N106" s="802"/>
      <c r="O106" s="79"/>
      <c r="P106" s="762"/>
      <c r="Q106" s="75"/>
    </row>
    <row r="107" spans="1:17" x14ac:dyDescent="0.2">
      <c r="A107" s="84" t="s">
        <v>31</v>
      </c>
      <c r="B107" s="93"/>
      <c r="F107" s="802"/>
      <c r="H107" s="748">
        <f>'Data 2009-15 (Real $2008)'!H107</f>
        <v>0</v>
      </c>
      <c r="I107" s="752"/>
      <c r="J107" s="333"/>
      <c r="K107" s="121"/>
      <c r="L107" s="802"/>
      <c r="M107" s="801"/>
      <c r="N107" s="802"/>
      <c r="O107" s="79"/>
      <c r="P107" s="762"/>
      <c r="Q107" s="75"/>
    </row>
    <row r="108" spans="1:17" x14ac:dyDescent="0.2">
      <c r="A108" s="84" t="s">
        <v>32</v>
      </c>
      <c r="B108" s="93"/>
      <c r="F108" s="802"/>
      <c r="H108" s="748">
        <f>'Data 2009-15 (Real $2008)'!H108</f>
        <v>0</v>
      </c>
      <c r="I108" s="752"/>
      <c r="J108" s="333"/>
      <c r="K108" s="121"/>
      <c r="L108" s="802"/>
      <c r="M108" s="801"/>
      <c r="N108" s="802"/>
      <c r="O108" s="79"/>
      <c r="P108" s="762"/>
      <c r="Q108" s="75"/>
    </row>
    <row r="109" spans="1:17" x14ac:dyDescent="0.2">
      <c r="A109" s="84" t="s">
        <v>33</v>
      </c>
      <c r="B109" s="93"/>
      <c r="F109" s="802"/>
      <c r="H109" s="748">
        <f>'Data 2009-15 (Real $2008)'!H109</f>
        <v>0</v>
      </c>
      <c r="I109" s="752"/>
      <c r="J109" s="333"/>
      <c r="K109" s="121"/>
      <c r="L109" s="802"/>
      <c r="M109" s="801"/>
      <c r="N109" s="802"/>
      <c r="O109" s="79"/>
      <c r="P109" s="762"/>
      <c r="Q109" s="75"/>
    </row>
    <row r="110" spans="1:17" x14ac:dyDescent="0.2">
      <c r="A110" s="84" t="s">
        <v>34</v>
      </c>
      <c r="B110" s="93"/>
      <c r="F110" s="802"/>
      <c r="H110" s="748">
        <f>'Data 2009-15 (Real $2008)'!H110</f>
        <v>0</v>
      </c>
      <c r="I110" s="752"/>
      <c r="J110" s="333"/>
      <c r="K110" s="121"/>
      <c r="L110" s="802"/>
      <c r="M110" s="801"/>
      <c r="N110" s="802"/>
      <c r="O110" s="79"/>
      <c r="P110" s="762"/>
      <c r="Q110" s="75"/>
    </row>
    <row r="111" spans="1:17" x14ac:dyDescent="0.2">
      <c r="A111" s="84" t="s">
        <v>35</v>
      </c>
      <c r="B111" s="91"/>
      <c r="F111" s="802"/>
      <c r="H111" s="748">
        <f>'Data 2009-15 (Real $2008)'!H111</f>
        <v>0</v>
      </c>
      <c r="I111" s="752"/>
      <c r="J111" s="333"/>
      <c r="K111" s="121"/>
      <c r="L111" s="802"/>
      <c r="M111" s="801"/>
      <c r="N111" s="802"/>
      <c r="O111" s="79"/>
      <c r="P111" s="762"/>
      <c r="Q111" s="75"/>
    </row>
    <row r="112" spans="1:17" x14ac:dyDescent="0.2">
      <c r="A112" s="565" t="s">
        <v>365</v>
      </c>
      <c r="B112" s="91"/>
      <c r="F112" s="802"/>
      <c r="H112" s="748">
        <f>'Data 2009-15 (Real $2008)'!H112</f>
        <v>0</v>
      </c>
      <c r="I112" s="752"/>
      <c r="J112" s="333"/>
      <c r="K112" s="121"/>
      <c r="L112" s="802"/>
      <c r="M112" s="801"/>
      <c r="N112" s="802"/>
      <c r="O112" s="79"/>
      <c r="P112" s="762"/>
      <c r="Q112" s="75"/>
    </row>
    <row r="113" spans="1:17" x14ac:dyDescent="0.2">
      <c r="A113" s="565" t="s">
        <v>366</v>
      </c>
      <c r="B113" s="91"/>
      <c r="F113" s="802"/>
      <c r="H113" s="748">
        <f>'Data 2009-15 (Real $2008)'!H113</f>
        <v>0</v>
      </c>
      <c r="I113" s="752"/>
      <c r="J113" s="333"/>
      <c r="K113" s="121"/>
      <c r="L113" s="802"/>
      <c r="M113" s="801"/>
      <c r="N113" s="802"/>
      <c r="O113" s="79"/>
      <c r="P113" s="762"/>
      <c r="Q113" s="75"/>
    </row>
    <row r="114" spans="1:17" x14ac:dyDescent="0.2">
      <c r="A114" s="565" t="s">
        <v>367</v>
      </c>
      <c r="B114" s="91"/>
      <c r="F114" s="802"/>
      <c r="H114" s="748">
        <f>'Data 2009-15 (Real $2008)'!H114</f>
        <v>0</v>
      </c>
      <c r="I114" s="752"/>
      <c r="J114" s="333"/>
      <c r="K114" s="121"/>
      <c r="L114" s="802"/>
      <c r="M114" s="801"/>
      <c r="N114" s="802"/>
      <c r="O114" s="79"/>
      <c r="P114" s="762"/>
      <c r="Q114" s="75"/>
    </row>
    <row r="115" spans="1:17" x14ac:dyDescent="0.2">
      <c r="A115" s="565" t="s">
        <v>368</v>
      </c>
      <c r="F115" s="802"/>
      <c r="H115" s="748">
        <f>'Data 2009-15 (Real $2008)'!H115</f>
        <v>0</v>
      </c>
      <c r="I115" s="752"/>
      <c r="J115" s="333"/>
      <c r="K115" s="121"/>
      <c r="L115" s="802"/>
      <c r="M115" s="801"/>
      <c r="N115" s="802"/>
      <c r="O115" s="79"/>
      <c r="P115" s="762"/>
      <c r="Q115" s="75"/>
    </row>
    <row r="116" spans="1:17" x14ac:dyDescent="0.2">
      <c r="A116" s="565" t="s">
        <v>369</v>
      </c>
      <c r="B116" s="60"/>
      <c r="F116" s="802"/>
      <c r="H116" s="765">
        <f>'Data 2009-15 (Real $2008)'!H116</f>
        <v>0</v>
      </c>
      <c r="I116" s="764"/>
      <c r="J116" s="337"/>
      <c r="K116" s="121"/>
      <c r="L116" s="802"/>
      <c r="M116" s="801"/>
      <c r="N116" s="802"/>
      <c r="O116" s="80"/>
      <c r="P116" s="763"/>
      <c r="Q116" s="81"/>
    </row>
    <row r="117" spans="1:17" x14ac:dyDescent="0.2">
      <c r="B117" s="60"/>
      <c r="F117" s="802"/>
      <c r="L117" s="802"/>
    </row>
    <row r="119" spans="1:17" s="801" customFormat="1" ht="13.5" thickBot="1" x14ac:dyDescent="0.25">
      <c r="A119" s="815"/>
      <c r="B119" s="890"/>
      <c r="C119" s="815"/>
      <c r="D119" s="815"/>
      <c r="E119" s="815"/>
      <c r="F119" s="815"/>
      <c r="G119" s="815"/>
      <c r="H119" s="815"/>
      <c r="I119" s="815"/>
      <c r="J119" s="815"/>
      <c r="K119" s="891"/>
      <c r="L119" s="815"/>
      <c r="M119" s="815"/>
      <c r="N119" s="815"/>
      <c r="O119" s="815"/>
      <c r="P119" s="815"/>
      <c r="Q119" s="815"/>
    </row>
    <row r="120" spans="1:17" s="801" customFormat="1" x14ac:dyDescent="0.2">
      <c r="B120" s="844"/>
      <c r="K120" s="794"/>
      <c r="L120" s="814"/>
      <c r="M120" s="814"/>
      <c r="N120" s="814"/>
      <c r="O120" s="814"/>
    </row>
    <row r="121" spans="1:17" s="801" customFormat="1" x14ac:dyDescent="0.2">
      <c r="B121" s="844"/>
      <c r="K121" s="794"/>
      <c r="L121" s="814"/>
      <c r="M121" s="814"/>
      <c r="N121" s="814"/>
      <c r="O121" s="814"/>
    </row>
    <row r="122" spans="1:17" s="801" customFormat="1" x14ac:dyDescent="0.2">
      <c r="B122" s="844"/>
      <c r="K122" s="794"/>
      <c r="L122" s="814"/>
      <c r="M122" s="814"/>
      <c r="N122" s="814"/>
      <c r="O122" s="814"/>
    </row>
    <row r="123" spans="1:17" s="801" customFormat="1" x14ac:dyDescent="0.2">
      <c r="B123" s="844"/>
      <c r="K123" s="794"/>
      <c r="L123" s="814"/>
      <c r="M123" s="814"/>
      <c r="N123" s="814"/>
      <c r="O123" s="814"/>
    </row>
    <row r="124" spans="1:17" s="801" customFormat="1" x14ac:dyDescent="0.2">
      <c r="A124" s="43" t="s">
        <v>383</v>
      </c>
      <c r="B124" s="844"/>
      <c r="I124" s="698" t="s">
        <v>384</v>
      </c>
      <c r="K124" s="794"/>
      <c r="L124" s="814"/>
      <c r="M124" s="814"/>
      <c r="N124" s="814"/>
      <c r="O124" s="814"/>
    </row>
    <row r="125" spans="1:17" s="801" customFormat="1" x14ac:dyDescent="0.2">
      <c r="A125" s="30"/>
      <c r="B125" s="844"/>
      <c r="I125" s="699" t="s">
        <v>385</v>
      </c>
      <c r="K125" s="794"/>
      <c r="L125" s="814"/>
      <c r="M125" s="814"/>
      <c r="N125" s="814"/>
      <c r="O125" s="814"/>
    </row>
    <row r="126" spans="1:17" s="801" customFormat="1" x14ac:dyDescent="0.2">
      <c r="A126" s="38" t="s">
        <v>9</v>
      </c>
      <c r="B126" s="844"/>
      <c r="I126" s="802"/>
      <c r="K126" s="794"/>
      <c r="L126" s="814"/>
      <c r="M126" s="814"/>
      <c r="N126" s="814"/>
      <c r="O126" s="814"/>
    </row>
    <row r="127" spans="1:17" s="801" customFormat="1" x14ac:dyDescent="0.2">
      <c r="A127" s="892" t="s">
        <v>10</v>
      </c>
      <c r="B127" s="844"/>
      <c r="I127" s="902">
        <v>3.85E-2</v>
      </c>
      <c r="K127" s="794"/>
      <c r="L127" s="814"/>
      <c r="M127" s="814"/>
      <c r="N127" s="814"/>
      <c r="O127" s="814"/>
    </row>
    <row r="128" spans="1:17" s="801" customFormat="1" x14ac:dyDescent="0.2">
      <c r="A128" s="794" t="s">
        <v>11</v>
      </c>
      <c r="B128" s="844"/>
      <c r="I128" s="902">
        <v>2.9499999999999998E-2</v>
      </c>
      <c r="K128" s="794"/>
      <c r="L128" s="814"/>
      <c r="M128" s="814"/>
      <c r="N128" s="814"/>
      <c r="O128" s="814"/>
    </row>
    <row r="129" spans="1:17" s="801" customFormat="1" x14ac:dyDescent="0.2">
      <c r="B129" s="844"/>
      <c r="I129" s="910"/>
      <c r="K129" s="794"/>
      <c r="L129" s="814"/>
      <c r="M129" s="814"/>
      <c r="N129" s="814"/>
      <c r="O129" s="814"/>
    </row>
    <row r="130" spans="1:17" s="801" customFormat="1" x14ac:dyDescent="0.2">
      <c r="A130" s="58" t="s">
        <v>12</v>
      </c>
      <c r="B130" s="844"/>
      <c r="I130" s="911"/>
      <c r="K130" s="794"/>
      <c r="L130" s="814"/>
      <c r="M130" s="814"/>
      <c r="N130" s="814"/>
      <c r="O130" s="814"/>
    </row>
    <row r="131" spans="1:17" s="801" customFormat="1" x14ac:dyDescent="0.2">
      <c r="A131" s="801" t="s">
        <v>13</v>
      </c>
      <c r="B131" s="844"/>
      <c r="I131" s="902">
        <v>8.1500000000000003E-2</v>
      </c>
      <c r="K131" s="794"/>
      <c r="L131" s="814"/>
      <c r="M131" s="814"/>
      <c r="N131" s="814"/>
      <c r="O131" s="814"/>
    </row>
    <row r="132" spans="1:17" s="801" customFormat="1" x14ac:dyDescent="0.2">
      <c r="A132" s="801" t="s">
        <v>14</v>
      </c>
      <c r="B132" s="844"/>
      <c r="I132" s="912">
        <v>0.8</v>
      </c>
      <c r="K132" s="794"/>
      <c r="L132" s="814"/>
      <c r="M132" s="814"/>
      <c r="N132" s="814"/>
      <c r="O132" s="814"/>
    </row>
    <row r="133" spans="1:17" s="801" customFormat="1" x14ac:dyDescent="0.2">
      <c r="A133" s="801" t="s">
        <v>15</v>
      </c>
      <c r="B133" s="844"/>
      <c r="I133" s="912">
        <v>0.6</v>
      </c>
      <c r="K133" s="794"/>
      <c r="L133" s="814"/>
      <c r="M133" s="814"/>
      <c r="N133" s="814"/>
      <c r="O133" s="814"/>
    </row>
    <row r="134" spans="1:17" s="801" customFormat="1" x14ac:dyDescent="0.2">
      <c r="A134" s="801" t="s">
        <v>16</v>
      </c>
      <c r="B134" s="844"/>
      <c r="I134" s="902">
        <v>2.47E-2</v>
      </c>
      <c r="K134" s="794"/>
      <c r="L134" s="814"/>
      <c r="M134" s="814"/>
      <c r="N134" s="814"/>
      <c r="O134" s="814"/>
    </row>
    <row r="135" spans="1:17" s="801" customFormat="1" x14ac:dyDescent="0.2">
      <c r="A135" s="794"/>
      <c r="B135" s="844"/>
      <c r="I135" s="54"/>
      <c r="K135" s="794"/>
      <c r="L135" s="814"/>
      <c r="M135" s="814"/>
      <c r="N135" s="814"/>
      <c r="O135" s="814"/>
    </row>
    <row r="136" spans="1:17" s="801" customFormat="1" x14ac:dyDescent="0.2">
      <c r="A136" s="448" t="s">
        <v>19</v>
      </c>
      <c r="B136" s="844"/>
      <c r="I136" s="911"/>
      <c r="K136" s="794"/>
      <c r="L136" s="814"/>
      <c r="M136" s="814"/>
      <c r="N136" s="814"/>
      <c r="O136" s="814"/>
    </row>
    <row r="137" spans="1:17" s="801" customFormat="1" x14ac:dyDescent="0.2">
      <c r="A137" s="801" t="s">
        <v>88</v>
      </c>
      <c r="B137" s="844"/>
      <c r="I137" s="912">
        <v>0.3</v>
      </c>
      <c r="K137" s="794"/>
      <c r="L137" s="814"/>
      <c r="M137" s="814"/>
      <c r="N137" s="814"/>
      <c r="O137" s="814"/>
    </row>
    <row r="138" spans="1:17" s="801" customFormat="1" x14ac:dyDescent="0.2">
      <c r="A138" s="794" t="s">
        <v>17</v>
      </c>
      <c r="B138" s="844"/>
      <c r="I138" s="912">
        <v>0.25</v>
      </c>
      <c r="K138" s="794"/>
      <c r="L138" s="814"/>
      <c r="M138" s="814"/>
      <c r="N138" s="814"/>
      <c r="O138" s="814"/>
    </row>
    <row r="139" spans="1:17" s="801" customFormat="1" ht="13.5" thickBot="1" x14ac:dyDescent="0.25">
      <c r="A139" s="815"/>
      <c r="B139" s="890"/>
      <c r="C139" s="815"/>
      <c r="D139" s="815"/>
      <c r="E139" s="815"/>
      <c r="F139" s="815"/>
      <c r="G139" s="815"/>
      <c r="H139" s="815"/>
      <c r="I139" s="815"/>
      <c r="J139" s="815"/>
      <c r="K139" s="891"/>
      <c r="L139" s="815"/>
      <c r="M139" s="815"/>
      <c r="N139" s="815"/>
      <c r="O139" s="815"/>
      <c r="P139" s="815"/>
      <c r="Q139" s="815"/>
    </row>
    <row r="140" spans="1:17" s="801" customFormat="1" x14ac:dyDescent="0.2">
      <c r="B140" s="844"/>
      <c r="K140" s="794"/>
      <c r="L140" s="814"/>
      <c r="M140" s="814"/>
      <c r="N140" s="814"/>
      <c r="O140" s="814"/>
    </row>
    <row r="141" spans="1:17" s="801" customFormat="1" x14ac:dyDescent="0.2">
      <c r="B141" s="844"/>
      <c r="K141" s="794"/>
      <c r="L141" s="814"/>
      <c r="M141" s="814"/>
      <c r="N141" s="814"/>
      <c r="O141" s="814"/>
    </row>
    <row r="142" spans="1:17" s="801" customFormat="1" x14ac:dyDescent="0.2">
      <c r="B142" s="844"/>
      <c r="K142" s="794"/>
      <c r="L142" s="814"/>
      <c r="M142" s="814"/>
      <c r="N142" s="814"/>
      <c r="O142" s="814"/>
    </row>
    <row r="143" spans="1:17" s="801" customFormat="1" x14ac:dyDescent="0.2">
      <c r="B143" s="844"/>
      <c r="K143" s="794"/>
      <c r="L143" s="814"/>
      <c r="M143" s="814"/>
      <c r="N143" s="814"/>
      <c r="O143" s="814"/>
    </row>
    <row r="144" spans="1:17" s="801" customFormat="1" x14ac:dyDescent="0.2">
      <c r="B144" s="844"/>
      <c r="K144" s="794"/>
      <c r="L144" s="814"/>
      <c r="M144" s="814"/>
      <c r="N144" s="814"/>
      <c r="O144" s="814"/>
    </row>
  </sheetData>
  <sheetProtection sheet="1" objects="1" scenarios="1"/>
  <mergeCells count="2">
    <mergeCell ref="H65:J65"/>
    <mergeCell ref="O65:Q65"/>
  </mergeCells>
  <phoneticPr fontId="0" type="noConversion"/>
  <printOptions gridLines="1"/>
  <pageMargins left="0.75" right="0.75" top="0.3" bottom="0.34" header="0.18" footer="0.2"/>
  <pageSetup paperSize="8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8.5703125" style="461" customWidth="1"/>
    <col min="2" max="2" width="11.42578125" style="465" customWidth="1"/>
    <col min="3" max="3" width="18.85546875" style="461" customWidth="1"/>
    <col min="4" max="4" width="13.140625" style="461" customWidth="1"/>
    <col min="5" max="5" width="12.42578125" style="461" customWidth="1"/>
    <col min="6" max="6" width="13.28515625" style="461" customWidth="1"/>
    <col min="7" max="7" width="10.5703125" style="461" customWidth="1"/>
    <col min="8" max="8" width="12" style="461" customWidth="1"/>
    <col min="9" max="9" width="13.42578125" style="461" customWidth="1"/>
    <col min="10" max="10" width="11.42578125" style="461" customWidth="1"/>
    <col min="11" max="11" width="9.140625" style="461"/>
    <col min="12" max="12" width="13" style="461" customWidth="1"/>
    <col min="13" max="16384" width="9.140625" style="461"/>
  </cols>
  <sheetData>
    <row r="1" spans="1:11" x14ac:dyDescent="0.2">
      <c r="A1" s="584" t="str">
        <f>'IMRO Decision 2006-10'!A1</f>
        <v>SP AusNet</v>
      </c>
      <c r="B1" s="585" t="s">
        <v>0</v>
      </c>
      <c r="C1" s="586" t="str">
        <f>IF(SUM(C201)&lt;0.001,"Ok","Error")</f>
        <v>Ok</v>
      </c>
      <c r="D1" s="792">
        <f>C201</f>
        <v>0</v>
      </c>
      <c r="E1" s="587"/>
      <c r="F1" s="587"/>
      <c r="G1" s="587"/>
      <c r="H1" s="587"/>
      <c r="I1" s="587"/>
      <c r="J1" s="587"/>
      <c r="K1" s="587"/>
    </row>
    <row r="2" spans="1:11" s="465" customFormat="1" ht="15" x14ac:dyDescent="0.25">
      <c r="A2" s="588"/>
      <c r="B2" s="588"/>
      <c r="C2" s="589"/>
      <c r="D2" s="589"/>
      <c r="E2" s="589"/>
      <c r="F2" s="589"/>
      <c r="G2" s="589"/>
      <c r="H2" s="589"/>
      <c r="I2" s="589"/>
      <c r="J2" s="589"/>
      <c r="K2" s="589"/>
    </row>
    <row r="3" spans="1:11" ht="15.75" x14ac:dyDescent="0.25">
      <c r="A3" s="821" t="s">
        <v>400</v>
      </c>
      <c r="B3" s="590"/>
    </row>
    <row r="4" spans="1:11" s="465" customFormat="1" x14ac:dyDescent="0.2">
      <c r="A4" s="591"/>
      <c r="B4" s="591"/>
    </row>
    <row r="5" spans="1:11" ht="15.75" x14ac:dyDescent="0.25">
      <c r="A5" s="923" t="s">
        <v>40</v>
      </c>
      <c r="B5" s="924"/>
      <c r="C5" s="924"/>
      <c r="D5" s="925"/>
      <c r="E5" s="925"/>
      <c r="F5" s="926"/>
    </row>
    <row r="6" spans="1:11" s="465" customFormat="1" x14ac:dyDescent="0.2">
      <c r="A6" s="592" t="s">
        <v>74</v>
      </c>
      <c r="B6" s="593"/>
    </row>
    <row r="7" spans="1:11" s="465" customFormat="1" x14ac:dyDescent="0.2">
      <c r="A7" s="453"/>
      <c r="B7" s="453"/>
    </row>
    <row r="8" spans="1:11" x14ac:dyDescent="0.2">
      <c r="C8" s="33" t="s">
        <v>7</v>
      </c>
      <c r="D8" s="822">
        <v>2006</v>
      </c>
      <c r="E8" s="77">
        <v>2007</v>
      </c>
      <c r="F8" s="823">
        <v>2008</v>
      </c>
    </row>
    <row r="9" spans="1:11" ht="12.75" customHeight="1" x14ac:dyDescent="0.2">
      <c r="A9" s="596" t="s">
        <v>37</v>
      </c>
      <c r="B9" s="596"/>
      <c r="C9" s="34" t="s">
        <v>8</v>
      </c>
      <c r="D9" s="920" t="s">
        <v>41</v>
      </c>
      <c r="E9" s="921"/>
      <c r="F9" s="922"/>
    </row>
    <row r="10" spans="1:11" x14ac:dyDescent="0.2">
      <c r="A10" s="461" t="str">
        <f>A$161</f>
        <v>Accumulation Meters</v>
      </c>
      <c r="C10" s="824">
        <f>C161</f>
        <v>35</v>
      </c>
      <c r="D10" s="825">
        <v>3884866</v>
      </c>
      <c r="E10" s="826">
        <v>3731713.7004690147</v>
      </c>
      <c r="F10" s="827">
        <v>4655660.0456358176</v>
      </c>
      <c r="G10" s="597"/>
    </row>
    <row r="11" spans="1:11" x14ac:dyDescent="0.2">
      <c r="A11" s="461" t="str">
        <f>A$162</f>
        <v>Manually read interval meters</v>
      </c>
      <c r="C11" s="828">
        <f>C162</f>
        <v>10</v>
      </c>
      <c r="D11" s="766">
        <v>1152440</v>
      </c>
      <c r="E11" s="767">
        <v>3068765.1960286894</v>
      </c>
      <c r="F11" s="768">
        <v>4079284.046640974</v>
      </c>
      <c r="G11" s="597"/>
    </row>
    <row r="12" spans="1:11" x14ac:dyDescent="0.2">
      <c r="A12" s="461" t="str">
        <f>A$163</f>
        <v>Metering Data Services (IT)</v>
      </c>
      <c r="C12" s="828">
        <f>C163</f>
        <v>5</v>
      </c>
      <c r="D12" s="766">
        <v>2265768</v>
      </c>
      <c r="E12" s="767">
        <v>63679.999999997999</v>
      </c>
      <c r="F12" s="768">
        <v>111640.67900000009</v>
      </c>
      <c r="G12" s="597"/>
    </row>
    <row r="13" spans="1:11" x14ac:dyDescent="0.2">
      <c r="A13" s="461" t="str">
        <f>A$164</f>
        <v>Metering Data Services (Other)</v>
      </c>
      <c r="C13" s="829">
        <f>C164</f>
        <v>5</v>
      </c>
      <c r="D13" s="830">
        <v>222281</v>
      </c>
      <c r="E13" s="831">
        <v>114613.28107590035</v>
      </c>
      <c r="F13" s="832">
        <v>0</v>
      </c>
      <c r="G13" s="597"/>
    </row>
    <row r="14" spans="1:11" ht="13.5" thickBot="1" x14ac:dyDescent="0.25">
      <c r="A14" s="598" t="s">
        <v>45</v>
      </c>
      <c r="B14" s="598"/>
      <c r="C14" s="833"/>
      <c r="D14" s="834">
        <f>SUM(D10:D13)</f>
        <v>7525355</v>
      </c>
      <c r="E14" s="835">
        <f>SUM(E10:E13)</f>
        <v>6978772.1775736026</v>
      </c>
      <c r="F14" s="836">
        <f>SUM(F10:F13)</f>
        <v>8846584.7712767906</v>
      </c>
      <c r="G14" s="597"/>
    </row>
    <row r="15" spans="1:11" ht="13.5" thickTop="1" x14ac:dyDescent="0.2">
      <c r="C15" s="833"/>
      <c r="D15" s="833"/>
      <c r="E15" s="833"/>
      <c r="F15" s="833"/>
    </row>
    <row r="16" spans="1:11" x14ac:dyDescent="0.2">
      <c r="C16" s="833"/>
      <c r="D16" s="833"/>
      <c r="E16" s="833"/>
      <c r="F16" s="833"/>
    </row>
    <row r="17" spans="1:6" x14ac:dyDescent="0.2">
      <c r="A17" s="462"/>
      <c r="B17" s="600"/>
      <c r="C17" s="308" t="s">
        <v>276</v>
      </c>
      <c r="D17" s="77">
        <v>2006</v>
      </c>
      <c r="E17" s="837">
        <v>2007</v>
      </c>
      <c r="F17" s="823">
        <v>2008</v>
      </c>
    </row>
    <row r="18" spans="1:6" x14ac:dyDescent="0.2">
      <c r="A18" s="601" t="s">
        <v>47</v>
      </c>
      <c r="B18" s="602"/>
      <c r="C18" s="321" t="s">
        <v>48</v>
      </c>
      <c r="D18" s="930" t="s">
        <v>22</v>
      </c>
      <c r="E18" s="921"/>
      <c r="F18" s="922"/>
    </row>
    <row r="19" spans="1:6" x14ac:dyDescent="0.2">
      <c r="A19" s="461" t="str">
        <f>A$176</f>
        <v>Standard metering (Group 1) (Unit cost &lt; $1,000)</v>
      </c>
      <c r="C19" s="838">
        <f>C176</f>
        <v>0.375</v>
      </c>
      <c r="D19" s="839">
        <f>SUM(D10:D11)-D20</f>
        <v>5037306</v>
      </c>
      <c r="E19" s="839">
        <f>SUM(E10:E11)-E20</f>
        <v>6800478.8964977041</v>
      </c>
      <c r="F19" s="840">
        <f>SUM(F10:F11)-F20</f>
        <v>8734944.0922767911</v>
      </c>
    </row>
    <row r="20" spans="1:6" x14ac:dyDescent="0.2">
      <c r="A20" s="461" t="str">
        <f>A$177</f>
        <v>Standard metering (Group 2) (Unit cost =&gt; $1,000)</v>
      </c>
      <c r="C20" s="838">
        <f>C177</f>
        <v>0.06</v>
      </c>
      <c r="D20" s="766">
        <v>0</v>
      </c>
      <c r="E20" s="767">
        <v>0</v>
      </c>
      <c r="F20" s="768">
        <v>0</v>
      </c>
    </row>
    <row r="21" spans="1:6" x14ac:dyDescent="0.2">
      <c r="A21" s="461" t="str">
        <f>A$178</f>
        <v>IT</v>
      </c>
      <c r="B21" s="600"/>
      <c r="C21" s="838">
        <f>C178</f>
        <v>0.4</v>
      </c>
      <c r="D21" s="839">
        <f t="shared" ref="D21:F22" si="0">D12</f>
        <v>2265768</v>
      </c>
      <c r="E21" s="839">
        <f t="shared" si="0"/>
        <v>63679.999999997999</v>
      </c>
      <c r="F21" s="840">
        <f t="shared" si="0"/>
        <v>111640.67900000009</v>
      </c>
    </row>
    <row r="22" spans="1:6" x14ac:dyDescent="0.2">
      <c r="A22" s="597" t="str">
        <f>A$179</f>
        <v>Other</v>
      </c>
      <c r="B22" s="600"/>
      <c r="C22" s="841">
        <f>C179</f>
        <v>0.1764705882352941</v>
      </c>
      <c r="D22" s="839">
        <f t="shared" si="0"/>
        <v>222281</v>
      </c>
      <c r="E22" s="839">
        <f t="shared" si="0"/>
        <v>114613.28107590035</v>
      </c>
      <c r="F22" s="840">
        <f t="shared" si="0"/>
        <v>0</v>
      </c>
    </row>
    <row r="23" spans="1:6" ht="13.5" thickBot="1" x14ac:dyDescent="0.25">
      <c r="A23" s="598" t="s">
        <v>45</v>
      </c>
      <c r="B23" s="598"/>
      <c r="C23" s="833"/>
      <c r="D23" s="834">
        <f>SUM(D19:D22)</f>
        <v>7525355</v>
      </c>
      <c r="E23" s="835">
        <f>SUM(E19:E22)</f>
        <v>6978772.1775736026</v>
      </c>
      <c r="F23" s="836">
        <f>SUM(F19:F22)</f>
        <v>8846584.7712767906</v>
      </c>
    </row>
    <row r="24" spans="1:6" ht="13.5" thickTop="1" x14ac:dyDescent="0.2">
      <c r="C24" s="833"/>
      <c r="D24" s="833"/>
      <c r="E24" s="833"/>
      <c r="F24" s="833"/>
    </row>
    <row r="25" spans="1:6" x14ac:dyDescent="0.2">
      <c r="C25" s="833"/>
      <c r="D25" s="833"/>
      <c r="E25" s="833"/>
      <c r="F25" s="833"/>
    </row>
    <row r="26" spans="1:6" x14ac:dyDescent="0.2">
      <c r="C26" s="833"/>
      <c r="D26" s="822">
        <v>2006</v>
      </c>
      <c r="E26" s="77">
        <v>2007</v>
      </c>
      <c r="F26" s="823">
        <v>2008</v>
      </c>
    </row>
    <row r="27" spans="1:6" ht="12.75" customHeight="1" x14ac:dyDescent="0.2">
      <c r="A27" s="89" t="s">
        <v>259</v>
      </c>
      <c r="B27" s="453"/>
      <c r="C27" s="833"/>
      <c r="D27" s="927" t="s">
        <v>22</v>
      </c>
      <c r="E27" s="928"/>
      <c r="F27" s="929" t="s">
        <v>46</v>
      </c>
    </row>
    <row r="28" spans="1:6" x14ac:dyDescent="0.2">
      <c r="A28" s="461" t="s">
        <v>125</v>
      </c>
      <c r="C28" s="833"/>
      <c r="D28" s="825">
        <v>0</v>
      </c>
      <c r="E28" s="826">
        <v>0</v>
      </c>
      <c r="F28" s="827">
        <v>0</v>
      </c>
    </row>
    <row r="29" spans="1:6" x14ac:dyDescent="0.2">
      <c r="A29" s="461" t="s">
        <v>5</v>
      </c>
      <c r="C29" s="833"/>
      <c r="D29" s="830">
        <v>0</v>
      </c>
      <c r="E29" s="831">
        <v>0</v>
      </c>
      <c r="F29" s="832">
        <v>0</v>
      </c>
    </row>
    <row r="30" spans="1:6" x14ac:dyDescent="0.2">
      <c r="C30" s="833"/>
      <c r="D30" s="833"/>
      <c r="E30" s="833"/>
      <c r="F30" s="833"/>
    </row>
    <row r="31" spans="1:6" x14ac:dyDescent="0.2">
      <c r="C31" s="833"/>
      <c r="D31" s="833"/>
      <c r="E31" s="833"/>
      <c r="F31" s="833"/>
    </row>
    <row r="32" spans="1:6" x14ac:dyDescent="0.2">
      <c r="A32" s="604" t="s">
        <v>274</v>
      </c>
      <c r="B32" s="605"/>
      <c r="C32" s="833"/>
      <c r="D32" s="833"/>
      <c r="E32" s="833"/>
      <c r="F32" s="833"/>
    </row>
    <row r="33" spans="1:6" x14ac:dyDescent="0.2">
      <c r="A33" s="465" t="s">
        <v>287</v>
      </c>
      <c r="C33" s="842" t="s">
        <v>280</v>
      </c>
      <c r="D33" s="833"/>
      <c r="E33" s="833"/>
      <c r="F33" s="833"/>
    </row>
    <row r="34" spans="1:6" x14ac:dyDescent="0.2">
      <c r="A34" s="461" t="s">
        <v>288</v>
      </c>
      <c r="C34" s="843">
        <v>2013</v>
      </c>
      <c r="D34" s="833"/>
      <c r="E34" s="833"/>
      <c r="F34" s="833"/>
    </row>
    <row r="35" spans="1:6" x14ac:dyDescent="0.2">
      <c r="C35" s="833"/>
      <c r="D35" s="833"/>
      <c r="E35" s="833"/>
      <c r="F35" s="833"/>
    </row>
    <row r="36" spans="1:6" x14ac:dyDescent="0.2">
      <c r="C36" s="833"/>
      <c r="D36" s="833"/>
      <c r="E36" s="833"/>
      <c r="F36" s="833"/>
    </row>
    <row r="37" spans="1:6" x14ac:dyDescent="0.2">
      <c r="C37" s="833"/>
      <c r="D37" s="822">
        <v>2006</v>
      </c>
      <c r="E37" s="837">
        <v>2007</v>
      </c>
      <c r="F37" s="823">
        <v>2008</v>
      </c>
    </row>
    <row r="38" spans="1:6" ht="12.75" customHeight="1" x14ac:dyDescent="0.2">
      <c r="A38" s="89" t="s">
        <v>257</v>
      </c>
      <c r="B38" s="453"/>
      <c r="C38" s="833"/>
      <c r="D38" s="920" t="s">
        <v>73</v>
      </c>
      <c r="E38" s="921"/>
      <c r="F38" s="922"/>
    </row>
    <row r="39" spans="1:6" s="465" customFormat="1" ht="12.75" customHeight="1" x14ac:dyDescent="0.2">
      <c r="A39" s="606" t="s">
        <v>158</v>
      </c>
      <c r="B39" s="607"/>
      <c r="C39" s="844"/>
      <c r="D39" s="845"/>
      <c r="E39" s="846"/>
      <c r="F39" s="847"/>
    </row>
    <row r="40" spans="1:6" x14ac:dyDescent="0.2">
      <c r="A40" s="461" t="s">
        <v>159</v>
      </c>
      <c r="C40" s="848" t="s">
        <v>269</v>
      </c>
      <c r="D40" s="766">
        <v>196765.7254</v>
      </c>
      <c r="E40" s="767">
        <v>517644.13400000002</v>
      </c>
      <c r="F40" s="768">
        <v>490545.0344</v>
      </c>
    </row>
    <row r="41" spans="1:6" x14ac:dyDescent="0.2">
      <c r="A41" s="461" t="s">
        <v>90</v>
      </c>
      <c r="C41" s="848" t="s">
        <v>268</v>
      </c>
      <c r="D41" s="766">
        <v>0</v>
      </c>
      <c r="E41" s="767">
        <v>0</v>
      </c>
      <c r="F41" s="768">
        <v>0</v>
      </c>
    </row>
    <row r="42" spans="1:6" x14ac:dyDescent="0.2">
      <c r="A42" s="461" t="s">
        <v>45</v>
      </c>
      <c r="C42" s="833"/>
      <c r="D42" s="849">
        <f>SUM(D40:D41)</f>
        <v>196765.7254</v>
      </c>
      <c r="E42" s="850">
        <f>SUM(E40:E41)</f>
        <v>517644.13400000002</v>
      </c>
      <c r="F42" s="851">
        <f>SUM(F40:F41)</f>
        <v>490545.0344</v>
      </c>
    </row>
    <row r="43" spans="1:6" x14ac:dyDescent="0.2">
      <c r="C43" s="833"/>
      <c r="D43" s="852"/>
      <c r="E43" s="839"/>
      <c r="F43" s="840"/>
    </row>
    <row r="44" spans="1:6" x14ac:dyDescent="0.2">
      <c r="A44" s="606" t="s">
        <v>160</v>
      </c>
      <c r="B44" s="607"/>
      <c r="C44" s="833"/>
      <c r="D44" s="852"/>
      <c r="E44" s="839"/>
      <c r="F44" s="840"/>
    </row>
    <row r="45" spans="1:6" x14ac:dyDescent="0.2">
      <c r="A45" s="461" t="s">
        <v>24</v>
      </c>
      <c r="C45" s="848" t="s">
        <v>269</v>
      </c>
      <c r="D45" s="766">
        <v>8374116.0488559995</v>
      </c>
      <c r="E45" s="767">
        <v>7403752.3311585048</v>
      </c>
      <c r="F45" s="768">
        <v>9000552.3345711287</v>
      </c>
    </row>
    <row r="46" spans="1:6" x14ac:dyDescent="0.2">
      <c r="A46" s="461" t="s">
        <v>262</v>
      </c>
      <c r="C46" s="848" t="s">
        <v>269</v>
      </c>
      <c r="D46" s="766">
        <v>180441.21576354679</v>
      </c>
      <c r="E46" s="767">
        <v>143458.41723118219</v>
      </c>
      <c r="F46" s="768">
        <v>205691.66480831188</v>
      </c>
    </row>
    <row r="47" spans="1:6" x14ac:dyDescent="0.2">
      <c r="A47" s="610" t="s">
        <v>54</v>
      </c>
      <c r="B47" s="600"/>
      <c r="C47" s="848" t="s">
        <v>268</v>
      </c>
      <c r="D47" s="766">
        <v>2049635.5721609329</v>
      </c>
      <c r="E47" s="767">
        <v>2907290.7879588599</v>
      </c>
      <c r="F47" s="768">
        <v>3094360.020275455</v>
      </c>
    </row>
    <row r="48" spans="1:6" x14ac:dyDescent="0.2">
      <c r="A48" s="461" t="s">
        <v>45</v>
      </c>
      <c r="C48" s="833"/>
      <c r="D48" s="849">
        <f>SUM(D45:D47)</f>
        <v>10604192.836780479</v>
      </c>
      <c r="E48" s="850">
        <f>SUM(E45:E47)</f>
        <v>10454501.536348548</v>
      </c>
      <c r="F48" s="851">
        <f>SUM(F45:F47)</f>
        <v>12300604.019654896</v>
      </c>
    </row>
    <row r="49" spans="1:6" x14ac:dyDescent="0.2">
      <c r="A49" s="462"/>
      <c r="B49" s="600"/>
      <c r="C49" s="833"/>
      <c r="D49" s="853"/>
      <c r="E49" s="854"/>
      <c r="F49" s="855"/>
    </row>
    <row r="50" spans="1:6" ht="13.5" thickBot="1" x14ac:dyDescent="0.25">
      <c r="A50" s="610" t="s">
        <v>258</v>
      </c>
      <c r="B50" s="600"/>
      <c r="C50" s="856"/>
      <c r="D50" s="834">
        <f>SUM(D42,D48)</f>
        <v>10800958.56218048</v>
      </c>
      <c r="E50" s="835">
        <f>SUM(E42,E48)</f>
        <v>10972145.670348547</v>
      </c>
      <c r="F50" s="857">
        <f>SUM(F42,F48)</f>
        <v>12791149.054054895</v>
      </c>
    </row>
    <row r="51" spans="1:6" ht="13.5" thickTop="1" x14ac:dyDescent="0.2">
      <c r="C51" s="833"/>
      <c r="D51" s="833"/>
      <c r="E51" s="833"/>
      <c r="F51" s="833"/>
    </row>
    <row r="52" spans="1:6" x14ac:dyDescent="0.2">
      <c r="C52" s="833"/>
      <c r="D52" s="833"/>
      <c r="E52" s="833"/>
      <c r="F52" s="833"/>
    </row>
    <row r="53" spans="1:6" ht="13.5" thickBot="1" x14ac:dyDescent="0.25">
      <c r="A53" s="611" t="s">
        <v>270</v>
      </c>
      <c r="B53" s="612"/>
      <c r="C53" s="833"/>
      <c r="D53" s="835">
        <f>SUM(D40,D45:D46)</f>
        <v>8751322.9900195468</v>
      </c>
      <c r="E53" s="835">
        <f>SUM(E40,E45:E46)</f>
        <v>8064854.882389687</v>
      </c>
      <c r="F53" s="835">
        <f>SUM(F40,F45:F46)</f>
        <v>9696789.0337794404</v>
      </c>
    </row>
    <row r="54" spans="1:6" ht="13.5" thickTop="1" x14ac:dyDescent="0.2">
      <c r="A54" s="462"/>
      <c r="B54" s="600"/>
      <c r="C54" s="833"/>
      <c r="D54" s="833"/>
      <c r="E54" s="833"/>
      <c r="F54" s="833"/>
    </row>
    <row r="55" spans="1:6" x14ac:dyDescent="0.2">
      <c r="C55" s="856"/>
      <c r="D55" s="833"/>
      <c r="E55" s="833"/>
      <c r="F55" s="833"/>
    </row>
    <row r="56" spans="1:6" x14ac:dyDescent="0.2">
      <c r="A56" s="89" t="s">
        <v>271</v>
      </c>
      <c r="B56" s="453"/>
      <c r="C56" s="856"/>
      <c r="D56" s="822">
        <v>2006</v>
      </c>
      <c r="E56" s="77">
        <v>2007</v>
      </c>
      <c r="F56" s="823">
        <v>2008</v>
      </c>
    </row>
    <row r="57" spans="1:6" x14ac:dyDescent="0.2">
      <c r="A57" s="613"/>
      <c r="B57" s="614"/>
      <c r="C57" s="856"/>
      <c r="D57" s="920" t="s">
        <v>350</v>
      </c>
      <c r="E57" s="921"/>
      <c r="F57" s="922"/>
    </row>
    <row r="58" spans="1:6" x14ac:dyDescent="0.2">
      <c r="A58" s="615" t="s">
        <v>52</v>
      </c>
      <c r="B58" s="616"/>
      <c r="C58" s="856"/>
      <c r="D58" s="858"/>
      <c r="E58" s="859"/>
      <c r="F58" s="840"/>
    </row>
    <row r="59" spans="1:6" x14ac:dyDescent="0.2">
      <c r="A59" s="618" t="s">
        <v>55</v>
      </c>
      <c r="B59" s="598"/>
      <c r="C59" s="856"/>
      <c r="D59" s="766">
        <v>747003</v>
      </c>
      <c r="E59" s="767">
        <v>754801</v>
      </c>
      <c r="F59" s="768">
        <v>766965</v>
      </c>
    </row>
    <row r="60" spans="1:6" x14ac:dyDescent="0.2">
      <c r="A60" s="613"/>
      <c r="B60" s="614"/>
      <c r="C60" s="856"/>
      <c r="D60" s="858"/>
      <c r="E60" s="859"/>
      <c r="F60" s="840"/>
    </row>
    <row r="61" spans="1:6" x14ac:dyDescent="0.2">
      <c r="A61" s="615" t="s">
        <v>24</v>
      </c>
      <c r="B61" s="616"/>
      <c r="C61" s="833"/>
      <c r="D61" s="860"/>
      <c r="E61" s="856"/>
      <c r="F61" s="861"/>
    </row>
    <row r="62" spans="1:6" x14ac:dyDescent="0.2">
      <c r="A62" s="618" t="s">
        <v>263</v>
      </c>
      <c r="B62" s="598"/>
      <c r="C62" s="833"/>
      <c r="D62" s="860"/>
      <c r="E62" s="856"/>
      <c r="F62" s="861"/>
    </row>
    <row r="63" spans="1:6" x14ac:dyDescent="0.2">
      <c r="A63" s="618" t="s">
        <v>56</v>
      </c>
      <c r="B63" s="598"/>
      <c r="C63" s="833"/>
      <c r="D63" s="766">
        <v>6764.148180531156</v>
      </c>
      <c r="E63" s="767">
        <v>6872.3695841620784</v>
      </c>
      <c r="F63" s="768">
        <v>7136.2499837070427</v>
      </c>
    </row>
    <row r="64" spans="1:6" x14ac:dyDescent="0.2">
      <c r="A64" s="618" t="s">
        <v>57</v>
      </c>
      <c r="B64" s="598"/>
      <c r="C64" s="833"/>
      <c r="D64" s="766">
        <v>716482.85181946878</v>
      </c>
      <c r="E64" s="767">
        <v>719578.63041583798</v>
      </c>
      <c r="F64" s="768">
        <v>725810.75001629291</v>
      </c>
    </row>
    <row r="65" spans="1:6" x14ac:dyDescent="0.2">
      <c r="A65" s="618" t="s">
        <v>58</v>
      </c>
      <c r="B65" s="598"/>
      <c r="C65" s="833"/>
      <c r="D65" s="766">
        <v>222.17735320948188</v>
      </c>
      <c r="E65" s="767">
        <v>268.19658546962552</v>
      </c>
      <c r="F65" s="768">
        <v>331.21215032703071</v>
      </c>
    </row>
    <row r="66" spans="1:6" x14ac:dyDescent="0.2">
      <c r="A66" s="618" t="s">
        <v>59</v>
      </c>
      <c r="B66" s="598"/>
      <c r="C66" s="833"/>
      <c r="D66" s="766">
        <v>23533.822646790519</v>
      </c>
      <c r="E66" s="767">
        <v>28081.803414530375</v>
      </c>
      <c r="F66" s="768">
        <v>33686.787849672968</v>
      </c>
    </row>
    <row r="67" spans="1:6" x14ac:dyDescent="0.2">
      <c r="C67" s="833"/>
      <c r="D67" s="860"/>
      <c r="E67" s="856"/>
      <c r="F67" s="861"/>
    </row>
    <row r="68" spans="1:6" x14ac:dyDescent="0.2">
      <c r="A68" s="615" t="s">
        <v>53</v>
      </c>
      <c r="B68" s="616"/>
      <c r="C68" s="856"/>
      <c r="D68" s="858"/>
      <c r="E68" s="859"/>
      <c r="F68" s="840"/>
    </row>
    <row r="69" spans="1:6" x14ac:dyDescent="0.2">
      <c r="A69" s="618" t="s">
        <v>60</v>
      </c>
      <c r="B69" s="598"/>
      <c r="C69" s="856"/>
      <c r="D69" s="766">
        <v>4947</v>
      </c>
      <c r="E69" s="767">
        <v>3729</v>
      </c>
      <c r="F69" s="768">
        <v>5172</v>
      </c>
    </row>
    <row r="70" spans="1:6" collapsed="1" x14ac:dyDescent="0.2">
      <c r="A70" s="618"/>
      <c r="B70" s="598"/>
      <c r="C70" s="856"/>
      <c r="D70" s="862"/>
      <c r="E70" s="863"/>
      <c r="F70" s="864"/>
    </row>
    <row r="71" spans="1:6" x14ac:dyDescent="0.2">
      <c r="A71" s="618"/>
      <c r="B71" s="598"/>
      <c r="C71" s="856"/>
      <c r="D71" s="859"/>
      <c r="E71" s="859"/>
      <c r="F71" s="839"/>
    </row>
    <row r="72" spans="1:6" x14ac:dyDescent="0.2">
      <c r="A72" s="618"/>
      <c r="B72" s="598"/>
      <c r="C72" s="856"/>
      <c r="D72" s="859"/>
      <c r="E72" s="859"/>
      <c r="F72" s="839"/>
    </row>
    <row r="73" spans="1:6" x14ac:dyDescent="0.2">
      <c r="A73" s="596" t="s">
        <v>61</v>
      </c>
      <c r="B73" s="596"/>
      <c r="C73" s="856"/>
      <c r="D73" s="822">
        <v>2006</v>
      </c>
      <c r="E73" s="77">
        <v>2007</v>
      </c>
      <c r="F73" s="823">
        <v>2008</v>
      </c>
    </row>
    <row r="74" spans="1:6" x14ac:dyDescent="0.2">
      <c r="A74" s="618"/>
      <c r="B74" s="598"/>
      <c r="C74" s="856"/>
      <c r="D74" s="920" t="s">
        <v>62</v>
      </c>
      <c r="E74" s="921"/>
      <c r="F74" s="922"/>
    </row>
    <row r="75" spans="1:6" ht="13.5" thickBot="1" x14ac:dyDescent="0.25">
      <c r="A75" s="618" t="s">
        <v>63</v>
      </c>
      <c r="B75" s="598"/>
      <c r="C75" s="856"/>
      <c r="D75" s="769">
        <v>18927872.469999999</v>
      </c>
      <c r="E75" s="770">
        <v>24234061.212000001</v>
      </c>
      <c r="F75" s="771">
        <v>29871505.958270401</v>
      </c>
    </row>
    <row r="76" spans="1:6" ht="13.5" thickTop="1" x14ac:dyDescent="0.2"/>
    <row r="79" spans="1:6" ht="15.75" x14ac:dyDescent="0.25">
      <c r="A79" s="923" t="s">
        <v>64</v>
      </c>
      <c r="B79" s="924"/>
      <c r="C79" s="924"/>
      <c r="D79" s="925"/>
      <c r="E79" s="925"/>
      <c r="F79" s="926"/>
    </row>
    <row r="80" spans="1:6" x14ac:dyDescent="0.2">
      <c r="A80" s="610"/>
      <c r="B80" s="600"/>
      <c r="C80" s="600"/>
      <c r="D80" s="462"/>
      <c r="E80" s="462"/>
      <c r="F80" s="462"/>
    </row>
    <row r="81" spans="1:6" x14ac:dyDescent="0.2">
      <c r="A81" s="610"/>
      <c r="B81" s="600"/>
      <c r="C81" s="600"/>
      <c r="D81" s="619">
        <v>2006</v>
      </c>
      <c r="E81" s="620">
        <v>2007</v>
      </c>
      <c r="F81" s="621">
        <v>2008</v>
      </c>
    </row>
    <row r="82" spans="1:6" x14ac:dyDescent="0.2">
      <c r="A82" s="604" t="s">
        <v>37</v>
      </c>
      <c r="B82" s="605"/>
      <c r="C82" s="33" t="s">
        <v>7</v>
      </c>
      <c r="D82" s="920" t="s">
        <v>41</v>
      </c>
      <c r="E82" s="921"/>
      <c r="F82" s="922"/>
    </row>
    <row r="83" spans="1:6" x14ac:dyDescent="0.2">
      <c r="A83" s="622"/>
      <c r="B83" s="623"/>
      <c r="C83" s="99" t="s">
        <v>8</v>
      </c>
      <c r="D83" s="860"/>
      <c r="E83" s="856"/>
      <c r="F83" s="861"/>
    </row>
    <row r="84" spans="1:6" x14ac:dyDescent="0.2">
      <c r="A84" s="625" t="str">
        <f>'Data 2009-15 (Real $2008)'!A$154</f>
        <v>Remotely read interval meters &amp; transformers</v>
      </c>
      <c r="B84" s="626"/>
      <c r="C84" s="865">
        <f>'Data 2009-15 (Real $2008)'!C154</f>
        <v>15</v>
      </c>
      <c r="D84" s="766">
        <v>0</v>
      </c>
      <c r="E84" s="767">
        <v>0</v>
      </c>
      <c r="F84" s="768">
        <v>0</v>
      </c>
    </row>
    <row r="85" spans="1:6" x14ac:dyDescent="0.2">
      <c r="A85" s="461" t="s">
        <v>277</v>
      </c>
      <c r="C85" s="865">
        <f>'Data 2009-15 (Real $2008)'!C155</f>
        <v>7</v>
      </c>
      <c r="D85" s="766">
        <v>0</v>
      </c>
      <c r="E85" s="767">
        <v>3778690.47</v>
      </c>
      <c r="F85" s="768">
        <v>10033258.379999999</v>
      </c>
    </row>
    <row r="86" spans="1:6" x14ac:dyDescent="0.2">
      <c r="A86" s="461" t="s">
        <v>279</v>
      </c>
      <c r="C86" s="865">
        <f>'Data 2009-15 (Real $2008)'!C156</f>
        <v>7</v>
      </c>
      <c r="D86" s="766">
        <v>0</v>
      </c>
      <c r="E86" s="767">
        <v>0</v>
      </c>
      <c r="F86" s="768">
        <v>0</v>
      </c>
    </row>
    <row r="87" spans="1:6" x14ac:dyDescent="0.2">
      <c r="A87" s="625" t="s">
        <v>278</v>
      </c>
      <c r="B87" s="626"/>
      <c r="C87" s="866">
        <f>'Data 2009-15 (Real $2008)'!C157</f>
        <v>7</v>
      </c>
      <c r="D87" s="766">
        <v>0</v>
      </c>
      <c r="E87" s="767">
        <v>0</v>
      </c>
      <c r="F87" s="768">
        <v>0</v>
      </c>
    </row>
    <row r="88" spans="1:6" x14ac:dyDescent="0.2">
      <c r="A88" s="598" t="s">
        <v>45</v>
      </c>
      <c r="B88" s="598"/>
      <c r="C88" s="802"/>
      <c r="D88" s="867">
        <f>SUM(D84:D87)</f>
        <v>0</v>
      </c>
      <c r="E88" s="868">
        <f>SUM(E84:E87)</f>
        <v>3778690.47</v>
      </c>
      <c r="F88" s="869">
        <f>SUM(F84:F87)</f>
        <v>10033258.379999999</v>
      </c>
    </row>
    <row r="89" spans="1:6" x14ac:dyDescent="0.2">
      <c r="C89" s="833"/>
      <c r="D89" s="870"/>
      <c r="E89" s="870"/>
      <c r="F89" s="870"/>
    </row>
    <row r="90" spans="1:6" x14ac:dyDescent="0.2">
      <c r="C90" s="833"/>
      <c r="D90" s="870"/>
      <c r="E90" s="870"/>
      <c r="F90" s="870"/>
    </row>
    <row r="91" spans="1:6" x14ac:dyDescent="0.2">
      <c r="A91" s="628"/>
      <c r="B91" s="628"/>
      <c r="C91" s="802"/>
      <c r="D91" s="871">
        <v>2006</v>
      </c>
      <c r="E91" s="872">
        <v>2007</v>
      </c>
      <c r="F91" s="873">
        <v>2008</v>
      </c>
    </row>
    <row r="92" spans="1:6" x14ac:dyDescent="0.2">
      <c r="A92" s="628"/>
      <c r="B92" s="628"/>
      <c r="C92" s="308" t="s">
        <v>276</v>
      </c>
      <c r="D92" s="920" t="s">
        <v>41</v>
      </c>
      <c r="E92" s="921"/>
      <c r="F92" s="922"/>
    </row>
    <row r="93" spans="1:6" x14ac:dyDescent="0.2">
      <c r="A93" s="601" t="s">
        <v>47</v>
      </c>
      <c r="B93" s="602"/>
      <c r="C93" s="321" t="s">
        <v>48</v>
      </c>
      <c r="D93" s="870"/>
      <c r="E93" s="870"/>
      <c r="F93" s="874"/>
    </row>
    <row r="94" spans="1:6" x14ac:dyDescent="0.2">
      <c r="A94" s="461" t="str">
        <f>'Data 2009-15 (Real $2008)'!A$162</f>
        <v>Meters and transformers (Group 1) (Unit cost &lt; $1,000)</v>
      </c>
      <c r="C94" s="875">
        <f>'Data 2009-15 (Real $2008)'!C162</f>
        <v>0.375</v>
      </c>
      <c r="D94" s="876">
        <f>D84-D95</f>
        <v>0</v>
      </c>
      <c r="E94" s="796">
        <f>E84-E95</f>
        <v>0</v>
      </c>
      <c r="F94" s="877">
        <f>F84-F95</f>
        <v>0</v>
      </c>
    </row>
    <row r="95" spans="1:6" x14ac:dyDescent="0.2">
      <c r="A95" s="461" t="str">
        <f>'Data 2009-15 (Real $2008)'!A$163</f>
        <v>Meters and transformers (Group 2) (Unit cost =&gt; $1,000)</v>
      </c>
      <c r="C95" s="878">
        <f>'Data 2009-15 (Real $2008)'!C163</f>
        <v>0.06</v>
      </c>
      <c r="D95" s="766">
        <v>0</v>
      </c>
      <c r="E95" s="767">
        <v>0</v>
      </c>
      <c r="F95" s="768">
        <v>0</v>
      </c>
    </row>
    <row r="96" spans="1:6" x14ac:dyDescent="0.2">
      <c r="A96" s="461" t="str">
        <f>'Data 2009-15 (Real $2008)'!A$164</f>
        <v>IT</v>
      </c>
      <c r="C96" s="878">
        <f>'Data 2009-15 (Real $2008)'!C164</f>
        <v>0.4</v>
      </c>
      <c r="D96" s="876">
        <f t="shared" ref="D96:F98" si="1">D85</f>
        <v>0</v>
      </c>
      <c r="E96" s="796">
        <f t="shared" si="1"/>
        <v>3778690.47</v>
      </c>
      <c r="F96" s="877">
        <f t="shared" si="1"/>
        <v>10033258.379999999</v>
      </c>
    </row>
    <row r="97" spans="1:6" x14ac:dyDescent="0.2">
      <c r="A97" s="461" t="str">
        <f>'Data 2009-15 (Real $2008)'!A$165</f>
        <v>Communications</v>
      </c>
      <c r="C97" s="878">
        <f>'Data 2009-15 (Real $2008)'!C165</f>
        <v>0.21428571428571427</v>
      </c>
      <c r="D97" s="876">
        <f t="shared" si="1"/>
        <v>0</v>
      </c>
      <c r="E97" s="796">
        <f t="shared" si="1"/>
        <v>0</v>
      </c>
      <c r="F97" s="877">
        <f t="shared" si="1"/>
        <v>0</v>
      </c>
    </row>
    <row r="98" spans="1:6" x14ac:dyDescent="0.2">
      <c r="A98" s="597" t="str">
        <f>'Data 2009-15 (Real $2008)'!A$166</f>
        <v>Other</v>
      </c>
      <c r="B98" s="629"/>
      <c r="C98" s="879">
        <f>'Data 2009-15 (Real $2008)'!C166</f>
        <v>0.1764705882352941</v>
      </c>
      <c r="D98" s="876">
        <f t="shared" si="1"/>
        <v>0</v>
      </c>
      <c r="E98" s="796">
        <f t="shared" si="1"/>
        <v>0</v>
      </c>
      <c r="F98" s="877">
        <f t="shared" si="1"/>
        <v>0</v>
      </c>
    </row>
    <row r="99" spans="1:6" ht="13.5" thickBot="1" x14ac:dyDescent="0.25">
      <c r="A99" s="598" t="s">
        <v>45</v>
      </c>
      <c r="B99" s="598"/>
      <c r="C99" s="802"/>
      <c r="D99" s="880">
        <f>SUM(D93:D98)</f>
        <v>0</v>
      </c>
      <c r="E99" s="881">
        <f>SUM(E93:E98)</f>
        <v>3778690.47</v>
      </c>
      <c r="F99" s="882">
        <f>SUM(F93:F98)</f>
        <v>10033258.379999999</v>
      </c>
    </row>
    <row r="100" spans="1:6" ht="13.5" thickTop="1" x14ac:dyDescent="0.2">
      <c r="A100" s="630"/>
      <c r="B100" s="593"/>
      <c r="C100" s="856"/>
      <c r="D100" s="870"/>
      <c r="E100" s="870"/>
      <c r="F100" s="870"/>
    </row>
    <row r="101" spans="1:6" x14ac:dyDescent="0.2">
      <c r="A101" s="630"/>
      <c r="B101" s="593"/>
      <c r="C101" s="856"/>
      <c r="D101" s="870"/>
      <c r="E101" s="870"/>
      <c r="F101" s="870"/>
    </row>
    <row r="102" spans="1:6" x14ac:dyDescent="0.2">
      <c r="A102" s="610"/>
      <c r="B102" s="600"/>
      <c r="C102" s="856"/>
      <c r="D102" s="871">
        <v>2006</v>
      </c>
      <c r="E102" s="872">
        <v>2007</v>
      </c>
      <c r="F102" s="873">
        <v>2008</v>
      </c>
    </row>
    <row r="103" spans="1:6" x14ac:dyDescent="0.2">
      <c r="A103" s="596" t="s">
        <v>1</v>
      </c>
      <c r="B103" s="596"/>
      <c r="C103" s="856"/>
      <c r="D103" s="920" t="s">
        <v>73</v>
      </c>
      <c r="E103" s="921"/>
      <c r="F103" s="922"/>
    </row>
    <row r="104" spans="1:6" x14ac:dyDescent="0.2">
      <c r="A104" s="610"/>
      <c r="B104" s="600"/>
      <c r="C104" s="856"/>
      <c r="D104" s="860"/>
      <c r="E104" s="856"/>
      <c r="F104" s="861"/>
    </row>
    <row r="105" spans="1:6" x14ac:dyDescent="0.2">
      <c r="A105" s="630" t="s">
        <v>65</v>
      </c>
      <c r="B105" s="593"/>
      <c r="C105" s="856"/>
      <c r="D105" s="766">
        <v>0</v>
      </c>
      <c r="E105" s="767">
        <v>0</v>
      </c>
      <c r="F105" s="768">
        <v>0</v>
      </c>
    </row>
    <row r="106" spans="1:6" x14ac:dyDescent="0.2">
      <c r="A106" s="630" t="s">
        <v>66</v>
      </c>
      <c r="B106" s="593"/>
      <c r="C106" s="883"/>
      <c r="D106" s="766">
        <v>0</v>
      </c>
      <c r="E106" s="767">
        <v>1559372</v>
      </c>
      <c r="F106" s="768">
        <v>77435.960000000006</v>
      </c>
    </row>
    <row r="107" spans="1:6" x14ac:dyDescent="0.2">
      <c r="A107" s="630" t="s">
        <v>67</v>
      </c>
      <c r="B107" s="593"/>
      <c r="C107" s="883"/>
      <c r="D107" s="766">
        <v>329755.78999999998</v>
      </c>
      <c r="E107" s="767">
        <v>468319.97</v>
      </c>
      <c r="F107" s="768">
        <v>1418069.36</v>
      </c>
    </row>
    <row r="108" spans="1:6" x14ac:dyDescent="0.2">
      <c r="A108" s="630" t="s">
        <v>68</v>
      </c>
      <c r="B108" s="593"/>
      <c r="C108" s="883"/>
      <c r="D108" s="766">
        <v>0</v>
      </c>
      <c r="E108" s="767">
        <v>0</v>
      </c>
      <c r="F108" s="768">
        <v>0</v>
      </c>
    </row>
    <row r="109" spans="1:6" x14ac:dyDescent="0.2">
      <c r="A109" s="630" t="s">
        <v>69</v>
      </c>
      <c r="B109" s="593"/>
      <c r="C109" s="883"/>
      <c r="D109" s="766">
        <v>697942.26</v>
      </c>
      <c r="E109" s="767">
        <v>775965.75</v>
      </c>
      <c r="F109" s="768">
        <v>4021295.64</v>
      </c>
    </row>
    <row r="110" spans="1:6" x14ac:dyDescent="0.2">
      <c r="A110" s="630" t="s">
        <v>70</v>
      </c>
      <c r="B110" s="593"/>
      <c r="C110" s="883"/>
      <c r="D110" s="766">
        <v>0</v>
      </c>
      <c r="E110" s="767">
        <v>0</v>
      </c>
      <c r="F110" s="768">
        <v>0</v>
      </c>
    </row>
    <row r="111" spans="1:6" x14ac:dyDescent="0.2">
      <c r="A111" s="630" t="s">
        <v>71</v>
      </c>
      <c r="B111" s="593"/>
      <c r="C111" s="883"/>
      <c r="D111" s="766">
        <v>0</v>
      </c>
      <c r="E111" s="767">
        <v>556621</v>
      </c>
      <c r="F111" s="768">
        <v>654359.875</v>
      </c>
    </row>
    <row r="112" spans="1:6" x14ac:dyDescent="0.2">
      <c r="A112" s="630" t="s">
        <v>72</v>
      </c>
      <c r="B112" s="593"/>
      <c r="C112" s="883"/>
      <c r="D112" s="766">
        <v>0</v>
      </c>
      <c r="E112" s="767">
        <v>0</v>
      </c>
      <c r="F112" s="768">
        <v>1837075.9995795637</v>
      </c>
    </row>
    <row r="113" spans="1:14" x14ac:dyDescent="0.2">
      <c r="A113" s="630" t="s">
        <v>272</v>
      </c>
      <c r="B113" s="593"/>
      <c r="C113" s="883"/>
      <c r="D113" s="766">
        <v>0</v>
      </c>
      <c r="E113" s="767">
        <v>0</v>
      </c>
      <c r="F113" s="768">
        <v>0</v>
      </c>
    </row>
    <row r="114" spans="1:14" x14ac:dyDescent="0.2">
      <c r="A114" s="630" t="s">
        <v>273</v>
      </c>
      <c r="B114" s="593"/>
      <c r="C114" s="856"/>
      <c r="D114" s="766">
        <v>0</v>
      </c>
      <c r="E114" s="767">
        <v>0</v>
      </c>
      <c r="F114" s="768">
        <v>0</v>
      </c>
    </row>
    <row r="115" spans="1:14" x14ac:dyDescent="0.2">
      <c r="A115" s="598" t="s">
        <v>45</v>
      </c>
      <c r="C115" s="883"/>
      <c r="D115" s="867">
        <f>SUM(D105:D114)</f>
        <v>1027698.05</v>
      </c>
      <c r="E115" s="868">
        <f>SUM(E105:E114)</f>
        <v>3360278.7199999997</v>
      </c>
      <c r="F115" s="869">
        <f>SUM(F105:F112)</f>
        <v>8008236.8345795637</v>
      </c>
    </row>
    <row r="116" spans="1:14" s="462" customFormat="1" x14ac:dyDescent="0.2">
      <c r="A116" s="593"/>
      <c r="B116" s="593"/>
      <c r="C116" s="600"/>
      <c r="D116" s="627"/>
      <c r="E116" s="627"/>
      <c r="F116" s="627"/>
    </row>
    <row r="117" spans="1:14" s="462" customFormat="1" x14ac:dyDescent="0.2">
      <c r="A117" s="593"/>
      <c r="B117" s="593"/>
      <c r="C117" s="600"/>
      <c r="D117" s="627"/>
      <c r="E117" s="627"/>
      <c r="F117" s="627"/>
    </row>
    <row r="118" spans="1:14" s="462" customFormat="1" ht="13.5" thickBot="1" x14ac:dyDescent="0.25">
      <c r="A118" s="593" t="s">
        <v>111</v>
      </c>
      <c r="B118" s="593"/>
      <c r="C118" s="600"/>
      <c r="D118" s="631">
        <f>SUM(D88,D115)</f>
        <v>1027698.05</v>
      </c>
      <c r="E118" s="631">
        <f>SUM(E88,E115)</f>
        <v>7138969.1899999995</v>
      </c>
      <c r="F118" s="631">
        <f>SUM(F88,F115)</f>
        <v>18041495.214579564</v>
      </c>
    </row>
    <row r="119" spans="1:14" s="462" customFormat="1" ht="13.5" thickTop="1" x14ac:dyDescent="0.2">
      <c r="A119" s="593"/>
      <c r="B119" s="593"/>
      <c r="C119" s="600"/>
      <c r="D119" s="627"/>
      <c r="E119" s="627"/>
      <c r="F119" s="627"/>
    </row>
    <row r="120" spans="1:14" s="462" customFormat="1" x14ac:dyDescent="0.2">
      <c r="A120" s="593"/>
      <c r="B120" s="593"/>
      <c r="C120" s="600"/>
      <c r="D120" s="627"/>
      <c r="E120" s="627"/>
      <c r="F120" s="627"/>
    </row>
    <row r="121" spans="1:14" ht="13.5" thickBot="1" x14ac:dyDescent="0.25">
      <c r="A121" s="632"/>
      <c r="B121" s="633"/>
      <c r="C121" s="632"/>
      <c r="D121" s="632"/>
      <c r="E121" s="632"/>
      <c r="F121" s="632"/>
      <c r="G121" s="632"/>
      <c r="H121" s="632"/>
      <c r="I121" s="632"/>
      <c r="J121" s="632"/>
      <c r="K121" s="632"/>
      <c r="L121" s="632"/>
      <c r="M121" s="632"/>
      <c r="N121" s="632"/>
    </row>
    <row r="124" spans="1:14" ht="15.75" x14ac:dyDescent="0.25">
      <c r="A124" s="634" t="s">
        <v>39</v>
      </c>
      <c r="B124" s="635"/>
    </row>
    <row r="126" spans="1:14" x14ac:dyDescent="0.2">
      <c r="A126" s="453" t="s">
        <v>78</v>
      </c>
      <c r="B126" s="453"/>
      <c r="C126" s="636"/>
    </row>
    <row r="127" spans="1:14" x14ac:dyDescent="0.2">
      <c r="A127" s="453"/>
      <c r="B127" s="453"/>
      <c r="C127" s="636"/>
    </row>
    <row r="128" spans="1:14" x14ac:dyDescent="0.2">
      <c r="A128" s="461" t="s">
        <v>79</v>
      </c>
      <c r="C128" s="637">
        <v>2.64E-2</v>
      </c>
    </row>
    <row r="129" spans="1:6" x14ac:dyDescent="0.2">
      <c r="A129" s="461" t="s">
        <v>80</v>
      </c>
      <c r="C129" s="638">
        <v>1.4250000000000001E-2</v>
      </c>
    </row>
    <row r="130" spans="1:6" x14ac:dyDescent="0.2">
      <c r="A130" s="461" t="s">
        <v>13</v>
      </c>
      <c r="C130" s="639">
        <v>0.06</v>
      </c>
    </row>
    <row r="131" spans="1:6" x14ac:dyDescent="0.2">
      <c r="A131" s="461" t="s">
        <v>14</v>
      </c>
      <c r="C131" s="640">
        <v>1</v>
      </c>
    </row>
    <row r="132" spans="1:6" x14ac:dyDescent="0.2">
      <c r="A132" s="461" t="s">
        <v>17</v>
      </c>
      <c r="C132" s="640">
        <v>0.5</v>
      </c>
    </row>
    <row r="133" spans="1:6" x14ac:dyDescent="0.2">
      <c r="A133" s="461" t="s">
        <v>15</v>
      </c>
      <c r="C133" s="641">
        <v>0.6</v>
      </c>
    </row>
    <row r="134" spans="1:6" x14ac:dyDescent="0.2">
      <c r="A134" s="461" t="s">
        <v>16</v>
      </c>
      <c r="C134" s="642">
        <v>2.5600000000000001E-2</v>
      </c>
    </row>
    <row r="135" spans="1:6" x14ac:dyDescent="0.2">
      <c r="C135" s="643"/>
    </row>
    <row r="136" spans="1:6" x14ac:dyDescent="0.2">
      <c r="A136" s="461" t="s">
        <v>81</v>
      </c>
      <c r="C136" s="644">
        <f>C128+C131*C130</f>
        <v>8.6400000000000005E-2</v>
      </c>
    </row>
    <row r="137" spans="1:6" x14ac:dyDescent="0.2">
      <c r="A137" s="461" t="s">
        <v>82</v>
      </c>
      <c r="C137" s="312">
        <f>(1+C136)*(1+C134)-1</f>
        <v>0.11421184000000006</v>
      </c>
    </row>
    <row r="138" spans="1:6" x14ac:dyDescent="0.2">
      <c r="A138" s="461" t="s">
        <v>83</v>
      </c>
      <c r="C138" s="645">
        <f>C128+C129</f>
        <v>4.0649999999999999E-2</v>
      </c>
    </row>
    <row r="139" spans="1:6" x14ac:dyDescent="0.2">
      <c r="A139" s="461" t="s">
        <v>84</v>
      </c>
      <c r="C139" s="646">
        <f>(1+C138)*(1+C134)-1</f>
        <v>6.7290640000000179E-2</v>
      </c>
    </row>
    <row r="140" spans="1:6" x14ac:dyDescent="0.2">
      <c r="C140" s="608"/>
    </row>
    <row r="141" spans="1:6" x14ac:dyDescent="0.2">
      <c r="A141" s="461" t="s">
        <v>85</v>
      </c>
      <c r="C141" s="647">
        <f>ROUND((C136*(1-C133))+(C138*C133),3)</f>
        <v>5.8999999999999997E-2</v>
      </c>
    </row>
    <row r="144" spans="1:6" x14ac:dyDescent="0.2">
      <c r="A144" s="453" t="s">
        <v>256</v>
      </c>
      <c r="B144" s="453"/>
      <c r="C144" s="918" t="s">
        <v>36</v>
      </c>
      <c r="D144" s="919"/>
      <c r="F144" s="648" t="s">
        <v>75</v>
      </c>
    </row>
    <row r="145" spans="1:9" x14ac:dyDescent="0.2">
      <c r="A145" s="453"/>
      <c r="B145" s="453"/>
      <c r="C145" s="649">
        <v>37529</v>
      </c>
      <c r="D145" s="650">
        <v>138.5</v>
      </c>
      <c r="F145" s="651"/>
    </row>
    <row r="146" spans="1:9" x14ac:dyDescent="0.2">
      <c r="C146" s="652">
        <v>37894</v>
      </c>
      <c r="D146" s="653">
        <v>142.1</v>
      </c>
      <c r="F146" s="654">
        <f t="shared" ref="F146:F151" si="2">D146/D145-1</f>
        <v>2.5992779783393427E-2</v>
      </c>
    </row>
    <row r="147" spans="1:9" x14ac:dyDescent="0.2">
      <c r="C147" s="652">
        <v>38260</v>
      </c>
      <c r="D147" s="653">
        <v>145.4</v>
      </c>
      <c r="F147" s="654">
        <f t="shared" si="2"/>
        <v>2.3223082336382816E-2</v>
      </c>
      <c r="I147" s="655"/>
    </row>
    <row r="148" spans="1:9" x14ac:dyDescent="0.2">
      <c r="C148" s="652">
        <v>38625</v>
      </c>
      <c r="D148" s="653">
        <v>149.80000000000001</v>
      </c>
      <c r="F148" s="654">
        <f t="shared" si="2"/>
        <v>3.0261348005502064E-2</v>
      </c>
    </row>
    <row r="149" spans="1:9" x14ac:dyDescent="0.2">
      <c r="C149" s="652">
        <v>38990</v>
      </c>
      <c r="D149" s="653">
        <v>155.69999999999999</v>
      </c>
      <c r="F149" s="654">
        <f t="shared" si="2"/>
        <v>3.9385847797062556E-2</v>
      </c>
    </row>
    <row r="150" spans="1:9" x14ac:dyDescent="0.2">
      <c r="C150" s="652">
        <v>39355</v>
      </c>
      <c r="D150" s="653">
        <v>158.6</v>
      </c>
      <c r="F150" s="654">
        <f t="shared" si="2"/>
        <v>1.862556197816323E-2</v>
      </c>
    </row>
    <row r="151" spans="1:9" x14ac:dyDescent="0.2">
      <c r="C151" s="656">
        <v>39721</v>
      </c>
      <c r="D151" s="657">
        <v>166.5</v>
      </c>
      <c r="F151" s="654">
        <f t="shared" si="2"/>
        <v>4.9810844892812067E-2</v>
      </c>
    </row>
    <row r="152" spans="1:9" x14ac:dyDescent="0.2">
      <c r="A152" s="658"/>
      <c r="B152" s="658"/>
    </row>
    <row r="153" spans="1:9" x14ac:dyDescent="0.2">
      <c r="A153" s="658"/>
      <c r="B153" s="595">
        <v>2004</v>
      </c>
      <c r="C153" s="595">
        <f>B153+1</f>
        <v>2005</v>
      </c>
      <c r="D153" s="595">
        <f>C153+1</f>
        <v>2006</v>
      </c>
      <c r="E153" s="595">
        <f>D153+1</f>
        <v>2007</v>
      </c>
      <c r="F153" s="595">
        <f>E153+1</f>
        <v>2008</v>
      </c>
    </row>
    <row r="154" spans="1:9" x14ac:dyDescent="0.2">
      <c r="A154" s="658"/>
      <c r="B154" s="659"/>
      <c r="C154" s="659"/>
      <c r="D154" s="659"/>
      <c r="E154" s="659"/>
    </row>
    <row r="155" spans="1:9" x14ac:dyDescent="0.2">
      <c r="A155" s="660" t="s">
        <v>76</v>
      </c>
      <c r="B155" s="661">
        <f>F146</f>
        <v>2.5992779783393427E-2</v>
      </c>
      <c r="C155" s="661">
        <f>F147</f>
        <v>2.3223082336382816E-2</v>
      </c>
      <c r="D155" s="661">
        <f>F148</f>
        <v>3.0261348005502064E-2</v>
      </c>
      <c r="E155" s="661">
        <f>F149</f>
        <v>3.9385847797062556E-2</v>
      </c>
      <c r="F155" s="661">
        <f>F150</f>
        <v>1.862556197816323E-2</v>
      </c>
    </row>
    <row r="156" spans="1:9" x14ac:dyDescent="0.2">
      <c r="A156" s="461" t="s">
        <v>77</v>
      </c>
      <c r="B156" s="662">
        <f>C156*(1+C155)</f>
        <v>1.1161154116819139</v>
      </c>
      <c r="C156" s="663">
        <f>D156*(1+D155)</f>
        <v>1.090784044016506</v>
      </c>
      <c r="D156" s="663">
        <f>E156*(1+E155)</f>
        <v>1.0587449933244324</v>
      </c>
      <c r="E156" s="663">
        <f>F156*(1+F155)</f>
        <v>1.0186255619781632</v>
      </c>
      <c r="F156" s="663">
        <v>1</v>
      </c>
    </row>
    <row r="159" spans="1:9" x14ac:dyDescent="0.2">
      <c r="A159" s="604" t="s">
        <v>275</v>
      </c>
      <c r="B159" s="605"/>
      <c r="C159" s="594" t="s">
        <v>7</v>
      </c>
    </row>
    <row r="160" spans="1:9" x14ac:dyDescent="0.2">
      <c r="A160" s="622"/>
      <c r="B160" s="623"/>
      <c r="C160" s="624" t="s">
        <v>8</v>
      </c>
    </row>
    <row r="161" spans="1:3" x14ac:dyDescent="0.2">
      <c r="A161" s="465" t="s">
        <v>42</v>
      </c>
      <c r="C161" s="664">
        <f>'IMRO Decision 2006-10'!D190</f>
        <v>35</v>
      </c>
    </row>
    <row r="162" spans="1:3" x14ac:dyDescent="0.2">
      <c r="A162" s="461" t="s">
        <v>260</v>
      </c>
      <c r="C162" s="665">
        <f>'IMRO Decision 2006-10'!D191</f>
        <v>10</v>
      </c>
    </row>
    <row r="163" spans="1:3" x14ac:dyDescent="0.2">
      <c r="A163" s="465" t="s">
        <v>43</v>
      </c>
      <c r="C163" s="665">
        <f>'IMRO Decision 2006-10'!D192</f>
        <v>5</v>
      </c>
    </row>
    <row r="164" spans="1:3" x14ac:dyDescent="0.2">
      <c r="A164" s="465" t="s">
        <v>44</v>
      </c>
      <c r="C164" s="666">
        <f>'IMRO Decision 2006-10'!D193</f>
        <v>5</v>
      </c>
    </row>
    <row r="167" spans="1:3" x14ac:dyDescent="0.2">
      <c r="A167" s="604" t="s">
        <v>92</v>
      </c>
      <c r="B167" s="605"/>
      <c r="C167" s="667"/>
    </row>
    <row r="168" spans="1:3" x14ac:dyDescent="0.2">
      <c r="A168" s="605"/>
      <c r="B168" s="605"/>
      <c r="C168" s="667"/>
    </row>
    <row r="169" spans="1:3" x14ac:dyDescent="0.2">
      <c r="A169" s="667" t="s">
        <v>88</v>
      </c>
      <c r="B169" s="668"/>
      <c r="C169" s="669">
        <v>0.3</v>
      </c>
    </row>
    <row r="170" spans="1:3" x14ac:dyDescent="0.2">
      <c r="A170" s="668" t="s">
        <v>17</v>
      </c>
      <c r="B170" s="668"/>
      <c r="C170" s="670">
        <f>C132</f>
        <v>0.5</v>
      </c>
    </row>
    <row r="171" spans="1:3" x14ac:dyDescent="0.2">
      <c r="A171" s="667" t="s">
        <v>15</v>
      </c>
      <c r="B171" s="668"/>
      <c r="C171" s="671">
        <f>C133</f>
        <v>0.6</v>
      </c>
    </row>
    <row r="174" spans="1:3" x14ac:dyDescent="0.2">
      <c r="A174" s="601" t="s">
        <v>89</v>
      </c>
      <c r="B174" s="602"/>
    </row>
    <row r="175" spans="1:3" x14ac:dyDescent="0.2">
      <c r="A175" s="660" t="s">
        <v>276</v>
      </c>
      <c r="B175" s="672"/>
    </row>
    <row r="176" spans="1:3" x14ac:dyDescent="0.2">
      <c r="A176" s="461" t="s">
        <v>352</v>
      </c>
      <c r="C176" s="673">
        <v>0.375</v>
      </c>
    </row>
    <row r="177" spans="1:8" x14ac:dyDescent="0.2">
      <c r="A177" s="461" t="s">
        <v>351</v>
      </c>
      <c r="C177" s="674">
        <v>0.06</v>
      </c>
    </row>
    <row r="178" spans="1:8" x14ac:dyDescent="0.2">
      <c r="A178" s="461" t="s">
        <v>277</v>
      </c>
      <c r="C178" s="674">
        <v>0.4</v>
      </c>
    </row>
    <row r="179" spans="1:8" x14ac:dyDescent="0.2">
      <c r="A179" s="597" t="s">
        <v>278</v>
      </c>
      <c r="B179" s="629"/>
      <c r="C179" s="675">
        <v>0.1764705882352941</v>
      </c>
    </row>
    <row r="182" spans="1:8" x14ac:dyDescent="0.2">
      <c r="A182" s="604" t="s">
        <v>93</v>
      </c>
      <c r="B182" s="605"/>
    </row>
    <row r="183" spans="1:8" x14ac:dyDescent="0.2">
      <c r="D183" s="595">
        <v>2006</v>
      </c>
      <c r="E183" s="595">
        <v>2007</v>
      </c>
      <c r="F183" s="595">
        <v>2008</v>
      </c>
      <c r="G183" s="595">
        <v>2009</v>
      </c>
      <c r="H183" s="595">
        <v>2010</v>
      </c>
    </row>
    <row r="184" spans="1:8" x14ac:dyDescent="0.2">
      <c r="A184" s="465" t="s">
        <v>361</v>
      </c>
      <c r="D184" s="676">
        <f>'IMRO Decision 2006-10'!D41*10^6</f>
        <v>-1975583.969366113</v>
      </c>
      <c r="E184" s="676">
        <f>'IMRO Decision 2006-10'!E41*10^6</f>
        <v>-2483377.9553463948</v>
      </c>
      <c r="F184" s="676">
        <f>'IMRO Decision 2006-10'!F41*10^6</f>
        <v>-6580370.5243212422</v>
      </c>
      <c r="G184" s="676">
        <f>'IMRO Decision 2006-10'!G41*10^6</f>
        <v>-9984425.5362499729</v>
      </c>
      <c r="H184" s="676">
        <f>'IMRO Decision 2006-10'!H41*10^6</f>
        <v>-9720213.2625060007</v>
      </c>
    </row>
    <row r="185" spans="1:8" x14ac:dyDescent="0.2">
      <c r="A185" s="461" t="s">
        <v>147</v>
      </c>
      <c r="D185" s="677">
        <f>'IMRO Decision 2006-10'!D71</f>
        <v>1.0510983425414364</v>
      </c>
      <c r="E185" s="677">
        <f>'IMRO Decision 2006-10'!E71</f>
        <v>1.0780064601104973</v>
      </c>
      <c r="F185" s="677">
        <f>'IMRO Decision 2006-10'!F71</f>
        <v>1.1056034254893261</v>
      </c>
      <c r="G185" s="677">
        <f>'IMRO Decision 2006-10'!G71</f>
        <v>1.1339068731818529</v>
      </c>
      <c r="H185" s="677">
        <f>'IMRO Decision 2006-10'!H71</f>
        <v>1.1629348891353084</v>
      </c>
    </row>
    <row r="187" spans="1:8" x14ac:dyDescent="0.2">
      <c r="A187" s="89" t="s">
        <v>94</v>
      </c>
      <c r="B187" s="453"/>
    </row>
    <row r="188" spans="1:8" x14ac:dyDescent="0.2">
      <c r="A188" s="613" t="s">
        <v>98</v>
      </c>
      <c r="B188" s="614"/>
      <c r="D188" s="595">
        <v>2006</v>
      </c>
      <c r="E188" s="595">
        <v>2007</v>
      </c>
      <c r="F188" s="595">
        <v>2008</v>
      </c>
    </row>
    <row r="189" spans="1:8" x14ac:dyDescent="0.2">
      <c r="A189" s="615" t="s">
        <v>264</v>
      </c>
      <c r="B189" s="616"/>
      <c r="D189" s="678"/>
      <c r="E189" s="678"/>
      <c r="F189" s="678"/>
    </row>
    <row r="190" spans="1:8" x14ac:dyDescent="0.2">
      <c r="A190" s="618" t="s">
        <v>267</v>
      </c>
      <c r="B190" s="598"/>
      <c r="D190" s="629">
        <f>D205*D218</f>
        <v>1226000.0000000002</v>
      </c>
      <c r="E190" s="629">
        <f>E205*E218</f>
        <v>1245000.0000000005</v>
      </c>
      <c r="F190" s="629">
        <f>F205*F218</f>
        <v>1228000</v>
      </c>
    </row>
    <row r="191" spans="1:8" x14ac:dyDescent="0.2">
      <c r="A191" s="618" t="s">
        <v>266</v>
      </c>
      <c r="B191" s="598"/>
      <c r="D191" s="629">
        <f>((D208*12+D210)*D222+(D208*4+D210)*D223)+((D209*12+D211)*D224+(D209*4+D211)*D225)</f>
        <v>8217758.4121904792</v>
      </c>
      <c r="E191" s="629">
        <f>((E208*12+E210)*E222+(E208*4+E210)*E223)+((E209*12+E211)*E224+(E209*4+E211)*E225)</f>
        <v>8491098.615040686</v>
      </c>
      <c r="F191" s="629">
        <f>((F208*12+F210)*F222+(F208*4+F210)*F223)+((F209*12+F211)*F224+(F209*4+F211)*F225)</f>
        <v>8814369.2569719814</v>
      </c>
    </row>
    <row r="192" spans="1:8" x14ac:dyDescent="0.2">
      <c r="A192" s="461" t="s">
        <v>265</v>
      </c>
      <c r="D192" s="629">
        <f>D213*D228</f>
        <v>524074.84200810641</v>
      </c>
      <c r="E192" s="629">
        <f>E213*E228</f>
        <v>303586.41847367201</v>
      </c>
      <c r="F192" s="629">
        <f>F213*F228</f>
        <v>1867457.5643420727</v>
      </c>
    </row>
    <row r="193" spans="1:6" x14ac:dyDescent="0.2">
      <c r="A193" s="618" t="s">
        <v>104</v>
      </c>
      <c r="B193" s="598"/>
      <c r="D193" s="679">
        <f>SUM(D190:D192)</f>
        <v>9967833.2541985866</v>
      </c>
      <c r="E193" s="679">
        <f>SUM(E190:E192)</f>
        <v>10039685.033514358</v>
      </c>
      <c r="F193" s="679">
        <f>SUM(F190:F192)</f>
        <v>11909826.821314054</v>
      </c>
    </row>
    <row r="194" spans="1:6" x14ac:dyDescent="0.2">
      <c r="A194" s="618"/>
      <c r="B194" s="598"/>
      <c r="D194" s="597"/>
      <c r="E194" s="597"/>
      <c r="F194" s="597"/>
    </row>
    <row r="195" spans="1:6" x14ac:dyDescent="0.2">
      <c r="A195" s="615" t="s">
        <v>105</v>
      </c>
      <c r="B195" s="616"/>
      <c r="D195" s="597"/>
      <c r="E195" s="597"/>
      <c r="F195" s="597"/>
    </row>
    <row r="196" spans="1:6" x14ac:dyDescent="0.2">
      <c r="A196" s="461" t="s">
        <v>109</v>
      </c>
      <c r="D196" s="676">
        <f>'IMRO Decision 2006-10'!D105*10^3</f>
        <v>420000</v>
      </c>
      <c r="E196" s="676">
        <f>'IMRO Decision 2006-10'!E105*10^3</f>
        <v>420000</v>
      </c>
      <c r="F196" s="676">
        <f>'IMRO Decision 2006-10'!F105*10^3</f>
        <v>420000</v>
      </c>
    </row>
    <row r="197" spans="1:6" s="465" customFormat="1" x14ac:dyDescent="0.2">
      <c r="A197" s="618" t="s">
        <v>108</v>
      </c>
      <c r="B197" s="598"/>
      <c r="D197" s="676">
        <f>'IMRO Decision 2006-10'!D111*10^3</f>
        <v>6244406.5512591293</v>
      </c>
      <c r="E197" s="676">
        <f>'IMRO Decision 2006-10'!E111*10^3</f>
        <v>6365762.3580535455</v>
      </c>
      <c r="F197" s="676">
        <f>'IMRO Decision 2006-10'!F111*10^3</f>
        <v>6365762.3580535455</v>
      </c>
    </row>
    <row r="198" spans="1:6" s="465" customFormat="1" x14ac:dyDescent="0.2">
      <c r="A198" s="618" t="s">
        <v>106</v>
      </c>
      <c r="B198" s="598"/>
      <c r="D198" s="609">
        <f>SUM(D196:D197)</f>
        <v>6664406.5512591293</v>
      </c>
      <c r="E198" s="609">
        <f>SUM(E196:E197)</f>
        <v>6785762.3580535455</v>
      </c>
      <c r="F198" s="609">
        <f>SUM(F196:F197)</f>
        <v>6785762.3580535455</v>
      </c>
    </row>
    <row r="199" spans="1:6" s="465" customFormat="1" x14ac:dyDescent="0.2">
      <c r="A199" s="598"/>
      <c r="B199" s="598"/>
      <c r="D199" s="629"/>
      <c r="E199" s="629"/>
      <c r="F199" s="629"/>
    </row>
    <row r="200" spans="1:6" s="465" customFormat="1" ht="13.5" thickBot="1" x14ac:dyDescent="0.25">
      <c r="A200" s="618" t="s">
        <v>107</v>
      </c>
      <c r="B200" s="598"/>
      <c r="C200" s="461"/>
      <c r="D200" s="599">
        <f>SUM(D193,D198)</f>
        <v>16632239.805457715</v>
      </c>
      <c r="E200" s="599">
        <f>SUM(E193,E198)</f>
        <v>16825447.391567905</v>
      </c>
      <c r="F200" s="599">
        <f>SUM(F193,F198)</f>
        <v>18695589.179367598</v>
      </c>
    </row>
    <row r="201" spans="1:6" s="465" customFormat="1" ht="13.5" thickTop="1" x14ac:dyDescent="0.2">
      <c r="A201" s="680" t="s">
        <v>0</v>
      </c>
      <c r="B201" s="681"/>
      <c r="C201" s="682">
        <f>SUM(D201:F201)</f>
        <v>0</v>
      </c>
      <c r="D201" s="682">
        <f>IF(ABS('IMRO Decision 2006-10'!D114*10^3-D200)&lt;0.001,0,ABS('IMRO Decision 2006-10'!D114*10^3-D200))</f>
        <v>0</v>
      </c>
      <c r="E201" s="682">
        <f>IF(ABS('IMRO Decision 2006-10'!E114*10^3-E200)&lt;0.001,0,ABS('IMRO Decision 2006-10'!E114*10^3-E200))</f>
        <v>0</v>
      </c>
      <c r="F201" s="682">
        <f>IF(ABS('IMRO Decision 2006-10'!F114*10^3-F200)&lt;0.001,0,ABS('IMRO Decision 2006-10'!F114*10^3-F200))</f>
        <v>0</v>
      </c>
    </row>
    <row r="202" spans="1:6" s="465" customFormat="1" x14ac:dyDescent="0.2">
      <c r="A202" s="598"/>
      <c r="B202" s="598"/>
      <c r="D202" s="629"/>
      <c r="E202" s="629"/>
      <c r="F202" s="629"/>
    </row>
    <row r="203" spans="1:6" s="465" customFormat="1" x14ac:dyDescent="0.2">
      <c r="A203" s="598"/>
      <c r="B203" s="598"/>
      <c r="D203" s="629"/>
      <c r="E203" s="629"/>
      <c r="F203" s="629"/>
    </row>
    <row r="204" spans="1:6" x14ac:dyDescent="0.2">
      <c r="A204" s="601" t="s">
        <v>96</v>
      </c>
      <c r="B204" s="602"/>
      <c r="D204" s="595">
        <v>2006</v>
      </c>
      <c r="E204" s="595">
        <v>2007</v>
      </c>
      <c r="F204" s="595">
        <v>2008</v>
      </c>
    </row>
    <row r="205" spans="1:6" x14ac:dyDescent="0.2">
      <c r="A205" s="618" t="s">
        <v>97</v>
      </c>
      <c r="B205" s="598"/>
      <c r="D205" s="683">
        <f>'IMRO Decision 2006-10'!D349</f>
        <v>1.640241300098602</v>
      </c>
      <c r="E205" s="683">
        <f>'IMRO Decision 2006-10'!E349</f>
        <v>1.6395822818441947</v>
      </c>
      <c r="F205" s="683">
        <f>'IMRO Decision 2006-10'!F349</f>
        <v>1.6405941226017764</v>
      </c>
    </row>
    <row r="206" spans="1:6" s="465" customFormat="1" x14ac:dyDescent="0.2">
      <c r="A206" s="618"/>
      <c r="B206" s="598"/>
      <c r="D206" s="684"/>
      <c r="E206" s="684"/>
      <c r="F206" s="684"/>
    </row>
    <row r="207" spans="1:6" x14ac:dyDescent="0.2">
      <c r="A207" s="615" t="s">
        <v>99</v>
      </c>
      <c r="B207" s="616"/>
      <c r="D207" s="684"/>
      <c r="E207" s="684"/>
      <c r="F207" s="684"/>
    </row>
    <row r="208" spans="1:6" x14ac:dyDescent="0.2">
      <c r="A208" s="618" t="s">
        <v>100</v>
      </c>
      <c r="B208" s="598"/>
      <c r="D208" s="683">
        <f>'IMRO Decision 2006-10'!D365</f>
        <v>1.5</v>
      </c>
      <c r="E208" s="683">
        <f>'IMRO Decision 2006-10'!E365</f>
        <v>1.5</v>
      </c>
      <c r="F208" s="683">
        <f>'IMRO Decision 2006-10'!F365</f>
        <v>1.5</v>
      </c>
    </row>
    <row r="209" spans="1:6" x14ac:dyDescent="0.2">
      <c r="A209" s="618" t="s">
        <v>101</v>
      </c>
      <c r="B209" s="598"/>
      <c r="D209" s="683">
        <f>'IMRO Decision 2006-10'!D366</f>
        <v>2.5</v>
      </c>
      <c r="E209" s="683">
        <f>'IMRO Decision 2006-10'!E366</f>
        <v>2.5</v>
      </c>
      <c r="F209" s="683">
        <f>'IMRO Decision 2006-10'!F366</f>
        <v>2.5</v>
      </c>
    </row>
    <row r="210" spans="1:6" x14ac:dyDescent="0.2">
      <c r="A210" s="618" t="s">
        <v>102</v>
      </c>
      <c r="B210" s="598"/>
      <c r="D210" s="683">
        <f>'IMRO Decision 2006-10'!D367</f>
        <v>4.5</v>
      </c>
      <c r="E210" s="683">
        <f>'IMRO Decision 2006-10'!E367</f>
        <v>4.5</v>
      </c>
      <c r="F210" s="683">
        <f>'IMRO Decision 2006-10'!F367</f>
        <v>4.5</v>
      </c>
    </row>
    <row r="211" spans="1:6" x14ac:dyDescent="0.2">
      <c r="A211" s="618" t="s">
        <v>103</v>
      </c>
      <c r="B211" s="598"/>
      <c r="D211" s="683">
        <f>'IMRO Decision 2006-10'!D368</f>
        <v>6.2</v>
      </c>
      <c r="E211" s="683">
        <f>'IMRO Decision 2006-10'!E368</f>
        <v>6.2</v>
      </c>
      <c r="F211" s="683">
        <f>'IMRO Decision 2006-10'!F368</f>
        <v>6.2</v>
      </c>
    </row>
    <row r="212" spans="1:6" x14ac:dyDescent="0.2">
      <c r="A212" s="618"/>
      <c r="B212" s="598"/>
      <c r="D212" s="684"/>
      <c r="E212" s="684"/>
      <c r="F212" s="684"/>
    </row>
    <row r="213" spans="1:6" x14ac:dyDescent="0.2">
      <c r="A213" s="618" t="s">
        <v>53</v>
      </c>
      <c r="B213" s="598"/>
      <c r="D213" s="683">
        <f>'IMRO Decision 2006-10'!D356</f>
        <v>34.6</v>
      </c>
      <c r="E213" s="683">
        <f>'IMRO Decision 2006-10'!E356</f>
        <v>35.110669999999999</v>
      </c>
      <c r="F213" s="683">
        <f>'IMRO Decision 2006-10'!F356</f>
        <v>35.632727940999999</v>
      </c>
    </row>
    <row r="216" spans="1:6" x14ac:dyDescent="0.2">
      <c r="A216" s="613" t="s">
        <v>95</v>
      </c>
      <c r="B216" s="614"/>
      <c r="C216" s="462"/>
      <c r="D216" s="595">
        <v>2006</v>
      </c>
      <c r="E216" s="595">
        <v>2007</v>
      </c>
      <c r="F216" s="595">
        <v>2008</v>
      </c>
    </row>
    <row r="217" spans="1:6" x14ac:dyDescent="0.2">
      <c r="A217" s="615" t="s">
        <v>52</v>
      </c>
      <c r="B217" s="616"/>
      <c r="C217" s="462"/>
      <c r="D217" s="617"/>
      <c r="E217" s="617"/>
      <c r="F217" s="603"/>
    </row>
    <row r="218" spans="1:6" x14ac:dyDescent="0.2">
      <c r="A218" s="618" t="s">
        <v>55</v>
      </c>
      <c r="B218" s="598"/>
      <c r="C218" s="462"/>
      <c r="D218" s="676">
        <f>'IMRO Decision 2006-10'!J349</f>
        <v>747451</v>
      </c>
      <c r="E218" s="676">
        <f>'IMRO Decision 2006-10'!K349</f>
        <v>759339.75</v>
      </c>
      <c r="F218" s="676">
        <f>'IMRO Decision 2006-10'!L349</f>
        <v>748509.32542202831</v>
      </c>
    </row>
    <row r="219" spans="1:6" x14ac:dyDescent="0.2">
      <c r="A219" s="613"/>
      <c r="B219" s="614"/>
      <c r="C219" s="462"/>
      <c r="D219" s="617"/>
      <c r="E219" s="617"/>
      <c r="F219" s="603"/>
    </row>
    <row r="220" spans="1:6" x14ac:dyDescent="0.2">
      <c r="A220" s="615" t="s">
        <v>24</v>
      </c>
      <c r="B220" s="616"/>
      <c r="D220" s="462"/>
      <c r="E220" s="462"/>
      <c r="F220" s="462"/>
    </row>
    <row r="221" spans="1:6" x14ac:dyDescent="0.2">
      <c r="A221" s="618" t="s">
        <v>263</v>
      </c>
      <c r="B221" s="598"/>
      <c r="D221" s="462"/>
      <c r="E221" s="462"/>
      <c r="F221" s="462"/>
    </row>
    <row r="222" spans="1:6" x14ac:dyDescent="0.2">
      <c r="A222" s="618" t="s">
        <v>56</v>
      </c>
      <c r="B222" s="598"/>
      <c r="D222" s="676">
        <f>'IMRO Decision 2006-10'!J370</f>
        <v>2840.5</v>
      </c>
      <c r="E222" s="676">
        <f>'IMRO Decision 2006-10'!K370</f>
        <v>0</v>
      </c>
      <c r="F222" s="676">
        <f>'IMRO Decision 2006-10'!L370</f>
        <v>0</v>
      </c>
    </row>
    <row r="223" spans="1:6" x14ac:dyDescent="0.2">
      <c r="A223" s="618" t="s">
        <v>57</v>
      </c>
      <c r="B223" s="598"/>
      <c r="D223" s="676">
        <f>'IMRO Decision 2006-10'!J371</f>
        <v>704157.15653132333</v>
      </c>
      <c r="E223" s="676">
        <f>'IMRO Decision 2006-10'!K371</f>
        <v>695525.52097347646</v>
      </c>
      <c r="F223" s="676">
        <f>'IMRO Decision 2006-10'!L371</f>
        <v>605602.09639550466</v>
      </c>
    </row>
    <row r="224" spans="1:6" x14ac:dyDescent="0.2">
      <c r="A224" s="618" t="s">
        <v>58</v>
      </c>
      <c r="B224" s="598"/>
      <c r="D224" s="676">
        <f>'IMRO Decision 2006-10'!J372</f>
        <v>5242.6427209510994</v>
      </c>
      <c r="E224" s="676">
        <f>'IMRO Decision 2006-10'!K372</f>
        <v>7714.5067294751007</v>
      </c>
      <c r="F224" s="676">
        <f>'IMRO Decision 2006-10'!L372</f>
        <v>7022.5067294751007</v>
      </c>
    </row>
    <row r="225" spans="1:14" x14ac:dyDescent="0.2">
      <c r="A225" s="618" t="s">
        <v>59</v>
      </c>
      <c r="B225" s="598"/>
      <c r="D225" s="676">
        <f>'IMRO Decision 2006-10'!J373</f>
        <v>35210.700747725568</v>
      </c>
      <c r="E225" s="676">
        <f>'IMRO Decision 2006-10'!K373</f>
        <v>56099.7222970484</v>
      </c>
      <c r="F225" s="676">
        <f>'IMRO Decision 2006-10'!L373</f>
        <v>135884.7222970484</v>
      </c>
    </row>
    <row r="226" spans="1:14" x14ac:dyDescent="0.2">
      <c r="D226" s="462"/>
      <c r="E226" s="462"/>
      <c r="F226" s="462"/>
    </row>
    <row r="227" spans="1:14" x14ac:dyDescent="0.2">
      <c r="A227" s="615" t="s">
        <v>53</v>
      </c>
      <c r="B227" s="616"/>
      <c r="C227" s="462"/>
      <c r="D227" s="617"/>
      <c r="E227" s="617"/>
      <c r="F227" s="603"/>
    </row>
    <row r="228" spans="1:14" x14ac:dyDescent="0.2">
      <c r="A228" s="618" t="s">
        <v>60</v>
      </c>
      <c r="B228" s="598"/>
      <c r="C228" s="462"/>
      <c r="D228" s="676">
        <f>SUM('IMRO Decision 2006-10'!J356,'IMRO Decision 2006-10'!J358:J362)</f>
        <v>15146.671734338335</v>
      </c>
      <c r="E228" s="676">
        <f>SUM('IMRO Decision 2006-10'!K356,'IMRO Decision 2006-10'!K358:K362)</f>
        <v>8646.5572566308765</v>
      </c>
      <c r="F228" s="676">
        <f>SUM('IMRO Decision 2006-10'!L356,'IMRO Decision 2006-10'!L358:L362)</f>
        <v>52408.492760761226</v>
      </c>
    </row>
    <row r="231" spans="1:14" ht="13.5" thickBot="1" x14ac:dyDescent="0.25">
      <c r="A231" s="632"/>
      <c r="B231" s="633"/>
      <c r="C231" s="632"/>
      <c r="D231" s="632"/>
      <c r="E231" s="632"/>
      <c r="F231" s="632"/>
      <c r="G231" s="632"/>
      <c r="H231" s="632"/>
      <c r="I231" s="632"/>
      <c r="J231" s="632"/>
      <c r="K231" s="632"/>
      <c r="L231" s="632"/>
      <c r="M231" s="632"/>
      <c r="N231" s="632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3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51.85546875" style="21" customWidth="1"/>
    <col min="2" max="2" width="6.5703125" style="85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55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</row>
    <row r="2" spans="1:11" s="1" customFormat="1" ht="15" x14ac:dyDescent="0.25">
      <c r="A2" s="30"/>
      <c r="B2" s="95"/>
      <c r="C2" s="2"/>
      <c r="D2" s="65" t="s">
        <v>22</v>
      </c>
      <c r="E2" s="66" t="s">
        <v>22</v>
      </c>
      <c r="F2" s="66" t="s">
        <v>22</v>
      </c>
      <c r="G2" s="66" t="s">
        <v>22</v>
      </c>
      <c r="H2" s="66" t="s">
        <v>22</v>
      </c>
      <c r="I2" s="66" t="s">
        <v>22</v>
      </c>
      <c r="J2" s="67" t="s">
        <v>22</v>
      </c>
      <c r="K2" s="110"/>
    </row>
    <row r="3" spans="1:11" s="1" customFormat="1" ht="15.75" x14ac:dyDescent="0.25">
      <c r="A3" s="72" t="s">
        <v>387</v>
      </c>
      <c r="B3" s="452"/>
      <c r="C3" s="2"/>
      <c r="D3" s="62" t="s">
        <v>20</v>
      </c>
      <c r="E3" s="63" t="s">
        <v>20</v>
      </c>
      <c r="F3" s="63" t="s">
        <v>20</v>
      </c>
      <c r="G3" s="63" t="s">
        <v>20</v>
      </c>
      <c r="H3" s="63" t="s">
        <v>20</v>
      </c>
      <c r="I3" s="63" t="s">
        <v>20</v>
      </c>
      <c r="J3" s="64" t="s">
        <v>20</v>
      </c>
      <c r="K3" s="110"/>
    </row>
    <row r="4" spans="1:11" s="1" customFormat="1" ht="15.75" x14ac:dyDescent="0.25">
      <c r="B4" s="96"/>
      <c r="C4" s="41"/>
      <c r="D4" s="42"/>
      <c r="E4" s="42"/>
      <c r="F4" s="42"/>
      <c r="G4" s="42"/>
      <c r="H4" s="42"/>
      <c r="I4" s="42"/>
      <c r="J4" s="42"/>
      <c r="K4" s="42"/>
    </row>
    <row r="5" spans="1:11" s="1" customFormat="1" ht="15.75" x14ac:dyDescent="0.25">
      <c r="A5" s="821" t="s">
        <v>400</v>
      </c>
      <c r="B5" s="452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3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0"/>
      <c r="C7" s="2"/>
      <c r="D7" s="46">
        <f t="shared" ref="D7:J7" si="0">D$1</f>
        <v>2009</v>
      </c>
      <c r="E7" s="47">
        <f t="shared" si="0"/>
        <v>2010</v>
      </c>
      <c r="F7" s="47">
        <f t="shared" si="0"/>
        <v>2011</v>
      </c>
      <c r="G7" s="47">
        <f t="shared" si="0"/>
        <v>2012</v>
      </c>
      <c r="H7" s="47">
        <f t="shared" si="0"/>
        <v>2013</v>
      </c>
      <c r="I7" s="47">
        <f t="shared" si="0"/>
        <v>2014</v>
      </c>
      <c r="J7" s="48">
        <f t="shared" si="0"/>
        <v>2015</v>
      </c>
      <c r="K7" s="56"/>
    </row>
    <row r="8" spans="1:11" s="1" customFormat="1" x14ac:dyDescent="0.2">
      <c r="A8" s="43" t="s">
        <v>37</v>
      </c>
      <c r="B8" s="85"/>
      <c r="C8" s="750" t="s">
        <v>7</v>
      </c>
      <c r="D8" s="49" t="str">
        <f t="shared" ref="D8:J8" si="1">D$2</f>
        <v>Nominal $</v>
      </c>
      <c r="E8" s="50" t="str">
        <f t="shared" si="1"/>
        <v>Nominal $</v>
      </c>
      <c r="F8" s="50" t="str">
        <f t="shared" si="1"/>
        <v>Nominal $</v>
      </c>
      <c r="G8" s="50" t="str">
        <f t="shared" si="1"/>
        <v>Nominal $</v>
      </c>
      <c r="H8" s="50" t="str">
        <f t="shared" si="1"/>
        <v>Nominal $</v>
      </c>
      <c r="I8" s="50" t="str">
        <f t="shared" si="1"/>
        <v>Nominal $</v>
      </c>
      <c r="J8" s="51" t="str">
        <f t="shared" si="1"/>
        <v>Nominal $</v>
      </c>
      <c r="K8" s="110"/>
    </row>
    <row r="9" spans="1:11" s="1" customFormat="1" x14ac:dyDescent="0.2">
      <c r="A9" s="7"/>
      <c r="B9" s="86"/>
      <c r="C9" s="751" t="s">
        <v>8</v>
      </c>
      <c r="D9" s="52" t="str">
        <f t="shared" ref="D9:J9" si="2">D$3</f>
        <v>Actual</v>
      </c>
      <c r="E9" s="53" t="str">
        <f t="shared" si="2"/>
        <v>Actual</v>
      </c>
      <c r="F9" s="53" t="str">
        <f t="shared" si="2"/>
        <v>Actual</v>
      </c>
      <c r="G9" s="53" t="str">
        <f t="shared" si="2"/>
        <v>Actual</v>
      </c>
      <c r="H9" s="53" t="str">
        <f t="shared" si="2"/>
        <v>Actual</v>
      </c>
      <c r="I9" s="53" t="str">
        <f t="shared" si="2"/>
        <v>Actual</v>
      </c>
      <c r="J9" s="731" t="str">
        <f t="shared" si="2"/>
        <v>Actual</v>
      </c>
      <c r="K9" s="110"/>
    </row>
    <row r="10" spans="1:11" s="1" customFormat="1" x14ac:dyDescent="0.2">
      <c r="A10" s="85" t="s">
        <v>42</v>
      </c>
      <c r="B10" s="85"/>
      <c r="C10" s="106" t="str">
        <f>'Data 2009-15 (Real $2008)'!C10</f>
        <v>Depreciated by end of  2013</v>
      </c>
      <c r="D10" s="766"/>
      <c r="E10" s="767"/>
      <c r="F10" s="767"/>
      <c r="G10" s="767"/>
      <c r="H10" s="767"/>
      <c r="I10" s="767"/>
      <c r="J10" s="768"/>
      <c r="K10" s="119"/>
    </row>
    <row r="11" spans="1:11" s="1" customFormat="1" x14ac:dyDescent="0.2">
      <c r="A11" s="84" t="s">
        <v>260</v>
      </c>
      <c r="B11" s="85"/>
      <c r="C11" s="316" t="str">
        <f>'Data 2009-15 (Real $2008)'!C11</f>
        <v>Depreciated by end of  2013</v>
      </c>
      <c r="D11" s="766"/>
      <c r="E11" s="767"/>
      <c r="F11" s="767"/>
      <c r="G11" s="767"/>
      <c r="H11" s="767"/>
      <c r="I11" s="767"/>
      <c r="J11" s="768"/>
      <c r="K11" s="119"/>
    </row>
    <row r="12" spans="1:11" s="1" customFormat="1" x14ac:dyDescent="0.2">
      <c r="A12" s="318" t="s">
        <v>362</v>
      </c>
      <c r="B12" s="85"/>
      <c r="C12" s="316">
        <f>'Data 2009-15 (Real $2008)'!C12</f>
        <v>15</v>
      </c>
      <c r="D12" s="766"/>
      <c r="E12" s="767"/>
      <c r="F12" s="767"/>
      <c r="G12" s="767"/>
      <c r="H12" s="767"/>
      <c r="I12" s="767"/>
      <c r="J12" s="768"/>
      <c r="K12" s="19"/>
    </row>
    <row r="13" spans="1:11" s="1" customFormat="1" x14ac:dyDescent="0.2">
      <c r="A13" s="318" t="s">
        <v>277</v>
      </c>
      <c r="B13" s="85"/>
      <c r="C13" s="316">
        <f>'Data 2009-15 (Real $2008)'!C13</f>
        <v>7</v>
      </c>
      <c r="D13" s="766"/>
      <c r="E13" s="767"/>
      <c r="F13" s="767"/>
      <c r="G13" s="767"/>
      <c r="H13" s="767"/>
      <c r="I13" s="767"/>
      <c r="J13" s="768"/>
      <c r="K13" s="15"/>
    </row>
    <row r="14" spans="1:11" s="1" customFormat="1" x14ac:dyDescent="0.2">
      <c r="A14" s="318" t="s">
        <v>279</v>
      </c>
      <c r="B14" s="88"/>
      <c r="C14" s="316">
        <f>'Data 2009-15 (Real $2008)'!C14</f>
        <v>7</v>
      </c>
      <c r="D14" s="766"/>
      <c r="E14" s="767"/>
      <c r="F14" s="767"/>
      <c r="G14" s="767"/>
      <c r="H14" s="767"/>
      <c r="I14" s="767"/>
      <c r="J14" s="768"/>
      <c r="K14" s="15"/>
    </row>
    <row r="15" spans="1:11" s="1" customFormat="1" x14ac:dyDescent="0.2">
      <c r="A15" s="318" t="s">
        <v>278</v>
      </c>
      <c r="B15" s="85"/>
      <c r="C15" s="107">
        <f>'Data 2009-15 (Real $2008)'!C15</f>
        <v>7</v>
      </c>
      <c r="D15" s="766"/>
      <c r="E15" s="767"/>
      <c r="F15" s="767"/>
      <c r="G15" s="767"/>
      <c r="H15" s="767"/>
      <c r="I15" s="767"/>
      <c r="J15" s="768"/>
      <c r="K15" s="15"/>
    </row>
    <row r="16" spans="1:11" s="1" customFormat="1" ht="13.5" thickBot="1" x14ac:dyDescent="0.25">
      <c r="A16" s="88" t="s">
        <v>45</v>
      </c>
      <c r="B16" s="85"/>
      <c r="C16" s="2"/>
      <c r="D16" s="11">
        <v>38593720.435499437</v>
      </c>
      <c r="E16" s="12">
        <v>88848084.033738032</v>
      </c>
      <c r="F16" s="12">
        <v>112694436.1680361</v>
      </c>
      <c r="G16" s="12">
        <f t="shared" ref="G16:J16" si="3">SUM(G10:G15)</f>
        <v>0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0"/>
      <c r="B19" s="85"/>
      <c r="C19" s="2"/>
      <c r="D19" s="46">
        <f t="shared" ref="D19:J19" si="4">D$1</f>
        <v>2009</v>
      </c>
      <c r="E19" s="47">
        <f t="shared" si="4"/>
        <v>2010</v>
      </c>
      <c r="F19" s="47">
        <f t="shared" si="4"/>
        <v>2011</v>
      </c>
      <c r="G19" s="47">
        <f t="shared" si="4"/>
        <v>2012</v>
      </c>
      <c r="H19" s="47">
        <f t="shared" si="4"/>
        <v>2013</v>
      </c>
      <c r="I19" s="47">
        <f t="shared" si="4"/>
        <v>2014</v>
      </c>
      <c r="J19" s="48">
        <f t="shared" si="4"/>
        <v>2015</v>
      </c>
      <c r="K19" s="15"/>
    </row>
    <row r="20" spans="1:11" s="1" customFormat="1" x14ac:dyDescent="0.2">
      <c r="A20" s="320"/>
      <c r="B20" s="85"/>
      <c r="C20" s="308" t="s">
        <v>276</v>
      </c>
      <c r="D20" s="49" t="str">
        <f t="shared" ref="D20:J20" si="5">D$2</f>
        <v>Nominal $</v>
      </c>
      <c r="E20" s="50" t="str">
        <f t="shared" si="5"/>
        <v>Nominal $</v>
      </c>
      <c r="F20" s="50" t="str">
        <f t="shared" si="5"/>
        <v>Nominal $</v>
      </c>
      <c r="G20" s="50" t="str">
        <f t="shared" si="5"/>
        <v>Nominal $</v>
      </c>
      <c r="H20" s="50" t="str">
        <f t="shared" si="5"/>
        <v>Nominal $</v>
      </c>
      <c r="I20" s="50" t="str">
        <f t="shared" si="5"/>
        <v>Nominal $</v>
      </c>
      <c r="J20" s="51" t="str">
        <f t="shared" si="5"/>
        <v>Nominal $</v>
      </c>
      <c r="K20" s="15"/>
    </row>
    <row r="21" spans="1:11" s="1" customFormat="1" x14ac:dyDescent="0.2">
      <c r="A21" s="74" t="s">
        <v>47</v>
      </c>
      <c r="B21" s="91"/>
      <c r="C21" s="321" t="s">
        <v>48</v>
      </c>
      <c r="D21" s="52" t="str">
        <f t="shared" ref="D21:J21" si="6">D$3</f>
        <v>Actual</v>
      </c>
      <c r="E21" s="53" t="str">
        <f t="shared" si="6"/>
        <v>Actual</v>
      </c>
      <c r="F21" s="53" t="str">
        <f t="shared" si="6"/>
        <v>Actual</v>
      </c>
      <c r="G21" s="53" t="str">
        <f t="shared" si="6"/>
        <v>Actual</v>
      </c>
      <c r="H21" s="53" t="str">
        <f t="shared" si="6"/>
        <v>Actual</v>
      </c>
      <c r="I21" s="53" t="str">
        <f t="shared" si="6"/>
        <v>Actual</v>
      </c>
      <c r="J21" s="731" t="str">
        <f t="shared" si="6"/>
        <v>Actual</v>
      </c>
      <c r="K21" s="15"/>
    </row>
    <row r="22" spans="1:11" s="1" customFormat="1" x14ac:dyDescent="0.2">
      <c r="A22" s="84" t="s">
        <v>363</v>
      </c>
      <c r="B22" s="91"/>
      <c r="C22" s="322">
        <f>'Data 2009-15 (Real $2008)'!C22</f>
        <v>0.375</v>
      </c>
      <c r="D22" s="325">
        <f t="shared" ref="D22:J22" si="7">SUM(D10:D12)-D23</f>
        <v>0</v>
      </c>
      <c r="E22" s="19">
        <f t="shared" si="7"/>
        <v>0</v>
      </c>
      <c r="F22" s="19">
        <f t="shared" si="7"/>
        <v>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326">
        <f t="shared" si="7"/>
        <v>0</v>
      </c>
      <c r="K22" s="15"/>
    </row>
    <row r="23" spans="1:11" s="1" customFormat="1" x14ac:dyDescent="0.2">
      <c r="A23" s="84" t="s">
        <v>364</v>
      </c>
      <c r="B23" s="88"/>
      <c r="C23" s="323">
        <f>'Data 2009-15 (Real $2008)'!C23</f>
        <v>0.06</v>
      </c>
      <c r="D23" s="766">
        <v>0</v>
      </c>
      <c r="E23" s="767">
        <v>0</v>
      </c>
      <c r="F23" s="767">
        <v>0</v>
      </c>
      <c r="G23" s="767"/>
      <c r="H23" s="767"/>
      <c r="I23" s="767"/>
      <c r="J23" s="768"/>
      <c r="K23" s="15"/>
    </row>
    <row r="24" spans="1:11" s="1" customFormat="1" x14ac:dyDescent="0.2">
      <c r="A24" s="84" t="s">
        <v>277</v>
      </c>
      <c r="B24" s="85"/>
      <c r="C24" s="323">
        <f>'Data 2009-15 (Real $2008)'!C24</f>
        <v>0.4</v>
      </c>
      <c r="D24" s="325">
        <f t="shared" ref="D24:F26" si="8">D13</f>
        <v>0</v>
      </c>
      <c r="E24" s="19">
        <f t="shared" si="8"/>
        <v>0</v>
      </c>
      <c r="F24" s="19">
        <f t="shared" si="8"/>
        <v>0</v>
      </c>
      <c r="G24" s="19">
        <f t="shared" ref="G24:J26" si="9">G13</f>
        <v>0</v>
      </c>
      <c r="H24" s="19">
        <f t="shared" si="9"/>
        <v>0</v>
      </c>
      <c r="I24" s="19">
        <f t="shared" si="9"/>
        <v>0</v>
      </c>
      <c r="J24" s="326">
        <f t="shared" si="9"/>
        <v>0</v>
      </c>
      <c r="K24" s="15"/>
    </row>
    <row r="25" spans="1:11" s="1" customFormat="1" x14ac:dyDescent="0.2">
      <c r="A25" s="84" t="s">
        <v>279</v>
      </c>
      <c r="B25" s="85"/>
      <c r="C25" s="323">
        <f>'Data 2009-15 (Real $2008)'!C25</f>
        <v>0.21428571428571427</v>
      </c>
      <c r="D25" s="325">
        <f t="shared" si="8"/>
        <v>0</v>
      </c>
      <c r="E25" s="19">
        <f t="shared" si="8"/>
        <v>0</v>
      </c>
      <c r="F25" s="19">
        <f t="shared" si="8"/>
        <v>0</v>
      </c>
      <c r="G25" s="19">
        <f t="shared" si="9"/>
        <v>0</v>
      </c>
      <c r="H25" s="19">
        <f t="shared" si="9"/>
        <v>0</v>
      </c>
      <c r="I25" s="19">
        <f t="shared" si="9"/>
        <v>0</v>
      </c>
      <c r="J25" s="326">
        <f t="shared" si="9"/>
        <v>0</v>
      </c>
      <c r="K25" s="15"/>
    </row>
    <row r="26" spans="1:11" s="1" customFormat="1" x14ac:dyDescent="0.2">
      <c r="A26" s="87" t="s">
        <v>278</v>
      </c>
      <c r="B26" s="85"/>
      <c r="C26" s="324">
        <f>'Data 2009-15 (Real $2008)'!C26</f>
        <v>0.1764705882352941</v>
      </c>
      <c r="D26" s="325">
        <f t="shared" si="8"/>
        <v>0</v>
      </c>
      <c r="E26" s="19">
        <f t="shared" si="8"/>
        <v>0</v>
      </c>
      <c r="F26" s="19">
        <f t="shared" si="8"/>
        <v>0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6">
        <f t="shared" si="9"/>
        <v>0</v>
      </c>
      <c r="K26" s="15"/>
    </row>
    <row r="27" spans="1:11" s="1" customFormat="1" ht="13.5" thickBot="1" x14ac:dyDescent="0.25">
      <c r="A27" s="88" t="s">
        <v>45</v>
      </c>
      <c r="B27" s="60"/>
      <c r="C27" s="2"/>
      <c r="D27" s="11">
        <f t="shared" ref="D27:J27" si="10">SUM(D21:D26)</f>
        <v>0</v>
      </c>
      <c r="E27" s="12">
        <f t="shared" si="10"/>
        <v>0</v>
      </c>
      <c r="F27" s="12">
        <f t="shared" si="10"/>
        <v>0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5"/>
      <c r="C30" s="2"/>
      <c r="D30" s="46">
        <f t="shared" ref="D30:J30" si="11">D$1</f>
        <v>2009</v>
      </c>
      <c r="E30" s="47">
        <f t="shared" si="11"/>
        <v>2010</v>
      </c>
      <c r="F30" s="47">
        <f t="shared" si="11"/>
        <v>2011</v>
      </c>
      <c r="G30" s="47">
        <f t="shared" si="11"/>
        <v>2012</v>
      </c>
      <c r="H30" s="47">
        <f t="shared" si="11"/>
        <v>2013</v>
      </c>
      <c r="I30" s="47">
        <f t="shared" si="11"/>
        <v>2014</v>
      </c>
      <c r="J30" s="48">
        <f t="shared" si="11"/>
        <v>2015</v>
      </c>
      <c r="K30" s="56"/>
    </row>
    <row r="31" spans="1:11" x14ac:dyDescent="0.2">
      <c r="A31" s="43" t="s">
        <v>3</v>
      </c>
      <c r="C31" s="2"/>
      <c r="D31" s="49" t="str">
        <f t="shared" ref="D31:J31" si="12">D$2</f>
        <v>Nominal $</v>
      </c>
      <c r="E31" s="50" t="str">
        <f t="shared" si="12"/>
        <v>Nominal $</v>
      </c>
      <c r="F31" s="50" t="str">
        <f t="shared" si="12"/>
        <v>Nominal $</v>
      </c>
      <c r="G31" s="50" t="str">
        <f t="shared" si="12"/>
        <v>Nominal $</v>
      </c>
      <c r="H31" s="50" t="str">
        <f t="shared" si="12"/>
        <v>Nominal $</v>
      </c>
      <c r="I31" s="50" t="str">
        <f t="shared" si="12"/>
        <v>Nominal $</v>
      </c>
      <c r="J31" s="51" t="str">
        <f t="shared" si="12"/>
        <v>Nominal $</v>
      </c>
      <c r="K31" s="110"/>
    </row>
    <row r="32" spans="1:11" x14ac:dyDescent="0.2">
      <c r="A32" s="22"/>
      <c r="B32" s="55"/>
      <c r="C32" s="20"/>
      <c r="D32" s="52" t="str">
        <f t="shared" ref="D32:J32" si="13">D$3</f>
        <v>Actual</v>
      </c>
      <c r="E32" s="53" t="str">
        <f t="shared" si="13"/>
        <v>Actual</v>
      </c>
      <c r="F32" s="53" t="str">
        <f t="shared" si="13"/>
        <v>Actual</v>
      </c>
      <c r="G32" s="53" t="str">
        <f t="shared" si="13"/>
        <v>Actual</v>
      </c>
      <c r="H32" s="53" t="str">
        <f t="shared" si="13"/>
        <v>Actual</v>
      </c>
      <c r="I32" s="53" t="str">
        <f t="shared" si="13"/>
        <v>Actual</v>
      </c>
      <c r="J32" s="731" t="str">
        <f t="shared" si="13"/>
        <v>Actual</v>
      </c>
      <c r="K32" s="110"/>
    </row>
    <row r="33" spans="1:11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">
      <c r="A34" s="85" t="s">
        <v>42</v>
      </c>
      <c r="C34" s="20"/>
      <c r="D34" s="766">
        <v>0</v>
      </c>
      <c r="E34" s="767">
        <v>0</v>
      </c>
      <c r="F34" s="767">
        <v>0</v>
      </c>
      <c r="G34" s="767"/>
      <c r="H34" s="767"/>
      <c r="I34" s="767"/>
      <c r="J34" s="768"/>
      <c r="K34" s="36"/>
    </row>
    <row r="35" spans="1:11" x14ac:dyDescent="0.2">
      <c r="A35" s="85" t="s">
        <v>260</v>
      </c>
      <c r="C35" s="20"/>
      <c r="D35" s="766">
        <v>0</v>
      </c>
      <c r="E35" s="767">
        <v>0</v>
      </c>
      <c r="F35" s="767">
        <v>0</v>
      </c>
      <c r="G35" s="767"/>
      <c r="H35" s="767"/>
      <c r="I35" s="767"/>
      <c r="J35" s="768"/>
      <c r="K35" s="36"/>
    </row>
    <row r="36" spans="1:11" x14ac:dyDescent="0.2">
      <c r="A36" s="85" t="s">
        <v>362</v>
      </c>
      <c r="C36" s="20"/>
      <c r="D36" s="766">
        <v>0</v>
      </c>
      <c r="E36" s="767">
        <v>0</v>
      </c>
      <c r="F36" s="767">
        <v>0</v>
      </c>
      <c r="G36" s="767"/>
      <c r="H36" s="767"/>
      <c r="I36" s="767"/>
      <c r="J36" s="768"/>
      <c r="K36" s="36"/>
    </row>
    <row r="37" spans="1:11" x14ac:dyDescent="0.2">
      <c r="A37" s="85" t="s">
        <v>277</v>
      </c>
      <c r="C37" s="20"/>
      <c r="D37" s="766">
        <v>0</v>
      </c>
      <c r="E37" s="767">
        <v>0</v>
      </c>
      <c r="F37" s="767">
        <v>0</v>
      </c>
      <c r="G37" s="767"/>
      <c r="H37" s="767"/>
      <c r="I37" s="767"/>
      <c r="J37" s="768"/>
      <c r="K37" s="36"/>
    </row>
    <row r="38" spans="1:11" x14ac:dyDescent="0.2">
      <c r="A38" s="85" t="s">
        <v>279</v>
      </c>
      <c r="B38" s="453"/>
      <c r="C38" s="20"/>
      <c r="D38" s="766">
        <v>0</v>
      </c>
      <c r="E38" s="767">
        <v>0</v>
      </c>
      <c r="F38" s="767">
        <v>0</v>
      </c>
      <c r="G38" s="767"/>
      <c r="H38" s="767"/>
      <c r="I38" s="767"/>
      <c r="J38" s="768"/>
      <c r="K38" s="36"/>
    </row>
    <row r="39" spans="1:11" x14ac:dyDescent="0.2">
      <c r="A39" s="85" t="s">
        <v>278</v>
      </c>
      <c r="B39" s="454"/>
      <c r="C39" s="20"/>
      <c r="D39" s="766">
        <v>0</v>
      </c>
      <c r="E39" s="767">
        <v>0</v>
      </c>
      <c r="F39" s="767">
        <v>0</v>
      </c>
      <c r="G39" s="767"/>
      <c r="H39" s="767"/>
      <c r="I39" s="767"/>
      <c r="J39" s="768"/>
      <c r="K39" s="36"/>
    </row>
    <row r="40" spans="1:11" ht="13.5" thickBot="1" x14ac:dyDescent="0.25">
      <c r="A40" s="22"/>
      <c r="C40" s="20"/>
      <c r="D40" s="327">
        <f t="shared" ref="D40:J40" si="14">SUM(D34:D39)</f>
        <v>0</v>
      </c>
      <c r="E40" s="92">
        <f t="shared" si="14"/>
        <v>0</v>
      </c>
      <c r="F40" s="92">
        <f t="shared" si="14"/>
        <v>0</v>
      </c>
      <c r="G40" s="92">
        <f t="shared" si="14"/>
        <v>0</v>
      </c>
      <c r="H40" s="92">
        <f t="shared" si="14"/>
        <v>0</v>
      </c>
      <c r="I40" s="92">
        <f t="shared" si="14"/>
        <v>0</v>
      </c>
      <c r="J40" s="328">
        <f t="shared" si="14"/>
        <v>0</v>
      </c>
      <c r="K40" s="36"/>
    </row>
    <row r="41" spans="1:11" ht="13.5" thickTop="1" x14ac:dyDescent="0.2">
      <c r="A41" s="22"/>
      <c r="C41" s="20"/>
      <c r="D41" s="329"/>
      <c r="E41" s="94"/>
      <c r="F41" s="94"/>
      <c r="G41" s="94"/>
      <c r="H41" s="94"/>
      <c r="I41" s="94"/>
      <c r="J41" s="330"/>
      <c r="K41" s="36"/>
    </row>
    <row r="42" spans="1:11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32"/>
      <c r="K42" s="2"/>
    </row>
    <row r="43" spans="1:11" x14ac:dyDescent="0.2">
      <c r="A43" s="85" t="s">
        <v>42</v>
      </c>
      <c r="C43" s="20"/>
      <c r="D43" s="766">
        <v>0</v>
      </c>
      <c r="E43" s="767">
        <v>0</v>
      </c>
      <c r="F43" s="767">
        <v>0</v>
      </c>
      <c r="G43" s="767"/>
      <c r="H43" s="767"/>
      <c r="I43" s="767"/>
      <c r="J43" s="768"/>
      <c r="K43" s="36"/>
    </row>
    <row r="44" spans="1:11" x14ac:dyDescent="0.2">
      <c r="A44" s="85" t="s">
        <v>260</v>
      </c>
      <c r="B44" s="454"/>
      <c r="C44" s="20"/>
      <c r="D44" s="766">
        <v>0</v>
      </c>
      <c r="E44" s="767">
        <v>0</v>
      </c>
      <c r="F44" s="767">
        <v>0</v>
      </c>
      <c r="G44" s="767"/>
      <c r="H44" s="767"/>
      <c r="I44" s="767"/>
      <c r="J44" s="768"/>
      <c r="K44" s="36"/>
    </row>
    <row r="45" spans="1:11" x14ac:dyDescent="0.2">
      <c r="A45" s="85" t="s">
        <v>362</v>
      </c>
      <c r="C45" s="20"/>
      <c r="D45" s="766">
        <v>0</v>
      </c>
      <c r="E45" s="767">
        <v>0</v>
      </c>
      <c r="F45" s="767">
        <v>0</v>
      </c>
      <c r="G45" s="767"/>
      <c r="H45" s="767"/>
      <c r="I45" s="767"/>
      <c r="J45" s="768"/>
      <c r="K45" s="36"/>
    </row>
    <row r="46" spans="1:11" x14ac:dyDescent="0.2">
      <c r="A46" s="85" t="s">
        <v>277</v>
      </c>
      <c r="C46" s="20"/>
      <c r="D46" s="766">
        <v>0</v>
      </c>
      <c r="E46" s="767">
        <v>0</v>
      </c>
      <c r="F46" s="767">
        <v>0</v>
      </c>
      <c r="G46" s="767"/>
      <c r="H46" s="767"/>
      <c r="I46" s="767"/>
      <c r="J46" s="768"/>
      <c r="K46" s="36"/>
    </row>
    <row r="47" spans="1:11" x14ac:dyDescent="0.2">
      <c r="A47" s="85" t="s">
        <v>279</v>
      </c>
      <c r="B47" s="91"/>
      <c r="C47" s="20"/>
      <c r="D47" s="766">
        <v>0</v>
      </c>
      <c r="E47" s="767">
        <v>0</v>
      </c>
      <c r="F47" s="767">
        <v>0</v>
      </c>
      <c r="G47" s="767"/>
      <c r="H47" s="767"/>
      <c r="I47" s="767"/>
      <c r="J47" s="768"/>
      <c r="K47" s="36"/>
    </row>
    <row r="48" spans="1:11" x14ac:dyDescent="0.2">
      <c r="A48" s="85" t="s">
        <v>278</v>
      </c>
      <c r="C48" s="20"/>
      <c r="D48" s="766">
        <v>0</v>
      </c>
      <c r="E48" s="767">
        <v>0</v>
      </c>
      <c r="F48" s="767">
        <v>0</v>
      </c>
      <c r="G48" s="767"/>
      <c r="H48" s="767"/>
      <c r="I48" s="767"/>
      <c r="J48" s="768"/>
      <c r="K48" s="36"/>
    </row>
    <row r="49" spans="1:11" s="1" customFormat="1" ht="13.5" thickBot="1" x14ac:dyDescent="0.25">
      <c r="A49" s="14"/>
      <c r="B49" s="91"/>
      <c r="C49" s="2"/>
      <c r="D49" s="327">
        <f t="shared" ref="D49:J49" si="15">SUM(D43:D48)</f>
        <v>0</v>
      </c>
      <c r="E49" s="92">
        <f t="shared" si="15"/>
        <v>0</v>
      </c>
      <c r="F49" s="92">
        <f t="shared" si="15"/>
        <v>0</v>
      </c>
      <c r="G49" s="92">
        <f t="shared" si="15"/>
        <v>0</v>
      </c>
      <c r="H49" s="92">
        <f t="shared" si="15"/>
        <v>0</v>
      </c>
      <c r="I49" s="92">
        <f t="shared" si="15"/>
        <v>0</v>
      </c>
      <c r="J49" s="328">
        <f t="shared" si="15"/>
        <v>0</v>
      </c>
      <c r="K49" s="15"/>
    </row>
    <row r="50" spans="1:11" s="1" customFormat="1" ht="13.5" thickTop="1" x14ac:dyDescent="0.2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5"/>
      <c r="C52" s="2"/>
      <c r="D52" s="46">
        <f t="shared" ref="D52:J52" si="16">D$1</f>
        <v>2009</v>
      </c>
      <c r="E52" s="47">
        <f t="shared" si="16"/>
        <v>2010</v>
      </c>
      <c r="F52" s="47">
        <f t="shared" si="16"/>
        <v>2011</v>
      </c>
      <c r="G52" s="47">
        <f t="shared" si="16"/>
        <v>2012</v>
      </c>
      <c r="H52" s="47">
        <f t="shared" si="16"/>
        <v>2013</v>
      </c>
      <c r="I52" s="47">
        <f t="shared" si="16"/>
        <v>2014</v>
      </c>
      <c r="J52" s="48">
        <f t="shared" si="16"/>
        <v>2015</v>
      </c>
      <c r="K52" s="56"/>
    </row>
    <row r="53" spans="1:11" s="1" customFormat="1" x14ac:dyDescent="0.2">
      <c r="A53" s="43" t="s">
        <v>1</v>
      </c>
      <c r="B53" s="455"/>
      <c r="C53" s="2"/>
      <c r="D53" s="49" t="str">
        <f t="shared" ref="D53:J53" si="17">D$2</f>
        <v>Nominal $</v>
      </c>
      <c r="E53" s="50" t="str">
        <f t="shared" si="17"/>
        <v>Nominal $</v>
      </c>
      <c r="F53" s="50" t="str">
        <f t="shared" si="17"/>
        <v>Nominal $</v>
      </c>
      <c r="G53" s="50" t="str">
        <f t="shared" si="17"/>
        <v>Nominal $</v>
      </c>
      <c r="H53" s="50" t="str">
        <f t="shared" si="17"/>
        <v>Nominal $</v>
      </c>
      <c r="I53" s="50" t="str">
        <f t="shared" si="17"/>
        <v>Nominal $</v>
      </c>
      <c r="J53" s="51" t="str">
        <f t="shared" si="17"/>
        <v>Nominal $</v>
      </c>
      <c r="K53" s="110"/>
    </row>
    <row r="54" spans="1:11" s="1" customFormat="1" x14ac:dyDescent="0.2">
      <c r="A54" s="3"/>
      <c r="B54" s="9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Actual</v>
      </c>
      <c r="J54" s="731" t="str">
        <f t="shared" si="18"/>
        <v>Actual</v>
      </c>
      <c r="K54" s="110"/>
    </row>
    <row r="55" spans="1:11" s="1" customFormat="1" ht="13.5" thickBot="1" x14ac:dyDescent="0.25">
      <c r="A55" s="3" t="s">
        <v>2</v>
      </c>
      <c r="B55" s="85"/>
      <c r="C55" s="2"/>
      <c r="D55" s="769">
        <v>27133020.450744912</v>
      </c>
      <c r="E55" s="770">
        <v>39809474.16262313</v>
      </c>
      <c r="F55" s="770">
        <v>42811168.404355973</v>
      </c>
      <c r="G55" s="770"/>
      <c r="H55" s="770"/>
      <c r="I55" s="770"/>
      <c r="J55" s="771"/>
      <c r="K55" s="119"/>
    </row>
    <row r="56" spans="1:11" s="1" customFormat="1" ht="13.5" thickTop="1" x14ac:dyDescent="0.2">
      <c r="A56" s="3"/>
      <c r="B56" s="453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9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0" t="s">
        <v>63</v>
      </c>
      <c r="B58" s="450"/>
      <c r="D58" s="46">
        <f t="shared" ref="D58:J58" si="19">D$1</f>
        <v>2009</v>
      </c>
      <c r="E58" s="47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8">
        <f t="shared" si="19"/>
        <v>2015</v>
      </c>
      <c r="K58" s="19"/>
    </row>
    <row r="59" spans="1:11" s="1" customFormat="1" x14ac:dyDescent="0.2">
      <c r="B59" s="88"/>
      <c r="D59" s="729" t="s">
        <v>22</v>
      </c>
      <c r="E59" s="733" t="s">
        <v>22</v>
      </c>
      <c r="F59" s="733" t="s">
        <v>22</v>
      </c>
      <c r="G59" s="733" t="s">
        <v>22</v>
      </c>
      <c r="H59" s="733" t="s">
        <v>22</v>
      </c>
      <c r="I59" s="733" t="s">
        <v>22</v>
      </c>
      <c r="J59" s="730" t="s">
        <v>22</v>
      </c>
      <c r="K59" s="19"/>
    </row>
    <row r="60" spans="1:11" s="1" customFormat="1" ht="13.5" thickBot="1" x14ac:dyDescent="0.25">
      <c r="A60" s="78" t="s">
        <v>63</v>
      </c>
      <c r="B60" s="449"/>
      <c r="D60" s="772">
        <v>37927245.233500004</v>
      </c>
      <c r="E60" s="770">
        <v>65653893.745999992</v>
      </c>
      <c r="F60" s="770">
        <v>73478180.732400015</v>
      </c>
      <c r="G60" s="770"/>
      <c r="H60" s="770"/>
      <c r="I60" s="770"/>
      <c r="J60" s="771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8"/>
    </row>
    <row r="66" spans="2:2" x14ac:dyDescent="0.2">
      <c r="B66" s="88"/>
    </row>
    <row r="67" spans="2:2" x14ac:dyDescent="0.2">
      <c r="B67" s="450"/>
    </row>
    <row r="68" spans="2:2" x14ac:dyDescent="0.2">
      <c r="B68" s="88"/>
    </row>
    <row r="69" spans="2:2" x14ac:dyDescent="0.2">
      <c r="B69" s="88"/>
    </row>
    <row r="70" spans="2:2" x14ac:dyDescent="0.2">
      <c r="B70" s="88"/>
    </row>
    <row r="71" spans="2:2" x14ac:dyDescent="0.2">
      <c r="B71" s="88"/>
    </row>
    <row r="72" spans="2:2" x14ac:dyDescent="0.2">
      <c r="B72" s="88"/>
    </row>
    <row r="73" spans="2:2" x14ac:dyDescent="0.2">
      <c r="B73" s="88"/>
    </row>
    <row r="76" spans="2:2" x14ac:dyDescent="0.2">
      <c r="B76" s="449"/>
    </row>
    <row r="77" spans="2:2" x14ac:dyDescent="0.2">
      <c r="B77" s="450"/>
    </row>
    <row r="78" spans="2:2" x14ac:dyDescent="0.2">
      <c r="B78" s="88"/>
    </row>
    <row r="79" spans="2:2" x14ac:dyDescent="0.2">
      <c r="B79" s="449"/>
    </row>
    <row r="80" spans="2:2" x14ac:dyDescent="0.2">
      <c r="B80" s="450"/>
    </row>
    <row r="81" spans="2:2" x14ac:dyDescent="0.2">
      <c r="B81" s="88"/>
    </row>
    <row r="82" spans="2:2" x14ac:dyDescent="0.2">
      <c r="B82" s="88"/>
    </row>
    <row r="83" spans="2:2" x14ac:dyDescent="0.2">
      <c r="B83" s="88"/>
    </row>
    <row r="84" spans="2:2" x14ac:dyDescent="0.2">
      <c r="B84" s="88"/>
    </row>
    <row r="85" spans="2:2" x14ac:dyDescent="0.2">
      <c r="B85" s="88"/>
    </row>
    <row r="87" spans="2:2" x14ac:dyDescent="0.2">
      <c r="B87" s="450"/>
    </row>
    <row r="88" spans="2:2" x14ac:dyDescent="0.2">
      <c r="B88" s="88"/>
    </row>
    <row r="91" spans="2:2" x14ac:dyDescent="0.2">
      <c r="B91" s="91"/>
    </row>
    <row r="92" spans="2:2" x14ac:dyDescent="0.2">
      <c r="B92" s="91"/>
    </row>
    <row r="93" spans="2:2" x14ac:dyDescent="0.2">
      <c r="B93" s="91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3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51.85546875" style="21" customWidth="1"/>
    <col min="2" max="2" width="6.5703125" style="85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55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0"/>
      <c r="B2" s="95"/>
      <c r="C2" s="2"/>
      <c r="D2" s="65" t="s">
        <v>6</v>
      </c>
      <c r="E2" s="66" t="s">
        <v>6</v>
      </c>
      <c r="F2" s="66" t="s">
        <v>6</v>
      </c>
      <c r="G2" s="66" t="s">
        <v>6</v>
      </c>
      <c r="H2" s="66" t="s">
        <v>6</v>
      </c>
      <c r="I2" s="66" t="s">
        <v>6</v>
      </c>
      <c r="J2" s="67" t="s">
        <v>6</v>
      </c>
      <c r="K2" s="110"/>
      <c r="L2" s="21"/>
      <c r="M2" s="21"/>
      <c r="N2" s="21"/>
      <c r="O2" s="734"/>
      <c r="P2" s="2"/>
      <c r="Q2" s="735"/>
    </row>
    <row r="3" spans="1:17" s="1" customFormat="1" ht="15.75" x14ac:dyDescent="0.25">
      <c r="A3" s="72" t="s">
        <v>387</v>
      </c>
      <c r="B3" s="452"/>
      <c r="C3" s="2"/>
      <c r="D3" s="703" t="s">
        <v>20</v>
      </c>
      <c r="E3" s="704" t="s">
        <v>20</v>
      </c>
      <c r="F3" s="704" t="s">
        <v>20</v>
      </c>
      <c r="G3" s="704" t="s">
        <v>20</v>
      </c>
      <c r="H3" s="63" t="s">
        <v>18</v>
      </c>
      <c r="I3" s="63" t="s">
        <v>18</v>
      </c>
      <c r="J3" s="64" t="s">
        <v>18</v>
      </c>
      <c r="K3" s="110"/>
      <c r="L3" s="21"/>
      <c r="M3" s="21"/>
      <c r="N3" s="21"/>
      <c r="O3" s="62" t="str">
        <f>H3</f>
        <v>Forecast</v>
      </c>
      <c r="P3" s="63" t="str">
        <f>I3</f>
        <v>Forecast</v>
      </c>
      <c r="Q3" s="64" t="str">
        <f>J3</f>
        <v>Forecast</v>
      </c>
    </row>
    <row r="4" spans="1:17" s="1" customFormat="1" ht="15.75" x14ac:dyDescent="0.25">
      <c r="B4" s="96"/>
      <c r="C4" s="41"/>
      <c r="D4" s="42"/>
      <c r="E4" s="42"/>
      <c r="F4" s="42"/>
      <c r="G4" s="42"/>
      <c r="H4" s="42"/>
      <c r="I4" s="42"/>
      <c r="J4" s="42"/>
      <c r="K4" s="42"/>
      <c r="L4" s="21"/>
      <c r="M4" s="2"/>
      <c r="N4" s="2"/>
      <c r="O4" s="2"/>
    </row>
    <row r="5" spans="1:17" s="1" customFormat="1" ht="15.75" x14ac:dyDescent="0.25">
      <c r="A5" s="97" t="s">
        <v>399</v>
      </c>
      <c r="B5" s="452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3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0"/>
      <c r="C7" s="2"/>
      <c r="D7" s="46">
        <v>2009</v>
      </c>
      <c r="E7" s="47">
        <v>2010</v>
      </c>
      <c r="F7" s="47">
        <v>2011</v>
      </c>
      <c r="G7" s="47">
        <f>G$1</f>
        <v>2012</v>
      </c>
      <c r="H7" s="47">
        <f>H$1</f>
        <v>2013</v>
      </c>
      <c r="I7" s="47">
        <f>I$1</f>
        <v>2014</v>
      </c>
      <c r="J7" s="48">
        <f>J$1</f>
        <v>2015</v>
      </c>
      <c r="K7" s="56"/>
      <c r="L7" s="2"/>
      <c r="M7" s="21"/>
      <c r="N7" s="21"/>
      <c r="O7" s="21"/>
    </row>
    <row r="8" spans="1:17" s="1" customFormat="1" x14ac:dyDescent="0.2">
      <c r="A8" s="43" t="s">
        <v>37</v>
      </c>
      <c r="B8" s="85"/>
      <c r="C8" s="33" t="s">
        <v>7</v>
      </c>
      <c r="D8" s="49" t="str">
        <f t="shared" ref="D8:J8" si="0">D$2</f>
        <v>Real 2008 $</v>
      </c>
      <c r="E8" s="50" t="str">
        <f t="shared" si="0"/>
        <v>Real 2008 $</v>
      </c>
      <c r="F8" s="50" t="str">
        <f t="shared" si="0"/>
        <v>Real 2008 $</v>
      </c>
      <c r="G8" s="50" t="str">
        <f t="shared" si="0"/>
        <v>Real 2008 $</v>
      </c>
      <c r="H8" s="50" t="str">
        <f t="shared" si="0"/>
        <v>Real 2008 $</v>
      </c>
      <c r="I8" s="50" t="str">
        <f t="shared" si="0"/>
        <v>Real 2008 $</v>
      </c>
      <c r="J8" s="51" t="str">
        <f t="shared" si="0"/>
        <v>Real 2008 $</v>
      </c>
      <c r="K8" s="110"/>
      <c r="L8" s="2"/>
      <c r="M8" s="21"/>
      <c r="N8" s="21"/>
      <c r="O8" s="21"/>
    </row>
    <row r="9" spans="1:17" s="1" customFormat="1" x14ac:dyDescent="0.2">
      <c r="A9" s="7"/>
      <c r="B9" s="86"/>
      <c r="C9" s="99" t="s">
        <v>8</v>
      </c>
      <c r="D9" s="52" t="str">
        <f t="shared" ref="D9:J9" si="1">D$3</f>
        <v>Actual</v>
      </c>
      <c r="E9" s="53" t="str">
        <f t="shared" si="1"/>
        <v>Actual</v>
      </c>
      <c r="F9" s="53" t="str">
        <f t="shared" si="1"/>
        <v>Actual</v>
      </c>
      <c r="G9" s="53" t="str">
        <f t="shared" si="1"/>
        <v>Actual</v>
      </c>
      <c r="H9" s="53" t="str">
        <f t="shared" si="1"/>
        <v>Forecast</v>
      </c>
      <c r="I9" s="53" t="str">
        <f t="shared" si="1"/>
        <v>Forecast</v>
      </c>
      <c r="J9" s="731" t="str">
        <f t="shared" si="1"/>
        <v>Forecast</v>
      </c>
      <c r="K9" s="110"/>
      <c r="L9" s="2"/>
      <c r="M9" s="21"/>
      <c r="N9" s="21"/>
      <c r="O9" s="21"/>
    </row>
    <row r="10" spans="1:17" s="1" customFormat="1" x14ac:dyDescent="0.2">
      <c r="A10" s="85" t="s">
        <v>42</v>
      </c>
      <c r="B10" s="85"/>
      <c r="C10" s="106" t="str">
        <f>"Depreciated by end of  "&amp;'Data 2006-08'!$C$34&amp;""</f>
        <v>Depreciated by end of  2013</v>
      </c>
      <c r="D10" s="773">
        <f>'Data 2009-11'!D10/D$145</f>
        <v>0</v>
      </c>
      <c r="E10" s="774">
        <f>'Data 2009-11'!E10/E$145</f>
        <v>0</v>
      </c>
      <c r="F10" s="774">
        <f>'Data 2009-11'!F10/F$145</f>
        <v>0</v>
      </c>
      <c r="G10" s="774">
        <f>'DNSP Data Inputs 2012-15'!G10/G$145</f>
        <v>0</v>
      </c>
      <c r="H10" s="774">
        <f>'DNSP Data Inputs 2012-15'!H10/$H$145</f>
        <v>0</v>
      </c>
      <c r="I10" s="774">
        <f>'DNSP Data Inputs 2012-15'!I10/$H$145</f>
        <v>0</v>
      </c>
      <c r="J10" s="775">
        <f>'DNSP Data Inputs 2012-15'!J10/$H$145</f>
        <v>0</v>
      </c>
      <c r="K10" s="119"/>
      <c r="L10" s="2"/>
      <c r="M10" s="21"/>
      <c r="N10" s="21"/>
      <c r="O10" s="21"/>
    </row>
    <row r="11" spans="1:17" s="1" customFormat="1" x14ac:dyDescent="0.2">
      <c r="A11" s="84" t="s">
        <v>260</v>
      </c>
      <c r="B11" s="85"/>
      <c r="C11" s="316" t="str">
        <f>"Depreciated by end of  "&amp;'Data 2006-08'!$C$34&amp;""</f>
        <v>Depreciated by end of  2013</v>
      </c>
      <c r="D11" s="783">
        <f>'Data 2009-11'!D11/D$145</f>
        <v>0</v>
      </c>
      <c r="E11" s="784">
        <f>'Data 2009-11'!E11/E$145</f>
        <v>0</v>
      </c>
      <c r="F11" s="784">
        <f>'Data 2009-11'!F11/F$145</f>
        <v>0</v>
      </c>
      <c r="G11" s="774">
        <f>'DNSP Data Inputs 2012-15'!G11/G$145</f>
        <v>0</v>
      </c>
      <c r="H11" s="774">
        <f>'DNSP Data Inputs 2012-15'!H11/$H$145</f>
        <v>0</v>
      </c>
      <c r="I11" s="774">
        <f>'DNSP Data Inputs 2012-15'!I11/$H$145</f>
        <v>0</v>
      </c>
      <c r="J11" s="775">
        <f>'DNSP Data Inputs 2012-15'!J11/$H$145</f>
        <v>0</v>
      </c>
      <c r="K11" s="119"/>
      <c r="L11" s="2"/>
      <c r="M11" s="21"/>
      <c r="N11" s="21"/>
      <c r="O11" s="21"/>
    </row>
    <row r="12" spans="1:17" s="1" customFormat="1" x14ac:dyDescent="0.2">
      <c r="A12" s="318" t="str">
        <f>A$154</f>
        <v>Remotely read interval meters &amp; transformers</v>
      </c>
      <c r="B12" s="85"/>
      <c r="C12" s="316">
        <f>C154</f>
        <v>15</v>
      </c>
      <c r="D12" s="783">
        <f>'Data 2009-11'!D12/D$145</f>
        <v>0</v>
      </c>
      <c r="E12" s="784">
        <f>'Data 2009-11'!E12/E$145</f>
        <v>0</v>
      </c>
      <c r="F12" s="784">
        <f>'Data 2009-11'!F12/F$145</f>
        <v>0</v>
      </c>
      <c r="G12" s="774">
        <f>'DNSP Data Inputs 2012-15'!G12/G$145</f>
        <v>0</v>
      </c>
      <c r="H12" s="774">
        <f>'DNSP Data Inputs 2012-15'!H12/$H$145</f>
        <v>0</v>
      </c>
      <c r="I12" s="774">
        <f>'DNSP Data Inputs 2012-15'!I12/$H$145</f>
        <v>0</v>
      </c>
      <c r="J12" s="775">
        <f>'DNSP Data Inputs 2012-15'!J12/$H$145</f>
        <v>0</v>
      </c>
      <c r="K12" s="19"/>
      <c r="L12" s="2"/>
      <c r="M12" s="21"/>
      <c r="N12" s="21"/>
      <c r="O12" s="21"/>
    </row>
    <row r="13" spans="1:17" s="1" customFormat="1" x14ac:dyDescent="0.2">
      <c r="A13" s="318" t="str">
        <f>A$155</f>
        <v>IT</v>
      </c>
      <c r="B13" s="85"/>
      <c r="C13" s="316">
        <f>C155</f>
        <v>7</v>
      </c>
      <c r="D13" s="783">
        <f>'Data 2009-11'!D13/D$145</f>
        <v>0</v>
      </c>
      <c r="E13" s="784">
        <f>'Data 2009-11'!E13/E$145</f>
        <v>0</v>
      </c>
      <c r="F13" s="784">
        <f>'Data 2009-11'!F13/F$145</f>
        <v>0</v>
      </c>
      <c r="G13" s="774">
        <f>'DNSP Data Inputs 2012-15'!G13/G$145</f>
        <v>0</v>
      </c>
      <c r="H13" s="774">
        <f>'DNSP Data Inputs 2012-15'!H13/$H$145</f>
        <v>0</v>
      </c>
      <c r="I13" s="774">
        <f>'DNSP Data Inputs 2012-15'!I13/$H$145</f>
        <v>0</v>
      </c>
      <c r="J13" s="775">
        <f>'DNSP Data Inputs 2012-15'!J13/$H$145</f>
        <v>0</v>
      </c>
      <c r="K13" s="15"/>
      <c r="L13" s="2"/>
      <c r="M13" s="21"/>
      <c r="N13" s="21"/>
      <c r="O13" s="21"/>
    </row>
    <row r="14" spans="1:17" s="1" customFormat="1" x14ac:dyDescent="0.2">
      <c r="A14" s="318" t="str">
        <f>A$156</f>
        <v>Communications</v>
      </c>
      <c r="B14" s="88"/>
      <c r="C14" s="316">
        <f>C156</f>
        <v>7</v>
      </c>
      <c r="D14" s="783">
        <f>'Data 2009-11'!D14/D$145</f>
        <v>0</v>
      </c>
      <c r="E14" s="784">
        <f>'Data 2009-11'!E14/E$145</f>
        <v>0</v>
      </c>
      <c r="F14" s="784">
        <f>'Data 2009-11'!F14/F$145</f>
        <v>0</v>
      </c>
      <c r="G14" s="774">
        <f>'DNSP Data Inputs 2012-15'!G14/G$145</f>
        <v>0</v>
      </c>
      <c r="H14" s="774">
        <f>'DNSP Data Inputs 2012-15'!H14/$H$145</f>
        <v>0</v>
      </c>
      <c r="I14" s="774">
        <f>'DNSP Data Inputs 2012-15'!I14/$H$145</f>
        <v>0</v>
      </c>
      <c r="J14" s="775">
        <f>'DNSP Data Inputs 2012-15'!J14/$H$145</f>
        <v>0</v>
      </c>
      <c r="K14" s="15"/>
      <c r="L14" s="2"/>
      <c r="M14" s="21"/>
      <c r="N14" s="21"/>
      <c r="O14" s="21"/>
    </row>
    <row r="15" spans="1:17" s="1" customFormat="1" x14ac:dyDescent="0.2">
      <c r="A15" s="318" t="str">
        <f>A$157</f>
        <v>Other</v>
      </c>
      <c r="B15" s="85"/>
      <c r="C15" s="107">
        <f>C157</f>
        <v>7</v>
      </c>
      <c r="D15" s="783">
        <f>'Data 2009-11'!D15/D$145</f>
        <v>0</v>
      </c>
      <c r="E15" s="784">
        <f>'Data 2009-11'!E15/E$145</f>
        <v>0</v>
      </c>
      <c r="F15" s="784">
        <f>'Data 2009-11'!F15/F$145</f>
        <v>0</v>
      </c>
      <c r="G15" s="774">
        <f>'DNSP Data Inputs 2012-15'!G15/G$145</f>
        <v>0</v>
      </c>
      <c r="H15" s="774">
        <f>'DNSP Data Inputs 2012-15'!H15/$H$145</f>
        <v>0</v>
      </c>
      <c r="I15" s="774">
        <f>'DNSP Data Inputs 2012-15'!I15/$H$145</f>
        <v>0</v>
      </c>
      <c r="J15" s="775">
        <f>'DNSP Data Inputs 2012-15'!J15/$H$145</f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88" t="s">
        <v>45</v>
      </c>
      <c r="B16" s="85"/>
      <c r="C16" s="2"/>
      <c r="D16" s="11">
        <v>36762546.913334601</v>
      </c>
      <c r="E16" s="12">
        <v>83578328.159850851</v>
      </c>
      <c r="F16" s="12">
        <v>103135242.79429039</v>
      </c>
      <c r="G16" s="12">
        <v>124509311.98456895</v>
      </c>
      <c r="H16" s="12">
        <v>115212962.47004585</v>
      </c>
      <c r="I16" s="12">
        <v>14851125.954013415</v>
      </c>
      <c r="J16" s="13">
        <v>15629912.101332271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20"/>
      <c r="B18" s="433"/>
      <c r="C18" s="2"/>
      <c r="D18" s="15"/>
      <c r="E18" s="15"/>
      <c r="F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20"/>
      <c r="B19" s="85"/>
      <c r="C19" s="2"/>
      <c r="D19" s="46">
        <v>2009</v>
      </c>
      <c r="E19" s="47">
        <v>2010</v>
      </c>
      <c r="F19" s="47">
        <v>2011</v>
      </c>
      <c r="G19" s="47">
        <f>G$1</f>
        <v>2012</v>
      </c>
      <c r="H19" s="47">
        <f>H$1</f>
        <v>2013</v>
      </c>
      <c r="I19" s="47">
        <f>I$1</f>
        <v>2014</v>
      </c>
      <c r="J19" s="48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20"/>
      <c r="B20" s="85"/>
      <c r="C20" s="308" t="s">
        <v>276</v>
      </c>
      <c r="D20" s="49" t="str">
        <f t="shared" ref="D20:J20" si="2">D$2</f>
        <v>Real 2008 $</v>
      </c>
      <c r="E20" s="50" t="str">
        <f t="shared" si="2"/>
        <v>Real 2008 $</v>
      </c>
      <c r="F20" s="50" t="str">
        <f t="shared" si="2"/>
        <v>Real 2008 $</v>
      </c>
      <c r="G20" s="50" t="str">
        <f t="shared" si="2"/>
        <v>Real 2008 $</v>
      </c>
      <c r="H20" s="50" t="str">
        <f t="shared" si="2"/>
        <v>Real 2008 $</v>
      </c>
      <c r="I20" s="50" t="str">
        <f t="shared" si="2"/>
        <v>Real 2008 $</v>
      </c>
      <c r="J20" s="51" t="str">
        <f t="shared" si="2"/>
        <v>Real 2008 $</v>
      </c>
      <c r="K20" s="15"/>
      <c r="L20" s="2"/>
      <c r="M20" s="21"/>
      <c r="N20" s="21"/>
      <c r="O20" s="21"/>
    </row>
    <row r="21" spans="1:15" s="1" customFormat="1" x14ac:dyDescent="0.2">
      <c r="A21" s="74" t="s">
        <v>47</v>
      </c>
      <c r="B21" s="91"/>
      <c r="C21" s="321" t="s">
        <v>48</v>
      </c>
      <c r="D21" s="52" t="str">
        <f t="shared" ref="D21:J21" si="3">D$3</f>
        <v>Actual</v>
      </c>
      <c r="E21" s="53" t="str">
        <f t="shared" si="3"/>
        <v>Actual</v>
      </c>
      <c r="F21" s="53" t="str">
        <f t="shared" si="3"/>
        <v>Actual</v>
      </c>
      <c r="G21" s="53" t="str">
        <f t="shared" si="3"/>
        <v>Actual</v>
      </c>
      <c r="H21" s="53" t="str">
        <f t="shared" si="3"/>
        <v>Forecast</v>
      </c>
      <c r="I21" s="53" t="str">
        <f t="shared" si="3"/>
        <v>Forecast</v>
      </c>
      <c r="J21" s="731" t="str">
        <f t="shared" si="3"/>
        <v>Forecast</v>
      </c>
      <c r="K21" s="15"/>
      <c r="L21" s="2"/>
      <c r="M21" s="21"/>
      <c r="N21" s="21"/>
      <c r="O21" s="21"/>
    </row>
    <row r="22" spans="1:15" s="1" customFormat="1" x14ac:dyDescent="0.2">
      <c r="A22" s="84" t="str">
        <f>A$162</f>
        <v>Meters and transformers (Group 1) (Unit cost &lt; $1,000)</v>
      </c>
      <c r="B22" s="91"/>
      <c r="C22" s="322">
        <f>C162</f>
        <v>0.375</v>
      </c>
      <c r="D22" s="325">
        <f t="shared" ref="D22:J22" si="4">SUM(D10:D12)-D23</f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  <c r="I22" s="19">
        <f t="shared" si="4"/>
        <v>0</v>
      </c>
      <c r="J22" s="326">
        <f t="shared" si="4"/>
        <v>0</v>
      </c>
      <c r="K22" s="15"/>
      <c r="L22" s="2"/>
      <c r="M22" s="21"/>
      <c r="N22" s="21"/>
      <c r="O22" s="21"/>
    </row>
    <row r="23" spans="1:15" s="1" customFormat="1" x14ac:dyDescent="0.2">
      <c r="A23" s="84" t="str">
        <f>A$163</f>
        <v>Meters and transformers (Group 2) (Unit cost =&gt; $1,000)</v>
      </c>
      <c r="B23" s="88"/>
      <c r="C23" s="323">
        <f>C163</f>
        <v>0.06</v>
      </c>
      <c r="D23" s="783">
        <f>'Data 2009-11'!D23/D$145</f>
        <v>0</v>
      </c>
      <c r="E23" s="784">
        <f>'Data 2009-11'!E23/E$145</f>
        <v>0</v>
      </c>
      <c r="F23" s="784">
        <f>'Data 2009-11'!F23/F$145</f>
        <v>0</v>
      </c>
      <c r="G23" s="774">
        <f>'DNSP Data Inputs 2012-15'!G23/G$145</f>
        <v>0</v>
      </c>
      <c r="H23" s="774">
        <f>'DNSP Data Inputs 2012-15'!H23/$H$145</f>
        <v>0</v>
      </c>
      <c r="I23" s="774">
        <f>'DNSP Data Inputs 2012-15'!I23/$H$145</f>
        <v>0</v>
      </c>
      <c r="J23" s="775">
        <f>'DNSP Data Inputs 2012-15'!J23/$H$145</f>
        <v>0</v>
      </c>
      <c r="K23" s="15"/>
      <c r="L23" s="2"/>
      <c r="M23" s="21"/>
      <c r="N23" s="21"/>
      <c r="O23" s="21"/>
    </row>
    <row r="24" spans="1:15" s="1" customFormat="1" x14ac:dyDescent="0.2">
      <c r="A24" s="84" t="str">
        <f>A$164</f>
        <v>IT</v>
      </c>
      <c r="B24" s="85"/>
      <c r="C24" s="323">
        <f>C164</f>
        <v>0.4</v>
      </c>
      <c r="D24" s="325">
        <f t="shared" ref="D24:F26" si="5">D13</f>
        <v>0</v>
      </c>
      <c r="E24" s="19">
        <f t="shared" si="5"/>
        <v>0</v>
      </c>
      <c r="F24" s="19">
        <f t="shared" si="5"/>
        <v>0</v>
      </c>
      <c r="G24" s="19">
        <f t="shared" ref="G24:J26" si="6">G13</f>
        <v>0</v>
      </c>
      <c r="H24" s="19">
        <f t="shared" si="6"/>
        <v>0</v>
      </c>
      <c r="I24" s="19">
        <f t="shared" si="6"/>
        <v>0</v>
      </c>
      <c r="J24" s="326">
        <f t="shared" si="6"/>
        <v>0</v>
      </c>
      <c r="K24" s="15"/>
      <c r="L24" s="2"/>
      <c r="M24" s="21"/>
      <c r="N24" s="21"/>
      <c r="O24" s="21"/>
    </row>
    <row r="25" spans="1:15" s="1" customFormat="1" x14ac:dyDescent="0.2">
      <c r="A25" s="84" t="str">
        <f>A$165</f>
        <v>Communications</v>
      </c>
      <c r="B25" s="85"/>
      <c r="C25" s="323">
        <f>C165</f>
        <v>0.21428571428571427</v>
      </c>
      <c r="D25" s="325">
        <f t="shared" si="5"/>
        <v>0</v>
      </c>
      <c r="E25" s="19">
        <f t="shared" si="5"/>
        <v>0</v>
      </c>
      <c r="F25" s="19">
        <f t="shared" si="5"/>
        <v>0</v>
      </c>
      <c r="G25" s="19">
        <f t="shared" si="6"/>
        <v>0</v>
      </c>
      <c r="H25" s="19">
        <f t="shared" si="6"/>
        <v>0</v>
      </c>
      <c r="I25" s="19">
        <f t="shared" si="6"/>
        <v>0</v>
      </c>
      <c r="J25" s="326">
        <f t="shared" si="6"/>
        <v>0</v>
      </c>
      <c r="K25" s="15"/>
      <c r="L25" s="2"/>
      <c r="M25" s="21"/>
      <c r="N25" s="21"/>
      <c r="O25" s="21"/>
    </row>
    <row r="26" spans="1:15" s="1" customFormat="1" x14ac:dyDescent="0.2">
      <c r="A26" s="87" t="str">
        <f>A$166</f>
        <v>Other</v>
      </c>
      <c r="B26" s="85"/>
      <c r="C26" s="324">
        <f>C166</f>
        <v>0.1764705882352941</v>
      </c>
      <c r="D26" s="325">
        <f t="shared" si="5"/>
        <v>0</v>
      </c>
      <c r="E26" s="19">
        <f t="shared" si="5"/>
        <v>0</v>
      </c>
      <c r="F26" s="19">
        <f t="shared" si="5"/>
        <v>0</v>
      </c>
      <c r="G26" s="19">
        <f t="shared" si="6"/>
        <v>0</v>
      </c>
      <c r="H26" s="19">
        <f t="shared" si="6"/>
        <v>0</v>
      </c>
      <c r="I26" s="19">
        <f t="shared" si="6"/>
        <v>0</v>
      </c>
      <c r="J26" s="326">
        <f t="shared" si="6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88" t="s">
        <v>45</v>
      </c>
      <c r="B27" s="60"/>
      <c r="C27" s="2"/>
      <c r="D27" s="11">
        <v>36762546.913334601</v>
      </c>
      <c r="E27" s="12">
        <v>83578328.159850851</v>
      </c>
      <c r="F27" s="12">
        <v>103135242.79429039</v>
      </c>
      <c r="G27" s="12">
        <v>124509311.98456895</v>
      </c>
      <c r="H27" s="12">
        <v>115212962.47004585</v>
      </c>
      <c r="I27" s="12">
        <v>14851125.954013415</v>
      </c>
      <c r="J27" s="13">
        <v>15629912.101332271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5"/>
      <c r="C30" s="2"/>
      <c r="D30" s="4">
        <v>2009</v>
      </c>
      <c r="E30" s="5">
        <v>2010</v>
      </c>
      <c r="F30" s="5">
        <v>2011</v>
      </c>
      <c r="G30" s="47">
        <f>G$1</f>
        <v>2012</v>
      </c>
      <c r="H30" s="47">
        <f>H$1</f>
        <v>2013</v>
      </c>
      <c r="I30" s="47">
        <f>I$1</f>
        <v>2014</v>
      </c>
      <c r="J30" s="48">
        <f>J$1</f>
        <v>2015</v>
      </c>
      <c r="K30" s="56"/>
      <c r="L30" s="2"/>
      <c r="M30" s="21"/>
      <c r="N30" s="21"/>
      <c r="O30" s="21"/>
    </row>
    <row r="31" spans="1:15" x14ac:dyDescent="0.2">
      <c r="A31" s="43" t="s">
        <v>3</v>
      </c>
      <c r="C31" s="2"/>
      <c r="D31" s="49" t="str">
        <f t="shared" ref="D31:J31" si="7">D$2</f>
        <v>Real 2008 $</v>
      </c>
      <c r="E31" s="50" t="str">
        <f t="shared" si="7"/>
        <v>Real 2008 $</v>
      </c>
      <c r="F31" s="50" t="str">
        <f t="shared" si="7"/>
        <v>Real 2008 $</v>
      </c>
      <c r="G31" s="50" t="str">
        <f t="shared" si="7"/>
        <v>Real 2008 $</v>
      </c>
      <c r="H31" s="50" t="str">
        <f t="shared" si="7"/>
        <v>Real 2008 $</v>
      </c>
      <c r="I31" s="50" t="str">
        <f t="shared" si="7"/>
        <v>Real 2008 $</v>
      </c>
      <c r="J31" s="51" t="str">
        <f t="shared" si="7"/>
        <v>Real 2008 $</v>
      </c>
      <c r="K31" s="110"/>
      <c r="L31" s="2"/>
      <c r="M31" s="21"/>
      <c r="N31" s="21"/>
      <c r="O31" s="21"/>
    </row>
    <row r="32" spans="1:15" x14ac:dyDescent="0.2">
      <c r="A32" s="22"/>
      <c r="B32" s="55"/>
      <c r="C32" s="20"/>
      <c r="D32" s="52" t="str">
        <f t="shared" ref="D32:J32" si="8">D$3</f>
        <v>Actual</v>
      </c>
      <c r="E32" s="53" t="str">
        <f t="shared" si="8"/>
        <v>Actual</v>
      </c>
      <c r="F32" s="53" t="str">
        <f t="shared" si="8"/>
        <v>Actual</v>
      </c>
      <c r="G32" s="53" t="str">
        <f t="shared" si="8"/>
        <v>Actual</v>
      </c>
      <c r="H32" s="53" t="str">
        <f t="shared" si="8"/>
        <v>Forecast</v>
      </c>
      <c r="I32" s="53" t="str">
        <f t="shared" si="8"/>
        <v>Forecast</v>
      </c>
      <c r="J32" s="731" t="str">
        <f t="shared" si="8"/>
        <v>Forecast</v>
      </c>
      <c r="K32" s="110"/>
      <c r="M32" s="21"/>
      <c r="N32" s="21"/>
      <c r="O32" s="21"/>
    </row>
    <row r="33" spans="1:15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M33" s="21"/>
      <c r="N33" s="21"/>
      <c r="O33" s="21"/>
    </row>
    <row r="34" spans="1:15" x14ac:dyDescent="0.2">
      <c r="A34" s="85" t="str">
        <f t="shared" ref="A34:A39" si="9">A10</f>
        <v>Accumulation Meters</v>
      </c>
      <c r="C34" s="20"/>
      <c r="D34" s="779">
        <f>'Data 2009-11'!D34/D$145</f>
        <v>0</v>
      </c>
      <c r="E34" s="780">
        <f>'Data 2009-11'!E34/E$145</f>
        <v>0</v>
      </c>
      <c r="F34" s="780">
        <f>'Data 2009-11'!F34/F$145</f>
        <v>0</v>
      </c>
      <c r="G34" s="774">
        <f>'DNSP Data Inputs 2012-15'!G34/G$145</f>
        <v>0</v>
      </c>
      <c r="H34" s="774">
        <f>'DNSP Data Inputs 2012-15'!H34/$H$145</f>
        <v>0</v>
      </c>
      <c r="I34" s="774">
        <f>'DNSP Data Inputs 2012-15'!I34/$H$145</f>
        <v>0</v>
      </c>
      <c r="J34" s="775">
        <f>'DNSP Data Inputs 2012-15'!J34/$H$145</f>
        <v>0</v>
      </c>
      <c r="K34" s="36"/>
      <c r="M34" s="21"/>
      <c r="N34" s="21"/>
      <c r="O34" s="21"/>
    </row>
    <row r="35" spans="1:15" x14ac:dyDescent="0.2">
      <c r="A35" s="85" t="str">
        <f t="shared" si="9"/>
        <v>Manually read interval meters</v>
      </c>
      <c r="C35" s="20"/>
      <c r="D35" s="779">
        <f>'Data 2009-11'!D35/D$145</f>
        <v>0</v>
      </c>
      <c r="E35" s="780">
        <f>'Data 2009-11'!E35/E$145</f>
        <v>0</v>
      </c>
      <c r="F35" s="780">
        <f>'Data 2009-11'!F35/F$145</f>
        <v>0</v>
      </c>
      <c r="G35" s="774">
        <f>'DNSP Data Inputs 2012-15'!G35/G$145</f>
        <v>0</v>
      </c>
      <c r="H35" s="774">
        <f>'DNSP Data Inputs 2012-15'!H35/$H$145</f>
        <v>0</v>
      </c>
      <c r="I35" s="774">
        <f>'DNSP Data Inputs 2012-15'!I35/$H$145</f>
        <v>0</v>
      </c>
      <c r="J35" s="775">
        <f>'DNSP Data Inputs 2012-15'!J35/$H$145</f>
        <v>0</v>
      </c>
      <c r="K35" s="36"/>
      <c r="M35" s="21"/>
      <c r="N35" s="21"/>
      <c r="O35" s="21"/>
    </row>
    <row r="36" spans="1:15" x14ac:dyDescent="0.2">
      <c r="A36" s="85" t="str">
        <f t="shared" si="9"/>
        <v>Remotely read interval meters &amp; transformers</v>
      </c>
      <c r="C36" s="20"/>
      <c r="D36" s="779">
        <f>'Data 2009-11'!D36/D$145</f>
        <v>0</v>
      </c>
      <c r="E36" s="780">
        <f>'Data 2009-11'!E36/E$145</f>
        <v>0</v>
      </c>
      <c r="F36" s="780">
        <f>'Data 2009-11'!F36/F$145</f>
        <v>0</v>
      </c>
      <c r="G36" s="774">
        <f>'DNSP Data Inputs 2012-15'!G36/G$145</f>
        <v>0</v>
      </c>
      <c r="H36" s="774">
        <f>'DNSP Data Inputs 2012-15'!H36/$H$145</f>
        <v>0</v>
      </c>
      <c r="I36" s="774">
        <f>'DNSP Data Inputs 2012-15'!I36/$H$145</f>
        <v>0</v>
      </c>
      <c r="J36" s="775">
        <f>'DNSP Data Inputs 2012-15'!J36/$H$145</f>
        <v>0</v>
      </c>
      <c r="K36" s="36"/>
      <c r="M36" s="21"/>
      <c r="N36" s="21"/>
      <c r="O36" s="21"/>
    </row>
    <row r="37" spans="1:15" x14ac:dyDescent="0.2">
      <c r="A37" s="85" t="str">
        <f t="shared" si="9"/>
        <v>IT</v>
      </c>
      <c r="C37" s="20"/>
      <c r="D37" s="779">
        <f>'Data 2009-11'!D37/D$145</f>
        <v>0</v>
      </c>
      <c r="E37" s="780">
        <f>'Data 2009-11'!E37/E$145</f>
        <v>0</v>
      </c>
      <c r="F37" s="780">
        <f>'Data 2009-11'!F37/F$145</f>
        <v>0</v>
      </c>
      <c r="G37" s="774">
        <f>'DNSP Data Inputs 2012-15'!G37/G$145</f>
        <v>0</v>
      </c>
      <c r="H37" s="774">
        <f>'DNSP Data Inputs 2012-15'!H37/$H$145</f>
        <v>0</v>
      </c>
      <c r="I37" s="774">
        <f>'DNSP Data Inputs 2012-15'!I37/$H$145</f>
        <v>0</v>
      </c>
      <c r="J37" s="775">
        <f>'DNSP Data Inputs 2012-15'!J37/$H$145</f>
        <v>0</v>
      </c>
      <c r="K37" s="36"/>
      <c r="M37" s="21"/>
      <c r="N37" s="21"/>
      <c r="O37" s="21"/>
    </row>
    <row r="38" spans="1:15" x14ac:dyDescent="0.2">
      <c r="A38" s="85" t="str">
        <f t="shared" si="9"/>
        <v>Communications</v>
      </c>
      <c r="B38" s="453"/>
      <c r="C38" s="20"/>
      <c r="D38" s="779">
        <f>'Data 2009-11'!D38/D$145</f>
        <v>0</v>
      </c>
      <c r="E38" s="780">
        <f>'Data 2009-11'!E38/E$145</f>
        <v>0</v>
      </c>
      <c r="F38" s="780">
        <f>'Data 2009-11'!F38/F$145</f>
        <v>0</v>
      </c>
      <c r="G38" s="774">
        <f>'DNSP Data Inputs 2012-15'!G38/G$145</f>
        <v>0</v>
      </c>
      <c r="H38" s="774">
        <f>'DNSP Data Inputs 2012-15'!H38/$H$145</f>
        <v>0</v>
      </c>
      <c r="I38" s="774">
        <f>'DNSP Data Inputs 2012-15'!I38/$H$145</f>
        <v>0</v>
      </c>
      <c r="J38" s="775">
        <f>'DNSP Data Inputs 2012-15'!J38/$H$145</f>
        <v>0</v>
      </c>
      <c r="K38" s="36"/>
      <c r="M38" s="21"/>
      <c r="N38" s="21"/>
      <c r="O38" s="21"/>
    </row>
    <row r="39" spans="1:15" x14ac:dyDescent="0.2">
      <c r="A39" s="85" t="str">
        <f t="shared" si="9"/>
        <v>Other</v>
      </c>
      <c r="B39" s="454"/>
      <c r="C39" s="20"/>
      <c r="D39" s="779">
        <f>'Data 2009-11'!D39/D$145</f>
        <v>0</v>
      </c>
      <c r="E39" s="780">
        <f>'Data 2009-11'!E39/E$145</f>
        <v>0</v>
      </c>
      <c r="F39" s="780">
        <f>'Data 2009-11'!F39/F$145</f>
        <v>0</v>
      </c>
      <c r="G39" s="774">
        <f>'DNSP Data Inputs 2012-15'!G39/G$145</f>
        <v>0</v>
      </c>
      <c r="H39" s="774">
        <f>'DNSP Data Inputs 2012-15'!H39/$H$145</f>
        <v>0</v>
      </c>
      <c r="I39" s="774">
        <f>'DNSP Data Inputs 2012-15'!I39/$H$145</f>
        <v>0</v>
      </c>
      <c r="J39" s="775">
        <f>'DNSP Data Inputs 2012-15'!J39/$H$145</f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327">
        <f t="shared" ref="D40:J40" si="10">SUM(D34:D39)</f>
        <v>0</v>
      </c>
      <c r="E40" s="92">
        <f t="shared" ref="E40" si="11">SUM(E34:E39)</f>
        <v>0</v>
      </c>
      <c r="F40" s="92">
        <f t="shared" si="10"/>
        <v>0</v>
      </c>
      <c r="G40" s="92">
        <f t="shared" si="10"/>
        <v>0</v>
      </c>
      <c r="H40" s="92">
        <f t="shared" si="10"/>
        <v>0</v>
      </c>
      <c r="I40" s="92">
        <f t="shared" si="10"/>
        <v>0</v>
      </c>
      <c r="J40" s="328">
        <f t="shared" si="10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329"/>
      <c r="E41" s="94"/>
      <c r="F41" s="94"/>
      <c r="G41" s="94"/>
      <c r="H41" s="94"/>
      <c r="I41" s="94"/>
      <c r="J41" s="330"/>
      <c r="K41" s="36"/>
      <c r="M41" s="21"/>
      <c r="N41" s="21"/>
      <c r="O41" s="21"/>
    </row>
    <row r="42" spans="1:15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32"/>
      <c r="K42" s="2"/>
      <c r="M42" s="2"/>
      <c r="N42" s="2"/>
      <c r="O42" s="2"/>
    </row>
    <row r="43" spans="1:15" x14ac:dyDescent="0.2">
      <c r="A43" s="85" t="str">
        <f t="shared" ref="A43:A48" si="12">A10</f>
        <v>Accumulation Meters</v>
      </c>
      <c r="C43" s="20"/>
      <c r="D43" s="779">
        <f>'Data 2009-11'!D43/D$145</f>
        <v>0</v>
      </c>
      <c r="E43" s="780">
        <f>'Data 2009-11'!E43/E$145</f>
        <v>0</v>
      </c>
      <c r="F43" s="780">
        <f>'Data 2009-11'!F43/F$145</f>
        <v>0</v>
      </c>
      <c r="G43" s="774">
        <f>'DNSP Data Inputs 2012-15'!G43/G$145</f>
        <v>0</v>
      </c>
      <c r="H43" s="774">
        <f>'DNSP Data Inputs 2012-15'!H43/$H$145</f>
        <v>0</v>
      </c>
      <c r="I43" s="774">
        <f>'DNSP Data Inputs 2012-15'!I43/$H$145</f>
        <v>0</v>
      </c>
      <c r="J43" s="775">
        <f>'DNSP Data Inputs 2012-15'!J43/$H$145</f>
        <v>0</v>
      </c>
      <c r="K43" s="36"/>
      <c r="M43" s="2"/>
      <c r="N43" s="2"/>
      <c r="O43" s="2"/>
    </row>
    <row r="44" spans="1:15" x14ac:dyDescent="0.2">
      <c r="A44" s="85" t="str">
        <f t="shared" si="12"/>
        <v>Manually read interval meters</v>
      </c>
      <c r="B44" s="454"/>
      <c r="C44" s="20"/>
      <c r="D44" s="779">
        <f>'Data 2009-11'!D44/D$145</f>
        <v>0</v>
      </c>
      <c r="E44" s="780">
        <f>'Data 2009-11'!E44/E$145</f>
        <v>0</v>
      </c>
      <c r="F44" s="780">
        <f>'Data 2009-11'!F44/F$145</f>
        <v>0</v>
      </c>
      <c r="G44" s="774">
        <f>'DNSP Data Inputs 2012-15'!G44/G$145</f>
        <v>0</v>
      </c>
      <c r="H44" s="774">
        <f>'DNSP Data Inputs 2012-15'!H44/$H$145</f>
        <v>0</v>
      </c>
      <c r="I44" s="774">
        <f>'DNSP Data Inputs 2012-15'!I44/$H$145</f>
        <v>0</v>
      </c>
      <c r="J44" s="775">
        <f>'DNSP Data Inputs 2012-15'!J44/$H$145</f>
        <v>0</v>
      </c>
      <c r="K44" s="36"/>
      <c r="M44" s="2"/>
      <c r="N44" s="2"/>
      <c r="O44" s="2"/>
    </row>
    <row r="45" spans="1:15" x14ac:dyDescent="0.2">
      <c r="A45" s="85" t="str">
        <f t="shared" si="12"/>
        <v>Remotely read interval meters &amp; transformers</v>
      </c>
      <c r="C45" s="20"/>
      <c r="D45" s="779">
        <f>'Data 2009-11'!D45/D$145</f>
        <v>0</v>
      </c>
      <c r="E45" s="780">
        <f>'Data 2009-11'!E45/E$145</f>
        <v>0</v>
      </c>
      <c r="F45" s="780">
        <f>'Data 2009-11'!F45/F$145</f>
        <v>0</v>
      </c>
      <c r="G45" s="774">
        <f>'DNSP Data Inputs 2012-15'!G45/G$145</f>
        <v>0</v>
      </c>
      <c r="H45" s="774">
        <f>'DNSP Data Inputs 2012-15'!H45/$H$145</f>
        <v>0</v>
      </c>
      <c r="I45" s="774">
        <f>'DNSP Data Inputs 2012-15'!I45/$H$145</f>
        <v>0</v>
      </c>
      <c r="J45" s="775">
        <f>'DNSP Data Inputs 2012-15'!J45/$H$145</f>
        <v>0</v>
      </c>
      <c r="K45" s="36"/>
      <c r="M45" s="2"/>
      <c r="N45" s="2"/>
      <c r="O45" s="2"/>
    </row>
    <row r="46" spans="1:15" x14ac:dyDescent="0.2">
      <c r="A46" s="85" t="str">
        <f t="shared" si="12"/>
        <v>IT</v>
      </c>
      <c r="C46" s="20"/>
      <c r="D46" s="779">
        <f>'Data 2009-11'!D46/D$145</f>
        <v>0</v>
      </c>
      <c r="E46" s="780">
        <f>'Data 2009-11'!E46/E$145</f>
        <v>0</v>
      </c>
      <c r="F46" s="780">
        <f>'Data 2009-11'!F46/F$145</f>
        <v>0</v>
      </c>
      <c r="G46" s="774">
        <f>'DNSP Data Inputs 2012-15'!G46/G$145</f>
        <v>0</v>
      </c>
      <c r="H46" s="774">
        <f>'DNSP Data Inputs 2012-15'!H46/$H$145</f>
        <v>0</v>
      </c>
      <c r="I46" s="774">
        <f>'DNSP Data Inputs 2012-15'!I46/$H$145</f>
        <v>0</v>
      </c>
      <c r="J46" s="775">
        <f>'DNSP Data Inputs 2012-15'!J46/$H$145</f>
        <v>0</v>
      </c>
      <c r="K46" s="36"/>
      <c r="M46" s="2"/>
      <c r="N46" s="2"/>
      <c r="O46" s="2"/>
    </row>
    <row r="47" spans="1:15" x14ac:dyDescent="0.2">
      <c r="A47" s="85" t="str">
        <f t="shared" si="12"/>
        <v>Communications</v>
      </c>
      <c r="B47" s="91"/>
      <c r="C47" s="20"/>
      <c r="D47" s="779">
        <f>'Data 2009-11'!D47/D$145</f>
        <v>0</v>
      </c>
      <c r="E47" s="780">
        <f>'Data 2009-11'!E47/E$145</f>
        <v>0</v>
      </c>
      <c r="F47" s="780">
        <f>'Data 2009-11'!F47/F$145</f>
        <v>0</v>
      </c>
      <c r="G47" s="774">
        <f>'DNSP Data Inputs 2012-15'!G47/G$145</f>
        <v>0</v>
      </c>
      <c r="H47" s="774">
        <f>'DNSP Data Inputs 2012-15'!H47/$H$145</f>
        <v>0</v>
      </c>
      <c r="I47" s="774">
        <f>'DNSP Data Inputs 2012-15'!I47/$H$145</f>
        <v>0</v>
      </c>
      <c r="J47" s="775">
        <f>'DNSP Data Inputs 2012-15'!J47/$H$145</f>
        <v>0</v>
      </c>
      <c r="K47" s="36"/>
      <c r="M47" s="2"/>
      <c r="N47" s="2"/>
      <c r="O47" s="2"/>
    </row>
    <row r="48" spans="1:15" x14ac:dyDescent="0.2">
      <c r="A48" s="85" t="str">
        <f t="shared" si="12"/>
        <v>Other</v>
      </c>
      <c r="C48" s="20"/>
      <c r="D48" s="781">
        <f>'Data 2009-11'!D48/D$145</f>
        <v>0</v>
      </c>
      <c r="E48" s="782">
        <f>'Data 2009-11'!E48/E$145</f>
        <v>0</v>
      </c>
      <c r="F48" s="782">
        <f>'Data 2009-11'!F48/F$145</f>
        <v>0</v>
      </c>
      <c r="G48" s="774">
        <f>'DNSP Data Inputs 2012-15'!G48/G$145</f>
        <v>0</v>
      </c>
      <c r="H48" s="774">
        <f>'DNSP Data Inputs 2012-15'!H48/$H$145</f>
        <v>0</v>
      </c>
      <c r="I48" s="774">
        <f>'DNSP Data Inputs 2012-15'!I48/$H$145</f>
        <v>0</v>
      </c>
      <c r="J48" s="775">
        <f>'DNSP Data Inputs 2012-15'!J48/$H$145</f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91"/>
      <c r="C49" s="2"/>
      <c r="D49" s="327">
        <f t="shared" ref="D49:J49" si="13">SUM(D43:D48)</f>
        <v>0</v>
      </c>
      <c r="E49" s="92">
        <f t="shared" si="13"/>
        <v>0</v>
      </c>
      <c r="F49" s="92">
        <f t="shared" si="13"/>
        <v>0</v>
      </c>
      <c r="G49" s="92">
        <f t="shared" si="13"/>
        <v>0</v>
      </c>
      <c r="H49" s="92">
        <f t="shared" si="13"/>
        <v>0</v>
      </c>
      <c r="I49" s="92">
        <f t="shared" si="13"/>
        <v>0</v>
      </c>
      <c r="J49" s="328">
        <f t="shared" si="13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5"/>
      <c r="C52" s="2"/>
      <c r="D52" s="4">
        <v>2009</v>
      </c>
      <c r="E52" s="5">
        <v>2010</v>
      </c>
      <c r="F52" s="5">
        <v>2011</v>
      </c>
      <c r="G52" s="47">
        <f>G$1</f>
        <v>2012</v>
      </c>
      <c r="H52" s="47">
        <f>H$1</f>
        <v>2013</v>
      </c>
      <c r="I52" s="47">
        <f>I$1</f>
        <v>2014</v>
      </c>
      <c r="J52" s="48">
        <f>J$1</f>
        <v>2015</v>
      </c>
      <c r="K52" s="56"/>
      <c r="L52" s="2"/>
      <c r="M52" s="21"/>
      <c r="N52" s="21"/>
      <c r="O52" s="21"/>
    </row>
    <row r="53" spans="1:15" s="1" customFormat="1" x14ac:dyDescent="0.2">
      <c r="A53" s="43" t="s">
        <v>1</v>
      </c>
      <c r="B53" s="455"/>
      <c r="C53" s="2"/>
      <c r="D53" s="49" t="str">
        <f t="shared" ref="D53:J53" si="14">D$2</f>
        <v>Real 2008 $</v>
      </c>
      <c r="E53" s="50" t="str">
        <f t="shared" si="14"/>
        <v>Real 2008 $</v>
      </c>
      <c r="F53" s="50" t="str">
        <f t="shared" si="14"/>
        <v>Real 2008 $</v>
      </c>
      <c r="G53" s="50" t="str">
        <f t="shared" si="14"/>
        <v>Real 2008 $</v>
      </c>
      <c r="H53" s="50" t="str">
        <f t="shared" si="14"/>
        <v>Real 2008 $</v>
      </c>
      <c r="I53" s="50" t="str">
        <f t="shared" si="14"/>
        <v>Real 2008 $</v>
      </c>
      <c r="J53" s="51" t="str">
        <f t="shared" si="14"/>
        <v>Real 2008 $</v>
      </c>
      <c r="K53" s="110"/>
      <c r="L53" s="2"/>
      <c r="M53" s="21"/>
      <c r="N53" s="21"/>
      <c r="O53" s="21"/>
    </row>
    <row r="54" spans="1:15" s="1" customFormat="1" x14ac:dyDescent="0.2">
      <c r="A54" s="3"/>
      <c r="B54" s="91"/>
      <c r="C54" s="2"/>
      <c r="D54" s="52" t="str">
        <f t="shared" ref="D54:J54" si="15">D$3</f>
        <v>Actual</v>
      </c>
      <c r="E54" s="53" t="str">
        <f t="shared" si="15"/>
        <v>Actual</v>
      </c>
      <c r="F54" s="53" t="str">
        <f t="shared" si="15"/>
        <v>Actual</v>
      </c>
      <c r="G54" s="53" t="str">
        <f t="shared" si="15"/>
        <v>Actual</v>
      </c>
      <c r="H54" s="53" t="str">
        <f t="shared" si="15"/>
        <v>Forecast</v>
      </c>
      <c r="I54" s="53" t="str">
        <f t="shared" si="15"/>
        <v>Forecast</v>
      </c>
      <c r="J54" s="731" t="str">
        <f t="shared" si="15"/>
        <v>Forecast</v>
      </c>
      <c r="K54" s="110"/>
      <c r="L54" s="2"/>
      <c r="M54" s="21"/>
      <c r="N54" s="21"/>
      <c r="O54" s="21"/>
    </row>
    <row r="55" spans="1:15" s="1" customFormat="1" ht="13.5" thickBot="1" x14ac:dyDescent="0.25">
      <c r="A55" s="3" t="s">
        <v>410</v>
      </c>
      <c r="B55" s="85"/>
      <c r="C55" s="2"/>
      <c r="D55" s="776">
        <f>'Data 2009-11'!D55/D$145</f>
        <v>25845627.888817675</v>
      </c>
      <c r="E55" s="777">
        <f>'Data 2009-11'!E55/E$145</f>
        <v>37448295.386666842</v>
      </c>
      <c r="F55" s="777">
        <f>'Data 2009-11'!F55/F$145</f>
        <v>39179753.657996863</v>
      </c>
      <c r="G55" s="778">
        <f>'DNSP Data Inputs 2012-15'!G55/G$145</f>
        <v>35531157.247911997</v>
      </c>
      <c r="H55" s="778">
        <f>'DNSP Data Inputs 2012-15'!H55/$H$145</f>
        <v>34225006.087447591</v>
      </c>
      <c r="I55" s="797">
        <f>'DNSP Data Inputs 2012-15'!I55/$H$145+I56</f>
        <v>26669425.532664169</v>
      </c>
      <c r="J55" s="798">
        <f>'DNSP Data Inputs 2012-15'!J55/$H$145+J56</f>
        <v>24648352.217434742</v>
      </c>
      <c r="K55" s="119"/>
      <c r="L55" s="2"/>
      <c r="M55" s="21"/>
      <c r="N55" s="21"/>
      <c r="O55" s="21"/>
    </row>
    <row r="56" spans="1:15" s="1" customFormat="1" ht="13.5" thickTop="1" x14ac:dyDescent="0.2">
      <c r="A56" s="3" t="s">
        <v>392</v>
      </c>
      <c r="B56" s="453"/>
      <c r="C56" s="802"/>
      <c r="D56" s="795"/>
      <c r="E56" s="795"/>
      <c r="F56" s="795"/>
      <c r="G56" s="795"/>
      <c r="H56" s="795"/>
      <c r="I56" s="796">
        <f>'AMI RAB 2009-15'!I12*10^3*$I$133*I57</f>
        <v>0</v>
      </c>
      <c r="J56" s="796">
        <f>'AMI RAB 2009-15'!J12*10^3*$I$133*J57</f>
        <v>0</v>
      </c>
      <c r="K56" s="19"/>
      <c r="L56" s="2"/>
      <c r="M56" s="21"/>
      <c r="N56" s="21"/>
      <c r="O56" s="21"/>
    </row>
    <row r="57" spans="1:15" s="1" customFormat="1" x14ac:dyDescent="0.2">
      <c r="A57" s="794" t="s">
        <v>393</v>
      </c>
      <c r="B57" s="449"/>
      <c r="C57" s="802"/>
      <c r="D57" s="795"/>
      <c r="E57" s="795"/>
      <c r="F57" s="795"/>
      <c r="G57" s="795"/>
      <c r="H57" s="795"/>
      <c r="I57" s="803">
        <v>2.3E-3</v>
      </c>
      <c r="J57" s="803">
        <v>2.3E-3</v>
      </c>
      <c r="K57" s="19"/>
      <c r="L57" s="2"/>
      <c r="M57" s="21"/>
      <c r="N57" s="21"/>
      <c r="O57" s="21"/>
    </row>
    <row r="58" spans="1:15" s="1" customFormat="1" x14ac:dyDescent="0.2">
      <c r="A58" s="60" t="s">
        <v>63</v>
      </c>
      <c r="B58" s="450"/>
      <c r="D58" s="46">
        <f t="shared" ref="D58:J58" si="16">D$1</f>
        <v>2009</v>
      </c>
      <c r="E58" s="47">
        <f t="shared" si="16"/>
        <v>2010</v>
      </c>
      <c r="F58" s="47">
        <f t="shared" si="16"/>
        <v>2011</v>
      </c>
      <c r="G58" s="47">
        <f t="shared" si="16"/>
        <v>2012</v>
      </c>
      <c r="H58" s="47">
        <f t="shared" si="16"/>
        <v>2013</v>
      </c>
      <c r="I58" s="47">
        <f t="shared" si="16"/>
        <v>2014</v>
      </c>
      <c r="J58" s="48">
        <f t="shared" si="16"/>
        <v>2015</v>
      </c>
      <c r="K58" s="19"/>
      <c r="L58" s="19"/>
      <c r="M58" s="21"/>
      <c r="N58" s="21"/>
      <c r="O58" s="21"/>
    </row>
    <row r="59" spans="1:15" s="1" customFormat="1" x14ac:dyDescent="0.2">
      <c r="B59" s="88"/>
      <c r="D59" s="729" t="s">
        <v>22</v>
      </c>
      <c r="E59" s="733" t="s">
        <v>22</v>
      </c>
      <c r="F59" s="733" t="s">
        <v>22</v>
      </c>
      <c r="G59" s="733" t="s">
        <v>22</v>
      </c>
      <c r="H59" s="733" t="s">
        <v>22</v>
      </c>
      <c r="I59" s="733" t="s">
        <v>22</v>
      </c>
      <c r="J59" s="730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8" t="s">
        <v>63</v>
      </c>
      <c r="B60" s="449"/>
      <c r="D60" s="805">
        <f>'Data 2009-11'!D60</f>
        <v>37927245.233500004</v>
      </c>
      <c r="E60" s="893">
        <f>'Data 2009-11'!E60</f>
        <v>65653893.745999992</v>
      </c>
      <c r="F60" s="893">
        <f>'Data 2009-11'!F60</f>
        <v>73478180.732400015</v>
      </c>
      <c r="G60" s="806">
        <f>'DNSP Data Inputs 2012-15'!G60</f>
        <v>94562803.278688535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M62" s="21"/>
      <c r="N62" s="21"/>
      <c r="O62" s="21"/>
    </row>
    <row r="63" spans="1:15" s="1" customFormat="1" x14ac:dyDescent="0.2">
      <c r="A63" s="30"/>
      <c r="B63" s="86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0"/>
      <c r="B64" s="88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0" t="s">
        <v>286</v>
      </c>
      <c r="B65" s="88"/>
      <c r="D65" s="20"/>
      <c r="E65" s="913" t="s">
        <v>379</v>
      </c>
      <c r="F65" s="914"/>
      <c r="G65" s="914"/>
      <c r="H65" s="914"/>
      <c r="I65" s="914"/>
      <c r="J65" s="915"/>
      <c r="K65" s="32"/>
      <c r="L65" s="2"/>
      <c r="O65" s="913" t="s">
        <v>23</v>
      </c>
      <c r="P65" s="916"/>
      <c r="Q65" s="917"/>
    </row>
    <row r="66" spans="1:17" x14ac:dyDescent="0.2">
      <c r="L66" s="2"/>
    </row>
    <row r="67" spans="1:17" x14ac:dyDescent="0.2">
      <c r="D67" s="56"/>
      <c r="E67" s="4">
        <f t="shared" ref="E67:J67" si="17">E$1</f>
        <v>2010</v>
      </c>
      <c r="F67" s="5">
        <f t="shared" si="17"/>
        <v>2011</v>
      </c>
      <c r="G67" s="5">
        <f t="shared" si="17"/>
        <v>2012</v>
      </c>
      <c r="H67" s="5">
        <f t="shared" si="17"/>
        <v>2013</v>
      </c>
      <c r="I67" s="5">
        <f t="shared" si="17"/>
        <v>2014</v>
      </c>
      <c r="J67" s="6">
        <f t="shared" si="17"/>
        <v>2015</v>
      </c>
      <c r="K67" s="56"/>
      <c r="L67" s="2"/>
      <c r="M67" s="2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9"/>
      <c r="D68" s="309"/>
      <c r="E68" s="736" t="s">
        <v>20</v>
      </c>
      <c r="F68" s="737" t="s">
        <v>20</v>
      </c>
      <c r="G68" s="737" t="s">
        <v>20</v>
      </c>
      <c r="H68" s="737" t="s">
        <v>20</v>
      </c>
      <c r="I68" s="738" t="s">
        <v>21</v>
      </c>
      <c r="J68" s="738" t="s">
        <v>21</v>
      </c>
      <c r="K68" s="110"/>
      <c r="L68" s="2"/>
      <c r="M68" s="2"/>
      <c r="N68" s="2"/>
      <c r="O68" s="690" t="str">
        <f>O$3</f>
        <v>Forecast</v>
      </c>
      <c r="P68" s="739" t="str">
        <f>P$3</f>
        <v>Forecast</v>
      </c>
      <c r="Q68" s="740" t="str">
        <f>Q$3</f>
        <v>Forecast</v>
      </c>
    </row>
    <row r="69" spans="1:17" x14ac:dyDescent="0.2">
      <c r="B69" s="1"/>
      <c r="D69" s="309"/>
      <c r="E69" s="721" t="s">
        <v>22</v>
      </c>
      <c r="F69" s="716" t="s">
        <v>22</v>
      </c>
      <c r="G69" s="731" t="s">
        <v>22</v>
      </c>
      <c r="H69" s="731" t="s">
        <v>22</v>
      </c>
      <c r="I69" s="731" t="s">
        <v>22</v>
      </c>
      <c r="J69" s="731" t="s">
        <v>22</v>
      </c>
      <c r="K69" s="110"/>
      <c r="L69" s="2"/>
      <c r="M69" s="2"/>
      <c r="N69" s="2"/>
      <c r="O69" s="721"/>
      <c r="P69" s="741"/>
      <c r="Q69" s="742"/>
    </row>
    <row r="70" spans="1:17" x14ac:dyDescent="0.2">
      <c r="B70" s="91"/>
      <c r="D70" s="20"/>
      <c r="E70" s="39"/>
      <c r="F70" s="745"/>
      <c r="G70" s="745"/>
      <c r="H70" s="20"/>
      <c r="I70" s="20"/>
      <c r="J70" s="40"/>
      <c r="K70" s="2"/>
      <c r="L70" s="2"/>
      <c r="M70" s="2"/>
      <c r="N70" s="2"/>
      <c r="O70" s="39"/>
      <c r="P70" s="745"/>
      <c r="Q70" s="40"/>
    </row>
    <row r="71" spans="1:17" x14ac:dyDescent="0.2">
      <c r="A71" s="90" t="s">
        <v>24</v>
      </c>
      <c r="B71" s="91"/>
      <c r="D71" s="332"/>
      <c r="E71" s="340" t="s">
        <v>25</v>
      </c>
      <c r="F71" s="700"/>
      <c r="G71" s="700"/>
      <c r="H71" s="700"/>
      <c r="I71" s="700"/>
      <c r="J71" s="123"/>
      <c r="K71" s="120"/>
      <c r="L71" s="2"/>
      <c r="M71" s="2"/>
      <c r="N71" s="2"/>
      <c r="O71" s="23"/>
      <c r="P71" s="20"/>
      <c r="Q71" s="732"/>
    </row>
    <row r="72" spans="1:17" x14ac:dyDescent="0.2">
      <c r="A72" s="84" t="s">
        <v>26</v>
      </c>
      <c r="B72" s="55"/>
      <c r="D72" s="338"/>
      <c r="E72" s="718">
        <v>0</v>
      </c>
      <c r="F72" s="743">
        <v>0</v>
      </c>
      <c r="G72" s="743">
        <v>0</v>
      </c>
      <c r="H72" s="743">
        <v>0</v>
      </c>
      <c r="I72" s="701">
        <f>'DNSP Data Inputs 2012-15'!I72</f>
        <v>0</v>
      </c>
      <c r="J72" s="695">
        <f>'DNSP Data Inputs 2012-15'!J72</f>
        <v>0</v>
      </c>
      <c r="K72" s="121"/>
      <c r="L72" s="2"/>
      <c r="M72" s="2"/>
      <c r="N72" s="2"/>
      <c r="O72" s="691">
        <f>'DNSP Data Inputs 2012-15'!O72</f>
        <v>0</v>
      </c>
      <c r="P72" s="746">
        <f>'DNSP Data Inputs 2012-15'!P72</f>
        <v>0</v>
      </c>
      <c r="Q72" s="692">
        <f>'DNSP Data Inputs 2012-15'!Q72</f>
        <v>0</v>
      </c>
    </row>
    <row r="73" spans="1:17" x14ac:dyDescent="0.2">
      <c r="A73" s="84" t="s">
        <v>27</v>
      </c>
      <c r="B73" s="451"/>
      <c r="D73" s="338"/>
      <c r="E73" s="718">
        <v>0</v>
      </c>
      <c r="F73" s="743">
        <v>0</v>
      </c>
      <c r="G73" s="743">
        <v>0</v>
      </c>
      <c r="H73" s="743">
        <v>0</v>
      </c>
      <c r="I73" s="701">
        <f>'DNSP Data Inputs 2012-15'!I73</f>
        <v>0</v>
      </c>
      <c r="J73" s="695">
        <f>'DNSP Data Inputs 2012-15'!J73</f>
        <v>0</v>
      </c>
      <c r="K73" s="121"/>
      <c r="L73" s="2"/>
      <c r="M73" s="2"/>
      <c r="N73" s="2"/>
      <c r="O73" s="691">
        <f>'DNSP Data Inputs 2012-15'!O73</f>
        <v>0</v>
      </c>
      <c r="P73" s="746">
        <f>'DNSP Data Inputs 2012-15'!P73</f>
        <v>0</v>
      </c>
      <c r="Q73" s="692">
        <f>'DNSP Data Inputs 2012-15'!Q73</f>
        <v>0</v>
      </c>
    </row>
    <row r="74" spans="1:17" x14ac:dyDescent="0.2">
      <c r="A74" s="565" t="s">
        <v>365</v>
      </c>
      <c r="B74" s="2"/>
      <c r="D74" s="338"/>
      <c r="E74" s="718">
        <v>0</v>
      </c>
      <c r="F74" s="743">
        <v>0</v>
      </c>
      <c r="G74" s="743">
        <v>0</v>
      </c>
      <c r="H74" s="743">
        <v>0</v>
      </c>
      <c r="I74" s="701">
        <f>'DNSP Data Inputs 2012-15'!I74</f>
        <v>0</v>
      </c>
      <c r="J74" s="695">
        <f>'DNSP Data Inputs 2012-15'!J74</f>
        <v>0</v>
      </c>
      <c r="K74" s="121"/>
      <c r="L74" s="2"/>
      <c r="M74" s="2"/>
      <c r="N74" s="2"/>
      <c r="O74" s="691">
        <f>'DNSP Data Inputs 2012-15'!O74</f>
        <v>0</v>
      </c>
      <c r="P74" s="746">
        <f>'DNSP Data Inputs 2012-15'!P74</f>
        <v>0</v>
      </c>
      <c r="Q74" s="692">
        <f>'DNSP Data Inputs 2012-15'!Q74</f>
        <v>0</v>
      </c>
    </row>
    <row r="75" spans="1:17" x14ac:dyDescent="0.2">
      <c r="A75" s="565" t="s">
        <v>366</v>
      </c>
      <c r="D75" s="338"/>
      <c r="E75" s="718">
        <v>0</v>
      </c>
      <c r="F75" s="743">
        <v>0</v>
      </c>
      <c r="G75" s="743">
        <v>0</v>
      </c>
      <c r="H75" s="743">
        <v>0</v>
      </c>
      <c r="I75" s="701">
        <f>'DNSP Data Inputs 2012-15'!I75</f>
        <v>0</v>
      </c>
      <c r="J75" s="695">
        <f>'DNSP Data Inputs 2012-15'!J75</f>
        <v>0</v>
      </c>
      <c r="K75" s="121"/>
      <c r="L75" s="2"/>
      <c r="M75" s="2"/>
      <c r="N75" s="2"/>
      <c r="O75" s="691">
        <f>'DNSP Data Inputs 2012-15'!O75</f>
        <v>0</v>
      </c>
      <c r="P75" s="746">
        <f>'DNSP Data Inputs 2012-15'!P75</f>
        <v>0</v>
      </c>
      <c r="Q75" s="692">
        <f>'DNSP Data Inputs 2012-15'!Q75</f>
        <v>0</v>
      </c>
    </row>
    <row r="76" spans="1:17" x14ac:dyDescent="0.2">
      <c r="A76" s="565" t="s">
        <v>367</v>
      </c>
      <c r="D76" s="338"/>
      <c r="E76" s="718">
        <v>0</v>
      </c>
      <c r="F76" s="743">
        <v>0</v>
      </c>
      <c r="G76" s="743">
        <v>0</v>
      </c>
      <c r="H76" s="743">
        <v>0</v>
      </c>
      <c r="I76" s="701">
        <f>'DNSP Data Inputs 2012-15'!I76</f>
        <v>0</v>
      </c>
      <c r="J76" s="695">
        <f>'DNSP Data Inputs 2012-15'!J76</f>
        <v>0</v>
      </c>
      <c r="K76" s="121"/>
      <c r="L76" s="2"/>
      <c r="M76" s="2"/>
      <c r="N76" s="2"/>
      <c r="O76" s="691">
        <f>'DNSP Data Inputs 2012-15'!O76</f>
        <v>0</v>
      </c>
      <c r="P76" s="746">
        <f>'DNSP Data Inputs 2012-15'!P76</f>
        <v>0</v>
      </c>
      <c r="Q76" s="692">
        <f>'DNSP Data Inputs 2012-15'!Q76</f>
        <v>0</v>
      </c>
    </row>
    <row r="77" spans="1:17" x14ac:dyDescent="0.2">
      <c r="A77" s="565" t="s">
        <v>368</v>
      </c>
      <c r="B77" s="2"/>
      <c r="D77" s="338"/>
      <c r="E77" s="718">
        <v>0</v>
      </c>
      <c r="F77" s="743">
        <v>0</v>
      </c>
      <c r="G77" s="743">
        <v>0</v>
      </c>
      <c r="H77" s="743">
        <v>0</v>
      </c>
      <c r="I77" s="701">
        <f>'DNSP Data Inputs 2012-15'!I77</f>
        <v>0</v>
      </c>
      <c r="J77" s="695">
        <f>'DNSP Data Inputs 2012-15'!J77</f>
        <v>0</v>
      </c>
      <c r="K77" s="121"/>
      <c r="L77" s="2"/>
      <c r="M77" s="2"/>
      <c r="N77" s="2"/>
      <c r="O77" s="691">
        <f>'DNSP Data Inputs 2012-15'!O77</f>
        <v>0</v>
      </c>
      <c r="P77" s="746">
        <f>'DNSP Data Inputs 2012-15'!P77</f>
        <v>0</v>
      </c>
      <c r="Q77" s="692">
        <f>'DNSP Data Inputs 2012-15'!Q77</f>
        <v>0</v>
      </c>
    </row>
    <row r="78" spans="1:17" x14ac:dyDescent="0.2">
      <c r="A78" s="565" t="s">
        <v>369</v>
      </c>
      <c r="B78" s="88"/>
      <c r="D78" s="338"/>
      <c r="E78" s="718">
        <v>0</v>
      </c>
      <c r="F78" s="743">
        <v>0</v>
      </c>
      <c r="G78" s="743">
        <v>0</v>
      </c>
      <c r="H78" s="743">
        <v>0</v>
      </c>
      <c r="I78" s="701">
        <f>'DNSP Data Inputs 2012-15'!I78</f>
        <v>0</v>
      </c>
      <c r="J78" s="695">
        <f>'DNSP Data Inputs 2012-15'!J78</f>
        <v>0</v>
      </c>
      <c r="K78" s="121"/>
      <c r="L78" s="2"/>
      <c r="M78" s="2"/>
      <c r="N78" s="2"/>
      <c r="O78" s="691">
        <f>'DNSP Data Inputs 2012-15'!O78</f>
        <v>0</v>
      </c>
      <c r="P78" s="746">
        <f>'DNSP Data Inputs 2012-15'!P78</f>
        <v>0</v>
      </c>
      <c r="Q78" s="692">
        <f>'DNSP Data Inputs 2012-15'!Q78</f>
        <v>0</v>
      </c>
    </row>
    <row r="79" spans="1:17" x14ac:dyDescent="0.2">
      <c r="A79" s="84"/>
      <c r="D79" s="339"/>
      <c r="E79" s="341"/>
      <c r="F79" s="334"/>
      <c r="G79" s="334"/>
      <c r="H79" s="334"/>
      <c r="I79" s="334"/>
      <c r="J79" s="335"/>
      <c r="K79" s="2"/>
      <c r="L79" s="2"/>
      <c r="M79" s="2"/>
      <c r="N79" s="2"/>
      <c r="O79" s="23"/>
      <c r="P79" s="20"/>
      <c r="Q79" s="732"/>
    </row>
    <row r="80" spans="1:17" x14ac:dyDescent="0.2">
      <c r="A80" s="84"/>
      <c r="D80" s="339"/>
      <c r="E80" s="341"/>
      <c r="F80" s="334"/>
      <c r="G80" s="334"/>
      <c r="H80" s="334"/>
      <c r="I80" s="334"/>
      <c r="J80" s="335"/>
      <c r="K80" s="2"/>
      <c r="L80" s="2"/>
      <c r="M80" s="2"/>
      <c r="N80" s="2"/>
      <c r="O80" s="23"/>
      <c r="P80" s="20"/>
      <c r="Q80" s="732"/>
    </row>
    <row r="81" spans="1:17" x14ac:dyDescent="0.2">
      <c r="A81" s="90" t="s">
        <v>24</v>
      </c>
      <c r="B81" s="320"/>
      <c r="D81" s="332"/>
      <c r="E81" s="521" t="s">
        <v>28</v>
      </c>
      <c r="F81" s="702"/>
      <c r="G81" s="702"/>
      <c r="H81" s="702"/>
      <c r="I81" s="702"/>
      <c r="J81" s="336"/>
      <c r="K81" s="120"/>
      <c r="L81" s="2"/>
      <c r="M81" s="2"/>
      <c r="N81" s="2"/>
      <c r="O81" s="23"/>
      <c r="P81" s="20"/>
      <c r="Q81" s="732"/>
    </row>
    <row r="82" spans="1:17" x14ac:dyDescent="0.2">
      <c r="A82" s="84" t="s">
        <v>26</v>
      </c>
      <c r="B82" s="320"/>
      <c r="D82" s="334"/>
      <c r="E82" s="718">
        <v>0</v>
      </c>
      <c r="F82" s="743">
        <v>0</v>
      </c>
      <c r="G82" s="743">
        <v>0</v>
      </c>
      <c r="H82" s="743">
        <v>0</v>
      </c>
      <c r="I82" s="701">
        <f>'DNSP Data Inputs 2012-15'!I82</f>
        <v>0</v>
      </c>
      <c r="J82" s="695">
        <f>'DNSP Data Inputs 2012-15'!J82</f>
        <v>0</v>
      </c>
      <c r="K82" s="121"/>
      <c r="L82" s="2"/>
      <c r="M82" s="2"/>
      <c r="N82" s="2"/>
      <c r="O82" s="691">
        <f>'DNSP Data Inputs 2012-15'!O82</f>
        <v>0</v>
      </c>
      <c r="P82" s="746">
        <f>'DNSP Data Inputs 2012-15'!P82</f>
        <v>0</v>
      </c>
      <c r="Q82" s="692">
        <f>'DNSP Data Inputs 2012-15'!Q82</f>
        <v>0</v>
      </c>
    </row>
    <row r="83" spans="1:17" x14ac:dyDescent="0.2">
      <c r="A83" s="84" t="s">
        <v>27</v>
      </c>
      <c r="B83" s="433"/>
      <c r="D83" s="334"/>
      <c r="E83" s="718">
        <v>0</v>
      </c>
      <c r="F83" s="743">
        <v>0</v>
      </c>
      <c r="G83" s="743">
        <v>0</v>
      </c>
      <c r="H83" s="743">
        <v>0</v>
      </c>
      <c r="I83" s="701">
        <f>'DNSP Data Inputs 2012-15'!I83</f>
        <v>0</v>
      </c>
      <c r="J83" s="695">
        <f>'DNSP Data Inputs 2012-15'!J83</f>
        <v>0</v>
      </c>
      <c r="K83" s="121"/>
      <c r="L83" s="2"/>
      <c r="M83" s="2"/>
      <c r="N83" s="2"/>
      <c r="O83" s="691">
        <f>'DNSP Data Inputs 2012-15'!O83</f>
        <v>0</v>
      </c>
      <c r="P83" s="746">
        <f>'DNSP Data Inputs 2012-15'!P83</f>
        <v>0</v>
      </c>
      <c r="Q83" s="692">
        <f>'DNSP Data Inputs 2012-15'!Q83</f>
        <v>0</v>
      </c>
    </row>
    <row r="84" spans="1:17" x14ac:dyDescent="0.2">
      <c r="A84" s="565" t="s">
        <v>365</v>
      </c>
      <c r="D84" s="338"/>
      <c r="E84" s="718">
        <v>0</v>
      </c>
      <c r="F84" s="743">
        <v>0</v>
      </c>
      <c r="G84" s="743">
        <v>0</v>
      </c>
      <c r="H84" s="743">
        <v>0</v>
      </c>
      <c r="I84" s="701">
        <f>'DNSP Data Inputs 2012-15'!I84</f>
        <v>0</v>
      </c>
      <c r="J84" s="695">
        <f>'DNSP Data Inputs 2012-15'!J84</f>
        <v>0</v>
      </c>
      <c r="K84" s="121"/>
      <c r="L84" s="2"/>
      <c r="M84" s="2"/>
      <c r="N84" s="2"/>
      <c r="O84" s="691">
        <f>'DNSP Data Inputs 2012-15'!O84</f>
        <v>0</v>
      </c>
      <c r="P84" s="746">
        <f>'DNSP Data Inputs 2012-15'!P84</f>
        <v>0</v>
      </c>
      <c r="Q84" s="692">
        <f>'DNSP Data Inputs 2012-15'!Q84</f>
        <v>0</v>
      </c>
    </row>
    <row r="85" spans="1:17" x14ac:dyDescent="0.2">
      <c r="A85" s="565" t="s">
        <v>366</v>
      </c>
      <c r="D85" s="338"/>
      <c r="E85" s="718">
        <v>0</v>
      </c>
      <c r="F85" s="743">
        <v>0</v>
      </c>
      <c r="G85" s="743">
        <v>0</v>
      </c>
      <c r="H85" s="743">
        <v>0</v>
      </c>
      <c r="I85" s="701">
        <f>'DNSP Data Inputs 2012-15'!I85</f>
        <v>0</v>
      </c>
      <c r="J85" s="695">
        <f>'DNSP Data Inputs 2012-15'!J85</f>
        <v>0</v>
      </c>
      <c r="K85" s="121"/>
      <c r="L85" s="2"/>
      <c r="M85" s="2"/>
      <c r="N85" s="2"/>
      <c r="O85" s="691">
        <f>'DNSP Data Inputs 2012-15'!O85</f>
        <v>0</v>
      </c>
      <c r="P85" s="746">
        <f>'DNSP Data Inputs 2012-15'!P85</f>
        <v>0</v>
      </c>
      <c r="Q85" s="692">
        <f>'DNSP Data Inputs 2012-15'!Q85</f>
        <v>0</v>
      </c>
    </row>
    <row r="86" spans="1:17" x14ac:dyDescent="0.2">
      <c r="A86" s="565" t="s">
        <v>367</v>
      </c>
      <c r="D86" s="338"/>
      <c r="E86" s="718">
        <v>0</v>
      </c>
      <c r="F86" s="743">
        <v>0</v>
      </c>
      <c r="G86" s="743">
        <v>0</v>
      </c>
      <c r="H86" s="743">
        <v>0</v>
      </c>
      <c r="I86" s="701">
        <f>'DNSP Data Inputs 2012-15'!I86</f>
        <v>0</v>
      </c>
      <c r="J86" s="695">
        <f>'DNSP Data Inputs 2012-15'!J86</f>
        <v>0</v>
      </c>
      <c r="K86" s="121"/>
      <c r="L86" s="2"/>
      <c r="M86" s="2"/>
      <c r="N86" s="2"/>
      <c r="O86" s="691">
        <f>'DNSP Data Inputs 2012-15'!O86</f>
        <v>0</v>
      </c>
      <c r="P86" s="746">
        <f>'DNSP Data Inputs 2012-15'!P86</f>
        <v>0</v>
      </c>
      <c r="Q86" s="692">
        <f>'DNSP Data Inputs 2012-15'!Q86</f>
        <v>0</v>
      </c>
    </row>
    <row r="87" spans="1:17" x14ac:dyDescent="0.2">
      <c r="A87" s="565" t="s">
        <v>368</v>
      </c>
      <c r="D87" s="338"/>
      <c r="E87" s="718">
        <v>0</v>
      </c>
      <c r="F87" s="743">
        <v>0</v>
      </c>
      <c r="G87" s="743">
        <v>0</v>
      </c>
      <c r="H87" s="743">
        <v>0</v>
      </c>
      <c r="I87" s="701">
        <f>'DNSP Data Inputs 2012-15'!I87</f>
        <v>0</v>
      </c>
      <c r="J87" s="695">
        <f>'DNSP Data Inputs 2012-15'!J87</f>
        <v>0</v>
      </c>
      <c r="K87" s="121"/>
      <c r="L87" s="2"/>
      <c r="M87" s="2"/>
      <c r="N87" s="2"/>
      <c r="O87" s="691">
        <f>'DNSP Data Inputs 2012-15'!O87</f>
        <v>0</v>
      </c>
      <c r="P87" s="746">
        <f>'DNSP Data Inputs 2012-15'!P87</f>
        <v>0</v>
      </c>
      <c r="Q87" s="692">
        <f>'DNSP Data Inputs 2012-15'!Q87</f>
        <v>0</v>
      </c>
    </row>
    <row r="88" spans="1:17" x14ac:dyDescent="0.2">
      <c r="A88" s="565" t="s">
        <v>369</v>
      </c>
      <c r="B88" s="108"/>
      <c r="D88" s="338"/>
      <c r="E88" s="718">
        <v>0</v>
      </c>
      <c r="F88" s="743">
        <v>0</v>
      </c>
      <c r="G88" s="743">
        <v>0</v>
      </c>
      <c r="H88" s="743">
        <v>0</v>
      </c>
      <c r="I88" s="701">
        <f>'DNSP Data Inputs 2012-15'!I88</f>
        <v>0</v>
      </c>
      <c r="J88" s="695">
        <f>'DNSP Data Inputs 2012-15'!J88</f>
        <v>0</v>
      </c>
      <c r="K88" s="121"/>
      <c r="L88" s="2"/>
      <c r="M88" s="2"/>
      <c r="N88" s="2"/>
      <c r="O88" s="691">
        <f>'DNSP Data Inputs 2012-15'!O88</f>
        <v>0</v>
      </c>
      <c r="P88" s="746">
        <f>'DNSP Data Inputs 2012-15'!P88</f>
        <v>0</v>
      </c>
      <c r="Q88" s="692">
        <f>'DNSP Data Inputs 2012-15'!Q88</f>
        <v>0</v>
      </c>
    </row>
    <row r="89" spans="1:17" x14ac:dyDescent="0.2">
      <c r="A89" s="84"/>
      <c r="B89" s="88"/>
      <c r="D89" s="339"/>
      <c r="E89" s="341"/>
      <c r="F89" s="334"/>
      <c r="G89" s="334"/>
      <c r="H89" s="334"/>
      <c r="I89" s="334"/>
      <c r="J89" s="335"/>
      <c r="K89" s="2"/>
      <c r="L89" s="2"/>
      <c r="M89" s="2"/>
      <c r="N89" s="2"/>
      <c r="O89" s="23"/>
      <c r="P89" s="20"/>
      <c r="Q89" s="732"/>
    </row>
    <row r="90" spans="1:17" x14ac:dyDescent="0.2">
      <c r="A90" s="84"/>
      <c r="B90" s="93"/>
      <c r="D90" s="339"/>
      <c r="E90" s="341"/>
      <c r="F90" s="334"/>
      <c r="G90" s="334"/>
      <c r="H90" s="334"/>
      <c r="I90" s="334"/>
      <c r="J90" s="335"/>
      <c r="K90" s="2"/>
      <c r="L90" s="2"/>
      <c r="M90" s="2"/>
      <c r="N90" s="2"/>
      <c r="O90" s="23"/>
      <c r="P90" s="20"/>
      <c r="Q90" s="732"/>
    </row>
    <row r="91" spans="1:17" x14ac:dyDescent="0.2">
      <c r="A91" s="90" t="s">
        <v>29</v>
      </c>
      <c r="B91" s="93"/>
      <c r="D91" s="332"/>
      <c r="E91" s="340" t="s">
        <v>25</v>
      </c>
      <c r="F91" s="702"/>
      <c r="G91" s="702"/>
      <c r="H91" s="702"/>
      <c r="I91" s="702"/>
      <c r="J91" s="336"/>
      <c r="K91" s="120"/>
      <c r="L91" s="2"/>
      <c r="M91" s="2"/>
      <c r="N91" s="2"/>
      <c r="O91" s="23"/>
      <c r="P91" s="20"/>
      <c r="Q91" s="732"/>
    </row>
    <row r="92" spans="1:17" x14ac:dyDescent="0.2">
      <c r="A92" s="84" t="s">
        <v>30</v>
      </c>
      <c r="B92" s="91"/>
      <c r="D92" s="338"/>
      <c r="E92" s="718">
        <v>0</v>
      </c>
      <c r="F92" s="743">
        <v>0</v>
      </c>
      <c r="G92" s="743">
        <v>0</v>
      </c>
      <c r="H92" s="743">
        <v>0</v>
      </c>
      <c r="I92" s="701">
        <f>'DNSP Data Inputs 2012-15'!I92</f>
        <v>0</v>
      </c>
      <c r="J92" s="695">
        <f>'DNSP Data Inputs 2012-15'!J92</f>
        <v>0</v>
      </c>
      <c r="K92" s="121"/>
      <c r="L92" s="2"/>
      <c r="M92" s="2"/>
      <c r="N92" s="2"/>
      <c r="O92" s="691">
        <f>'DNSP Data Inputs 2012-15'!O92</f>
        <v>0</v>
      </c>
      <c r="P92" s="746">
        <f>'DNSP Data Inputs 2012-15'!P92</f>
        <v>0</v>
      </c>
      <c r="Q92" s="692">
        <f>'DNSP Data Inputs 2012-15'!Q92</f>
        <v>0</v>
      </c>
    </row>
    <row r="93" spans="1:17" x14ac:dyDescent="0.2">
      <c r="A93" s="84" t="s">
        <v>31</v>
      </c>
      <c r="B93" s="86"/>
      <c r="D93" s="338"/>
      <c r="E93" s="718">
        <v>0</v>
      </c>
      <c r="F93" s="743">
        <v>0</v>
      </c>
      <c r="G93" s="743">
        <v>0</v>
      </c>
      <c r="H93" s="743">
        <v>0</v>
      </c>
      <c r="I93" s="701">
        <f>'DNSP Data Inputs 2012-15'!I93</f>
        <v>0</v>
      </c>
      <c r="J93" s="695">
        <f>'DNSP Data Inputs 2012-15'!J93</f>
        <v>0</v>
      </c>
      <c r="K93" s="121"/>
      <c r="L93" s="2"/>
      <c r="M93" s="2"/>
      <c r="N93" s="2"/>
      <c r="O93" s="691">
        <f>'DNSP Data Inputs 2012-15'!O93</f>
        <v>0</v>
      </c>
      <c r="P93" s="746">
        <f>'DNSP Data Inputs 2012-15'!P93</f>
        <v>0</v>
      </c>
      <c r="Q93" s="692">
        <f>'DNSP Data Inputs 2012-15'!Q93</f>
        <v>0</v>
      </c>
    </row>
    <row r="94" spans="1:17" x14ac:dyDescent="0.2">
      <c r="A94" s="84" t="s">
        <v>32</v>
      </c>
      <c r="B94" s="91"/>
      <c r="D94" s="338"/>
      <c r="E94" s="718">
        <v>0</v>
      </c>
      <c r="F94" s="743">
        <v>0</v>
      </c>
      <c r="G94" s="743">
        <v>0</v>
      </c>
      <c r="H94" s="743">
        <v>0</v>
      </c>
      <c r="I94" s="701">
        <f>'DNSP Data Inputs 2012-15'!I94</f>
        <v>0</v>
      </c>
      <c r="J94" s="695">
        <f>'DNSP Data Inputs 2012-15'!J94</f>
        <v>0</v>
      </c>
      <c r="K94" s="121"/>
      <c r="L94" s="2"/>
      <c r="M94" s="2"/>
      <c r="N94" s="2"/>
      <c r="O94" s="691">
        <f>'DNSP Data Inputs 2012-15'!O94</f>
        <v>0</v>
      </c>
      <c r="P94" s="746">
        <f>'DNSP Data Inputs 2012-15'!P94</f>
        <v>0</v>
      </c>
      <c r="Q94" s="692">
        <f>'DNSP Data Inputs 2012-15'!Q94</f>
        <v>0</v>
      </c>
    </row>
    <row r="95" spans="1:17" x14ac:dyDescent="0.2">
      <c r="A95" s="84" t="s">
        <v>33</v>
      </c>
      <c r="B95" s="93"/>
      <c r="D95" s="338"/>
      <c r="E95" s="718">
        <v>0</v>
      </c>
      <c r="F95" s="743">
        <v>0</v>
      </c>
      <c r="G95" s="743">
        <v>0</v>
      </c>
      <c r="H95" s="743">
        <v>0</v>
      </c>
      <c r="I95" s="701">
        <f>'DNSP Data Inputs 2012-15'!I95</f>
        <v>0</v>
      </c>
      <c r="J95" s="695">
        <f>'DNSP Data Inputs 2012-15'!J95</f>
        <v>0</v>
      </c>
      <c r="K95" s="121"/>
      <c r="L95" s="2"/>
      <c r="M95" s="2"/>
      <c r="N95" s="2"/>
      <c r="O95" s="691">
        <f>'DNSP Data Inputs 2012-15'!O95</f>
        <v>0</v>
      </c>
      <c r="P95" s="746">
        <f>'DNSP Data Inputs 2012-15'!P95</f>
        <v>0</v>
      </c>
      <c r="Q95" s="692">
        <f>'DNSP Data Inputs 2012-15'!Q95</f>
        <v>0</v>
      </c>
    </row>
    <row r="96" spans="1:17" x14ac:dyDescent="0.2">
      <c r="A96" s="84" t="s">
        <v>34</v>
      </c>
      <c r="B96" s="93"/>
      <c r="D96" s="338"/>
      <c r="E96" s="718">
        <v>0</v>
      </c>
      <c r="F96" s="743">
        <v>0</v>
      </c>
      <c r="G96" s="743">
        <v>0</v>
      </c>
      <c r="H96" s="743">
        <v>0</v>
      </c>
      <c r="I96" s="701">
        <f>'DNSP Data Inputs 2012-15'!I96</f>
        <v>0</v>
      </c>
      <c r="J96" s="695">
        <f>'DNSP Data Inputs 2012-15'!J96</f>
        <v>0</v>
      </c>
      <c r="K96" s="121"/>
      <c r="L96" s="2"/>
      <c r="M96" s="2"/>
      <c r="N96" s="2"/>
      <c r="O96" s="691">
        <f>'DNSP Data Inputs 2012-15'!O96</f>
        <v>0</v>
      </c>
      <c r="P96" s="746">
        <f>'DNSP Data Inputs 2012-15'!P96</f>
        <v>0</v>
      </c>
      <c r="Q96" s="692">
        <f>'DNSP Data Inputs 2012-15'!Q96</f>
        <v>0</v>
      </c>
    </row>
    <row r="97" spans="1:17" x14ac:dyDescent="0.2">
      <c r="A97" s="84" t="s">
        <v>35</v>
      </c>
      <c r="B97" s="93"/>
      <c r="D97" s="338"/>
      <c r="E97" s="718">
        <v>0</v>
      </c>
      <c r="F97" s="743">
        <v>0</v>
      </c>
      <c r="G97" s="743">
        <v>0</v>
      </c>
      <c r="H97" s="743">
        <v>0</v>
      </c>
      <c r="I97" s="701">
        <f>'DNSP Data Inputs 2012-15'!I97</f>
        <v>0</v>
      </c>
      <c r="J97" s="695">
        <f>'DNSP Data Inputs 2012-15'!J97</f>
        <v>0</v>
      </c>
      <c r="K97" s="121"/>
      <c r="L97" s="2"/>
      <c r="M97" s="2"/>
      <c r="N97" s="2"/>
      <c r="O97" s="691">
        <f>'DNSP Data Inputs 2012-15'!O97</f>
        <v>0</v>
      </c>
      <c r="P97" s="746">
        <f>'DNSP Data Inputs 2012-15'!P97</f>
        <v>0</v>
      </c>
      <c r="Q97" s="692">
        <f>'DNSP Data Inputs 2012-15'!Q97</f>
        <v>0</v>
      </c>
    </row>
    <row r="98" spans="1:17" x14ac:dyDescent="0.2">
      <c r="A98" s="565" t="s">
        <v>370</v>
      </c>
      <c r="B98" s="93"/>
      <c r="D98" s="338"/>
      <c r="E98" s="906">
        <f t="shared" ref="E98:F102" si="18">E185</f>
        <v>86.1</v>
      </c>
      <c r="F98" s="907">
        <f t="shared" si="18"/>
        <v>93.83</v>
      </c>
      <c r="G98" s="907">
        <f t="shared" ref="G98:H98" si="19">G185</f>
        <v>107.25</v>
      </c>
      <c r="H98" s="907">
        <f t="shared" si="19"/>
        <v>130.44999999999999</v>
      </c>
      <c r="I98" s="904">
        <f>'DNSP Data Inputs 2012-15'!I98</f>
        <v>157.43989465182617</v>
      </c>
      <c r="J98" s="905">
        <f>'DNSP Data Inputs 2012-15'!J98</f>
        <v>190.01395498641716</v>
      </c>
      <c r="K98" s="121"/>
      <c r="L98" s="2"/>
      <c r="M98" s="2"/>
      <c r="N98" s="2"/>
      <c r="O98" s="691">
        <f>'DNSP Data Inputs 2012-15'!O98</f>
        <v>390822.125</v>
      </c>
      <c r="P98" s="746">
        <f>'DNSP Data Inputs 2012-15'!P98</f>
        <v>398557.46675785119</v>
      </c>
      <c r="Q98" s="692">
        <f>'DNSP Data Inputs 2012-15'!Q98</f>
        <v>406120.02995804162</v>
      </c>
    </row>
    <row r="99" spans="1:17" x14ac:dyDescent="0.2">
      <c r="A99" s="565" t="s">
        <v>371</v>
      </c>
      <c r="B99" s="93"/>
      <c r="D99" s="338"/>
      <c r="E99" s="906">
        <f t="shared" si="18"/>
        <v>98.93</v>
      </c>
      <c r="F99" s="907">
        <f t="shared" si="18"/>
        <v>107.81</v>
      </c>
      <c r="G99" s="907">
        <f t="shared" ref="G99:H99" si="20">G186</f>
        <v>123.24</v>
      </c>
      <c r="H99" s="907">
        <f t="shared" si="20"/>
        <v>149.9</v>
      </c>
      <c r="I99" s="904">
        <f>'DNSP Data Inputs 2012-15'!I99</f>
        <v>180.91406828906662</v>
      </c>
      <c r="J99" s="905">
        <f>'DNSP Data Inputs 2012-15'!J99</f>
        <v>218.34489729753875</v>
      </c>
      <c r="K99" s="121"/>
      <c r="L99" s="2"/>
      <c r="M99" s="2"/>
      <c r="N99" s="2"/>
      <c r="O99" s="691">
        <f>'DNSP Data Inputs 2012-15'!O99</f>
        <v>155344.875</v>
      </c>
      <c r="P99" s="746">
        <f>'DNSP Data Inputs 2012-15'!P99</f>
        <v>156548.59239537409</v>
      </c>
      <c r="Q99" s="692">
        <f>'DNSP Data Inputs 2012-15'!Q99</f>
        <v>157702.89891689076</v>
      </c>
    </row>
    <row r="100" spans="1:17" x14ac:dyDescent="0.2">
      <c r="A100" s="565" t="s">
        <v>372</v>
      </c>
      <c r="B100" s="93"/>
      <c r="D100" s="338"/>
      <c r="E100" s="906">
        <f t="shared" si="18"/>
        <v>119.51</v>
      </c>
      <c r="F100" s="907">
        <f t="shared" si="18"/>
        <v>130.25</v>
      </c>
      <c r="G100" s="907">
        <f t="shared" ref="G100:H100" si="21">G187</f>
        <v>148.88999999999999</v>
      </c>
      <c r="H100" s="907">
        <f t="shared" si="21"/>
        <v>181.1</v>
      </c>
      <c r="I100" s="904">
        <f>'DNSP Data Inputs 2012-15'!I100</f>
        <v>218.56929797965287</v>
      </c>
      <c r="J100" s="905">
        <f>'DNSP Data Inputs 2012-15'!J100</f>
        <v>263.79093329275696</v>
      </c>
      <c r="K100" s="121"/>
      <c r="L100" s="2"/>
      <c r="M100" s="2"/>
      <c r="N100" s="2"/>
      <c r="O100" s="691">
        <f>'DNSP Data Inputs 2012-15'!O100</f>
        <v>83175.75</v>
      </c>
      <c r="P100" s="746">
        <f>'DNSP Data Inputs 2012-15'!P100</f>
        <v>84284.130234145021</v>
      </c>
      <c r="Q100" s="692">
        <f>'DNSP Data Inputs 2012-15'!Q100</f>
        <v>85357.055867229894</v>
      </c>
    </row>
    <row r="101" spans="1:17" x14ac:dyDescent="0.2">
      <c r="A101" s="565" t="s">
        <v>373</v>
      </c>
      <c r="B101" s="93"/>
      <c r="D101" s="338"/>
      <c r="E101" s="906">
        <f t="shared" si="18"/>
        <v>132.58000000000001</v>
      </c>
      <c r="F101" s="907">
        <f t="shared" si="18"/>
        <v>144.49</v>
      </c>
      <c r="G101" s="907">
        <f t="shared" ref="G101:H101" si="22">G188</f>
        <v>165.16</v>
      </c>
      <c r="H101" s="907">
        <f t="shared" si="22"/>
        <v>200.89</v>
      </c>
      <c r="I101" s="904">
        <f>'DNSP Data Inputs 2012-15'!I101</f>
        <v>242.45381706864973</v>
      </c>
      <c r="J101" s="905">
        <f>'DNSP Data Inputs 2012-15'!J101</f>
        <v>292.61712086792903</v>
      </c>
      <c r="K101" s="121"/>
      <c r="L101" s="2"/>
      <c r="M101" s="2"/>
      <c r="N101" s="2"/>
      <c r="O101" s="691">
        <f>'DNSP Data Inputs 2012-15'!O101</f>
        <v>42268.18</v>
      </c>
      <c r="P101" s="746">
        <f>'DNSP Data Inputs 2012-15'!P101</f>
        <v>42292.871638879471</v>
      </c>
      <c r="Q101" s="692">
        <f>'DNSP Data Inputs 2012-15'!Q101</f>
        <v>42316.309334747828</v>
      </c>
    </row>
    <row r="102" spans="1:17" x14ac:dyDescent="0.2">
      <c r="A102" s="565" t="s">
        <v>374</v>
      </c>
      <c r="B102" s="93"/>
      <c r="D102" s="338"/>
      <c r="E102" s="906">
        <f t="shared" si="18"/>
        <v>170.71</v>
      </c>
      <c r="F102" s="907">
        <f t="shared" si="18"/>
        <v>186.05</v>
      </c>
      <c r="G102" s="907">
        <f t="shared" ref="G102:H102" si="23">G189</f>
        <v>212.67</v>
      </c>
      <c r="H102" s="907">
        <f t="shared" si="23"/>
        <v>258.68</v>
      </c>
      <c r="I102" s="904">
        <f>'DNSP Data Inputs 2012-15'!I102</f>
        <v>312.20047488336064</v>
      </c>
      <c r="J102" s="905">
        <f>'DNSP Data Inputs 2012-15'!J102</f>
        <v>376.79424971932843</v>
      </c>
      <c r="K102" s="121"/>
      <c r="L102" s="2"/>
      <c r="M102" s="2"/>
      <c r="N102" s="2"/>
      <c r="O102" s="691">
        <f>'DNSP Data Inputs 2012-15'!O102</f>
        <v>3786.4999750000002</v>
      </c>
      <c r="P102" s="746">
        <f>'DNSP Data Inputs 2012-15'!P102</f>
        <v>3826.2809487502545</v>
      </c>
      <c r="Q102" s="692">
        <f>'DNSP Data Inputs 2012-15'!Q102</f>
        <v>3864.6927280900645</v>
      </c>
    </row>
    <row r="103" spans="1:17" x14ac:dyDescent="0.2">
      <c r="A103" s="84"/>
      <c r="B103" s="93"/>
      <c r="D103" s="339"/>
      <c r="E103" s="341"/>
      <c r="F103" s="334"/>
      <c r="G103" s="334"/>
      <c r="H103" s="334"/>
      <c r="I103" s="334"/>
      <c r="J103" s="335"/>
      <c r="K103" s="2"/>
      <c r="L103" s="2"/>
      <c r="M103" s="2"/>
      <c r="N103" s="2"/>
      <c r="O103" s="23"/>
      <c r="P103" s="20"/>
      <c r="Q103" s="732"/>
    </row>
    <row r="104" spans="1:17" x14ac:dyDescent="0.2">
      <c r="A104" s="84"/>
      <c r="B104" s="93"/>
      <c r="D104" s="339"/>
      <c r="E104" s="341"/>
      <c r="F104" s="334"/>
      <c r="G104" s="334"/>
      <c r="H104" s="334"/>
      <c r="I104" s="334"/>
      <c r="J104" s="335"/>
      <c r="K104" s="2"/>
      <c r="L104" s="2"/>
      <c r="M104" s="2"/>
      <c r="N104" s="2"/>
      <c r="O104" s="23"/>
      <c r="P104" s="20"/>
      <c r="Q104" s="732"/>
    </row>
    <row r="105" spans="1:17" x14ac:dyDescent="0.2">
      <c r="A105" s="90" t="s">
        <v>29</v>
      </c>
      <c r="D105" s="332"/>
      <c r="E105" s="521" t="s">
        <v>28</v>
      </c>
      <c r="F105" s="702"/>
      <c r="G105" s="702"/>
      <c r="H105" s="702"/>
      <c r="I105" s="702"/>
      <c r="J105" s="336"/>
      <c r="K105" s="120"/>
      <c r="L105" s="2"/>
      <c r="M105" s="2"/>
      <c r="N105" s="2"/>
      <c r="O105" s="23"/>
      <c r="P105" s="20"/>
      <c r="Q105" s="732"/>
    </row>
    <row r="106" spans="1:17" x14ac:dyDescent="0.2">
      <c r="A106" s="84" t="s">
        <v>30</v>
      </c>
      <c r="B106" s="93"/>
      <c r="D106" s="334"/>
      <c r="E106" s="718">
        <v>0</v>
      </c>
      <c r="F106" s="743">
        <v>0</v>
      </c>
      <c r="G106" s="743">
        <v>0</v>
      </c>
      <c r="H106" s="743">
        <v>0</v>
      </c>
      <c r="I106" s="701">
        <f>'DNSP Data Inputs 2012-15'!I106</f>
        <v>0</v>
      </c>
      <c r="J106" s="695">
        <f>'DNSP Data Inputs 2012-15'!J106</f>
        <v>0</v>
      </c>
      <c r="K106" s="121"/>
      <c r="L106" s="2"/>
      <c r="M106" s="2"/>
      <c r="N106" s="2"/>
      <c r="O106" s="691">
        <f>'DNSP Data Inputs 2012-15'!O106</f>
        <v>0</v>
      </c>
      <c r="P106" s="746">
        <f>'DNSP Data Inputs 2012-15'!P106</f>
        <v>0</v>
      </c>
      <c r="Q106" s="692">
        <f>'DNSP Data Inputs 2012-15'!Q106</f>
        <v>0</v>
      </c>
    </row>
    <row r="107" spans="1:17" x14ac:dyDescent="0.2">
      <c r="A107" s="84" t="s">
        <v>31</v>
      </c>
      <c r="B107" s="93"/>
      <c r="D107" s="338"/>
      <c r="E107" s="718">
        <v>0</v>
      </c>
      <c r="F107" s="743">
        <v>0</v>
      </c>
      <c r="G107" s="743">
        <v>0</v>
      </c>
      <c r="H107" s="743">
        <v>0</v>
      </c>
      <c r="I107" s="701">
        <f>'DNSP Data Inputs 2012-15'!I107</f>
        <v>0</v>
      </c>
      <c r="J107" s="695">
        <f>'DNSP Data Inputs 2012-15'!J107</f>
        <v>0</v>
      </c>
      <c r="K107" s="121"/>
      <c r="L107" s="2"/>
      <c r="M107" s="2"/>
      <c r="N107" s="2"/>
      <c r="O107" s="691">
        <f>'DNSP Data Inputs 2012-15'!O107</f>
        <v>0</v>
      </c>
      <c r="P107" s="746">
        <f>'DNSP Data Inputs 2012-15'!P107</f>
        <v>0</v>
      </c>
      <c r="Q107" s="692">
        <f>'DNSP Data Inputs 2012-15'!Q107</f>
        <v>0</v>
      </c>
    </row>
    <row r="108" spans="1:17" x14ac:dyDescent="0.2">
      <c r="A108" s="84" t="s">
        <v>32</v>
      </c>
      <c r="B108" s="93"/>
      <c r="D108" s="334"/>
      <c r="E108" s="718">
        <v>0</v>
      </c>
      <c r="F108" s="743">
        <v>0</v>
      </c>
      <c r="G108" s="743">
        <v>0</v>
      </c>
      <c r="H108" s="743">
        <v>0</v>
      </c>
      <c r="I108" s="701">
        <f>'DNSP Data Inputs 2012-15'!I108</f>
        <v>0</v>
      </c>
      <c r="J108" s="695">
        <f>'DNSP Data Inputs 2012-15'!J108</f>
        <v>0</v>
      </c>
      <c r="K108" s="121"/>
      <c r="L108" s="2"/>
      <c r="M108" s="2"/>
      <c r="N108" s="2"/>
      <c r="O108" s="691">
        <f>'DNSP Data Inputs 2012-15'!O108</f>
        <v>0</v>
      </c>
      <c r="P108" s="746">
        <f>'DNSP Data Inputs 2012-15'!P108</f>
        <v>0</v>
      </c>
      <c r="Q108" s="692">
        <f>'DNSP Data Inputs 2012-15'!Q108</f>
        <v>0</v>
      </c>
    </row>
    <row r="109" spans="1:17" x14ac:dyDescent="0.2">
      <c r="A109" s="84" t="s">
        <v>33</v>
      </c>
      <c r="B109" s="93"/>
      <c r="D109" s="334"/>
      <c r="E109" s="718">
        <v>0</v>
      </c>
      <c r="F109" s="743">
        <v>0</v>
      </c>
      <c r="G109" s="743">
        <v>0</v>
      </c>
      <c r="H109" s="743">
        <v>0</v>
      </c>
      <c r="I109" s="701">
        <f>'DNSP Data Inputs 2012-15'!I109</f>
        <v>0</v>
      </c>
      <c r="J109" s="695">
        <f>'DNSP Data Inputs 2012-15'!J109</f>
        <v>0</v>
      </c>
      <c r="K109" s="121"/>
      <c r="L109" s="2"/>
      <c r="M109" s="2"/>
      <c r="N109" s="2"/>
      <c r="O109" s="691">
        <f>'DNSP Data Inputs 2012-15'!O109</f>
        <v>0</v>
      </c>
      <c r="P109" s="746">
        <f>'DNSP Data Inputs 2012-15'!P109</f>
        <v>0</v>
      </c>
      <c r="Q109" s="692">
        <f>'DNSP Data Inputs 2012-15'!Q109</f>
        <v>0</v>
      </c>
    </row>
    <row r="110" spans="1:17" x14ac:dyDescent="0.2">
      <c r="A110" s="84" t="s">
        <v>34</v>
      </c>
      <c r="B110" s="93"/>
      <c r="D110" s="338"/>
      <c r="E110" s="718">
        <v>0</v>
      </c>
      <c r="F110" s="743">
        <v>0</v>
      </c>
      <c r="G110" s="743">
        <v>0</v>
      </c>
      <c r="H110" s="743">
        <v>0</v>
      </c>
      <c r="I110" s="701">
        <f>'DNSP Data Inputs 2012-15'!I110</f>
        <v>0</v>
      </c>
      <c r="J110" s="695">
        <f>'DNSP Data Inputs 2012-15'!J110</f>
        <v>0</v>
      </c>
      <c r="K110" s="121"/>
      <c r="L110" s="2"/>
      <c r="M110" s="2"/>
      <c r="N110" s="2"/>
      <c r="O110" s="691">
        <f>'DNSP Data Inputs 2012-15'!O110</f>
        <v>0</v>
      </c>
      <c r="P110" s="746">
        <f>'DNSP Data Inputs 2012-15'!P110</f>
        <v>0</v>
      </c>
      <c r="Q110" s="692">
        <f>'DNSP Data Inputs 2012-15'!Q110</f>
        <v>0</v>
      </c>
    </row>
    <row r="111" spans="1:17" x14ac:dyDescent="0.2">
      <c r="A111" s="84" t="s">
        <v>35</v>
      </c>
      <c r="B111" s="91"/>
      <c r="D111" s="334"/>
      <c r="E111" s="718">
        <v>0</v>
      </c>
      <c r="F111" s="743">
        <v>0</v>
      </c>
      <c r="G111" s="743">
        <v>0</v>
      </c>
      <c r="H111" s="743">
        <v>0</v>
      </c>
      <c r="I111" s="701">
        <f>'DNSP Data Inputs 2012-15'!I111</f>
        <v>0</v>
      </c>
      <c r="J111" s="695">
        <f>'DNSP Data Inputs 2012-15'!J111</f>
        <v>0</v>
      </c>
      <c r="K111" s="121"/>
      <c r="L111" s="2"/>
      <c r="M111" s="2"/>
      <c r="N111" s="2"/>
      <c r="O111" s="691">
        <f>'DNSP Data Inputs 2012-15'!O111</f>
        <v>0</v>
      </c>
      <c r="P111" s="746">
        <f>'DNSP Data Inputs 2012-15'!P111</f>
        <v>0</v>
      </c>
      <c r="Q111" s="692">
        <f>'DNSP Data Inputs 2012-15'!Q111</f>
        <v>0</v>
      </c>
    </row>
    <row r="112" spans="1:17" x14ac:dyDescent="0.2">
      <c r="A112" s="565" t="s">
        <v>365</v>
      </c>
      <c r="B112" s="91"/>
      <c r="D112" s="338"/>
      <c r="E112" s="718">
        <v>0</v>
      </c>
      <c r="F112" s="743">
        <v>0</v>
      </c>
      <c r="G112" s="743">
        <v>0</v>
      </c>
      <c r="H112" s="743">
        <v>0</v>
      </c>
      <c r="I112" s="701">
        <f>'DNSP Data Inputs 2012-15'!I112</f>
        <v>0</v>
      </c>
      <c r="J112" s="695">
        <f>'DNSP Data Inputs 2012-15'!J112</f>
        <v>0</v>
      </c>
      <c r="K112" s="121"/>
      <c r="L112" s="2"/>
      <c r="M112" s="2"/>
      <c r="N112" s="2"/>
      <c r="O112" s="691">
        <f>'DNSP Data Inputs 2012-15'!O112</f>
        <v>0</v>
      </c>
      <c r="P112" s="746">
        <f>'DNSP Data Inputs 2012-15'!P112</f>
        <v>0</v>
      </c>
      <c r="Q112" s="692">
        <f>'DNSP Data Inputs 2012-15'!Q112</f>
        <v>0</v>
      </c>
    </row>
    <row r="113" spans="1:17" x14ac:dyDescent="0.2">
      <c r="A113" s="565" t="s">
        <v>366</v>
      </c>
      <c r="B113" s="91"/>
      <c r="D113" s="338"/>
      <c r="E113" s="718">
        <v>0</v>
      </c>
      <c r="F113" s="743">
        <v>0</v>
      </c>
      <c r="G113" s="743">
        <v>0</v>
      </c>
      <c r="H113" s="743">
        <v>0</v>
      </c>
      <c r="I113" s="701">
        <f>'DNSP Data Inputs 2012-15'!I113</f>
        <v>0</v>
      </c>
      <c r="J113" s="695">
        <f>'DNSP Data Inputs 2012-15'!J113</f>
        <v>0</v>
      </c>
      <c r="K113" s="121"/>
      <c r="L113" s="2"/>
      <c r="M113" s="2"/>
      <c r="N113" s="2"/>
      <c r="O113" s="691">
        <f>'DNSP Data Inputs 2012-15'!O113</f>
        <v>0</v>
      </c>
      <c r="P113" s="746">
        <f>'DNSP Data Inputs 2012-15'!P113</f>
        <v>0</v>
      </c>
      <c r="Q113" s="692">
        <f>'DNSP Data Inputs 2012-15'!Q113</f>
        <v>0</v>
      </c>
    </row>
    <row r="114" spans="1:17" x14ac:dyDescent="0.2">
      <c r="A114" s="565" t="s">
        <v>367</v>
      </c>
      <c r="B114" s="91"/>
      <c r="D114" s="338"/>
      <c r="E114" s="718">
        <v>0</v>
      </c>
      <c r="F114" s="743">
        <v>0</v>
      </c>
      <c r="G114" s="743">
        <v>0</v>
      </c>
      <c r="H114" s="743">
        <v>0</v>
      </c>
      <c r="I114" s="701">
        <f>'DNSP Data Inputs 2012-15'!I114</f>
        <v>0</v>
      </c>
      <c r="J114" s="695">
        <f>'DNSP Data Inputs 2012-15'!J114</f>
        <v>0</v>
      </c>
      <c r="K114" s="121"/>
      <c r="L114" s="2"/>
      <c r="M114" s="2"/>
      <c r="N114" s="2"/>
      <c r="O114" s="691">
        <f>'DNSP Data Inputs 2012-15'!O114</f>
        <v>0</v>
      </c>
      <c r="P114" s="746">
        <f>'DNSP Data Inputs 2012-15'!P114</f>
        <v>0</v>
      </c>
      <c r="Q114" s="692">
        <f>'DNSP Data Inputs 2012-15'!Q114</f>
        <v>0</v>
      </c>
    </row>
    <row r="115" spans="1:17" x14ac:dyDescent="0.2">
      <c r="A115" s="565" t="s">
        <v>368</v>
      </c>
      <c r="D115" s="338"/>
      <c r="E115" s="718">
        <v>0</v>
      </c>
      <c r="F115" s="743">
        <v>0</v>
      </c>
      <c r="G115" s="743">
        <v>0</v>
      </c>
      <c r="H115" s="743">
        <v>0</v>
      </c>
      <c r="I115" s="701">
        <f>'DNSP Data Inputs 2012-15'!I115</f>
        <v>0</v>
      </c>
      <c r="J115" s="695">
        <f>'DNSP Data Inputs 2012-15'!J115</f>
        <v>0</v>
      </c>
      <c r="K115" s="121"/>
      <c r="L115" s="2"/>
      <c r="M115" s="2"/>
      <c r="N115" s="2"/>
      <c r="O115" s="691">
        <f>'DNSP Data Inputs 2012-15'!O115</f>
        <v>0</v>
      </c>
      <c r="P115" s="746">
        <f>'DNSP Data Inputs 2012-15'!P115</f>
        <v>0</v>
      </c>
      <c r="Q115" s="692">
        <f>'DNSP Data Inputs 2012-15'!Q115</f>
        <v>0</v>
      </c>
    </row>
    <row r="116" spans="1:17" x14ac:dyDescent="0.2">
      <c r="A116" s="565" t="s">
        <v>369</v>
      </c>
      <c r="B116" s="60"/>
      <c r="D116" s="338"/>
      <c r="E116" s="719">
        <v>0</v>
      </c>
      <c r="F116" s="744">
        <v>0</v>
      </c>
      <c r="G116" s="744">
        <v>0</v>
      </c>
      <c r="H116" s="744">
        <v>0</v>
      </c>
      <c r="I116" s="749">
        <f>'DNSP Data Inputs 2012-15'!I116</f>
        <v>0</v>
      </c>
      <c r="J116" s="696">
        <f>'DNSP Data Inputs 2012-15'!J116</f>
        <v>0</v>
      </c>
      <c r="K116" s="121"/>
      <c r="L116" s="2"/>
      <c r="M116" s="2"/>
      <c r="N116" s="2"/>
      <c r="O116" s="693">
        <f>'DNSP Data Inputs 2012-15'!O116</f>
        <v>0</v>
      </c>
      <c r="P116" s="747">
        <f>'DNSP Data Inputs 2012-15'!P116</f>
        <v>0</v>
      </c>
      <c r="Q116" s="694">
        <f>'DNSP Data Inputs 2012-15'!Q116</f>
        <v>0</v>
      </c>
    </row>
    <row r="117" spans="1:17" x14ac:dyDescent="0.2">
      <c r="B117" s="60"/>
      <c r="L117" s="2"/>
    </row>
    <row r="119" spans="1:17" ht="13.5" thickBot="1" x14ac:dyDescent="0.25">
      <c r="A119" s="70"/>
      <c r="B119" s="456"/>
      <c r="C119" s="70"/>
      <c r="D119" s="70"/>
      <c r="E119" s="70"/>
      <c r="F119" s="70"/>
      <c r="G119" s="70"/>
      <c r="H119" s="70"/>
      <c r="I119" s="70"/>
      <c r="J119" s="70"/>
      <c r="K119" s="71"/>
      <c r="L119" s="70"/>
      <c r="M119" s="70"/>
      <c r="N119" s="70"/>
      <c r="O119" s="70"/>
      <c r="P119" s="70"/>
      <c r="Q119" s="70"/>
    </row>
    <row r="122" spans="1:17" ht="15.75" x14ac:dyDescent="0.25">
      <c r="A122" s="98" t="s">
        <v>39</v>
      </c>
    </row>
    <row r="124" spans="1:17" s="1" customFormat="1" x14ac:dyDescent="0.2">
      <c r="A124" s="43" t="s">
        <v>383</v>
      </c>
      <c r="B124" s="85"/>
      <c r="C124" s="698" t="s">
        <v>381</v>
      </c>
      <c r="D124" s="19"/>
      <c r="E124" s="19"/>
      <c r="F124" s="19"/>
      <c r="G124" s="19"/>
      <c r="H124" s="19"/>
      <c r="I124" s="698" t="s">
        <v>384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0"/>
      <c r="B125" s="85"/>
      <c r="C125" s="699" t="s">
        <v>382</v>
      </c>
      <c r="D125" s="2"/>
      <c r="E125" s="2"/>
      <c r="F125" s="2"/>
      <c r="G125" s="2"/>
      <c r="H125" s="2"/>
      <c r="I125" s="699" t="s">
        <v>385</v>
      </c>
      <c r="J125" s="2"/>
      <c r="K125" s="2"/>
      <c r="L125" s="2"/>
      <c r="M125" s="2"/>
      <c r="N125" s="2"/>
      <c r="O125" s="2"/>
    </row>
    <row r="126" spans="1:17" x14ac:dyDescent="0.2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8" t="s">
        <v>10</v>
      </c>
      <c r="C127" s="113">
        <v>4.6300000000000001E-2</v>
      </c>
      <c r="D127" s="15"/>
      <c r="E127" s="15"/>
      <c r="F127" s="15"/>
      <c r="G127" s="15"/>
      <c r="H127" s="15"/>
      <c r="I127" s="113">
        <f>'DNSP Data Inputs 2012-15'!I127</f>
        <v>3.85E-2</v>
      </c>
      <c r="J127" s="15"/>
      <c r="K127" s="15"/>
      <c r="N127" s="2"/>
      <c r="O127" s="2"/>
    </row>
    <row r="128" spans="1:17" x14ac:dyDescent="0.2">
      <c r="A128" s="1" t="s">
        <v>11</v>
      </c>
      <c r="C128" s="113">
        <f>4%+0.125%</f>
        <v>4.1250000000000002E-2</v>
      </c>
      <c r="I128" s="113">
        <f>'DNSP Data Inputs 2012-15'!I128</f>
        <v>2.9499999999999998E-2</v>
      </c>
      <c r="N128" s="2"/>
      <c r="O128" s="2"/>
    </row>
    <row r="129" spans="1:16" x14ac:dyDescent="0.2">
      <c r="C129" s="44"/>
      <c r="D129" s="31"/>
      <c r="E129" s="31"/>
      <c r="F129" s="31"/>
      <c r="G129" s="31"/>
      <c r="H129" s="31"/>
      <c r="I129" s="44"/>
      <c r="J129" s="31"/>
      <c r="K129" s="122"/>
      <c r="N129" s="2"/>
      <c r="O129" s="2"/>
    </row>
    <row r="130" spans="1:16" x14ac:dyDescent="0.2">
      <c r="A130" s="58" t="s">
        <v>12</v>
      </c>
      <c r="D130" s="31"/>
      <c r="E130" s="31"/>
      <c r="F130" s="31"/>
      <c r="G130" s="31"/>
      <c r="H130" s="31"/>
      <c r="J130" s="31"/>
      <c r="K130" s="122"/>
    </row>
    <row r="131" spans="1:16" x14ac:dyDescent="0.2">
      <c r="A131" s="21" t="s">
        <v>13</v>
      </c>
      <c r="C131" s="102">
        <f>'Data 2006-08'!C130</f>
        <v>0.06</v>
      </c>
      <c r="I131" s="711">
        <f>'DNSP Data Inputs 2012-15'!I131</f>
        <v>8.1500000000000003E-2</v>
      </c>
    </row>
    <row r="132" spans="1:16" x14ac:dyDescent="0.2">
      <c r="A132" s="21" t="s">
        <v>14</v>
      </c>
      <c r="C132" s="103">
        <f>'Data 2006-08'!C131</f>
        <v>1</v>
      </c>
      <c r="I132" s="712">
        <f>'DNSP Data Inputs 2012-15'!I132</f>
        <v>0.8</v>
      </c>
    </row>
    <row r="133" spans="1:16" x14ac:dyDescent="0.2">
      <c r="A133" s="21" t="s">
        <v>15</v>
      </c>
      <c r="B133" s="60"/>
      <c r="C133" s="104">
        <f>'Data 2006-08'!C133</f>
        <v>0.6</v>
      </c>
      <c r="I133" s="713">
        <f>'DNSP Data Inputs 2012-15'!I133</f>
        <v>0.6</v>
      </c>
    </row>
    <row r="134" spans="1:16" x14ac:dyDescent="0.2">
      <c r="A134" s="21" t="s">
        <v>16</v>
      </c>
      <c r="B134" s="60"/>
      <c r="C134" s="105">
        <f>'Data 2006-08'!C134</f>
        <v>2.5600000000000001E-2</v>
      </c>
      <c r="I134" s="714">
        <f>'DNSP Data Inputs 2012-15'!I134</f>
        <v>2.47E-2</v>
      </c>
    </row>
    <row r="135" spans="1:16" x14ac:dyDescent="0.2">
      <c r="A135" s="1"/>
      <c r="C135" s="54"/>
      <c r="I135" s="54"/>
    </row>
    <row r="136" spans="1:16" x14ac:dyDescent="0.2">
      <c r="A136" s="448" t="s">
        <v>19</v>
      </c>
    </row>
    <row r="137" spans="1:16" x14ac:dyDescent="0.2">
      <c r="A137" s="21" t="s">
        <v>88</v>
      </c>
      <c r="C137" s="311">
        <v>0.3</v>
      </c>
      <c r="E137" s="45"/>
      <c r="F137" s="45"/>
      <c r="G137" s="45"/>
      <c r="H137" s="45"/>
      <c r="I137" s="311">
        <f>'DNSP Data Inputs 2012-15'!I137</f>
        <v>0.3</v>
      </c>
      <c r="J137" s="45"/>
      <c r="K137" s="21"/>
      <c r="P137" s="56"/>
    </row>
    <row r="138" spans="1:16" x14ac:dyDescent="0.2">
      <c r="A138" s="1" t="s">
        <v>17</v>
      </c>
      <c r="C138" s="114">
        <v>0.65</v>
      </c>
      <c r="E138" s="1"/>
      <c r="F138" s="1"/>
      <c r="G138" s="1"/>
      <c r="H138" s="1"/>
      <c r="I138" s="712">
        <f>'DNSP Data Inputs 2012-15'!I138</f>
        <v>0.25</v>
      </c>
      <c r="J138" s="1"/>
      <c r="K138" s="21"/>
      <c r="P138" s="319"/>
    </row>
    <row r="139" spans="1:16" s="1" customFormat="1" x14ac:dyDescent="0.2">
      <c r="A139" s="21" t="s">
        <v>15</v>
      </c>
      <c r="B139" s="85"/>
      <c r="C139" s="104">
        <f>C133</f>
        <v>0.6</v>
      </c>
      <c r="I139" s="104">
        <f>I133</f>
        <v>0.6</v>
      </c>
      <c r="L139" s="2"/>
      <c r="M139" s="2"/>
      <c r="N139" s="2"/>
      <c r="O139" s="2"/>
    </row>
    <row r="140" spans="1:16" x14ac:dyDescent="0.2">
      <c r="A140" s="1"/>
      <c r="C140" s="54"/>
    </row>
    <row r="141" spans="1:16" s="1" customFormat="1" x14ac:dyDescent="0.2">
      <c r="B141" s="85"/>
      <c r="C141" s="54"/>
      <c r="L141" s="2"/>
      <c r="M141" s="2"/>
      <c r="N141" s="2"/>
      <c r="O141" s="2"/>
    </row>
    <row r="142" spans="1:16" x14ac:dyDescent="0.2">
      <c r="D142" s="46">
        <f>D$1</f>
        <v>2009</v>
      </c>
      <c r="E142" s="47">
        <f t="shared" ref="E142:J142" si="24">E$1</f>
        <v>2010</v>
      </c>
      <c r="F142" s="47">
        <f t="shared" si="24"/>
        <v>2011</v>
      </c>
      <c r="G142" s="47">
        <f t="shared" si="24"/>
        <v>2012</v>
      </c>
      <c r="H142" s="47">
        <f t="shared" si="24"/>
        <v>2013</v>
      </c>
      <c r="I142" s="47">
        <f t="shared" si="24"/>
        <v>2014</v>
      </c>
      <c r="J142" s="48">
        <f t="shared" si="24"/>
        <v>2015</v>
      </c>
      <c r="K142" s="56"/>
      <c r="L142" s="931" t="s">
        <v>36</v>
      </c>
      <c r="M142" s="915"/>
      <c r="N142" s="528" t="s">
        <v>75</v>
      </c>
    </row>
    <row r="143" spans="1:16" x14ac:dyDescent="0.2">
      <c r="A143" s="43" t="s">
        <v>86</v>
      </c>
      <c r="D143" s="566" t="s">
        <v>20</v>
      </c>
      <c r="E143" s="685" t="s">
        <v>20</v>
      </c>
      <c r="F143" s="685" t="s">
        <v>20</v>
      </c>
      <c r="G143" s="685" t="s">
        <v>20</v>
      </c>
      <c r="H143" s="685" t="s">
        <v>20</v>
      </c>
      <c r="I143" s="708" t="str">
        <f>I$3</f>
        <v>Forecast</v>
      </c>
      <c r="J143" s="709" t="str">
        <f>J$3</f>
        <v>Forecast</v>
      </c>
      <c r="K143" s="110"/>
      <c r="L143" s="313">
        <v>39355</v>
      </c>
      <c r="M143" s="686">
        <f>'Data 2006-08'!D150</f>
        <v>158.6</v>
      </c>
    </row>
    <row r="144" spans="1:16" x14ac:dyDescent="0.2">
      <c r="A144" s="21" t="s">
        <v>87</v>
      </c>
      <c r="D144" s="710">
        <f>'Data 2006-08'!F151</f>
        <v>4.9810844892812067E-2</v>
      </c>
      <c r="E144" s="710">
        <f>N145</f>
        <v>1.2612612612612484E-2</v>
      </c>
      <c r="F144" s="710">
        <f>N146</f>
        <v>2.7876631079478242E-2</v>
      </c>
      <c r="G144" s="807">
        <f>N147</f>
        <v>3.5199076745527913E-2</v>
      </c>
      <c r="H144" s="807">
        <f>N151</f>
        <v>2.0040080160320661E-2</v>
      </c>
      <c r="I144" s="115">
        <f>$I$134</f>
        <v>2.47E-2</v>
      </c>
      <c r="J144" s="115">
        <f>$I$134</f>
        <v>2.47E-2</v>
      </c>
      <c r="K144" s="115"/>
      <c r="L144" s="314">
        <v>39721</v>
      </c>
      <c r="M144" s="687">
        <f>'Data 2006-08'!D151</f>
        <v>166.5</v>
      </c>
      <c r="N144" s="315">
        <f>M144/M143-1</f>
        <v>4.9810844892812067E-2</v>
      </c>
    </row>
    <row r="145" spans="1:15" x14ac:dyDescent="0.2">
      <c r="A145" s="21" t="s">
        <v>36</v>
      </c>
      <c r="D145" s="61">
        <f>1+D144</f>
        <v>1.0498108448928121</v>
      </c>
      <c r="E145" s="61">
        <f t="shared" ref="E145:J145" si="25">D145*(1+E144)</f>
        <v>1.0630517023959645</v>
      </c>
      <c r="F145" s="61">
        <f t="shared" si="25"/>
        <v>1.0926860025220682</v>
      </c>
      <c r="G145" s="61">
        <f t="shared" si="25"/>
        <v>1.1311475409836065</v>
      </c>
      <c r="H145" s="61">
        <f t="shared" si="25"/>
        <v>1.1538158283780675</v>
      </c>
      <c r="I145" s="61">
        <f t="shared" si="25"/>
        <v>1.1823150793390058</v>
      </c>
      <c r="J145" s="61">
        <f t="shared" si="25"/>
        <v>1.2115182617986793</v>
      </c>
      <c r="K145" s="61"/>
      <c r="L145" s="705">
        <v>40086</v>
      </c>
      <c r="M145" s="688">
        <v>168.6</v>
      </c>
      <c r="N145" s="315">
        <f>M145/M144-1</f>
        <v>1.2612612612612484E-2</v>
      </c>
    </row>
    <row r="146" spans="1:15" x14ac:dyDescent="0.2">
      <c r="B146" s="100"/>
      <c r="L146" s="705">
        <v>40451</v>
      </c>
      <c r="M146" s="688">
        <v>173.3</v>
      </c>
      <c r="N146" s="315">
        <f>M146/M145-1</f>
        <v>2.7876631079478242E-2</v>
      </c>
    </row>
    <row r="147" spans="1:15" x14ac:dyDescent="0.2">
      <c r="B147" s="100"/>
      <c r="L147" s="707">
        <v>40816</v>
      </c>
      <c r="M147" s="884">
        <v>179.4</v>
      </c>
      <c r="N147" s="315">
        <f>M147/M146-1</f>
        <v>3.5199076745527913E-2</v>
      </c>
    </row>
    <row r="148" spans="1:15" x14ac:dyDescent="0.2">
      <c r="B148" s="100"/>
      <c r="N148" s="2"/>
    </row>
    <row r="149" spans="1:15" x14ac:dyDescent="0.2">
      <c r="B149" s="100"/>
      <c r="L149" s="885" t="s">
        <v>409</v>
      </c>
      <c r="M149" s="814"/>
      <c r="N149" s="814"/>
    </row>
    <row r="150" spans="1:15" x14ac:dyDescent="0.2">
      <c r="B150" s="100"/>
      <c r="L150" s="886">
        <v>40816</v>
      </c>
      <c r="M150" s="887">
        <v>99.8</v>
      </c>
      <c r="N150" s="814"/>
    </row>
    <row r="151" spans="1:15" x14ac:dyDescent="0.2">
      <c r="B151" s="100"/>
      <c r="L151" s="888">
        <v>41182</v>
      </c>
      <c r="M151" s="706">
        <v>101.8</v>
      </c>
      <c r="N151" s="315">
        <f>M151/M150-1</f>
        <v>2.0040080160320661E-2</v>
      </c>
    </row>
    <row r="152" spans="1:15" s="1" customFormat="1" x14ac:dyDescent="0.2">
      <c r="A152" s="43" t="s">
        <v>110</v>
      </c>
      <c r="B152" s="100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888">
        <v>41547</v>
      </c>
      <c r="M152" s="706"/>
      <c r="N152" s="801"/>
      <c r="O152" s="21"/>
    </row>
    <row r="153" spans="1:15" s="1" customFormat="1" x14ac:dyDescent="0.2">
      <c r="A153" s="7"/>
      <c r="B153" s="457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889">
        <v>41912</v>
      </c>
      <c r="M153" s="689"/>
      <c r="N153" s="801"/>
      <c r="O153" s="21"/>
    </row>
    <row r="154" spans="1:15" s="1" customFormat="1" x14ac:dyDescent="0.2">
      <c r="A154" s="318" t="s">
        <v>362</v>
      </c>
      <c r="B154" s="85"/>
      <c r="C154" s="111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4" t="s">
        <v>277</v>
      </c>
      <c r="B155" s="85"/>
      <c r="C155" s="317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4" t="s">
        <v>279</v>
      </c>
      <c r="B156" s="85"/>
      <c r="C156" s="317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18" t="s">
        <v>278</v>
      </c>
      <c r="B157" s="55"/>
      <c r="C157" s="112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51"/>
    </row>
    <row r="160" spans="1:15" x14ac:dyDescent="0.2">
      <c r="A160" s="74" t="s">
        <v>89</v>
      </c>
      <c r="B160" s="1"/>
      <c r="C160" s="84"/>
    </row>
    <row r="161" spans="1:10" x14ac:dyDescent="0.2">
      <c r="A161" s="101" t="s">
        <v>276</v>
      </c>
      <c r="B161" s="1"/>
      <c r="C161" s="84"/>
    </row>
    <row r="162" spans="1:10" x14ac:dyDescent="0.2">
      <c r="A162" s="84" t="s">
        <v>363</v>
      </c>
      <c r="C162" s="116">
        <f>'Data 2006-08'!C176</f>
        <v>0.375</v>
      </c>
    </row>
    <row r="163" spans="1:10" x14ac:dyDescent="0.2">
      <c r="A163" s="84" t="s">
        <v>364</v>
      </c>
      <c r="C163" s="117">
        <f>'Data 2006-08'!C177</f>
        <v>0.06</v>
      </c>
    </row>
    <row r="164" spans="1:10" x14ac:dyDescent="0.2">
      <c r="A164" s="84" t="str">
        <f>'Data 2006-08'!A$178</f>
        <v>IT</v>
      </c>
      <c r="B164" s="433"/>
      <c r="C164" s="117">
        <f>'Data 2006-08'!C178</f>
        <v>0.4</v>
      </c>
    </row>
    <row r="165" spans="1:10" x14ac:dyDescent="0.2">
      <c r="A165" s="84" t="s">
        <v>279</v>
      </c>
      <c r="B165" s="457"/>
      <c r="C165" s="310">
        <f>1/7*1.5</f>
        <v>0.21428571428571427</v>
      </c>
    </row>
    <row r="166" spans="1:10" x14ac:dyDescent="0.2">
      <c r="A166" s="87" t="str">
        <f>'Data 2006-08'!A$179</f>
        <v>Other</v>
      </c>
      <c r="C166" s="118">
        <f>'Data 2006-08'!C179</f>
        <v>0.1764705882352941</v>
      </c>
    </row>
    <row r="169" spans="1:10" x14ac:dyDescent="0.2">
      <c r="A169" s="60" t="s">
        <v>386</v>
      </c>
      <c r="B169" s="108"/>
      <c r="D169" s="720">
        <f t="shared" ref="D169:J169" si="26">D$1</f>
        <v>2009</v>
      </c>
      <c r="E169" s="331">
        <f t="shared" si="26"/>
        <v>2010</v>
      </c>
      <c r="F169" s="331">
        <f t="shared" si="26"/>
        <v>2011</v>
      </c>
      <c r="G169" s="331">
        <f t="shared" si="26"/>
        <v>2012</v>
      </c>
      <c r="H169" s="331">
        <f t="shared" si="26"/>
        <v>2013</v>
      </c>
      <c r="I169" s="331">
        <f t="shared" si="26"/>
        <v>2014</v>
      </c>
      <c r="J169" s="331">
        <f t="shared" si="26"/>
        <v>2015</v>
      </c>
    </row>
    <row r="170" spans="1:10" x14ac:dyDescent="0.2">
      <c r="A170" s="30"/>
      <c r="D170" s="690" t="s">
        <v>20</v>
      </c>
      <c r="E170" s="715" t="s">
        <v>20</v>
      </c>
      <c r="F170" s="715" t="s">
        <v>20</v>
      </c>
      <c r="G170" s="715" t="s">
        <v>20</v>
      </c>
      <c r="H170" s="715" t="s">
        <v>20</v>
      </c>
      <c r="I170" s="715" t="s">
        <v>20</v>
      </c>
      <c r="J170" s="715" t="s">
        <v>20</v>
      </c>
    </row>
    <row r="171" spans="1:10" x14ac:dyDescent="0.2">
      <c r="A171" s="30"/>
      <c r="D171" s="721" t="s">
        <v>22</v>
      </c>
      <c r="E171" s="716" t="s">
        <v>22</v>
      </c>
      <c r="F171" s="716" t="s">
        <v>22</v>
      </c>
      <c r="G171" s="716" t="s">
        <v>22</v>
      </c>
      <c r="H171" s="716" t="s">
        <v>22</v>
      </c>
      <c r="I171" s="716" t="s">
        <v>22</v>
      </c>
      <c r="J171" s="716" t="s">
        <v>22</v>
      </c>
    </row>
    <row r="172" spans="1:10" x14ac:dyDescent="0.2">
      <c r="A172" s="30"/>
      <c r="B172" s="55"/>
      <c r="D172" s="722"/>
      <c r="E172" s="728"/>
      <c r="F172" s="728"/>
      <c r="G172" s="728"/>
      <c r="H172" s="728"/>
      <c r="I172" s="745"/>
      <c r="J172" s="40"/>
    </row>
    <row r="173" spans="1:10" x14ac:dyDescent="0.2">
      <c r="A173" s="90" t="s">
        <v>24</v>
      </c>
      <c r="D173" s="723" t="s">
        <v>360</v>
      </c>
      <c r="E173" s="728"/>
      <c r="F173" s="728"/>
      <c r="G173" s="728"/>
      <c r="H173" s="728"/>
      <c r="I173" s="20"/>
      <c r="J173" s="732"/>
    </row>
    <row r="174" spans="1:10" x14ac:dyDescent="0.2">
      <c r="A174" s="84" t="s">
        <v>26</v>
      </c>
      <c r="D174" s="724">
        <v>88.67</v>
      </c>
      <c r="E174" s="728"/>
      <c r="F174" s="728"/>
      <c r="G174" s="728"/>
      <c r="H174" s="728"/>
      <c r="I174" s="20"/>
      <c r="J174" s="732"/>
    </row>
    <row r="175" spans="1:10" x14ac:dyDescent="0.2">
      <c r="A175" s="84" t="s">
        <v>27</v>
      </c>
      <c r="D175" s="724">
        <v>30.42</v>
      </c>
      <c r="E175" s="728"/>
      <c r="F175" s="728"/>
      <c r="G175" s="728"/>
      <c r="H175" s="728"/>
      <c r="I175" s="20"/>
      <c r="J175" s="732"/>
    </row>
    <row r="176" spans="1:10" x14ac:dyDescent="0.2">
      <c r="A176" s="30"/>
      <c r="D176" s="725"/>
      <c r="E176" s="728"/>
      <c r="F176" s="728"/>
      <c r="G176" s="728"/>
      <c r="H176" s="728"/>
      <c r="I176" s="20"/>
      <c r="J176" s="732"/>
    </row>
    <row r="177" spans="1:17" x14ac:dyDescent="0.2">
      <c r="A177" s="90" t="s">
        <v>29</v>
      </c>
      <c r="B177" s="453"/>
      <c r="D177" s="726" t="s">
        <v>360</v>
      </c>
      <c r="E177" s="728"/>
      <c r="F177" s="728"/>
      <c r="G177" s="728"/>
      <c r="H177" s="728"/>
      <c r="I177" s="20"/>
      <c r="J177" s="732"/>
    </row>
    <row r="178" spans="1:17" x14ac:dyDescent="0.2">
      <c r="A178" s="57" t="s">
        <v>281</v>
      </c>
      <c r="B178" s="449"/>
      <c r="D178" s="724">
        <v>5.71</v>
      </c>
      <c r="E178" s="728"/>
      <c r="F178" s="728"/>
      <c r="G178" s="728"/>
      <c r="H178" s="728"/>
      <c r="I178" s="20"/>
      <c r="J178" s="732"/>
    </row>
    <row r="179" spans="1:17" x14ac:dyDescent="0.2">
      <c r="A179" s="57" t="s">
        <v>282</v>
      </c>
      <c r="B179" s="450"/>
      <c r="D179" s="724">
        <v>12.68</v>
      </c>
      <c r="E179" s="728"/>
      <c r="F179" s="728"/>
      <c r="G179" s="728"/>
      <c r="H179" s="728"/>
      <c r="I179" s="20"/>
      <c r="J179" s="732"/>
    </row>
    <row r="180" spans="1:17" x14ac:dyDescent="0.2">
      <c r="A180" s="57" t="s">
        <v>283</v>
      </c>
      <c r="B180" s="88"/>
      <c r="D180" s="724">
        <v>75.488003963798803</v>
      </c>
      <c r="E180" s="728"/>
      <c r="F180" s="728"/>
      <c r="G180" s="728"/>
      <c r="H180" s="728"/>
      <c r="I180" s="20"/>
      <c r="J180" s="732"/>
    </row>
    <row r="181" spans="1:17" x14ac:dyDescent="0.2">
      <c r="A181" s="57" t="s">
        <v>284</v>
      </c>
      <c r="B181" s="88"/>
      <c r="D181" s="727">
        <v>72.42</v>
      </c>
      <c r="E181" s="728"/>
      <c r="F181" s="728"/>
      <c r="G181" s="728"/>
      <c r="H181" s="728"/>
      <c r="I181" s="20"/>
      <c r="J181" s="732"/>
    </row>
    <row r="182" spans="1:17" x14ac:dyDescent="0.2">
      <c r="E182" s="728"/>
      <c r="F182" s="728"/>
      <c r="G182" s="728"/>
      <c r="H182" s="728"/>
      <c r="I182" s="20"/>
      <c r="J182" s="732"/>
    </row>
    <row r="183" spans="1:17" x14ac:dyDescent="0.2">
      <c r="E183" s="728"/>
      <c r="F183" s="728"/>
      <c r="G183" s="728"/>
      <c r="H183" s="728"/>
      <c r="I183" s="20"/>
      <c r="J183" s="732"/>
    </row>
    <row r="184" spans="1:17" x14ac:dyDescent="0.2">
      <c r="A184" s="90" t="s">
        <v>29</v>
      </c>
      <c r="E184" s="717" t="s">
        <v>25</v>
      </c>
      <c r="F184" s="728"/>
      <c r="G184" s="728"/>
      <c r="H184" s="728"/>
      <c r="I184" s="20"/>
      <c r="J184" s="732"/>
    </row>
    <row r="185" spans="1:17" x14ac:dyDescent="0.2">
      <c r="A185" s="21" t="s">
        <v>370</v>
      </c>
      <c r="E185" s="718">
        <v>86.1</v>
      </c>
      <c r="F185" s="718">
        <v>93.83</v>
      </c>
      <c r="G185" s="718">
        <v>107.25</v>
      </c>
      <c r="H185" s="718">
        <v>130.44999999999999</v>
      </c>
      <c r="I185" s="20"/>
      <c r="J185" s="732"/>
    </row>
    <row r="186" spans="1:17" x14ac:dyDescent="0.2">
      <c r="A186" s="21" t="s">
        <v>371</v>
      </c>
      <c r="E186" s="718">
        <v>98.93</v>
      </c>
      <c r="F186" s="718">
        <v>107.81</v>
      </c>
      <c r="G186" s="718">
        <v>123.24</v>
      </c>
      <c r="H186" s="718">
        <v>149.9</v>
      </c>
      <c r="I186" s="20"/>
      <c r="J186" s="732"/>
    </row>
    <row r="187" spans="1:17" x14ac:dyDescent="0.2">
      <c r="A187" s="21" t="s">
        <v>372</v>
      </c>
      <c r="E187" s="718">
        <v>119.51</v>
      </c>
      <c r="F187" s="718">
        <v>130.25</v>
      </c>
      <c r="G187" s="718">
        <v>148.88999999999999</v>
      </c>
      <c r="H187" s="718">
        <v>181.1</v>
      </c>
      <c r="I187" s="20"/>
      <c r="J187" s="732"/>
    </row>
    <row r="188" spans="1:17" x14ac:dyDescent="0.2">
      <c r="A188" s="21" t="s">
        <v>373</v>
      </c>
      <c r="E188" s="718">
        <v>132.58000000000001</v>
      </c>
      <c r="F188" s="718">
        <v>144.49</v>
      </c>
      <c r="G188" s="718">
        <v>165.16</v>
      </c>
      <c r="H188" s="718">
        <v>200.89</v>
      </c>
      <c r="I188" s="20"/>
      <c r="J188" s="732"/>
    </row>
    <row r="189" spans="1:17" x14ac:dyDescent="0.2">
      <c r="A189" s="21" t="s">
        <v>374</v>
      </c>
      <c r="B189" s="88"/>
      <c r="E189" s="719">
        <v>170.71</v>
      </c>
      <c r="F189" s="719">
        <v>186.05</v>
      </c>
      <c r="G189" s="719">
        <v>212.67</v>
      </c>
      <c r="H189" s="719">
        <v>258.68</v>
      </c>
      <c r="I189" s="741"/>
      <c r="J189" s="742"/>
    </row>
    <row r="190" spans="1:17" ht="13.5" thickBot="1" x14ac:dyDescent="0.25">
      <c r="A190" s="70"/>
      <c r="B190" s="459"/>
      <c r="C190" s="70"/>
      <c r="D190" s="70"/>
      <c r="E190" s="70"/>
      <c r="F190" s="70"/>
      <c r="G190" s="70"/>
      <c r="H190" s="70"/>
      <c r="I190" s="70"/>
      <c r="J190" s="70"/>
      <c r="K190" s="71"/>
      <c r="L190" s="70"/>
      <c r="M190" s="70"/>
      <c r="N190" s="70"/>
      <c r="O190" s="70"/>
      <c r="P190" s="70"/>
      <c r="Q190" s="70"/>
    </row>
    <row r="191" spans="1:17" x14ac:dyDescent="0.2">
      <c r="B191" s="450"/>
    </row>
    <row r="193" spans="2:2" x14ac:dyDescent="0.2">
      <c r="B193" s="88"/>
    </row>
    <row r="194" spans="2:2" x14ac:dyDescent="0.2">
      <c r="B194" s="88"/>
    </row>
    <row r="195" spans="2:2" x14ac:dyDescent="0.2">
      <c r="B195" s="88"/>
    </row>
    <row r="196" spans="2:2" x14ac:dyDescent="0.2">
      <c r="B196" s="88"/>
    </row>
    <row r="197" spans="2:2" x14ac:dyDescent="0.2">
      <c r="B197" s="458"/>
    </row>
    <row r="198" spans="2:2" x14ac:dyDescent="0.2">
      <c r="B198" s="88"/>
    </row>
    <row r="199" spans="2:2" x14ac:dyDescent="0.2">
      <c r="B199" s="88"/>
    </row>
    <row r="200" spans="2:2" x14ac:dyDescent="0.2">
      <c r="B200" s="433"/>
    </row>
    <row r="201" spans="2:2" x14ac:dyDescent="0.2">
      <c r="B201" s="88"/>
    </row>
    <row r="202" spans="2:2" x14ac:dyDescent="0.2">
      <c r="B202" s="88"/>
    </row>
    <row r="203" spans="2:2" x14ac:dyDescent="0.2">
      <c r="B203" s="450"/>
    </row>
    <row r="204" spans="2:2" x14ac:dyDescent="0.2">
      <c r="B204" s="88"/>
    </row>
    <row r="205" spans="2:2" x14ac:dyDescent="0.2">
      <c r="B205" s="88"/>
    </row>
    <row r="206" spans="2:2" x14ac:dyDescent="0.2">
      <c r="B206" s="88"/>
    </row>
    <row r="207" spans="2:2" x14ac:dyDescent="0.2">
      <c r="B207" s="88"/>
    </row>
    <row r="208" spans="2:2" x14ac:dyDescent="0.2">
      <c r="B208" s="88"/>
    </row>
    <row r="209" spans="2:2" x14ac:dyDescent="0.2">
      <c r="B209" s="88"/>
    </row>
    <row r="212" spans="2:2" x14ac:dyDescent="0.2">
      <c r="B212" s="449"/>
    </row>
    <row r="213" spans="2:2" x14ac:dyDescent="0.2">
      <c r="B213" s="450"/>
    </row>
    <row r="214" spans="2:2" x14ac:dyDescent="0.2">
      <c r="B214" s="88"/>
    </row>
    <row r="215" spans="2:2" x14ac:dyDescent="0.2">
      <c r="B215" s="449"/>
    </row>
    <row r="216" spans="2:2" x14ac:dyDescent="0.2">
      <c r="B216" s="450"/>
    </row>
    <row r="217" spans="2:2" x14ac:dyDescent="0.2">
      <c r="B217" s="88"/>
    </row>
    <row r="218" spans="2:2" x14ac:dyDescent="0.2">
      <c r="B218" s="88"/>
    </row>
    <row r="219" spans="2:2" x14ac:dyDescent="0.2">
      <c r="B219" s="88"/>
    </row>
    <row r="220" spans="2:2" x14ac:dyDescent="0.2">
      <c r="B220" s="88"/>
    </row>
    <row r="221" spans="2:2" x14ac:dyDescent="0.2">
      <c r="B221" s="88"/>
    </row>
    <row r="223" spans="2:2" x14ac:dyDescent="0.2">
      <c r="B223" s="450"/>
    </row>
    <row r="224" spans="2:2" x14ac:dyDescent="0.2">
      <c r="B224" s="88"/>
    </row>
    <row r="226" spans="2:2" x14ac:dyDescent="0.2">
      <c r="B226" s="91"/>
    </row>
    <row r="227" spans="2:2" x14ac:dyDescent="0.2">
      <c r="B227" s="91"/>
    </row>
    <row r="228" spans="2:2" x14ac:dyDescent="0.2">
      <c r="B228" s="91"/>
    </row>
    <row r="229" spans="2:2" x14ac:dyDescent="0.2">
      <c r="B229" s="91"/>
    </row>
    <row r="230" spans="2:2" x14ac:dyDescent="0.2">
      <c r="B230" s="91"/>
    </row>
    <row r="231" spans="2:2" x14ac:dyDescent="0.2">
      <c r="B231" s="91"/>
    </row>
  </sheetData>
  <sheetProtection sheet="1" objects="1" scenarios="1"/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3.5703125" style="57" customWidth="1"/>
    <col min="2" max="3" width="9.140625" style="57"/>
    <col min="4" max="10" width="15" style="57" customWidth="1"/>
    <col min="11" max="16384" width="9.140625" style="57"/>
  </cols>
  <sheetData>
    <row r="1" spans="1:10" x14ac:dyDescent="0.2">
      <c r="A1" s="555" t="str">
        <f>'Data 2006-08'!$A$1</f>
        <v>SP AusNet</v>
      </c>
      <c r="E1" s="495" t="s">
        <v>390</v>
      </c>
      <c r="F1" s="496" t="str">
        <f>IF(SUM('AMI RAB 2009-15'!C2,'AMI Tax Depn 2009-15'!C2,'AMI Building Blocks 2009-15'!D1,'Data 2006-08'!D1)&lt;0.001,"Ok","Error")</f>
        <v>Ok</v>
      </c>
    </row>
    <row r="3" spans="1:10" x14ac:dyDescent="0.2">
      <c r="A3" s="409" t="s">
        <v>297</v>
      </c>
      <c r="D3" s="391">
        <v>2009</v>
      </c>
      <c r="E3" s="391">
        <v>2010</v>
      </c>
      <c r="F3" s="391">
        <v>2011</v>
      </c>
      <c r="G3" s="391">
        <v>2012</v>
      </c>
      <c r="H3" s="391">
        <v>2013</v>
      </c>
      <c r="I3" s="391">
        <v>2014</v>
      </c>
      <c r="J3" s="391">
        <v>2015</v>
      </c>
    </row>
    <row r="4" spans="1:10" x14ac:dyDescent="0.2">
      <c r="A4" s="57" t="s">
        <v>331</v>
      </c>
      <c r="D4" s="347">
        <v>40903.67841569108</v>
      </c>
      <c r="E4" s="347">
        <v>66258.231646655899</v>
      </c>
      <c r="F4" s="347">
        <v>86116.67145775033</v>
      </c>
      <c r="G4" s="380">
        <v>102849.11881265891</v>
      </c>
      <c r="H4" s="347">
        <v>122800.80462164662</v>
      </c>
      <c r="I4" s="347">
        <v>109761.76881958329</v>
      </c>
      <c r="J4" s="380">
        <v>107908.57683146045</v>
      </c>
    </row>
    <row r="5" spans="1:10" x14ac:dyDescent="0.2">
      <c r="A5" s="57" t="s">
        <v>339</v>
      </c>
      <c r="D5" s="380">
        <v>-6137.4832866242659</v>
      </c>
      <c r="E5" s="532"/>
      <c r="F5" s="532"/>
      <c r="G5" s="532"/>
      <c r="H5" s="532"/>
      <c r="I5" s="532"/>
      <c r="J5" s="532"/>
    </row>
    <row r="6" spans="1:10" x14ac:dyDescent="0.2">
      <c r="A6" s="57" t="s">
        <v>337</v>
      </c>
      <c r="D6" s="389">
        <v>34766.195129066815</v>
      </c>
      <c r="E6" s="389">
        <v>66258.231646655899</v>
      </c>
      <c r="F6" s="389">
        <v>86116.67145775033</v>
      </c>
      <c r="G6" s="389">
        <v>102849.11881265891</v>
      </c>
      <c r="H6" s="389">
        <v>122800.80462164662</v>
      </c>
      <c r="I6" s="389">
        <v>109761.76881958329</v>
      </c>
      <c r="J6" s="389">
        <v>107908.57683146045</v>
      </c>
    </row>
    <row r="7" spans="1:10" x14ac:dyDescent="0.2">
      <c r="D7" s="347"/>
      <c r="E7" s="347"/>
      <c r="F7" s="347"/>
      <c r="G7" s="347"/>
      <c r="H7" s="347"/>
      <c r="I7" s="347"/>
      <c r="J7" s="347"/>
    </row>
    <row r="8" spans="1:10" x14ac:dyDescent="0.2">
      <c r="A8" s="57" t="s">
        <v>293</v>
      </c>
      <c r="D8" s="347">
        <v>37927.245233500005</v>
      </c>
      <c r="E8" s="347">
        <v>65653.893745999987</v>
      </c>
      <c r="F8" s="347">
        <v>73478.180732400011</v>
      </c>
      <c r="G8" s="347">
        <v>94562.803278688531</v>
      </c>
      <c r="H8" s="347">
        <v>98802.817787482985</v>
      </c>
      <c r="I8" s="347">
        <v>120941.24638320923</v>
      </c>
      <c r="J8" s="347">
        <v>147957.18438956796</v>
      </c>
    </row>
    <row r="10" spans="1:10" x14ac:dyDescent="0.2">
      <c r="A10" s="57" t="str">
        <f>'AMI Building Blocks 2009-15'!A19</f>
        <v>Vanilla' after tax WACC (nominal)</v>
      </c>
      <c r="D10" s="523">
        <v>0.1209003175700798</v>
      </c>
      <c r="E10" s="523">
        <v>8.1183152731514552E-2</v>
      </c>
      <c r="F10" s="523">
        <v>9.7480796473851994E-2</v>
      </c>
      <c r="G10" s="523">
        <v>0.10529909222912481</v>
      </c>
      <c r="H10" s="523">
        <v>8.9113582078353293E-2</v>
      </c>
      <c r="I10" s="523">
        <v>8.2279999999999909E-2</v>
      </c>
      <c r="J10" s="523">
        <v>8.2279999999999909E-2</v>
      </c>
    </row>
    <row r="11" spans="1:10" x14ac:dyDescent="0.2">
      <c r="A11" s="57" t="s">
        <v>334</v>
      </c>
      <c r="C11" s="524"/>
      <c r="D11" s="524">
        <v>0.94453162556261583</v>
      </c>
      <c r="E11" s="524">
        <v>0.87360927071083139</v>
      </c>
      <c r="F11" s="524">
        <v>0.79601326375613313</v>
      </c>
      <c r="G11" s="524">
        <v>0.72017906225794881</v>
      </c>
      <c r="H11" s="524">
        <v>0.66125248468909237</v>
      </c>
      <c r="I11" s="524">
        <v>0.61098097044119126</v>
      </c>
      <c r="J11" s="524">
        <v>0.56453133241045872</v>
      </c>
    </row>
    <row r="13" spans="1:10" x14ac:dyDescent="0.2">
      <c r="A13" s="57" t="s">
        <v>335</v>
      </c>
      <c r="D13" s="347">
        <v>32837.770799884573</v>
      </c>
      <c r="E13" s="347">
        <v>57883.805427424391</v>
      </c>
      <c r="F13" s="347">
        <v>68550.012710898474</v>
      </c>
      <c r="G13" s="347">
        <v>74069.781940557063</v>
      </c>
      <c r="H13" s="347">
        <v>81202.337177883601</v>
      </c>
      <c r="I13" s="347">
        <v>67062.35203073069</v>
      </c>
      <c r="J13" s="347">
        <v>60917.772657180722</v>
      </c>
    </row>
    <row r="15" spans="1:10" x14ac:dyDescent="0.2">
      <c r="A15" s="57" t="s">
        <v>336</v>
      </c>
      <c r="D15" s="347">
        <v>35823.482593509732</v>
      </c>
      <c r="E15" s="347">
        <v>57355.850234769459</v>
      </c>
      <c r="F15" s="347">
        <v>58489.606459660747</v>
      </c>
      <c r="G15" s="347">
        <v>68102.150989728791</v>
      </c>
      <c r="H15" s="347">
        <v>65333.608756256777</v>
      </c>
      <c r="I15" s="347">
        <v>73892.800081580383</v>
      </c>
      <c r="J15" s="347">
        <v>83526.466443142723</v>
      </c>
    </row>
    <row r="17" spans="1:20" x14ac:dyDescent="0.2">
      <c r="A17" s="268" t="s">
        <v>338</v>
      </c>
      <c r="D17" s="347"/>
      <c r="E17" s="903">
        <v>2457.7566009702277</v>
      </c>
      <c r="F17" s="526">
        <v>-7602.6496502675</v>
      </c>
      <c r="G17" s="526">
        <v>-13570.280601095757</v>
      </c>
      <c r="H17" s="526">
        <v>-29439.009022722603</v>
      </c>
      <c r="I17" s="526">
        <v>-22608.560971872939</v>
      </c>
      <c r="J17" s="903">
        <v>0.13281408906914294</v>
      </c>
    </row>
    <row r="19" spans="1:20" x14ac:dyDescent="0.2">
      <c r="A19" s="525" t="s">
        <v>285</v>
      </c>
      <c r="E19" s="527" t="s">
        <v>411</v>
      </c>
      <c r="F19" s="527" t="s">
        <v>412</v>
      </c>
      <c r="G19" s="527" t="s">
        <v>412</v>
      </c>
      <c r="H19" s="527" t="s">
        <v>412</v>
      </c>
      <c r="I19" s="527" t="s">
        <v>412</v>
      </c>
      <c r="J19" s="527" t="s">
        <v>412</v>
      </c>
    </row>
    <row r="21" spans="1:20" x14ac:dyDescent="0.2">
      <c r="A21" s="820"/>
      <c r="E21" s="786"/>
      <c r="F21" s="786"/>
    </row>
    <row r="22" spans="1:20" ht="13.5" thickBot="1" x14ac:dyDescent="0.25">
      <c r="A22" s="535"/>
      <c r="B22" s="535"/>
      <c r="C22" s="535"/>
      <c r="D22" s="535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</row>
    <row r="24" spans="1:20" s="360" customFormat="1" x14ac:dyDescent="0.2">
      <c r="A24" s="787"/>
      <c r="B24" s="395"/>
      <c r="C24" s="395"/>
      <c r="D24" s="788"/>
      <c r="E24" s="789"/>
      <c r="G24" s="789"/>
      <c r="J24" s="789"/>
    </row>
    <row r="25" spans="1:20" s="360" customFormat="1" x14ac:dyDescent="0.2">
      <c r="A25" s="88"/>
      <c r="B25" s="395"/>
      <c r="C25" s="395"/>
      <c r="D25" s="790"/>
    </row>
    <row r="26" spans="1:20" s="360" customFormat="1" x14ac:dyDescent="0.2">
      <c r="A26" s="500" t="s">
        <v>389</v>
      </c>
      <c r="B26" s="365"/>
      <c r="C26" s="365"/>
      <c r="F26" s="895" t="s">
        <v>386</v>
      </c>
      <c r="G26" s="932" t="s">
        <v>285</v>
      </c>
      <c r="H26" s="917"/>
      <c r="L26" s="932" t="s">
        <v>23</v>
      </c>
      <c r="M26" s="916"/>
      <c r="N26" s="917"/>
      <c r="R26" s="932" t="s">
        <v>329</v>
      </c>
      <c r="S26" s="916"/>
      <c r="T26" s="917"/>
    </row>
    <row r="27" spans="1:20" s="360" customFormat="1" x14ac:dyDescent="0.2">
      <c r="A27" s="409" t="s">
        <v>297</v>
      </c>
      <c r="B27" s="365"/>
      <c r="C27" s="365"/>
      <c r="D27" s="788"/>
      <c r="E27" s="788"/>
      <c r="F27" s="791">
        <v>2013</v>
      </c>
      <c r="G27" s="791">
        <v>2014</v>
      </c>
      <c r="H27" s="791">
        <v>2015</v>
      </c>
      <c r="J27" s="789"/>
      <c r="K27" s="789"/>
      <c r="L27" s="520">
        <f>F27</f>
        <v>2013</v>
      </c>
      <c r="M27" s="520">
        <f>G27</f>
        <v>2014</v>
      </c>
      <c r="N27" s="520">
        <f>H27</f>
        <v>2015</v>
      </c>
      <c r="R27" s="520">
        <f>L27</f>
        <v>2013</v>
      </c>
      <c r="S27" s="520">
        <f>M27</f>
        <v>2014</v>
      </c>
      <c r="T27" s="520">
        <f>N27</f>
        <v>2015</v>
      </c>
    </row>
    <row r="28" spans="1:20" s="360" customFormat="1" x14ac:dyDescent="0.2">
      <c r="A28" s="500"/>
      <c r="B28" s="365"/>
      <c r="C28" s="365"/>
      <c r="D28" s="788"/>
      <c r="E28" s="788"/>
      <c r="J28" s="789"/>
      <c r="K28" s="789"/>
    </row>
    <row r="29" spans="1:20" s="360" customFormat="1" x14ac:dyDescent="0.2">
      <c r="A29" s="516" t="str">
        <f>'Data 2009-15 (Real $2008)'!A71</f>
        <v>Metering data services</v>
      </c>
      <c r="B29" s="365"/>
      <c r="C29" s="365"/>
      <c r="D29" s="788"/>
      <c r="E29" s="788"/>
      <c r="F29" s="516" t="str">
        <f>'Data 2009-15 (Real $2008)'!E71</f>
        <v>Charge per meter ($ p.a.)</v>
      </c>
      <c r="J29" s="789"/>
      <c r="K29" s="789"/>
    </row>
    <row r="30" spans="1:20" s="360" customFormat="1" x14ac:dyDescent="0.2">
      <c r="A30" s="360" t="str">
        <f>'Data 2009-15 (Real $2008)'!A72</f>
        <v>metering data services - monthly read meter</v>
      </c>
      <c r="B30" s="365"/>
      <c r="C30" s="365"/>
      <c r="D30" s="788"/>
      <c r="E30" s="788"/>
      <c r="F30" s="518">
        <f>'Data 2009-15 (Real $2008)'!H72</f>
        <v>0</v>
      </c>
      <c r="G30" s="518">
        <f>'Data 2009-15 (Real $2008)'!I72</f>
        <v>0</v>
      </c>
      <c r="H30" s="518">
        <f>'Data 2009-15 (Real $2008)'!J72</f>
        <v>0</v>
      </c>
      <c r="J30" s="789"/>
      <c r="K30" s="789"/>
      <c r="L30" s="517">
        <f>'Data 2009-15 (Real $2008)'!O72</f>
        <v>0</v>
      </c>
      <c r="M30" s="517">
        <f>'Data 2009-15 (Real $2008)'!P72</f>
        <v>0</v>
      </c>
      <c r="N30" s="517">
        <f>'Data 2009-15 (Real $2008)'!Q72</f>
        <v>0</v>
      </c>
      <c r="R30" s="82">
        <f t="shared" ref="R30:T36" si="0">F30*L30/10^3</f>
        <v>0</v>
      </c>
      <c r="S30" s="82">
        <f t="shared" si="0"/>
        <v>0</v>
      </c>
      <c r="T30" s="82">
        <f t="shared" si="0"/>
        <v>0</v>
      </c>
    </row>
    <row r="31" spans="1:20" s="360" customFormat="1" x14ac:dyDescent="0.2">
      <c r="A31" s="360" t="str">
        <f>'Data 2009-15 (Real $2008)'!A73</f>
        <v>metering data services - quarterly read meter</v>
      </c>
      <c r="B31" s="365"/>
      <c r="C31" s="365"/>
      <c r="D31" s="788"/>
      <c r="E31" s="788"/>
      <c r="F31" s="518">
        <f>'Data 2009-15 (Real $2008)'!H73</f>
        <v>0</v>
      </c>
      <c r="G31" s="518">
        <f>'Data 2009-15 (Real $2008)'!I73</f>
        <v>0</v>
      </c>
      <c r="H31" s="518">
        <f>'Data 2009-15 (Real $2008)'!J73</f>
        <v>0</v>
      </c>
      <c r="J31" s="789"/>
      <c r="K31" s="789"/>
      <c r="L31" s="517">
        <f>'Data 2009-15 (Real $2008)'!O73</f>
        <v>0</v>
      </c>
      <c r="M31" s="517">
        <f>'Data 2009-15 (Real $2008)'!P73</f>
        <v>0</v>
      </c>
      <c r="N31" s="517">
        <f>'Data 2009-15 (Real $2008)'!Q73</f>
        <v>0</v>
      </c>
      <c r="R31" s="82">
        <f t="shared" si="0"/>
        <v>0</v>
      </c>
      <c r="S31" s="82">
        <f t="shared" si="0"/>
        <v>0</v>
      </c>
      <c r="T31" s="82">
        <f t="shared" si="0"/>
        <v>0</v>
      </c>
    </row>
    <row r="32" spans="1:20" s="360" customFormat="1" x14ac:dyDescent="0.2">
      <c r="A32" s="360" t="str">
        <f>'Data 2009-15 (Real $2008)'!A74</f>
        <v>Other Category 1 : Describe………………..</v>
      </c>
      <c r="B32" s="365"/>
      <c r="C32" s="365"/>
      <c r="D32" s="788"/>
      <c r="E32" s="788"/>
      <c r="F32" s="518">
        <f>'Data 2009-15 (Real $2008)'!H74</f>
        <v>0</v>
      </c>
      <c r="G32" s="518">
        <f>'Data 2009-15 (Real $2008)'!I74</f>
        <v>0</v>
      </c>
      <c r="H32" s="518">
        <f>'Data 2009-15 (Real $2008)'!J74</f>
        <v>0</v>
      </c>
      <c r="J32" s="789"/>
      <c r="K32" s="789"/>
      <c r="L32" s="517">
        <f>'Data 2009-15 (Real $2008)'!O74</f>
        <v>0</v>
      </c>
      <c r="M32" s="517">
        <f>'Data 2009-15 (Real $2008)'!P74</f>
        <v>0</v>
      </c>
      <c r="N32" s="517">
        <f>'Data 2009-15 (Real $2008)'!Q74</f>
        <v>0</v>
      </c>
      <c r="R32" s="82">
        <f t="shared" si="0"/>
        <v>0</v>
      </c>
      <c r="S32" s="82">
        <f t="shared" si="0"/>
        <v>0</v>
      </c>
      <c r="T32" s="82">
        <f t="shared" si="0"/>
        <v>0</v>
      </c>
    </row>
    <row r="33" spans="1:20" s="360" customFormat="1" x14ac:dyDescent="0.2">
      <c r="A33" s="360" t="str">
        <f>'Data 2009-15 (Real $2008)'!A75</f>
        <v>Other Category 2 : Describe………………..</v>
      </c>
      <c r="B33" s="365"/>
      <c r="C33" s="365"/>
      <c r="D33" s="788"/>
      <c r="E33" s="788"/>
      <c r="F33" s="518">
        <f>'Data 2009-15 (Real $2008)'!H75</f>
        <v>0</v>
      </c>
      <c r="G33" s="518">
        <f>'Data 2009-15 (Real $2008)'!I75</f>
        <v>0</v>
      </c>
      <c r="H33" s="518">
        <f>'Data 2009-15 (Real $2008)'!J75</f>
        <v>0</v>
      </c>
      <c r="J33" s="789"/>
      <c r="K33" s="789"/>
      <c r="L33" s="517">
        <f>'Data 2009-15 (Real $2008)'!O75</f>
        <v>0</v>
      </c>
      <c r="M33" s="517">
        <f>'Data 2009-15 (Real $2008)'!P75</f>
        <v>0</v>
      </c>
      <c r="N33" s="517">
        <f>'Data 2009-15 (Real $2008)'!Q75</f>
        <v>0</v>
      </c>
      <c r="R33" s="82">
        <f t="shared" si="0"/>
        <v>0</v>
      </c>
      <c r="S33" s="82">
        <f t="shared" si="0"/>
        <v>0</v>
      </c>
      <c r="T33" s="82">
        <f t="shared" si="0"/>
        <v>0</v>
      </c>
    </row>
    <row r="34" spans="1:20" s="360" customFormat="1" x14ac:dyDescent="0.2">
      <c r="A34" s="360" t="str">
        <f>'Data 2009-15 (Real $2008)'!A76</f>
        <v>Other Category 3 : Describe………………..</v>
      </c>
      <c r="B34" s="365"/>
      <c r="C34" s="365"/>
      <c r="D34" s="788"/>
      <c r="E34" s="788"/>
      <c r="F34" s="518">
        <f>'Data 2009-15 (Real $2008)'!H76</f>
        <v>0</v>
      </c>
      <c r="G34" s="518">
        <f>'Data 2009-15 (Real $2008)'!I76</f>
        <v>0</v>
      </c>
      <c r="H34" s="518">
        <f>'Data 2009-15 (Real $2008)'!J76</f>
        <v>0</v>
      </c>
      <c r="J34" s="789"/>
      <c r="K34" s="789"/>
      <c r="L34" s="517">
        <f>'Data 2009-15 (Real $2008)'!O76</f>
        <v>0</v>
      </c>
      <c r="M34" s="517">
        <f>'Data 2009-15 (Real $2008)'!P76</f>
        <v>0</v>
      </c>
      <c r="N34" s="517">
        <f>'Data 2009-15 (Real $2008)'!Q76</f>
        <v>0</v>
      </c>
      <c r="R34" s="82">
        <f t="shared" si="0"/>
        <v>0</v>
      </c>
      <c r="S34" s="82">
        <f t="shared" si="0"/>
        <v>0</v>
      </c>
      <c r="T34" s="82">
        <f t="shared" si="0"/>
        <v>0</v>
      </c>
    </row>
    <row r="35" spans="1:20" s="360" customFormat="1" x14ac:dyDescent="0.2">
      <c r="A35" s="360" t="str">
        <f>'Data 2009-15 (Real $2008)'!A77</f>
        <v>Other Category 4 : Describe………………..</v>
      </c>
      <c r="B35" s="365"/>
      <c r="C35" s="365"/>
      <c r="D35" s="788"/>
      <c r="E35" s="788"/>
      <c r="F35" s="518">
        <f>'Data 2009-15 (Real $2008)'!H77</f>
        <v>0</v>
      </c>
      <c r="G35" s="518">
        <f>'Data 2009-15 (Real $2008)'!I77</f>
        <v>0</v>
      </c>
      <c r="H35" s="518">
        <f>'Data 2009-15 (Real $2008)'!J77</f>
        <v>0</v>
      </c>
      <c r="J35" s="789"/>
      <c r="K35" s="789"/>
      <c r="L35" s="517">
        <f>'Data 2009-15 (Real $2008)'!O77</f>
        <v>0</v>
      </c>
      <c r="M35" s="517">
        <f>'Data 2009-15 (Real $2008)'!P77</f>
        <v>0</v>
      </c>
      <c r="N35" s="517">
        <f>'Data 2009-15 (Real $2008)'!Q77</f>
        <v>0</v>
      </c>
      <c r="R35" s="82">
        <f t="shared" si="0"/>
        <v>0</v>
      </c>
      <c r="S35" s="82">
        <f t="shared" si="0"/>
        <v>0</v>
      </c>
      <c r="T35" s="82">
        <f t="shared" si="0"/>
        <v>0</v>
      </c>
    </row>
    <row r="36" spans="1:20" s="360" customFormat="1" x14ac:dyDescent="0.2">
      <c r="A36" s="360" t="str">
        <f>'Data 2009-15 (Real $2008)'!A78</f>
        <v>Other Category 5 : Describe………………..</v>
      </c>
      <c r="B36" s="365"/>
      <c r="C36" s="365"/>
      <c r="D36" s="788"/>
      <c r="E36" s="788"/>
      <c r="F36" s="518">
        <f>'Data 2009-15 (Real $2008)'!H78</f>
        <v>0</v>
      </c>
      <c r="G36" s="518">
        <f>'Data 2009-15 (Real $2008)'!I78</f>
        <v>0</v>
      </c>
      <c r="H36" s="518">
        <f>'Data 2009-15 (Real $2008)'!J78</f>
        <v>0</v>
      </c>
      <c r="J36" s="789"/>
      <c r="K36" s="789"/>
      <c r="L36" s="517">
        <f>'Data 2009-15 (Real $2008)'!O78</f>
        <v>0</v>
      </c>
      <c r="M36" s="517">
        <f>'Data 2009-15 (Real $2008)'!P78</f>
        <v>0</v>
      </c>
      <c r="N36" s="517">
        <f>'Data 2009-15 (Real $2008)'!Q78</f>
        <v>0</v>
      </c>
      <c r="R36" s="82">
        <f t="shared" si="0"/>
        <v>0</v>
      </c>
      <c r="S36" s="82">
        <f t="shared" si="0"/>
        <v>0</v>
      </c>
      <c r="T36" s="82">
        <f t="shared" si="0"/>
        <v>0</v>
      </c>
    </row>
    <row r="37" spans="1:20" s="360" customFormat="1" x14ac:dyDescent="0.2">
      <c r="B37" s="365"/>
      <c r="C37" s="365"/>
      <c r="D37" s="788"/>
      <c r="E37" s="788"/>
      <c r="J37" s="789"/>
      <c r="K37" s="789"/>
    </row>
    <row r="38" spans="1:20" s="360" customFormat="1" x14ac:dyDescent="0.2">
      <c r="B38" s="365"/>
      <c r="C38" s="365"/>
      <c r="D38" s="788"/>
      <c r="E38" s="788"/>
      <c r="J38" s="789"/>
      <c r="K38" s="789"/>
    </row>
    <row r="39" spans="1:20" s="360" customFormat="1" x14ac:dyDescent="0.2">
      <c r="A39" s="516" t="str">
        <f>'Data 2009-15 (Real $2008)'!A81</f>
        <v>Metering data services</v>
      </c>
      <c r="B39" s="365"/>
      <c r="C39" s="365"/>
      <c r="D39" s="788"/>
      <c r="E39" s="788"/>
      <c r="F39" s="516" t="str">
        <f>'Data 2009-15 (Real $2008)'!E81</f>
        <v>Charge per NMIs ($ p.a.)</v>
      </c>
      <c r="J39" s="789"/>
      <c r="K39" s="789"/>
    </row>
    <row r="40" spans="1:20" s="360" customFormat="1" x14ac:dyDescent="0.2">
      <c r="A40" s="360" t="str">
        <f>'Data 2009-15 (Real $2008)'!A82</f>
        <v>metering data services - monthly read meter</v>
      </c>
      <c r="B40" s="365"/>
      <c r="C40" s="365"/>
      <c r="D40" s="788"/>
      <c r="E40" s="788"/>
      <c r="F40" s="518">
        <f>'Data 2009-15 (Real $2008)'!H82</f>
        <v>0</v>
      </c>
      <c r="G40" s="518">
        <f>'Data 2009-15 (Real $2008)'!I82</f>
        <v>0</v>
      </c>
      <c r="H40" s="518">
        <f>'Data 2009-15 (Real $2008)'!J82</f>
        <v>0</v>
      </c>
      <c r="J40" s="789"/>
      <c r="K40" s="789"/>
      <c r="L40" s="517">
        <f>'Data 2009-15 (Real $2008)'!O82</f>
        <v>0</v>
      </c>
      <c r="M40" s="517">
        <f>'Data 2009-15 (Real $2008)'!P82</f>
        <v>0</v>
      </c>
      <c r="N40" s="517">
        <f>'Data 2009-15 (Real $2008)'!Q82</f>
        <v>0</v>
      </c>
      <c r="R40" s="82">
        <f t="shared" ref="R40:T46" si="1">F40*L40/10^3</f>
        <v>0</v>
      </c>
      <c r="S40" s="82">
        <f t="shared" si="1"/>
        <v>0</v>
      </c>
      <c r="T40" s="82">
        <f t="shared" si="1"/>
        <v>0</v>
      </c>
    </row>
    <row r="41" spans="1:20" s="360" customFormat="1" x14ac:dyDescent="0.2">
      <c r="A41" s="360" t="str">
        <f>'Data 2009-15 (Real $2008)'!A83</f>
        <v>metering data services - quarterly read meter</v>
      </c>
      <c r="B41" s="365"/>
      <c r="C41" s="365"/>
      <c r="D41" s="788"/>
      <c r="E41" s="788"/>
      <c r="F41" s="518">
        <f>'Data 2009-15 (Real $2008)'!H83</f>
        <v>0</v>
      </c>
      <c r="G41" s="518">
        <f>'Data 2009-15 (Real $2008)'!I83</f>
        <v>0</v>
      </c>
      <c r="H41" s="518">
        <f>'Data 2009-15 (Real $2008)'!J83</f>
        <v>0</v>
      </c>
      <c r="J41" s="789"/>
      <c r="K41" s="789"/>
      <c r="L41" s="517">
        <f>'Data 2009-15 (Real $2008)'!O83</f>
        <v>0</v>
      </c>
      <c r="M41" s="517">
        <f>'Data 2009-15 (Real $2008)'!P83</f>
        <v>0</v>
      </c>
      <c r="N41" s="517">
        <f>'Data 2009-15 (Real $2008)'!Q83</f>
        <v>0</v>
      </c>
      <c r="R41" s="82">
        <f t="shared" si="1"/>
        <v>0</v>
      </c>
      <c r="S41" s="82">
        <f t="shared" si="1"/>
        <v>0</v>
      </c>
      <c r="T41" s="82">
        <f t="shared" si="1"/>
        <v>0</v>
      </c>
    </row>
    <row r="42" spans="1:20" s="360" customFormat="1" x14ac:dyDescent="0.2">
      <c r="A42" s="360" t="str">
        <f>'Data 2009-15 (Real $2008)'!A84</f>
        <v>Other Category 1 : Describe………………..</v>
      </c>
      <c r="B42" s="365"/>
      <c r="C42" s="365"/>
      <c r="D42" s="788"/>
      <c r="E42" s="788"/>
      <c r="F42" s="518">
        <f>'Data 2009-15 (Real $2008)'!H84</f>
        <v>0</v>
      </c>
      <c r="G42" s="518">
        <f>'Data 2009-15 (Real $2008)'!I84</f>
        <v>0</v>
      </c>
      <c r="H42" s="518">
        <f>'Data 2009-15 (Real $2008)'!J84</f>
        <v>0</v>
      </c>
      <c r="J42" s="789"/>
      <c r="K42" s="789"/>
      <c r="L42" s="517">
        <f>'Data 2009-15 (Real $2008)'!O84</f>
        <v>0</v>
      </c>
      <c r="M42" s="517">
        <f>'Data 2009-15 (Real $2008)'!P84</f>
        <v>0</v>
      </c>
      <c r="N42" s="517">
        <f>'Data 2009-15 (Real $2008)'!Q84</f>
        <v>0</v>
      </c>
      <c r="R42" s="82">
        <f t="shared" si="1"/>
        <v>0</v>
      </c>
      <c r="S42" s="82">
        <f t="shared" si="1"/>
        <v>0</v>
      </c>
      <c r="T42" s="82">
        <f t="shared" si="1"/>
        <v>0</v>
      </c>
    </row>
    <row r="43" spans="1:20" s="360" customFormat="1" x14ac:dyDescent="0.2">
      <c r="A43" s="360" t="str">
        <f>'Data 2009-15 (Real $2008)'!A85</f>
        <v>Other Category 2 : Describe………………..</v>
      </c>
      <c r="B43" s="365"/>
      <c r="C43" s="365"/>
      <c r="D43" s="788"/>
      <c r="E43" s="788"/>
      <c r="F43" s="518">
        <f>'Data 2009-15 (Real $2008)'!H85</f>
        <v>0</v>
      </c>
      <c r="G43" s="518">
        <f>'Data 2009-15 (Real $2008)'!I85</f>
        <v>0</v>
      </c>
      <c r="H43" s="518">
        <f>'Data 2009-15 (Real $2008)'!J85</f>
        <v>0</v>
      </c>
      <c r="J43" s="789"/>
      <c r="K43" s="789"/>
      <c r="L43" s="517">
        <f>'Data 2009-15 (Real $2008)'!O85</f>
        <v>0</v>
      </c>
      <c r="M43" s="517">
        <f>'Data 2009-15 (Real $2008)'!P85</f>
        <v>0</v>
      </c>
      <c r="N43" s="517">
        <f>'Data 2009-15 (Real $2008)'!Q85</f>
        <v>0</v>
      </c>
      <c r="R43" s="82">
        <f t="shared" si="1"/>
        <v>0</v>
      </c>
      <c r="S43" s="82">
        <f t="shared" si="1"/>
        <v>0</v>
      </c>
      <c r="T43" s="82">
        <f t="shared" si="1"/>
        <v>0</v>
      </c>
    </row>
    <row r="44" spans="1:20" s="360" customFormat="1" x14ac:dyDescent="0.2">
      <c r="A44" s="360" t="str">
        <f>'Data 2009-15 (Real $2008)'!A86</f>
        <v>Other Category 3 : Describe………………..</v>
      </c>
      <c r="B44" s="365"/>
      <c r="C44" s="365"/>
      <c r="D44" s="788"/>
      <c r="E44" s="788"/>
      <c r="F44" s="518">
        <f>'Data 2009-15 (Real $2008)'!H86</f>
        <v>0</v>
      </c>
      <c r="G44" s="518">
        <f>'Data 2009-15 (Real $2008)'!I86</f>
        <v>0</v>
      </c>
      <c r="H44" s="518">
        <f>'Data 2009-15 (Real $2008)'!J86</f>
        <v>0</v>
      </c>
      <c r="J44" s="789"/>
      <c r="K44" s="789"/>
      <c r="L44" s="517">
        <f>'Data 2009-15 (Real $2008)'!O86</f>
        <v>0</v>
      </c>
      <c r="M44" s="517">
        <f>'Data 2009-15 (Real $2008)'!P86</f>
        <v>0</v>
      </c>
      <c r="N44" s="517">
        <f>'Data 2009-15 (Real $2008)'!Q86</f>
        <v>0</v>
      </c>
      <c r="R44" s="82">
        <f t="shared" si="1"/>
        <v>0</v>
      </c>
      <c r="S44" s="82">
        <f t="shared" si="1"/>
        <v>0</v>
      </c>
      <c r="T44" s="82">
        <f t="shared" si="1"/>
        <v>0</v>
      </c>
    </row>
    <row r="45" spans="1:20" s="360" customFormat="1" x14ac:dyDescent="0.2">
      <c r="A45" s="360" t="str">
        <f>'Data 2009-15 (Real $2008)'!A87</f>
        <v>Other Category 4 : Describe………………..</v>
      </c>
      <c r="B45" s="365"/>
      <c r="C45" s="365"/>
      <c r="D45" s="788"/>
      <c r="E45" s="788"/>
      <c r="F45" s="518">
        <f>'Data 2009-15 (Real $2008)'!H87</f>
        <v>0</v>
      </c>
      <c r="G45" s="518">
        <f>'Data 2009-15 (Real $2008)'!I87</f>
        <v>0</v>
      </c>
      <c r="H45" s="518">
        <f>'Data 2009-15 (Real $2008)'!J87</f>
        <v>0</v>
      </c>
      <c r="J45" s="789"/>
      <c r="K45" s="789"/>
      <c r="L45" s="517">
        <f>'Data 2009-15 (Real $2008)'!O87</f>
        <v>0</v>
      </c>
      <c r="M45" s="517">
        <f>'Data 2009-15 (Real $2008)'!P87</f>
        <v>0</v>
      </c>
      <c r="N45" s="517">
        <f>'Data 2009-15 (Real $2008)'!Q87</f>
        <v>0</v>
      </c>
      <c r="R45" s="82">
        <f t="shared" si="1"/>
        <v>0</v>
      </c>
      <c r="S45" s="82">
        <f t="shared" si="1"/>
        <v>0</v>
      </c>
      <c r="T45" s="82">
        <f t="shared" si="1"/>
        <v>0</v>
      </c>
    </row>
    <row r="46" spans="1:20" s="360" customFormat="1" x14ac:dyDescent="0.2">
      <c r="A46" s="360" t="str">
        <f>'Data 2009-15 (Real $2008)'!A88</f>
        <v>Other Category 5 : Describe………………..</v>
      </c>
      <c r="B46" s="365"/>
      <c r="C46" s="365"/>
      <c r="D46" s="788"/>
      <c r="E46" s="788"/>
      <c r="F46" s="518">
        <f>'Data 2009-15 (Real $2008)'!H88</f>
        <v>0</v>
      </c>
      <c r="G46" s="518">
        <f>'Data 2009-15 (Real $2008)'!I88</f>
        <v>0</v>
      </c>
      <c r="H46" s="518">
        <f>'Data 2009-15 (Real $2008)'!J88</f>
        <v>0</v>
      </c>
      <c r="J46" s="789"/>
      <c r="K46" s="789"/>
      <c r="L46" s="517">
        <f>'Data 2009-15 (Real $2008)'!O88</f>
        <v>0</v>
      </c>
      <c r="M46" s="517">
        <f>'Data 2009-15 (Real $2008)'!P88</f>
        <v>0</v>
      </c>
      <c r="N46" s="517">
        <f>'Data 2009-15 (Real $2008)'!Q88</f>
        <v>0</v>
      </c>
      <c r="R46" s="82">
        <f t="shared" si="1"/>
        <v>0</v>
      </c>
      <c r="S46" s="82">
        <f t="shared" si="1"/>
        <v>0</v>
      </c>
      <c r="T46" s="82">
        <f t="shared" si="1"/>
        <v>0</v>
      </c>
    </row>
    <row r="47" spans="1:20" s="360" customFormat="1" x14ac:dyDescent="0.2">
      <c r="B47" s="365"/>
      <c r="C47" s="365"/>
      <c r="D47" s="788"/>
      <c r="E47" s="788"/>
      <c r="J47" s="789"/>
      <c r="K47" s="789"/>
    </row>
    <row r="48" spans="1:20" s="360" customFormat="1" x14ac:dyDescent="0.2">
      <c r="B48" s="365"/>
      <c r="C48" s="365"/>
      <c r="D48" s="788"/>
      <c r="E48" s="788"/>
      <c r="J48" s="789"/>
      <c r="K48" s="789"/>
    </row>
    <row r="49" spans="1:20" s="360" customFormat="1" x14ac:dyDescent="0.2">
      <c r="A49" s="516" t="str">
        <f>'Data 2009-15 (Real $2008)'!A91</f>
        <v>Meter provision Charge</v>
      </c>
      <c r="B49" s="365"/>
      <c r="C49" s="365"/>
      <c r="D49" s="788"/>
      <c r="E49" s="788"/>
      <c r="F49" s="516" t="str">
        <f>'Data 2009-15 (Real $2008)'!E91</f>
        <v>Charge per meter ($ p.a.)</v>
      </c>
      <c r="J49" s="789"/>
      <c r="K49" s="789"/>
    </row>
    <row r="50" spans="1:20" s="360" customFormat="1" x14ac:dyDescent="0.2">
      <c r="A50" s="360" t="str">
        <f>'Data 2009-15 (Real $2008)'!A92</f>
        <v>single phase single element meter</v>
      </c>
      <c r="B50" s="365"/>
      <c r="C50" s="365"/>
      <c r="D50" s="788"/>
      <c r="E50" s="788"/>
      <c r="F50" s="518">
        <f>'Data 2009-15 (Real $2008)'!H92</f>
        <v>0</v>
      </c>
      <c r="G50" s="518">
        <f>'Data 2009-15 (Real $2008)'!I92</f>
        <v>0</v>
      </c>
      <c r="H50" s="518">
        <f>'Data 2009-15 (Real $2008)'!J92</f>
        <v>0</v>
      </c>
      <c r="J50" s="789"/>
      <c r="K50" s="789"/>
      <c r="L50" s="517">
        <f>'Data 2009-15 (Real $2008)'!O92</f>
        <v>0</v>
      </c>
      <c r="M50" s="517">
        <f>'Data 2009-15 (Real $2008)'!P92</f>
        <v>0</v>
      </c>
      <c r="N50" s="517">
        <f>'Data 2009-15 (Real $2008)'!Q92</f>
        <v>0</v>
      </c>
      <c r="R50" s="82">
        <f t="shared" ref="R50:T60" si="2">F50*L50/10^3</f>
        <v>0</v>
      </c>
      <c r="S50" s="82">
        <f t="shared" si="2"/>
        <v>0</v>
      </c>
      <c r="T50" s="82">
        <f t="shared" si="2"/>
        <v>0</v>
      </c>
    </row>
    <row r="51" spans="1:20" s="360" customFormat="1" x14ac:dyDescent="0.2">
      <c r="A51" s="360" t="str">
        <f>'Data 2009-15 (Real $2008)'!A93</f>
        <v>single phase single element meter with contactor</v>
      </c>
      <c r="B51" s="365"/>
      <c r="C51" s="365"/>
      <c r="D51" s="788"/>
      <c r="E51" s="788"/>
      <c r="F51" s="518">
        <f>'Data 2009-15 (Real $2008)'!H93</f>
        <v>0</v>
      </c>
      <c r="G51" s="518">
        <f>'Data 2009-15 (Real $2008)'!I93</f>
        <v>0</v>
      </c>
      <c r="H51" s="518">
        <f>'Data 2009-15 (Real $2008)'!J93</f>
        <v>0</v>
      </c>
      <c r="J51" s="789"/>
      <c r="K51" s="789"/>
      <c r="L51" s="517">
        <f>'Data 2009-15 (Real $2008)'!O93</f>
        <v>0</v>
      </c>
      <c r="M51" s="517">
        <f>'Data 2009-15 (Real $2008)'!P93</f>
        <v>0</v>
      </c>
      <c r="N51" s="517">
        <f>'Data 2009-15 (Real $2008)'!Q93</f>
        <v>0</v>
      </c>
      <c r="R51" s="82">
        <f t="shared" si="2"/>
        <v>0</v>
      </c>
      <c r="S51" s="82">
        <f t="shared" si="2"/>
        <v>0</v>
      </c>
      <c r="T51" s="82">
        <f t="shared" si="2"/>
        <v>0</v>
      </c>
    </row>
    <row r="52" spans="1:20" s="360" customFormat="1" x14ac:dyDescent="0.2">
      <c r="A52" s="360" t="str">
        <f>'Data 2009-15 (Real $2008)'!A94</f>
        <v>single phase two element meter with contactor</v>
      </c>
      <c r="B52" s="365"/>
      <c r="C52" s="365"/>
      <c r="D52" s="788"/>
      <c r="E52" s="788"/>
      <c r="F52" s="518">
        <f>'Data 2009-15 (Real $2008)'!H94</f>
        <v>0</v>
      </c>
      <c r="G52" s="518">
        <f>'Data 2009-15 (Real $2008)'!I94</f>
        <v>0</v>
      </c>
      <c r="H52" s="518">
        <f>'Data 2009-15 (Real $2008)'!J94</f>
        <v>0</v>
      </c>
      <c r="J52" s="789"/>
      <c r="K52" s="789"/>
      <c r="L52" s="517">
        <f>'Data 2009-15 (Real $2008)'!O94</f>
        <v>0</v>
      </c>
      <c r="M52" s="517">
        <f>'Data 2009-15 (Real $2008)'!P94</f>
        <v>0</v>
      </c>
      <c r="N52" s="517">
        <f>'Data 2009-15 (Real $2008)'!Q94</f>
        <v>0</v>
      </c>
      <c r="R52" s="82">
        <f t="shared" si="2"/>
        <v>0</v>
      </c>
      <c r="S52" s="82">
        <f t="shared" si="2"/>
        <v>0</v>
      </c>
      <c r="T52" s="82">
        <f t="shared" si="2"/>
        <v>0</v>
      </c>
    </row>
    <row r="53" spans="1:20" s="360" customFormat="1" x14ac:dyDescent="0.2">
      <c r="A53" s="360" t="str">
        <f>'Data 2009-15 (Real $2008)'!A95</f>
        <v>three phase direct connected meter</v>
      </c>
      <c r="B53" s="365"/>
      <c r="C53" s="365"/>
      <c r="D53" s="788"/>
      <c r="E53" s="788"/>
      <c r="F53" s="518">
        <f>'Data 2009-15 (Real $2008)'!H95</f>
        <v>0</v>
      </c>
      <c r="G53" s="518">
        <f>'Data 2009-15 (Real $2008)'!I95</f>
        <v>0</v>
      </c>
      <c r="H53" s="518">
        <f>'Data 2009-15 (Real $2008)'!J95</f>
        <v>0</v>
      </c>
      <c r="J53" s="789"/>
      <c r="K53" s="789"/>
      <c r="L53" s="517">
        <f>'Data 2009-15 (Real $2008)'!O95</f>
        <v>0</v>
      </c>
      <c r="M53" s="517">
        <f>'Data 2009-15 (Real $2008)'!P95</f>
        <v>0</v>
      </c>
      <c r="N53" s="517">
        <f>'Data 2009-15 (Real $2008)'!Q95</f>
        <v>0</v>
      </c>
      <c r="R53" s="82">
        <f t="shared" si="2"/>
        <v>0</v>
      </c>
      <c r="S53" s="82">
        <f t="shared" si="2"/>
        <v>0</v>
      </c>
      <c r="T53" s="82">
        <f t="shared" si="2"/>
        <v>0</v>
      </c>
    </row>
    <row r="54" spans="1:20" s="360" customFormat="1" x14ac:dyDescent="0.2">
      <c r="A54" s="360" t="str">
        <f>'Data 2009-15 (Real $2008)'!A96</f>
        <v>three phase direct connected meter with contactor</v>
      </c>
      <c r="B54" s="365"/>
      <c r="C54" s="365"/>
      <c r="D54" s="788"/>
      <c r="E54" s="788"/>
      <c r="F54" s="518">
        <f>'Data 2009-15 (Real $2008)'!H96</f>
        <v>0</v>
      </c>
      <c r="G54" s="518">
        <f>'Data 2009-15 (Real $2008)'!I96</f>
        <v>0</v>
      </c>
      <c r="H54" s="518">
        <f>'Data 2009-15 (Real $2008)'!J96</f>
        <v>0</v>
      </c>
      <c r="J54" s="789"/>
      <c r="K54" s="789"/>
      <c r="L54" s="517">
        <f>'Data 2009-15 (Real $2008)'!O96</f>
        <v>0</v>
      </c>
      <c r="M54" s="517">
        <f>'Data 2009-15 (Real $2008)'!P96</f>
        <v>0</v>
      </c>
      <c r="N54" s="517">
        <f>'Data 2009-15 (Real $2008)'!Q96</f>
        <v>0</v>
      </c>
      <c r="R54" s="82">
        <f t="shared" si="2"/>
        <v>0</v>
      </c>
      <c r="S54" s="82">
        <f t="shared" si="2"/>
        <v>0</v>
      </c>
      <c r="T54" s="82">
        <f t="shared" si="2"/>
        <v>0</v>
      </c>
    </row>
    <row r="55" spans="1:20" s="360" customFormat="1" x14ac:dyDescent="0.2">
      <c r="A55" s="360" t="str">
        <f>'Data 2009-15 (Real $2008)'!A97</f>
        <v>three phase Current transformer connected meter</v>
      </c>
      <c r="B55" s="365"/>
      <c r="C55" s="365"/>
      <c r="D55" s="788"/>
      <c r="E55" s="788"/>
      <c r="F55" s="518">
        <f>'Data 2009-15 (Real $2008)'!H97</f>
        <v>0</v>
      </c>
      <c r="G55" s="518">
        <f>'Data 2009-15 (Real $2008)'!I97</f>
        <v>0</v>
      </c>
      <c r="H55" s="518">
        <f>'Data 2009-15 (Real $2008)'!J97</f>
        <v>0</v>
      </c>
      <c r="J55" s="789"/>
      <c r="K55" s="789"/>
      <c r="L55" s="517">
        <f>'Data 2009-15 (Real $2008)'!O97</f>
        <v>0</v>
      </c>
      <c r="M55" s="517">
        <f>'Data 2009-15 (Real $2008)'!P97</f>
        <v>0</v>
      </c>
      <c r="N55" s="517">
        <f>'Data 2009-15 (Real $2008)'!Q97</f>
        <v>0</v>
      </c>
      <c r="R55" s="82">
        <f t="shared" si="2"/>
        <v>0</v>
      </c>
      <c r="S55" s="82">
        <f t="shared" si="2"/>
        <v>0</v>
      </c>
      <c r="T55" s="82">
        <f t="shared" si="2"/>
        <v>0</v>
      </c>
    </row>
    <row r="56" spans="1:20" s="360" customFormat="1" x14ac:dyDescent="0.2">
      <c r="A56" s="360" t="str">
        <f>'Data 2009-15 (Real $2008)'!A98</f>
        <v>Single phase single element 1 contactor (1load control)</v>
      </c>
      <c r="B56" s="365"/>
      <c r="C56" s="365"/>
      <c r="D56" s="788"/>
      <c r="E56" s="788"/>
      <c r="F56" s="518">
        <f>'Data 2009-15 (Real $2008)'!H98</f>
        <v>130.44999999999999</v>
      </c>
      <c r="G56" s="518">
        <f>'Data 2009-15 (Real $2008)'!I98</f>
        <v>157.43989465182617</v>
      </c>
      <c r="H56" s="518">
        <f>'Data 2009-15 (Real $2008)'!J98</f>
        <v>190.01395498641716</v>
      </c>
      <c r="J56" s="789"/>
      <c r="K56" s="789"/>
      <c r="L56" s="517">
        <f>'Data 2009-15 (Real $2008)'!O98</f>
        <v>390822.125</v>
      </c>
      <c r="M56" s="517">
        <f>'Data 2009-15 (Real $2008)'!P98</f>
        <v>398557.46675785119</v>
      </c>
      <c r="N56" s="517">
        <f>'Data 2009-15 (Real $2008)'!Q98</f>
        <v>406120.02995804162</v>
      </c>
      <c r="R56" s="82">
        <f t="shared" si="2"/>
        <v>50982.746206249998</v>
      </c>
      <c r="S56" s="82">
        <f t="shared" si="2"/>
        <v>62748.845579054803</v>
      </c>
      <c r="T56" s="82">
        <f t="shared" si="2"/>
        <v>77168.473091529711</v>
      </c>
    </row>
    <row r="57" spans="1:20" s="360" customFormat="1" x14ac:dyDescent="0.2">
      <c r="A57" s="360" t="str">
        <f>'Data 2009-15 (Real $2008)'!A99</f>
        <v>Single phase two element 2 contactors (2 load controls)</v>
      </c>
      <c r="B57" s="365"/>
      <c r="C57" s="365"/>
      <c r="D57" s="788"/>
      <c r="E57" s="788"/>
      <c r="F57" s="518">
        <f>'Data 2009-15 (Real $2008)'!H99</f>
        <v>149.9</v>
      </c>
      <c r="G57" s="518">
        <f>'Data 2009-15 (Real $2008)'!I99</f>
        <v>180.91406828906662</v>
      </c>
      <c r="H57" s="518">
        <f>'Data 2009-15 (Real $2008)'!J99</f>
        <v>218.34489729753875</v>
      </c>
      <c r="J57" s="789"/>
      <c r="K57" s="789"/>
      <c r="L57" s="517">
        <f>'Data 2009-15 (Real $2008)'!O99</f>
        <v>155344.875</v>
      </c>
      <c r="M57" s="517">
        <f>'Data 2009-15 (Real $2008)'!P99</f>
        <v>156548.59239537409</v>
      </c>
      <c r="N57" s="517">
        <f>'Data 2009-15 (Real $2008)'!Q99</f>
        <v>157702.89891689076</v>
      </c>
      <c r="R57" s="82">
        <f t="shared" si="2"/>
        <v>23286.1967625</v>
      </c>
      <c r="S57" s="82">
        <f t="shared" si="2"/>
        <v>28321.842735173963</v>
      </c>
      <c r="T57" s="82">
        <f t="shared" si="2"/>
        <v>34433.623267532646</v>
      </c>
    </row>
    <row r="58" spans="1:20" s="360" customFormat="1" x14ac:dyDescent="0.2">
      <c r="A58" s="360" t="str">
        <f>'Data 2009-15 (Real $2008)'!A100</f>
        <v>Multiphase 1 contactor (1 load control)</v>
      </c>
      <c r="B58" s="365"/>
      <c r="C58" s="365"/>
      <c r="D58" s="788"/>
      <c r="E58" s="788"/>
      <c r="F58" s="518">
        <f>'Data 2009-15 (Real $2008)'!H100</f>
        <v>181.1</v>
      </c>
      <c r="G58" s="518">
        <f>'Data 2009-15 (Real $2008)'!I100</f>
        <v>218.56929797965287</v>
      </c>
      <c r="H58" s="518">
        <f>'Data 2009-15 (Real $2008)'!J100</f>
        <v>263.79093329275696</v>
      </c>
      <c r="J58" s="789"/>
      <c r="K58" s="789"/>
      <c r="L58" s="517">
        <f>'Data 2009-15 (Real $2008)'!O100</f>
        <v>83175.75</v>
      </c>
      <c r="M58" s="517">
        <f>'Data 2009-15 (Real $2008)'!P100</f>
        <v>84284.130234145021</v>
      </c>
      <c r="N58" s="517">
        <f>'Data 2009-15 (Real $2008)'!Q100</f>
        <v>85357.055867229894</v>
      </c>
      <c r="R58" s="82">
        <f t="shared" si="2"/>
        <v>15063.128325</v>
      </c>
      <c r="S58" s="82">
        <f t="shared" si="2"/>
        <v>18421.923176102711</v>
      </c>
      <c r="T58" s="82">
        <f t="shared" si="2"/>
        <v>22516.41743033857</v>
      </c>
    </row>
    <row r="59" spans="1:20" s="360" customFormat="1" x14ac:dyDescent="0.2">
      <c r="A59" s="360" t="str">
        <f>'Data 2009-15 (Real $2008)'!A101</f>
        <v>Multiphase 2 contactors (2 load controls)</v>
      </c>
      <c r="B59" s="365"/>
      <c r="C59" s="365"/>
      <c r="D59" s="788"/>
      <c r="E59" s="788"/>
      <c r="F59" s="518">
        <f>'Data 2009-15 (Real $2008)'!H101</f>
        <v>200.89</v>
      </c>
      <c r="G59" s="518">
        <f>'Data 2009-15 (Real $2008)'!I101</f>
        <v>242.45381706864973</v>
      </c>
      <c r="H59" s="518">
        <f>'Data 2009-15 (Real $2008)'!J101</f>
        <v>292.61712086792903</v>
      </c>
      <c r="J59" s="789"/>
      <c r="K59" s="789"/>
      <c r="L59" s="517">
        <f>'Data 2009-15 (Real $2008)'!O101</f>
        <v>42268.18</v>
      </c>
      <c r="M59" s="517">
        <f>'Data 2009-15 (Real $2008)'!P101</f>
        <v>42292.871638879471</v>
      </c>
      <c r="N59" s="517">
        <f>'Data 2009-15 (Real $2008)'!Q101</f>
        <v>42316.309334747828</v>
      </c>
      <c r="R59" s="82">
        <f t="shared" si="2"/>
        <v>8491.2546801999997</v>
      </c>
      <c r="S59" s="82">
        <f t="shared" si="2"/>
        <v>10254.068163640768</v>
      </c>
      <c r="T59" s="82">
        <f t="shared" si="2"/>
        <v>12382.476603290579</v>
      </c>
    </row>
    <row r="60" spans="1:20" s="360" customFormat="1" x14ac:dyDescent="0.2">
      <c r="A60" s="360" t="str">
        <f>'Data 2009-15 (Real $2008)'!A102</f>
        <v>Multiphase CT connected</v>
      </c>
      <c r="B60" s="365"/>
      <c r="C60" s="365"/>
      <c r="D60" s="788"/>
      <c r="E60" s="788"/>
      <c r="F60" s="518">
        <f>'Data 2009-15 (Real $2008)'!H102</f>
        <v>258.68</v>
      </c>
      <c r="G60" s="518">
        <f>'Data 2009-15 (Real $2008)'!I102</f>
        <v>312.20047488336064</v>
      </c>
      <c r="H60" s="518">
        <f>'Data 2009-15 (Real $2008)'!J102</f>
        <v>376.79424971932843</v>
      </c>
      <c r="J60" s="789"/>
      <c r="K60" s="789"/>
      <c r="L60" s="517">
        <f>'Data 2009-15 (Real $2008)'!O102</f>
        <v>3786.4999750000002</v>
      </c>
      <c r="M60" s="517">
        <f>'Data 2009-15 (Real $2008)'!P102</f>
        <v>3826.2809487502545</v>
      </c>
      <c r="N60" s="517">
        <f>'Data 2009-15 (Real $2008)'!Q102</f>
        <v>3864.6927280900645</v>
      </c>
      <c r="R60" s="82">
        <f t="shared" si="2"/>
        <v>979.49181353300003</v>
      </c>
      <c r="S60" s="82">
        <f t="shared" si="2"/>
        <v>1194.5667292369851</v>
      </c>
      <c r="T60" s="82">
        <f t="shared" si="2"/>
        <v>1456.1939968764405</v>
      </c>
    </row>
    <row r="61" spans="1:20" s="360" customFormat="1" x14ac:dyDescent="0.2">
      <c r="B61" s="365"/>
      <c r="C61" s="365"/>
      <c r="D61" s="788"/>
      <c r="E61" s="788"/>
      <c r="J61" s="789"/>
      <c r="K61" s="789"/>
    </row>
    <row r="62" spans="1:20" s="360" customFormat="1" x14ac:dyDescent="0.2">
      <c r="B62" s="365"/>
      <c r="C62" s="365"/>
      <c r="D62" s="788"/>
      <c r="E62" s="788"/>
      <c r="J62" s="789"/>
      <c r="K62" s="789"/>
    </row>
    <row r="63" spans="1:20" s="360" customFormat="1" x14ac:dyDescent="0.2">
      <c r="A63" s="516" t="str">
        <f>'Data 2009-15 (Real $2008)'!A105</f>
        <v>Meter provision Charge</v>
      </c>
      <c r="B63" s="365"/>
      <c r="C63" s="365"/>
      <c r="D63" s="788"/>
      <c r="E63" s="788"/>
      <c r="F63" s="516" t="str">
        <f>'Data 2009-15 (Real $2008)'!E105</f>
        <v>Charge per NMIs ($ p.a.)</v>
      </c>
      <c r="J63" s="789"/>
      <c r="K63" s="789"/>
    </row>
    <row r="64" spans="1:20" s="360" customFormat="1" x14ac:dyDescent="0.2">
      <c r="A64" s="360" t="str">
        <f>'Data 2009-15 (Real $2008)'!A106</f>
        <v>single phase single element meter</v>
      </c>
      <c r="B64" s="365"/>
      <c r="C64" s="365"/>
      <c r="D64" s="788"/>
      <c r="E64" s="788"/>
      <c r="F64" s="518">
        <f>'Data 2009-15 (Real $2008)'!H106</f>
        <v>0</v>
      </c>
      <c r="G64" s="518">
        <f>'Data 2009-15 (Real $2008)'!I106</f>
        <v>0</v>
      </c>
      <c r="H64" s="518">
        <f>'Data 2009-15 (Real $2008)'!J106</f>
        <v>0</v>
      </c>
      <c r="J64" s="789"/>
      <c r="K64" s="789"/>
      <c r="L64" s="517">
        <f>'Data 2009-15 (Real $2008)'!O106</f>
        <v>0</v>
      </c>
      <c r="M64" s="517">
        <f>'Data 2009-15 (Real $2008)'!P106</f>
        <v>0</v>
      </c>
      <c r="N64" s="517">
        <f>'Data 2009-15 (Real $2008)'!Q106</f>
        <v>0</v>
      </c>
      <c r="R64" s="82">
        <f t="shared" ref="R64:T74" si="3">F64*L64/10^3</f>
        <v>0</v>
      </c>
      <c r="S64" s="82">
        <f t="shared" si="3"/>
        <v>0</v>
      </c>
      <c r="T64" s="82">
        <f t="shared" si="3"/>
        <v>0</v>
      </c>
    </row>
    <row r="65" spans="1:20" s="360" customFormat="1" x14ac:dyDescent="0.2">
      <c r="A65" s="360" t="str">
        <f>'Data 2009-15 (Real $2008)'!A107</f>
        <v>single phase single element meter with contactor</v>
      </c>
      <c r="B65" s="365"/>
      <c r="C65" s="365"/>
      <c r="D65" s="788"/>
      <c r="E65" s="788"/>
      <c r="F65" s="518">
        <f>'Data 2009-15 (Real $2008)'!H107</f>
        <v>0</v>
      </c>
      <c r="G65" s="518">
        <f>'Data 2009-15 (Real $2008)'!I107</f>
        <v>0</v>
      </c>
      <c r="H65" s="518">
        <f>'Data 2009-15 (Real $2008)'!J107</f>
        <v>0</v>
      </c>
      <c r="J65" s="789"/>
      <c r="K65" s="789"/>
      <c r="L65" s="517">
        <f>'Data 2009-15 (Real $2008)'!O107</f>
        <v>0</v>
      </c>
      <c r="M65" s="517">
        <f>'Data 2009-15 (Real $2008)'!P107</f>
        <v>0</v>
      </c>
      <c r="N65" s="517">
        <f>'Data 2009-15 (Real $2008)'!Q107</f>
        <v>0</v>
      </c>
      <c r="R65" s="82">
        <f t="shared" si="3"/>
        <v>0</v>
      </c>
      <c r="S65" s="82">
        <f t="shared" si="3"/>
        <v>0</v>
      </c>
      <c r="T65" s="82">
        <f t="shared" si="3"/>
        <v>0</v>
      </c>
    </row>
    <row r="66" spans="1:20" s="360" customFormat="1" x14ac:dyDescent="0.2">
      <c r="A66" s="360" t="str">
        <f>'Data 2009-15 (Real $2008)'!A108</f>
        <v>single phase two element meter with contactor</v>
      </c>
      <c r="B66" s="365"/>
      <c r="C66" s="365"/>
      <c r="D66" s="788"/>
      <c r="E66" s="788"/>
      <c r="F66" s="518">
        <f>'Data 2009-15 (Real $2008)'!H108</f>
        <v>0</v>
      </c>
      <c r="G66" s="518">
        <f>'Data 2009-15 (Real $2008)'!I108</f>
        <v>0</v>
      </c>
      <c r="H66" s="518">
        <f>'Data 2009-15 (Real $2008)'!J108</f>
        <v>0</v>
      </c>
      <c r="J66" s="789"/>
      <c r="K66" s="789"/>
      <c r="L66" s="517">
        <f>'Data 2009-15 (Real $2008)'!O108</f>
        <v>0</v>
      </c>
      <c r="M66" s="517">
        <f>'Data 2009-15 (Real $2008)'!P108</f>
        <v>0</v>
      </c>
      <c r="N66" s="517">
        <f>'Data 2009-15 (Real $2008)'!Q108</f>
        <v>0</v>
      </c>
      <c r="R66" s="82">
        <f t="shared" si="3"/>
        <v>0</v>
      </c>
      <c r="S66" s="82">
        <f t="shared" si="3"/>
        <v>0</v>
      </c>
      <c r="T66" s="82">
        <f t="shared" si="3"/>
        <v>0</v>
      </c>
    </row>
    <row r="67" spans="1:20" s="360" customFormat="1" x14ac:dyDescent="0.2">
      <c r="A67" s="360" t="str">
        <f>'Data 2009-15 (Real $2008)'!A109</f>
        <v>three phase direct connected meter</v>
      </c>
      <c r="B67" s="365"/>
      <c r="C67" s="365"/>
      <c r="D67" s="788"/>
      <c r="E67" s="788"/>
      <c r="F67" s="518">
        <f>'Data 2009-15 (Real $2008)'!H109</f>
        <v>0</v>
      </c>
      <c r="G67" s="518">
        <f>'Data 2009-15 (Real $2008)'!I109</f>
        <v>0</v>
      </c>
      <c r="H67" s="518">
        <f>'Data 2009-15 (Real $2008)'!J109</f>
        <v>0</v>
      </c>
      <c r="J67" s="789"/>
      <c r="K67" s="789"/>
      <c r="L67" s="517">
        <f>'Data 2009-15 (Real $2008)'!O109</f>
        <v>0</v>
      </c>
      <c r="M67" s="517">
        <f>'Data 2009-15 (Real $2008)'!P109</f>
        <v>0</v>
      </c>
      <c r="N67" s="517">
        <f>'Data 2009-15 (Real $2008)'!Q109</f>
        <v>0</v>
      </c>
      <c r="R67" s="82">
        <f t="shared" si="3"/>
        <v>0</v>
      </c>
      <c r="S67" s="82">
        <f t="shared" si="3"/>
        <v>0</v>
      </c>
      <c r="T67" s="82">
        <f t="shared" si="3"/>
        <v>0</v>
      </c>
    </row>
    <row r="68" spans="1:20" s="360" customFormat="1" x14ac:dyDescent="0.2">
      <c r="A68" s="360" t="str">
        <f>'Data 2009-15 (Real $2008)'!A110</f>
        <v>three phase direct connected meter with contactor</v>
      </c>
      <c r="B68" s="365"/>
      <c r="C68" s="365"/>
      <c r="D68" s="788"/>
      <c r="E68" s="788"/>
      <c r="F68" s="518">
        <f>'Data 2009-15 (Real $2008)'!H110</f>
        <v>0</v>
      </c>
      <c r="G68" s="518">
        <f>'Data 2009-15 (Real $2008)'!I110</f>
        <v>0</v>
      </c>
      <c r="H68" s="518">
        <f>'Data 2009-15 (Real $2008)'!J110</f>
        <v>0</v>
      </c>
      <c r="J68" s="789"/>
      <c r="K68" s="789"/>
      <c r="L68" s="517">
        <f>'Data 2009-15 (Real $2008)'!O110</f>
        <v>0</v>
      </c>
      <c r="M68" s="517">
        <f>'Data 2009-15 (Real $2008)'!P110</f>
        <v>0</v>
      </c>
      <c r="N68" s="517">
        <f>'Data 2009-15 (Real $2008)'!Q110</f>
        <v>0</v>
      </c>
      <c r="R68" s="82">
        <f t="shared" si="3"/>
        <v>0</v>
      </c>
      <c r="S68" s="82">
        <f t="shared" si="3"/>
        <v>0</v>
      </c>
      <c r="T68" s="82">
        <f t="shared" si="3"/>
        <v>0</v>
      </c>
    </row>
    <row r="69" spans="1:20" s="360" customFormat="1" x14ac:dyDescent="0.2">
      <c r="A69" s="360" t="str">
        <f>'Data 2009-15 (Real $2008)'!A111</f>
        <v>three phase Current transformer connected meter</v>
      </c>
      <c r="B69" s="365"/>
      <c r="C69" s="365"/>
      <c r="D69" s="788"/>
      <c r="E69" s="788"/>
      <c r="F69" s="518">
        <f>'Data 2009-15 (Real $2008)'!H111</f>
        <v>0</v>
      </c>
      <c r="G69" s="518">
        <f>'Data 2009-15 (Real $2008)'!I111</f>
        <v>0</v>
      </c>
      <c r="H69" s="518">
        <f>'Data 2009-15 (Real $2008)'!J111</f>
        <v>0</v>
      </c>
      <c r="J69" s="789"/>
      <c r="K69" s="789"/>
      <c r="L69" s="517">
        <f>'Data 2009-15 (Real $2008)'!O111</f>
        <v>0</v>
      </c>
      <c r="M69" s="517">
        <f>'Data 2009-15 (Real $2008)'!P111</f>
        <v>0</v>
      </c>
      <c r="N69" s="517">
        <f>'Data 2009-15 (Real $2008)'!Q111</f>
        <v>0</v>
      </c>
      <c r="R69" s="82">
        <f t="shared" si="3"/>
        <v>0</v>
      </c>
      <c r="S69" s="82">
        <f t="shared" si="3"/>
        <v>0</v>
      </c>
      <c r="T69" s="82">
        <f t="shared" si="3"/>
        <v>0</v>
      </c>
    </row>
    <row r="70" spans="1:20" s="360" customFormat="1" x14ac:dyDescent="0.2">
      <c r="A70" s="360" t="str">
        <f>'Data 2009-15 (Real $2008)'!A112</f>
        <v>Other Category 1 : Describe………………..</v>
      </c>
      <c r="B70" s="365"/>
      <c r="C70" s="365"/>
      <c r="D70" s="788"/>
      <c r="E70" s="788"/>
      <c r="F70" s="518">
        <f>'Data 2009-15 (Real $2008)'!H112</f>
        <v>0</v>
      </c>
      <c r="G70" s="518">
        <f>'Data 2009-15 (Real $2008)'!I112</f>
        <v>0</v>
      </c>
      <c r="H70" s="518">
        <f>'Data 2009-15 (Real $2008)'!J112</f>
        <v>0</v>
      </c>
      <c r="J70" s="789"/>
      <c r="K70" s="789"/>
      <c r="L70" s="517">
        <f>'Data 2009-15 (Real $2008)'!O112</f>
        <v>0</v>
      </c>
      <c r="M70" s="517">
        <f>'Data 2009-15 (Real $2008)'!P112</f>
        <v>0</v>
      </c>
      <c r="N70" s="517">
        <f>'Data 2009-15 (Real $2008)'!Q112</f>
        <v>0</v>
      </c>
      <c r="R70" s="82">
        <f t="shared" si="3"/>
        <v>0</v>
      </c>
      <c r="S70" s="82">
        <f t="shared" si="3"/>
        <v>0</v>
      </c>
      <c r="T70" s="82">
        <f t="shared" si="3"/>
        <v>0</v>
      </c>
    </row>
    <row r="71" spans="1:20" s="360" customFormat="1" x14ac:dyDescent="0.2">
      <c r="A71" s="360" t="str">
        <f>'Data 2009-15 (Real $2008)'!A113</f>
        <v>Other Category 2 : Describe………………..</v>
      </c>
      <c r="B71" s="365"/>
      <c r="C71" s="365"/>
      <c r="D71" s="788"/>
      <c r="E71" s="788"/>
      <c r="F71" s="518">
        <f>'Data 2009-15 (Real $2008)'!H113</f>
        <v>0</v>
      </c>
      <c r="G71" s="518">
        <f>'Data 2009-15 (Real $2008)'!I113</f>
        <v>0</v>
      </c>
      <c r="H71" s="518">
        <f>'Data 2009-15 (Real $2008)'!J113</f>
        <v>0</v>
      </c>
      <c r="J71" s="789"/>
      <c r="K71" s="789"/>
      <c r="L71" s="517">
        <f>'Data 2009-15 (Real $2008)'!O113</f>
        <v>0</v>
      </c>
      <c r="M71" s="517">
        <f>'Data 2009-15 (Real $2008)'!P113</f>
        <v>0</v>
      </c>
      <c r="N71" s="517">
        <f>'Data 2009-15 (Real $2008)'!Q113</f>
        <v>0</v>
      </c>
      <c r="R71" s="82">
        <f t="shared" si="3"/>
        <v>0</v>
      </c>
      <c r="S71" s="82">
        <f t="shared" si="3"/>
        <v>0</v>
      </c>
      <c r="T71" s="82">
        <f t="shared" si="3"/>
        <v>0</v>
      </c>
    </row>
    <row r="72" spans="1:20" s="360" customFormat="1" x14ac:dyDescent="0.2">
      <c r="A72" s="360" t="str">
        <f>'Data 2009-15 (Real $2008)'!A114</f>
        <v>Other Category 3 : Describe………………..</v>
      </c>
      <c r="B72" s="365"/>
      <c r="C72" s="365"/>
      <c r="D72" s="788"/>
      <c r="E72" s="788"/>
      <c r="F72" s="518">
        <f>'Data 2009-15 (Real $2008)'!H114</f>
        <v>0</v>
      </c>
      <c r="G72" s="518">
        <f>'Data 2009-15 (Real $2008)'!I114</f>
        <v>0</v>
      </c>
      <c r="H72" s="518">
        <f>'Data 2009-15 (Real $2008)'!J114</f>
        <v>0</v>
      </c>
      <c r="J72" s="789"/>
      <c r="K72" s="789"/>
      <c r="L72" s="517">
        <f>'Data 2009-15 (Real $2008)'!O114</f>
        <v>0</v>
      </c>
      <c r="M72" s="517">
        <f>'Data 2009-15 (Real $2008)'!P114</f>
        <v>0</v>
      </c>
      <c r="N72" s="517">
        <f>'Data 2009-15 (Real $2008)'!Q114</f>
        <v>0</v>
      </c>
      <c r="R72" s="82">
        <f t="shared" si="3"/>
        <v>0</v>
      </c>
      <c r="S72" s="82">
        <f t="shared" si="3"/>
        <v>0</v>
      </c>
      <c r="T72" s="82">
        <f t="shared" si="3"/>
        <v>0</v>
      </c>
    </row>
    <row r="73" spans="1:20" s="360" customFormat="1" x14ac:dyDescent="0.2">
      <c r="A73" s="360" t="str">
        <f>'Data 2009-15 (Real $2008)'!A115</f>
        <v>Other Category 4 : Describe………………..</v>
      </c>
      <c r="B73" s="365"/>
      <c r="C73" s="365"/>
      <c r="D73" s="788"/>
      <c r="E73" s="788"/>
      <c r="F73" s="518">
        <f>'Data 2009-15 (Real $2008)'!H115</f>
        <v>0</v>
      </c>
      <c r="G73" s="518">
        <f>'Data 2009-15 (Real $2008)'!I115</f>
        <v>0</v>
      </c>
      <c r="H73" s="518">
        <f>'Data 2009-15 (Real $2008)'!J115</f>
        <v>0</v>
      </c>
      <c r="J73" s="789"/>
      <c r="K73" s="789"/>
      <c r="L73" s="517">
        <f>'Data 2009-15 (Real $2008)'!O115</f>
        <v>0</v>
      </c>
      <c r="M73" s="517">
        <f>'Data 2009-15 (Real $2008)'!P115</f>
        <v>0</v>
      </c>
      <c r="N73" s="517">
        <f>'Data 2009-15 (Real $2008)'!Q115</f>
        <v>0</v>
      </c>
      <c r="R73" s="82">
        <f t="shared" si="3"/>
        <v>0</v>
      </c>
      <c r="S73" s="82">
        <f t="shared" si="3"/>
        <v>0</v>
      </c>
      <c r="T73" s="82">
        <f t="shared" si="3"/>
        <v>0</v>
      </c>
    </row>
    <row r="74" spans="1:20" s="360" customFormat="1" x14ac:dyDescent="0.2">
      <c r="A74" s="360" t="str">
        <f>'Data 2009-15 (Real $2008)'!A116</f>
        <v>Other Category 5 : Describe………………..</v>
      </c>
      <c r="B74" s="365"/>
      <c r="C74" s="365"/>
      <c r="D74" s="788"/>
      <c r="E74" s="788"/>
      <c r="F74" s="518">
        <f>'Data 2009-15 (Real $2008)'!H116</f>
        <v>0</v>
      </c>
      <c r="G74" s="518">
        <f>'Data 2009-15 (Real $2008)'!I116</f>
        <v>0</v>
      </c>
      <c r="H74" s="518">
        <f>'Data 2009-15 (Real $2008)'!J116</f>
        <v>0</v>
      </c>
      <c r="J74" s="789"/>
      <c r="K74" s="789"/>
      <c r="L74" s="517">
        <f>'Data 2009-15 (Real $2008)'!O116</f>
        <v>0</v>
      </c>
      <c r="M74" s="517">
        <f>'Data 2009-15 (Real $2008)'!P116</f>
        <v>0</v>
      </c>
      <c r="N74" s="517">
        <f>'Data 2009-15 (Real $2008)'!Q116</f>
        <v>0</v>
      </c>
      <c r="R74" s="82">
        <f t="shared" si="3"/>
        <v>0</v>
      </c>
      <c r="S74" s="82">
        <f t="shared" si="3"/>
        <v>0</v>
      </c>
      <c r="T74" s="82">
        <f t="shared" si="3"/>
        <v>0</v>
      </c>
    </row>
    <row r="75" spans="1:20" s="360" customFormat="1" x14ac:dyDescent="0.2">
      <c r="B75" s="365"/>
      <c r="C75" s="365"/>
      <c r="K75" s="789"/>
    </row>
    <row r="76" spans="1:20" s="360" customFormat="1" ht="13.5" thickBot="1" x14ac:dyDescent="0.25">
      <c r="A76" s="360" t="s">
        <v>330</v>
      </c>
      <c r="B76" s="365"/>
      <c r="C76" s="365"/>
      <c r="R76" s="519">
        <f>SUM(R30:R74)</f>
        <v>98802.817787482985</v>
      </c>
      <c r="S76" s="519">
        <f>SUM(S30:S74)</f>
        <v>120941.24638320923</v>
      </c>
      <c r="T76" s="519">
        <f>SUM(T30:T74)</f>
        <v>147957.18438956796</v>
      </c>
    </row>
    <row r="77" spans="1:20" s="360" customFormat="1" ht="13.5" thickTop="1" x14ac:dyDescent="0.2">
      <c r="B77" s="365"/>
      <c r="C77" s="365"/>
    </row>
    <row r="78" spans="1:20" s="360" customFormat="1" x14ac:dyDescent="0.2">
      <c r="B78" s="365"/>
      <c r="C78" s="365"/>
    </row>
    <row r="79" spans="1:20" s="360" customFormat="1" x14ac:dyDescent="0.2">
      <c r="B79" s="365"/>
      <c r="C79" s="365"/>
    </row>
  </sheetData>
  <sheetProtection sheet="1" objects="1" scenarios="1"/>
  <mergeCells count="3">
    <mergeCell ref="G26:H26"/>
    <mergeCell ref="L26:N26"/>
    <mergeCell ref="R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3" style="360" customWidth="1"/>
    <col min="2" max="2" width="9.5703125" style="365" customWidth="1"/>
    <col min="3" max="3" width="8.42578125" style="365" customWidth="1"/>
    <col min="4" max="4" width="10.28515625" style="360" bestFit="1" customWidth="1"/>
    <col min="5" max="9" width="9.140625" style="360"/>
    <col min="10" max="10" width="9.5703125" style="360" bestFit="1" customWidth="1"/>
    <col min="11" max="16384" width="9.140625" style="360"/>
  </cols>
  <sheetData>
    <row r="1" spans="1:22" x14ac:dyDescent="0.2">
      <c r="A1" s="555" t="str">
        <f>'Data 2006-08'!$A$1</f>
        <v>SP AusNet</v>
      </c>
      <c r="B1" s="495" t="s">
        <v>0</v>
      </c>
      <c r="C1" s="496" t="str">
        <f>IF(SUM(C35)&lt;0.001,"Ok","Error")</f>
        <v>Ok</v>
      </c>
      <c r="D1" s="792">
        <f>C35</f>
        <v>0</v>
      </c>
    </row>
    <row r="2" spans="1:22" x14ac:dyDescent="0.2">
      <c r="A2" s="268"/>
      <c r="B2" s="278"/>
      <c r="C2" s="278"/>
      <c r="D2" s="497"/>
      <c r="E2" s="422"/>
      <c r="F2" s="422"/>
      <c r="G2" s="422"/>
      <c r="H2" s="422"/>
      <c r="I2" s="422"/>
      <c r="J2" s="422"/>
      <c r="K2" s="359"/>
      <c r="L2" s="359"/>
      <c r="M2" s="359"/>
      <c r="N2" s="359"/>
      <c r="O2" s="498"/>
      <c r="P2" s="498"/>
      <c r="Q2" s="498"/>
      <c r="R2" s="498"/>
      <c r="S2" s="498"/>
      <c r="T2" s="498"/>
      <c r="U2" s="498"/>
      <c r="V2" s="498"/>
    </row>
    <row r="3" spans="1:22" s="84" customFormat="1" x14ac:dyDescent="0.2">
      <c r="C3" s="785" t="s">
        <v>388</v>
      </c>
      <c r="I3" s="785" t="s">
        <v>384</v>
      </c>
    </row>
    <row r="4" spans="1:22" s="84" customFormat="1" x14ac:dyDescent="0.2">
      <c r="A4" s="433" t="s">
        <v>308</v>
      </c>
      <c r="C4" s="785" t="s">
        <v>382</v>
      </c>
      <c r="I4" s="785" t="s">
        <v>385</v>
      </c>
    </row>
    <row r="5" spans="1:22" s="84" customFormat="1" x14ac:dyDescent="0.2"/>
    <row r="6" spans="1:22" s="84" customFormat="1" x14ac:dyDescent="0.2">
      <c r="A6" s="84" t="s">
        <v>309</v>
      </c>
      <c r="C6" s="434">
        <f>'Data 2009-15 (Real $2008)'!C127</f>
        <v>4.6300000000000001E-2</v>
      </c>
      <c r="I6" s="434">
        <f>'Data 2009-15 (Real $2008)'!I127</f>
        <v>3.85E-2</v>
      </c>
    </row>
    <row r="7" spans="1:22" s="84" customFormat="1" x14ac:dyDescent="0.2">
      <c r="A7" s="1" t="s">
        <v>11</v>
      </c>
      <c r="C7" s="435">
        <f>'Data 2009-15 (Real $2008)'!C128</f>
        <v>4.1250000000000002E-2</v>
      </c>
      <c r="I7" s="435">
        <f>'Data 2009-15 (Real $2008)'!I128</f>
        <v>2.9499999999999998E-2</v>
      </c>
    </row>
    <row r="8" spans="1:22" s="84" customFormat="1" x14ac:dyDescent="0.2">
      <c r="A8" s="84" t="s">
        <v>13</v>
      </c>
      <c r="C8" s="435">
        <f>'Data 2009-15 (Real $2008)'!C131</f>
        <v>0.06</v>
      </c>
      <c r="I8" s="435">
        <f>'Data 2009-15 (Real $2008)'!I131</f>
        <v>8.1500000000000003E-2</v>
      </c>
    </row>
    <row r="9" spans="1:22" s="84" customFormat="1" x14ac:dyDescent="0.2">
      <c r="A9" s="84" t="s">
        <v>14</v>
      </c>
      <c r="C9" s="436">
        <f>'Data 2009-15 (Real $2008)'!C132</f>
        <v>1</v>
      </c>
      <c r="I9" s="436">
        <f>'Data 2009-15 (Real $2008)'!I132</f>
        <v>0.8</v>
      </c>
    </row>
    <row r="10" spans="1:22" s="84" customFormat="1" x14ac:dyDescent="0.2">
      <c r="A10" s="84" t="s">
        <v>15</v>
      </c>
      <c r="C10" s="437">
        <f>'Data 2009-15 (Real $2008)'!C133</f>
        <v>0.6</v>
      </c>
      <c r="I10" s="437">
        <f>'Data 2009-15 (Real $2008)'!I133</f>
        <v>0.6</v>
      </c>
    </row>
    <row r="11" spans="1:22" s="84" customFormat="1" x14ac:dyDescent="0.2">
      <c r="A11" s="84" t="s">
        <v>16</v>
      </c>
      <c r="C11" s="438">
        <f>'Data 2009-15 (Real $2008)'!C134</f>
        <v>2.5600000000000001E-2</v>
      </c>
      <c r="I11" s="438">
        <f>'Data 2009-15 (Real $2008)'!I134</f>
        <v>2.47E-2</v>
      </c>
    </row>
    <row r="12" spans="1:22" s="84" customFormat="1" x14ac:dyDescent="0.2"/>
    <row r="13" spans="1:22" s="84" customFormat="1" x14ac:dyDescent="0.2">
      <c r="A13" s="84" t="s">
        <v>81</v>
      </c>
      <c r="C13" s="439">
        <f>(C14+1)/(1+C11)-1</f>
        <v>7.868564742589701E-2</v>
      </c>
      <c r="D13" s="421"/>
      <c r="I13" s="439">
        <f>(I14+1)/(1+I11)-1</f>
        <v>7.7095735337171734E-2</v>
      </c>
    </row>
    <row r="14" spans="1:22" s="84" customFormat="1" x14ac:dyDescent="0.2">
      <c r="A14" s="84" t="s">
        <v>82</v>
      </c>
      <c r="C14" s="440">
        <f>C6+C9*C8</f>
        <v>0.10630000000000001</v>
      </c>
      <c r="D14" s="421"/>
      <c r="I14" s="440">
        <f>I6+I9*I8</f>
        <v>0.10370000000000001</v>
      </c>
    </row>
    <row r="15" spans="1:22" s="84" customFormat="1" x14ac:dyDescent="0.2">
      <c r="A15" s="84" t="s">
        <v>83</v>
      </c>
      <c r="C15" s="441">
        <f>(C16+1)/(1+C11)-1</f>
        <v>6.0403666146645829E-2</v>
      </c>
      <c r="D15" s="428"/>
      <c r="E15" s="85"/>
      <c r="F15" s="85"/>
      <c r="G15" s="85"/>
      <c r="H15" s="85"/>
      <c r="I15" s="441">
        <f>(I16+1)/(1+I11)-1</f>
        <v>4.2256270127842388E-2</v>
      </c>
      <c r="J15" s="85"/>
      <c r="K15" s="85"/>
      <c r="L15" s="85"/>
    </row>
    <row r="16" spans="1:22" s="84" customFormat="1" x14ac:dyDescent="0.2">
      <c r="A16" s="84" t="s">
        <v>84</v>
      </c>
      <c r="C16" s="442">
        <f>C6+C7</f>
        <v>8.7550000000000003E-2</v>
      </c>
      <c r="D16" s="443"/>
      <c r="E16" s="444"/>
      <c r="F16" s="445"/>
      <c r="G16" s="445"/>
      <c r="H16" s="445"/>
      <c r="I16" s="442">
        <f>I6+I7</f>
        <v>6.8000000000000005E-2</v>
      </c>
      <c r="J16" s="445"/>
      <c r="K16" s="85"/>
      <c r="L16" s="85"/>
    </row>
    <row r="17" spans="1:33" s="84" customFormat="1" x14ac:dyDescent="0.2"/>
    <row r="18" spans="1:33" s="84" customFormat="1" x14ac:dyDescent="0.2">
      <c r="A18" s="84" t="s">
        <v>332</v>
      </c>
      <c r="C18" s="439">
        <f>(C13*(1-C10))+(C15*C10)</f>
        <v>6.7716458658346301E-2</v>
      </c>
      <c r="D18" s="443"/>
      <c r="E18" s="444"/>
      <c r="F18" s="446"/>
      <c r="G18" s="446"/>
      <c r="H18" s="446"/>
      <c r="I18" s="439">
        <f>(I13*(1-I10))+(I15*I10)</f>
        <v>5.6192056211574123E-2</v>
      </c>
      <c r="J18" s="446"/>
      <c r="K18" s="85"/>
      <c r="L18" s="85"/>
    </row>
    <row r="19" spans="1:33" s="84" customFormat="1" x14ac:dyDescent="0.2">
      <c r="A19" s="84" t="s">
        <v>333</v>
      </c>
      <c r="C19" s="442">
        <f>(C14*(1-C10))+(C16*C10)</f>
        <v>9.5049999999999996E-2</v>
      </c>
      <c r="D19" s="447"/>
      <c r="E19" s="529"/>
      <c r="F19" s="85"/>
      <c r="G19" s="85"/>
      <c r="H19" s="85"/>
      <c r="I19" s="442">
        <f>(I14*(1-I10))+(I16*I10)</f>
        <v>8.228000000000002E-2</v>
      </c>
      <c r="J19" s="85"/>
      <c r="K19" s="85"/>
      <c r="L19" s="85"/>
    </row>
    <row r="20" spans="1:33" x14ac:dyDescent="0.2">
      <c r="A20" s="268"/>
      <c r="B20" s="278"/>
      <c r="C20" s="278"/>
      <c r="D20" s="497"/>
      <c r="E20" s="422"/>
      <c r="F20" s="422"/>
      <c r="G20" s="422"/>
      <c r="H20" s="422"/>
      <c r="I20" s="422"/>
      <c r="J20" s="422"/>
      <c r="K20" s="359"/>
      <c r="L20" s="359"/>
      <c r="M20" s="359"/>
      <c r="N20" s="359"/>
      <c r="O20" s="498"/>
      <c r="P20" s="498"/>
      <c r="Q20" s="498"/>
      <c r="R20" s="498"/>
      <c r="S20" s="498"/>
      <c r="T20" s="498"/>
      <c r="U20" s="498"/>
      <c r="V20" s="498"/>
    </row>
    <row r="21" spans="1:33" x14ac:dyDescent="0.2">
      <c r="A21" s="268"/>
      <c r="B21" s="278"/>
      <c r="C21" s="278"/>
      <c r="D21" s="391">
        <v>2009</v>
      </c>
      <c r="E21" s="391">
        <v>2010</v>
      </c>
      <c r="F21" s="391">
        <v>2011</v>
      </c>
      <c r="G21" s="391">
        <v>2012</v>
      </c>
      <c r="H21" s="391">
        <v>2013</v>
      </c>
      <c r="I21" s="391">
        <v>2014</v>
      </c>
      <c r="J21" s="391">
        <v>2015</v>
      </c>
      <c r="K21" s="359"/>
      <c r="L21" s="359"/>
      <c r="M21" s="359"/>
      <c r="N21" s="359"/>
      <c r="O21" s="498"/>
      <c r="P21" s="498"/>
      <c r="Q21" s="498"/>
      <c r="R21" s="498"/>
      <c r="S21" s="498"/>
      <c r="T21" s="498"/>
      <c r="U21" s="498"/>
      <c r="V21" s="498"/>
    </row>
    <row r="22" spans="1:33" x14ac:dyDescent="0.2">
      <c r="A22" s="422" t="s">
        <v>86</v>
      </c>
      <c r="B22" s="278"/>
      <c r="C22" s="278"/>
      <c r="D22" s="554">
        <f>'Data 2009-15 (Real $2008)'!D144</f>
        <v>4.9810844892812067E-2</v>
      </c>
      <c r="E22" s="554">
        <f>'Data 2009-15 (Real $2008)'!E144</f>
        <v>1.2612612612612484E-2</v>
      </c>
      <c r="F22" s="554">
        <f>'Data 2009-15 (Real $2008)'!F144</f>
        <v>2.7876631079478242E-2</v>
      </c>
      <c r="G22" s="554">
        <f>'Data 2009-15 (Real $2008)'!G144</f>
        <v>3.5199076745527913E-2</v>
      </c>
      <c r="H22" s="554">
        <f>'Data 2009-15 (Real $2008)'!H144</f>
        <v>2.0040080160320661E-2</v>
      </c>
      <c r="I22" s="554">
        <f>'Data 2009-15 (Real $2008)'!I144</f>
        <v>2.47E-2</v>
      </c>
      <c r="J22" s="554">
        <f>'Data 2009-15 (Real $2008)'!J144</f>
        <v>2.47E-2</v>
      </c>
      <c r="K22" s="359"/>
      <c r="L22" s="359"/>
      <c r="M22" s="359"/>
      <c r="N22" s="359"/>
      <c r="O22" s="498"/>
      <c r="P22" s="498"/>
      <c r="Q22" s="498"/>
      <c r="R22" s="498"/>
      <c r="S22" s="498"/>
      <c r="T22" s="498"/>
      <c r="U22" s="498"/>
      <c r="V22" s="498"/>
    </row>
    <row r="23" spans="1:33" x14ac:dyDescent="0.2">
      <c r="A23" s="279" t="str">
        <f>A18</f>
        <v>Vanilla' after tax WACC (real)</v>
      </c>
      <c r="B23" s="278"/>
      <c r="C23" s="278"/>
      <c r="D23" s="513">
        <f>$C$18</f>
        <v>6.7716458658346301E-2</v>
      </c>
      <c r="E23" s="513">
        <f>$C$18</f>
        <v>6.7716458658346301E-2</v>
      </c>
      <c r="F23" s="513">
        <f>$C$18</f>
        <v>6.7716458658346301E-2</v>
      </c>
      <c r="G23" s="513">
        <f>$C$18</f>
        <v>6.7716458658346301E-2</v>
      </c>
      <c r="H23" s="513">
        <f>$C$18</f>
        <v>6.7716458658346301E-2</v>
      </c>
      <c r="I23" s="513">
        <f>$I$18</f>
        <v>5.6192056211574123E-2</v>
      </c>
      <c r="J23" s="513">
        <f>$I$18</f>
        <v>5.6192056211574123E-2</v>
      </c>
      <c r="K23" s="359"/>
      <c r="L23" s="359"/>
      <c r="M23" s="359"/>
      <c r="N23" s="359"/>
      <c r="O23" s="498"/>
      <c r="P23" s="498"/>
      <c r="Q23" s="498"/>
      <c r="R23" s="498"/>
      <c r="S23" s="498"/>
      <c r="T23" s="498"/>
      <c r="U23" s="498"/>
      <c r="V23" s="498"/>
    </row>
    <row r="24" spans="1:33" x14ac:dyDescent="0.2">
      <c r="A24" s="423" t="str">
        <f>A19</f>
        <v>Vanilla' after tax WACC (nominal)</v>
      </c>
      <c r="B24" s="278"/>
      <c r="C24" s="278"/>
      <c r="D24" s="513">
        <f t="shared" ref="D24:J24" si="0">(1+D23)*(1+D22)-1</f>
        <v>0.1209003175700798</v>
      </c>
      <c r="E24" s="513">
        <f t="shared" si="0"/>
        <v>8.1183152731514552E-2</v>
      </c>
      <c r="F24" s="513">
        <f t="shared" si="0"/>
        <v>9.7480796473851994E-2</v>
      </c>
      <c r="G24" s="513">
        <f t="shared" si="0"/>
        <v>0.10529909222912481</v>
      </c>
      <c r="H24" s="513">
        <f t="shared" si="0"/>
        <v>8.9113582078353293E-2</v>
      </c>
      <c r="I24" s="513">
        <f t="shared" si="0"/>
        <v>8.2279999999999909E-2</v>
      </c>
      <c r="J24" s="425">
        <f t="shared" si="0"/>
        <v>8.2279999999999909E-2</v>
      </c>
      <c r="K24" s="359"/>
      <c r="L24" s="359"/>
      <c r="M24" s="359"/>
      <c r="N24" s="359"/>
      <c r="O24" s="498"/>
      <c r="P24" s="498"/>
      <c r="Q24" s="498"/>
      <c r="R24" s="498"/>
      <c r="S24" s="498"/>
      <c r="T24" s="498"/>
      <c r="U24" s="498"/>
      <c r="V24" s="498"/>
    </row>
    <row r="25" spans="1:33" x14ac:dyDescent="0.2">
      <c r="A25" s="423"/>
      <c r="B25" s="278"/>
      <c r="C25" s="278"/>
      <c r="D25" s="497"/>
      <c r="E25" s="422"/>
      <c r="F25" s="422"/>
      <c r="G25" s="422"/>
      <c r="H25" s="422"/>
      <c r="I25" s="422"/>
      <c r="J25" s="422"/>
      <c r="K25" s="359"/>
      <c r="L25" s="359"/>
      <c r="M25" s="359"/>
      <c r="N25" s="359"/>
      <c r="O25" s="498"/>
      <c r="P25" s="498"/>
      <c r="Q25" s="498"/>
      <c r="R25" s="498"/>
      <c r="S25" s="498"/>
      <c r="T25" s="498"/>
      <c r="U25" s="498"/>
      <c r="V25" s="498"/>
    </row>
    <row r="26" spans="1:33" x14ac:dyDescent="0.2">
      <c r="A26" s="268"/>
      <c r="B26" s="278"/>
      <c r="C26" s="278"/>
      <c r="D26" s="497"/>
      <c r="E26" s="422"/>
      <c r="F26" s="422"/>
      <c r="G26" s="422"/>
      <c r="H26" s="422"/>
      <c r="I26" s="422"/>
      <c r="J26" s="422"/>
      <c r="K26" s="359"/>
      <c r="L26" s="359"/>
      <c r="M26" s="359"/>
      <c r="N26" s="359"/>
      <c r="O26" s="498"/>
      <c r="P26" s="498"/>
      <c r="Q26" s="498"/>
      <c r="R26" s="498"/>
      <c r="S26" s="498"/>
      <c r="T26" s="498"/>
      <c r="U26" s="498"/>
      <c r="V26" s="498"/>
    </row>
    <row r="27" spans="1:33" x14ac:dyDescent="0.2">
      <c r="A27" s="500" t="s">
        <v>327</v>
      </c>
      <c r="B27" s="508"/>
      <c r="C27" s="508"/>
      <c r="D27" s="498"/>
      <c r="E27" s="531" t="s">
        <v>345</v>
      </c>
      <c r="F27" s="498"/>
      <c r="G27" s="498"/>
      <c r="H27" s="498"/>
      <c r="I27" s="498"/>
      <c r="J27" s="498"/>
      <c r="K27" s="359"/>
      <c r="L27" s="359"/>
      <c r="M27" s="359"/>
      <c r="N27" s="359"/>
      <c r="O27" s="498"/>
      <c r="Q27" s="531" t="s">
        <v>344</v>
      </c>
      <c r="R27" s="499"/>
      <c r="S27" s="499"/>
      <c r="T27" s="499"/>
      <c r="U27" s="499"/>
      <c r="V27" s="499"/>
      <c r="X27" s="359"/>
      <c r="Y27" s="359"/>
      <c r="Z27" s="498"/>
      <c r="AB27" s="531" t="s">
        <v>344</v>
      </c>
      <c r="AC27" s="499"/>
    </row>
    <row r="28" spans="1:33" x14ac:dyDescent="0.2">
      <c r="A28" s="500"/>
      <c r="B28" s="509"/>
      <c r="C28" s="509"/>
      <c r="D28" s="498"/>
      <c r="E28" s="498"/>
      <c r="F28" s="498"/>
      <c r="G28" s="498"/>
      <c r="H28" s="498"/>
      <c r="I28" s="498"/>
      <c r="J28" s="498"/>
      <c r="K28" s="359"/>
      <c r="L28" s="359"/>
      <c r="N28" s="359"/>
      <c r="O28" s="498"/>
      <c r="P28" s="501"/>
      <c r="Q28" s="502"/>
      <c r="R28" s="502"/>
      <c r="S28" s="502"/>
      <c r="T28" s="502"/>
      <c r="U28" s="499"/>
      <c r="V28" s="499"/>
      <c r="Y28" s="359"/>
      <c r="Z28" s="498"/>
      <c r="AA28" s="501"/>
      <c r="AB28" s="502"/>
      <c r="AC28" s="502"/>
      <c r="AD28" s="502"/>
      <c r="AE28" s="502"/>
    </row>
    <row r="29" spans="1:33" x14ac:dyDescent="0.2">
      <c r="A29" s="409" t="s">
        <v>297</v>
      </c>
      <c r="B29" s="510"/>
      <c r="C29" s="510"/>
      <c r="D29" s="391">
        <f>$D$21</f>
        <v>2009</v>
      </c>
      <c r="E29" s="391">
        <f>$E$21</f>
        <v>2010</v>
      </c>
      <c r="F29" s="391">
        <f>$F$21</f>
        <v>2011</v>
      </c>
      <c r="G29" s="391">
        <f>$G$21</f>
        <v>2012</v>
      </c>
      <c r="H29" s="391">
        <f>$H$21</f>
        <v>2013</v>
      </c>
      <c r="I29" s="391">
        <f>$I$21</f>
        <v>2014</v>
      </c>
      <c r="J29" s="391">
        <f>$J$21</f>
        <v>2015</v>
      </c>
      <c r="K29" s="503"/>
      <c r="L29" s="503"/>
      <c r="M29" s="409" t="s">
        <v>297</v>
      </c>
      <c r="P29" s="391">
        <f>$D$21</f>
        <v>2009</v>
      </c>
      <c r="Q29" s="391">
        <f>$E$21</f>
        <v>2010</v>
      </c>
      <c r="R29" s="391">
        <f>$F$21</f>
        <v>2011</v>
      </c>
      <c r="S29" s="391">
        <f>$G$21</f>
        <v>2012</v>
      </c>
      <c r="T29" s="391">
        <f>$H$21</f>
        <v>2013</v>
      </c>
      <c r="U29" s="391">
        <f>$I$21</f>
        <v>2014</v>
      </c>
      <c r="V29" s="391">
        <f>$J$21</f>
        <v>2015</v>
      </c>
      <c r="X29" s="409" t="s">
        <v>289</v>
      </c>
      <c r="AA29" s="391">
        <f>$D$21</f>
        <v>2009</v>
      </c>
      <c r="AB29" s="391">
        <f>$E$21</f>
        <v>2010</v>
      </c>
      <c r="AC29" s="391">
        <f>$F$21</f>
        <v>2011</v>
      </c>
      <c r="AD29" s="391">
        <f>$G$21</f>
        <v>2012</v>
      </c>
      <c r="AE29" s="391">
        <f>$H$21</f>
        <v>2013</v>
      </c>
      <c r="AF29" s="391">
        <f>$I$21</f>
        <v>2014</v>
      </c>
      <c r="AG29" s="391">
        <f>$J$21</f>
        <v>2015</v>
      </c>
    </row>
    <row r="30" spans="1:33" x14ac:dyDescent="0.2">
      <c r="A30" s="360" t="s">
        <v>136</v>
      </c>
      <c r="D30" s="82">
        <f>D24*('AMI RAB 2009-15'!D12*'Data 2009-15 (Real $2008)'!D145-D38)</f>
        <v>0</v>
      </c>
      <c r="E30" s="82">
        <f>E24*('AMI RAB 2009-15'!E12*'Data 2009-15 (Real $2008)'!E145-E38)</f>
        <v>0</v>
      </c>
      <c r="F30" s="82">
        <f>F24*('AMI RAB 2009-15'!F12*'Data 2009-15 (Real $2008)'!F145-F38)</f>
        <v>0</v>
      </c>
      <c r="G30" s="83">
        <f>G24*('AMI RAB 2009-15'!G12*'Data 2009-15 (Real $2008)'!G145-G38)</f>
        <v>0</v>
      </c>
      <c r="H30" s="82">
        <f>H24*('AMI RAB 2009-15'!H12*'Data 2009-15 (Real $2008)'!H145-H38)</f>
        <v>0</v>
      </c>
      <c r="I30" s="82">
        <f>I24*('AMI RAB 2009-15'!I12*'Data 2009-15 (Real $2008)'!I145-I38)</f>
        <v>0</v>
      </c>
      <c r="J30" s="83">
        <f>J24*('AMI RAB 2009-15'!J12*'Data 2009-15 (Real $2008)'!J145-J38)</f>
        <v>0</v>
      </c>
      <c r="K30" s="504"/>
      <c r="L30" s="504"/>
      <c r="M30" s="360" t="s">
        <v>136</v>
      </c>
      <c r="N30" s="504"/>
      <c r="O30" s="359"/>
      <c r="P30" s="82">
        <f>D23*'AMI RAB 2009-15'!D12*'Data 2009-15 (Real $2008)'!D145</f>
        <v>0</v>
      </c>
      <c r="Q30" s="82">
        <f>E23*'AMI RAB 2009-15'!E12*'Data 2009-15 (Real $2008)'!E145</f>
        <v>0</v>
      </c>
      <c r="R30" s="82">
        <f>F23*'AMI RAB 2009-15'!F12*'Data 2009-15 (Real $2008)'!F145</f>
        <v>0</v>
      </c>
      <c r="S30" s="82">
        <f>G23*'AMI RAB 2009-15'!G12*'Data 2009-15 (Real $2008)'!G145</f>
        <v>0</v>
      </c>
      <c r="T30" s="82">
        <f>H23*'AMI RAB 2009-15'!H12*'Data 2009-15 (Real $2008)'!H145</f>
        <v>0</v>
      </c>
      <c r="U30" s="82">
        <f>I23*'AMI RAB 2009-15'!I12*'Data 2009-15 (Real $2008)'!I145</f>
        <v>0</v>
      </c>
      <c r="V30" s="82">
        <f>J23*'AMI RAB 2009-15'!J12*'Data 2009-15 (Real $2008)'!J145</f>
        <v>0</v>
      </c>
      <c r="X30" s="360" t="s">
        <v>136</v>
      </c>
      <c r="Y30" s="504"/>
      <c r="Z30" s="359"/>
      <c r="AA30" s="82">
        <f>D23*'AMI RAB 2009-15'!D12</f>
        <v>0</v>
      </c>
      <c r="AB30" s="82">
        <f>E23*'AMI RAB 2009-15'!E12</f>
        <v>0</v>
      </c>
      <c r="AC30" s="82">
        <f>F23*'AMI RAB 2009-15'!F12</f>
        <v>0</v>
      </c>
      <c r="AD30" s="82">
        <f>G23*'AMI RAB 2009-15'!G12</f>
        <v>0</v>
      </c>
      <c r="AE30" s="82">
        <f>H23*'AMI RAB 2009-15'!H12</f>
        <v>0</v>
      </c>
      <c r="AF30" s="82">
        <f>I23*'AMI RAB 2009-15'!I12</f>
        <v>0</v>
      </c>
      <c r="AG30" s="82">
        <f>J23*'AMI RAB 2009-15'!J12</f>
        <v>0</v>
      </c>
    </row>
    <row r="31" spans="1:33" x14ac:dyDescent="0.2">
      <c r="A31" s="360" t="s">
        <v>137</v>
      </c>
      <c r="D31" s="82">
        <f t="shared" ref="D31:J31" si="1">D39</f>
        <v>0</v>
      </c>
      <c r="E31" s="82">
        <f t="shared" si="1"/>
        <v>0</v>
      </c>
      <c r="F31" s="82">
        <f t="shared" si="1"/>
        <v>0</v>
      </c>
      <c r="G31" s="83">
        <f t="shared" si="1"/>
        <v>0</v>
      </c>
      <c r="H31" s="83">
        <f t="shared" si="1"/>
        <v>0</v>
      </c>
      <c r="I31" s="82">
        <f t="shared" si="1"/>
        <v>0</v>
      </c>
      <c r="J31" s="83">
        <f t="shared" si="1"/>
        <v>0</v>
      </c>
      <c r="K31" s="504"/>
      <c r="L31" s="504"/>
      <c r="M31" s="360" t="s">
        <v>137</v>
      </c>
      <c r="N31" s="504"/>
      <c r="O31" s="359"/>
      <c r="P31" s="82">
        <f>'AMI RAB 2009-15'!D9*'Data 2009-15 (Real $2008)'!D145</f>
        <v>0</v>
      </c>
      <c r="Q31" s="82">
        <f>'AMI RAB 2009-15'!E9*'Data 2009-15 (Real $2008)'!E145</f>
        <v>0</v>
      </c>
      <c r="R31" s="82">
        <f>'AMI RAB 2009-15'!F9*'Data 2009-15 (Real $2008)'!F145</f>
        <v>0</v>
      </c>
      <c r="S31" s="82">
        <f>'AMI RAB 2009-15'!G9*'Data 2009-15 (Real $2008)'!G145</f>
        <v>0</v>
      </c>
      <c r="T31" s="82">
        <f>'AMI RAB 2009-15'!H9*'Data 2009-15 (Real $2008)'!H145</f>
        <v>0</v>
      </c>
      <c r="U31" s="82">
        <f>'AMI RAB 2009-15'!I9*'Data 2009-15 (Real $2008)'!I145</f>
        <v>0</v>
      </c>
      <c r="V31" s="82">
        <f>'AMI RAB 2009-15'!J9*'Data 2009-15 (Real $2008)'!J145</f>
        <v>0</v>
      </c>
      <c r="X31" s="360" t="s">
        <v>137</v>
      </c>
      <c r="Y31" s="504"/>
      <c r="Z31" s="359"/>
      <c r="AA31" s="82">
        <f>'AMI RAB 2009-15'!D9</f>
        <v>0</v>
      </c>
      <c r="AB31" s="82">
        <f>'AMI RAB 2009-15'!E9</f>
        <v>0</v>
      </c>
      <c r="AC31" s="82">
        <f>'AMI RAB 2009-15'!F9</f>
        <v>0</v>
      </c>
      <c r="AD31" s="82">
        <f>'AMI RAB 2009-15'!G9</f>
        <v>0</v>
      </c>
      <c r="AE31" s="82">
        <f>'AMI RAB 2009-15'!H9</f>
        <v>0</v>
      </c>
      <c r="AF31" s="82">
        <f>'AMI RAB 2009-15'!I9</f>
        <v>0</v>
      </c>
      <c r="AG31" s="82">
        <f>'AMI RAB 2009-15'!J9</f>
        <v>0</v>
      </c>
    </row>
    <row r="32" spans="1:33" x14ac:dyDescent="0.2">
      <c r="A32" s="360" t="s">
        <v>138</v>
      </c>
      <c r="D32" s="82">
        <f>'Data 2009-15 (Real $2008)'!D55*'Data 2009-15 (Real $2008)'!D145/10^3</f>
        <v>27133.020450744913</v>
      </c>
      <c r="E32" s="82">
        <f>'Data 2009-15 (Real $2008)'!E55*'Data 2009-15 (Real $2008)'!E145/10^3</f>
        <v>39809.474162623126</v>
      </c>
      <c r="F32" s="82">
        <f>'Data 2009-15 (Real $2008)'!F55*'Data 2009-15 (Real $2008)'!F145/10^3</f>
        <v>42811.168404355973</v>
      </c>
      <c r="G32" s="83">
        <f>'Data 2009-15 (Real $2008)'!G55*'Data 2009-15 (Real $2008)'!G145/10^3</f>
        <v>40190.981149277504</v>
      </c>
      <c r="H32" s="82">
        <f>'Data 2009-15 (Real $2008)'!H55*'Data 2009-15 (Real $2008)'!H145/10^3</f>
        <v>39489.353750032744</v>
      </c>
      <c r="I32" s="82">
        <f>'Data 2009-15 (Real $2008)'!I55*'Data 2009-15 (Real $2008)'!I145/10^3</f>
        <v>31531.663964577543</v>
      </c>
      <c r="J32" s="82">
        <f>'Data 2009-15 (Real $2008)'!J55*'Data 2009-15 (Real $2008)'!J145/10^3</f>
        <v>29861.928834668161</v>
      </c>
      <c r="K32" s="504"/>
      <c r="L32" s="504"/>
      <c r="M32" s="360" t="s">
        <v>138</v>
      </c>
      <c r="N32" s="504"/>
      <c r="O32" s="505"/>
      <c r="P32" s="82">
        <f>'Data 2009-15 (Real $2008)'!D55*'Data 2009-15 (Real $2008)'!D145/10^3</f>
        <v>27133.020450744913</v>
      </c>
      <c r="Q32" s="82">
        <f>'Data 2009-15 (Real $2008)'!E55*'Data 2009-15 (Real $2008)'!E145/10^3</f>
        <v>39809.474162623126</v>
      </c>
      <c r="R32" s="82">
        <f>'Data 2009-15 (Real $2008)'!F55*'Data 2009-15 (Real $2008)'!F145/10^3</f>
        <v>42811.168404355973</v>
      </c>
      <c r="S32" s="82">
        <f>'Data 2009-15 (Real $2008)'!G55*'Data 2009-15 (Real $2008)'!G145/10^3</f>
        <v>40190.981149277504</v>
      </c>
      <c r="T32" s="82">
        <f>'Data 2009-15 (Real $2008)'!H55*'Data 2009-15 (Real $2008)'!H145/10^3</f>
        <v>39489.353750032744</v>
      </c>
      <c r="U32" s="82">
        <f>'Data 2009-15 (Real $2008)'!I55*'Data 2009-15 (Real $2008)'!I145/10^3</f>
        <v>31531.663964577543</v>
      </c>
      <c r="V32" s="82">
        <f>'Data 2009-15 (Real $2008)'!J55*'Data 2009-15 (Real $2008)'!J145/10^3</f>
        <v>29861.928834668161</v>
      </c>
      <c r="X32" s="360" t="s">
        <v>138</v>
      </c>
      <c r="Y32" s="504"/>
      <c r="Z32" s="505"/>
      <c r="AA32" s="82">
        <f>'Data 2009-15 (Real $2008)'!D55/10^3</f>
        <v>25845.627888817675</v>
      </c>
      <c r="AB32" s="82">
        <f>'Data 2009-15 (Real $2008)'!E55/10^3</f>
        <v>37448.295386666839</v>
      </c>
      <c r="AC32" s="82">
        <f>'Data 2009-15 (Real $2008)'!F55/10^3</f>
        <v>39179.753657996866</v>
      </c>
      <c r="AD32" s="82">
        <f>'Data 2009-15 (Real $2008)'!G55/10^3</f>
        <v>35531.157247912</v>
      </c>
      <c r="AE32" s="82">
        <f>'Data 2009-15 (Real $2008)'!H55/10^3</f>
        <v>34225.006087447589</v>
      </c>
      <c r="AF32" s="82">
        <f>'Data 2009-15 (Real $2008)'!I55/10^3</f>
        <v>26669.425532664169</v>
      </c>
      <c r="AG32" s="82">
        <f>'Data 2009-15 (Real $2008)'!J55/10^3</f>
        <v>24648.352217434742</v>
      </c>
    </row>
    <row r="33" spans="1:33" x14ac:dyDescent="0.2">
      <c r="A33" s="360" t="s">
        <v>294</v>
      </c>
      <c r="D33" s="82">
        <f t="shared" ref="D33:J33" si="2">D60</f>
        <v>1133.393602189285</v>
      </c>
      <c r="E33" s="82">
        <f t="shared" si="2"/>
        <v>2713.6640562545699</v>
      </c>
      <c r="F33" s="82">
        <f t="shared" si="2"/>
        <v>3220.0362944446242</v>
      </c>
      <c r="G33" s="82">
        <f t="shared" si="2"/>
        <v>5709.041323588157</v>
      </c>
      <c r="H33" s="82">
        <f t="shared" si="2"/>
        <v>6227.9137239322736</v>
      </c>
      <c r="I33" s="82">
        <f t="shared" si="2"/>
        <v>20117.156044192132</v>
      </c>
      <c r="J33" s="82">
        <f t="shared" si="2"/>
        <v>26571.432499852453</v>
      </c>
      <c r="K33" s="504"/>
      <c r="L33" s="504"/>
      <c r="M33" s="360" t="s">
        <v>294</v>
      </c>
      <c r="N33" s="504"/>
      <c r="O33" s="395"/>
      <c r="P33" s="82">
        <f t="shared" ref="P33:V33" si="3">D60</f>
        <v>1133.393602189285</v>
      </c>
      <c r="Q33" s="82">
        <f t="shared" si="3"/>
        <v>2713.6640562545699</v>
      </c>
      <c r="R33" s="82">
        <f t="shared" si="3"/>
        <v>3220.0362944446242</v>
      </c>
      <c r="S33" s="82">
        <f t="shared" si="3"/>
        <v>5709.041323588157</v>
      </c>
      <c r="T33" s="82">
        <f t="shared" si="3"/>
        <v>6227.9137239322736</v>
      </c>
      <c r="U33" s="82">
        <f t="shared" si="3"/>
        <v>20117.156044192132</v>
      </c>
      <c r="V33" s="82">
        <f t="shared" si="3"/>
        <v>26571.432499852453</v>
      </c>
      <c r="X33" s="360" t="s">
        <v>294</v>
      </c>
      <c r="Y33" s="504"/>
      <c r="Z33" s="395"/>
      <c r="AA33" s="82">
        <f t="shared" ref="AA33:AG33" si="4">D64</f>
        <v>1079.6169688121358</v>
      </c>
      <c r="AB33" s="82">
        <f t="shared" si="4"/>
        <v>2552.7112652548926</v>
      </c>
      <c r="AC33" s="82">
        <f t="shared" si="4"/>
        <v>2946.8999209400886</v>
      </c>
      <c r="AD33" s="82">
        <f t="shared" si="4"/>
        <v>5047.1234889692405</v>
      </c>
      <c r="AE33" s="82">
        <f t="shared" si="4"/>
        <v>5397.6670892848861</v>
      </c>
      <c r="AF33" s="82">
        <f t="shared" si="4"/>
        <v>17015.05495086723</v>
      </c>
      <c r="AG33" s="82">
        <f t="shared" si="4"/>
        <v>21932.34170519494</v>
      </c>
    </row>
    <row r="34" spans="1:33" x14ac:dyDescent="0.2">
      <c r="A34" s="357" t="s">
        <v>343</v>
      </c>
      <c r="B34" s="507"/>
      <c r="C34" s="507"/>
      <c r="D34" s="109">
        <f t="shared" ref="D34:J34" si="5">SUM(D30:D33)</f>
        <v>28266.414052934197</v>
      </c>
      <c r="E34" s="109">
        <f t="shared" si="5"/>
        <v>42523.138218877699</v>
      </c>
      <c r="F34" s="109">
        <f t="shared" si="5"/>
        <v>46031.204698800597</v>
      </c>
      <c r="G34" s="897">
        <f t="shared" si="5"/>
        <v>45900.022472865661</v>
      </c>
      <c r="H34" s="109">
        <f t="shared" si="5"/>
        <v>45717.267473965017</v>
      </c>
      <c r="I34" s="109">
        <f t="shared" si="5"/>
        <v>51648.820008769675</v>
      </c>
      <c r="J34" s="897">
        <f t="shared" si="5"/>
        <v>56433.36133452061</v>
      </c>
      <c r="K34" s="504"/>
      <c r="L34" s="504"/>
      <c r="M34" s="357" t="s">
        <v>343</v>
      </c>
      <c r="N34" s="504"/>
      <c r="O34" s="395"/>
      <c r="P34" s="109">
        <f t="shared" ref="P34:V34" si="6">SUM(P30:P33)</f>
        <v>28266.414052934197</v>
      </c>
      <c r="Q34" s="109">
        <f t="shared" si="6"/>
        <v>42523.138218877699</v>
      </c>
      <c r="R34" s="109">
        <f t="shared" si="6"/>
        <v>46031.204698800597</v>
      </c>
      <c r="S34" s="109">
        <f t="shared" si="6"/>
        <v>45900.022472865661</v>
      </c>
      <c r="T34" s="109">
        <f t="shared" si="6"/>
        <v>45717.267473965017</v>
      </c>
      <c r="U34" s="109">
        <f t="shared" si="6"/>
        <v>51648.820008769675</v>
      </c>
      <c r="V34" s="109">
        <f t="shared" si="6"/>
        <v>56433.36133452061</v>
      </c>
      <c r="X34" s="357" t="s">
        <v>343</v>
      </c>
      <c r="Y34" s="504"/>
      <c r="Z34" s="395"/>
      <c r="AA34" s="109">
        <f t="shared" ref="AA34:AG34" si="7">SUM(AA30:AA33)</f>
        <v>26925.244857629812</v>
      </c>
      <c r="AB34" s="109">
        <f t="shared" si="7"/>
        <v>40001.006651921729</v>
      </c>
      <c r="AC34" s="109">
        <f t="shared" si="7"/>
        <v>42126.653578936952</v>
      </c>
      <c r="AD34" s="109">
        <f t="shared" si="7"/>
        <v>40578.280736881243</v>
      </c>
      <c r="AE34" s="109">
        <f t="shared" si="7"/>
        <v>39622.673176732475</v>
      </c>
      <c r="AF34" s="109">
        <f t="shared" si="7"/>
        <v>43684.480483531399</v>
      </c>
      <c r="AG34" s="109">
        <f t="shared" si="7"/>
        <v>46580.693922629682</v>
      </c>
    </row>
    <row r="35" spans="1:33" x14ac:dyDescent="0.2">
      <c r="A35" s="561" t="s">
        <v>0</v>
      </c>
      <c r="B35" s="562"/>
      <c r="C35" s="558">
        <f>SUM(D35:J35,P35:V35)</f>
        <v>0</v>
      </c>
      <c r="D35" s="560">
        <f t="shared" ref="D35:J35" si="8">IF(ABS(P34-D34)&lt;0.001,0,ABS(P34-D34))</f>
        <v>0</v>
      </c>
      <c r="E35" s="560">
        <f t="shared" si="8"/>
        <v>0</v>
      </c>
      <c r="F35" s="560">
        <f t="shared" si="8"/>
        <v>0</v>
      </c>
      <c r="G35" s="560">
        <f t="shared" si="8"/>
        <v>0</v>
      </c>
      <c r="H35" s="560">
        <f t="shared" si="8"/>
        <v>0</v>
      </c>
      <c r="I35" s="560">
        <f t="shared" si="8"/>
        <v>0</v>
      </c>
      <c r="J35" s="560">
        <f t="shared" si="8"/>
        <v>0</v>
      </c>
      <c r="K35" s="568"/>
      <c r="L35" s="568"/>
      <c r="M35" s="568"/>
      <c r="N35" s="568"/>
      <c r="O35" s="568"/>
      <c r="P35" s="560">
        <f>IF(ABS(AA34*'Data 2009-15 (Real $2008)'!D145-P34)&lt;0.001,0,ABS(AA34*'Data 2009-15 (Real $2008)'!D145-P34))</f>
        <v>0</v>
      </c>
      <c r="Q35" s="560">
        <f>IF(ABS(AB34*'Data 2009-15 (Real $2008)'!E145-Q34)&lt;0.001,0,ABS(AB34*'Data 2009-15 (Real $2008)'!E145-Q34))</f>
        <v>0</v>
      </c>
      <c r="R35" s="560">
        <f>IF(ABS(AC34*'Data 2009-15 (Real $2008)'!F145-R34)&lt;0.001,0,ABS(AC34*'Data 2009-15 (Real $2008)'!F145-R34))</f>
        <v>0</v>
      </c>
      <c r="S35" s="560">
        <f>IF(ABS(AD34*'Data 2009-15 (Real $2008)'!G145-S34)&lt;0.001,0,ABS(AD34*'Data 2009-15 (Real $2008)'!G145-S34))</f>
        <v>0</v>
      </c>
      <c r="T35" s="560">
        <f>IF(ABS(AE34*'Data 2009-15 (Real $2008)'!H145-T34)&lt;0.001,0,ABS(AE34*'Data 2009-15 (Real $2008)'!H145-T34))</f>
        <v>0</v>
      </c>
      <c r="U35" s="560">
        <f>IF(ABS(AF34*'Data 2009-15 (Real $2008)'!I145-U34)&lt;0.001,0,ABS(AF34*'Data 2009-15 (Real $2008)'!I145-U34))</f>
        <v>0</v>
      </c>
      <c r="V35" s="560">
        <f>IF(ABS(AG34*'Data 2009-15 (Real $2008)'!J145-V34)&lt;0.001,0,ABS(AG34*'Data 2009-15 (Real $2008)'!J145-V34))</f>
        <v>0</v>
      </c>
    </row>
    <row r="36" spans="1:33" x14ac:dyDescent="0.2">
      <c r="A36" s="395"/>
      <c r="B36" s="395"/>
      <c r="C36" s="395"/>
      <c r="D36" s="506"/>
      <c r="E36" s="395"/>
      <c r="F36" s="395"/>
      <c r="G36" s="395"/>
      <c r="H36" s="395"/>
      <c r="I36" s="395"/>
      <c r="J36" s="395"/>
    </row>
    <row r="37" spans="1:33" x14ac:dyDescent="0.2">
      <c r="A37" s="57" t="s">
        <v>341</v>
      </c>
      <c r="B37" s="57"/>
      <c r="C37" s="360"/>
      <c r="D37" s="517">
        <f>'AMI RAB 2009-15'!D9*'Data 2009-15 (Real $2008)'!D145</f>
        <v>0</v>
      </c>
      <c r="E37" s="517">
        <f>'AMI RAB 2009-15'!E9*'Data 2009-15 (Real $2008)'!E145</f>
        <v>0</v>
      </c>
      <c r="F37" s="517">
        <f>'AMI RAB 2009-15'!F9*'Data 2009-15 (Real $2008)'!F145</f>
        <v>0</v>
      </c>
      <c r="G37" s="517">
        <f>'AMI RAB 2009-15'!G9*'Data 2009-15 (Real $2008)'!G145</f>
        <v>0</v>
      </c>
      <c r="H37" s="400">
        <f>'AMI RAB 2009-15'!H9*'Data 2009-15 (Real $2008)'!H145</f>
        <v>0</v>
      </c>
      <c r="I37" s="517">
        <f>'AMI RAB 2009-15'!I9*'Data 2009-15 (Real $2008)'!I145</f>
        <v>0</v>
      </c>
      <c r="J37" s="517">
        <f>'AMI RAB 2009-15'!J9*'Data 2009-15 (Real $2008)'!J145</f>
        <v>0</v>
      </c>
    </row>
    <row r="38" spans="1:33" x14ac:dyDescent="0.2">
      <c r="A38" s="57" t="s">
        <v>342</v>
      </c>
      <c r="B38" s="57"/>
      <c r="C38" s="360"/>
      <c r="D38" s="517">
        <f>'AMI RAB 2009-15'!D12*'Data 2009-15 (Real $2008)'!D144</f>
        <v>0</v>
      </c>
      <c r="E38" s="517">
        <f>'AMI RAB 2009-15'!E12*'Data 2009-15 (Real $2008)'!D145*'Data 2009-15 (Real $2008)'!E144</f>
        <v>0</v>
      </c>
      <c r="F38" s="517">
        <f>'AMI RAB 2009-15'!F12*'Data 2009-15 (Real $2008)'!E145*'Data 2009-15 (Real $2008)'!F144</f>
        <v>0</v>
      </c>
      <c r="G38" s="517">
        <f>'AMI RAB 2009-15'!G12*'Data 2009-15 (Real $2008)'!F145*'Data 2009-15 (Real $2008)'!G144</f>
        <v>0</v>
      </c>
      <c r="H38" s="400">
        <f>'AMI RAB 2009-15'!H12*'Data 2009-15 (Real $2008)'!G145*'Data 2009-15 (Real $2008)'!H144</f>
        <v>0</v>
      </c>
      <c r="I38" s="517">
        <f>'AMI RAB 2009-15'!I12*'Data 2009-15 (Real $2008)'!H145*'Data 2009-15 (Real $2008)'!I144</f>
        <v>0</v>
      </c>
      <c r="J38" s="400">
        <f>'AMI RAB 2009-15'!J12*'Data 2009-15 (Real $2008)'!I145*'Data 2009-15 (Real $2008)'!J144</f>
        <v>0</v>
      </c>
    </row>
    <row r="39" spans="1:33" x14ac:dyDescent="0.2">
      <c r="A39" s="57" t="s">
        <v>137</v>
      </c>
      <c r="B39" s="57"/>
      <c r="C39" s="360"/>
      <c r="D39" s="530">
        <f t="shared" ref="D39:J39" si="9">D37-D38</f>
        <v>0</v>
      </c>
      <c r="E39" s="530">
        <f t="shared" si="9"/>
        <v>0</v>
      </c>
      <c r="F39" s="530">
        <f t="shared" si="9"/>
        <v>0</v>
      </c>
      <c r="G39" s="530">
        <f t="shared" si="9"/>
        <v>0</v>
      </c>
      <c r="H39" s="403">
        <f t="shared" si="9"/>
        <v>0</v>
      </c>
      <c r="I39" s="530">
        <f t="shared" si="9"/>
        <v>0</v>
      </c>
      <c r="J39" s="403">
        <f t="shared" si="9"/>
        <v>0</v>
      </c>
    </row>
    <row r="40" spans="1:33" x14ac:dyDescent="0.2">
      <c r="A40" s="395"/>
      <c r="B40" s="395"/>
      <c r="C40" s="395"/>
      <c r="D40" s="506"/>
      <c r="E40" s="395"/>
      <c r="F40" s="395"/>
      <c r="G40" s="395"/>
      <c r="H40" s="395"/>
      <c r="I40" s="395"/>
      <c r="J40" s="395"/>
    </row>
    <row r="41" spans="1:33" x14ac:dyDescent="0.2">
      <c r="A41" s="395"/>
      <c r="B41" s="395"/>
      <c r="C41" s="395"/>
      <c r="D41" s="506"/>
      <c r="E41" s="395"/>
      <c r="F41" s="395"/>
      <c r="G41" s="395"/>
      <c r="H41" s="395"/>
      <c r="I41" s="395"/>
      <c r="J41" s="395"/>
    </row>
    <row r="42" spans="1:33" x14ac:dyDescent="0.2">
      <c r="A42" s="395"/>
      <c r="B42" s="395"/>
      <c r="C42" s="395"/>
      <c r="D42" s="506"/>
      <c r="E42" s="395"/>
      <c r="F42" s="395"/>
      <c r="G42" s="395"/>
      <c r="H42" s="395"/>
      <c r="I42" s="395"/>
      <c r="J42" s="395"/>
    </row>
    <row r="43" spans="1:33" x14ac:dyDescent="0.2">
      <c r="A43" s="500" t="s">
        <v>328</v>
      </c>
      <c r="D43" s="391">
        <f>$D$21</f>
        <v>2009</v>
      </c>
      <c r="E43" s="391">
        <f>$E$21</f>
        <v>2010</v>
      </c>
      <c r="F43" s="391">
        <f>$F$21</f>
        <v>2011</v>
      </c>
      <c r="G43" s="391">
        <f>$G$21</f>
        <v>2012</v>
      </c>
      <c r="H43" s="391">
        <f>$H$21</f>
        <v>2013</v>
      </c>
      <c r="I43" s="391">
        <f>$I$21</f>
        <v>2014</v>
      </c>
      <c r="J43" s="391">
        <f>$J$21</f>
        <v>2015</v>
      </c>
    </row>
    <row r="45" spans="1:33" x14ac:dyDescent="0.2">
      <c r="A45" s="356" t="s">
        <v>141</v>
      </c>
      <c r="D45" s="511">
        <f>'Data 2009-15 (Real $2008)'!$C$139</f>
        <v>0.6</v>
      </c>
      <c r="E45" s="511">
        <f>'Data 2009-15 (Real $2008)'!$C$139</f>
        <v>0.6</v>
      </c>
      <c r="F45" s="511">
        <f>'Data 2009-15 (Real $2008)'!$C$139</f>
        <v>0.6</v>
      </c>
      <c r="G45" s="511">
        <f>'Data 2009-15 (Real $2008)'!$C$139</f>
        <v>0.6</v>
      </c>
      <c r="H45" s="511">
        <f>'Data 2009-15 (Real $2008)'!$C$139</f>
        <v>0.6</v>
      </c>
      <c r="I45" s="511">
        <f>'Data 2009-15 (Real $2008)'!$I$139</f>
        <v>0.6</v>
      </c>
      <c r="J45" s="511">
        <f>'Data 2009-15 (Real $2008)'!$I$139</f>
        <v>0.6</v>
      </c>
      <c r="N45" s="57"/>
    </row>
    <row r="46" spans="1:33" x14ac:dyDescent="0.2">
      <c r="A46" s="57" t="s">
        <v>84</v>
      </c>
      <c r="D46" s="513">
        <f>(1+$C$15)*(1+'Data 2009-15 (Real $2008)'!D144)-1</f>
        <v>0.11322326868484578</v>
      </c>
      <c r="E46" s="513">
        <f>(1+$C$15)*(1+'Data 2009-15 (Real $2008)'!E144)-1</f>
        <v>7.3778126800747579E-2</v>
      </c>
      <c r="F46" s="513">
        <f>(1+$C$15)*(1+'Data 2009-15 (Real $2008)'!F144)-1</f>
        <v>8.9964147943142114E-2</v>
      </c>
      <c r="G46" s="513">
        <f>(1+$C$15)*(1+'Data 2009-15 (Real $2008)'!G144)-1</f>
        <v>9.7728896172580848E-2</v>
      </c>
      <c r="H46" s="513">
        <f>(1+$C$15)*(1+'Data 2009-15 (Real $2008)'!H144)-1</f>
        <v>8.1654240618522556E-2</v>
      </c>
      <c r="I46" s="513">
        <f>(1+$I$15)*(1+'Data 2009-15 (Real $2008)'!I144)-1</f>
        <v>6.800000000000006E-2</v>
      </c>
      <c r="J46" s="513">
        <f>(1+$I$15)*(1+'Data 2009-15 (Real $2008)'!J144)-1</f>
        <v>6.800000000000006E-2</v>
      </c>
    </row>
    <row r="47" spans="1:33" x14ac:dyDescent="0.2">
      <c r="A47" s="356" t="s">
        <v>142</v>
      </c>
      <c r="D47" s="515">
        <f>'Data 2009-15 (Real $2008)'!$C$137</f>
        <v>0.3</v>
      </c>
      <c r="E47" s="515">
        <f>'Data 2009-15 (Real $2008)'!$C$137</f>
        <v>0.3</v>
      </c>
      <c r="F47" s="515">
        <f>'Data 2009-15 (Real $2008)'!$C$137</f>
        <v>0.3</v>
      </c>
      <c r="G47" s="515">
        <f>'Data 2009-15 (Real $2008)'!$C$137</f>
        <v>0.3</v>
      </c>
      <c r="H47" s="515">
        <f>'Data 2009-15 (Real $2008)'!$C$137</f>
        <v>0.3</v>
      </c>
      <c r="I47" s="515">
        <f>'Data 2009-15 (Real $2008)'!$I$137</f>
        <v>0.3</v>
      </c>
      <c r="J47" s="515">
        <f>'Data 2009-15 (Real $2008)'!$I$137</f>
        <v>0.3</v>
      </c>
    </row>
    <row r="48" spans="1:33" x14ac:dyDescent="0.2">
      <c r="A48" s="57" t="s">
        <v>17</v>
      </c>
      <c r="D48" s="514">
        <f>'Data 2009-15 (Real $2008)'!$C$138</f>
        <v>0.65</v>
      </c>
      <c r="E48" s="514">
        <f>'Data 2009-15 (Real $2008)'!$C$138</f>
        <v>0.65</v>
      </c>
      <c r="F48" s="514">
        <f>'Data 2009-15 (Real $2008)'!$C$138</f>
        <v>0.65</v>
      </c>
      <c r="G48" s="514">
        <f>'Data 2009-15 (Real $2008)'!$C$138</f>
        <v>0.65</v>
      </c>
      <c r="H48" s="514">
        <f>'Data 2009-15 (Real $2008)'!$C$138</f>
        <v>0.65</v>
      </c>
      <c r="I48" s="514">
        <f>'Data 2009-15 (Real $2008)'!$I$138</f>
        <v>0.25</v>
      </c>
      <c r="J48" s="514">
        <f>'Data 2009-15 (Real $2008)'!$I$138</f>
        <v>0.25</v>
      </c>
    </row>
    <row r="49" spans="1:10" x14ac:dyDescent="0.2">
      <c r="A49" s="57"/>
      <c r="D49" s="57"/>
      <c r="E49" s="57"/>
      <c r="F49" s="57"/>
      <c r="G49" s="57"/>
      <c r="H49" s="57"/>
      <c r="I49" s="57"/>
      <c r="J49" s="57"/>
    </row>
    <row r="50" spans="1:10" x14ac:dyDescent="0.2">
      <c r="A50" s="409" t="s">
        <v>297</v>
      </c>
      <c r="D50" s="391">
        <f>$D$21</f>
        <v>2009</v>
      </c>
      <c r="E50" s="391">
        <f>$E$21</f>
        <v>2010</v>
      </c>
      <c r="F50" s="391">
        <f>$F$21</f>
        <v>2011</v>
      </c>
      <c r="G50" s="391">
        <f>$G$21</f>
        <v>2012</v>
      </c>
      <c r="H50" s="391">
        <f>$H$21</f>
        <v>2013</v>
      </c>
      <c r="I50" s="391">
        <f>$I$21</f>
        <v>2014</v>
      </c>
      <c r="J50" s="391">
        <f>$J$21</f>
        <v>2015</v>
      </c>
    </row>
    <row r="51" spans="1:10" x14ac:dyDescent="0.2">
      <c r="A51" s="57" t="s">
        <v>293</v>
      </c>
      <c r="D51" s="83">
        <f>'Tariff Compliance'!D8</f>
        <v>37927.245233500005</v>
      </c>
      <c r="E51" s="83">
        <f>'Tariff Compliance'!E8</f>
        <v>65653.893745999987</v>
      </c>
      <c r="F51" s="83">
        <f>'Tariff Compliance'!F8</f>
        <v>73478.180732400011</v>
      </c>
      <c r="G51" s="83">
        <f>'Tariff Compliance'!G8</f>
        <v>94562.803278688531</v>
      </c>
      <c r="H51" s="83">
        <f>'Tariff Compliance'!H8</f>
        <v>98802.817787482985</v>
      </c>
      <c r="I51" s="83">
        <f>'Tariff Compliance'!I8</f>
        <v>120941.24638320923</v>
      </c>
      <c r="J51" s="83">
        <f>'Tariff Compliance'!J8</f>
        <v>147957.18438956796</v>
      </c>
    </row>
    <row r="52" spans="1:10" x14ac:dyDescent="0.2">
      <c r="A52" s="57" t="s">
        <v>4</v>
      </c>
      <c r="D52" s="82">
        <f>'AMI RAB 2009-15'!D7*'Data 2009-15 (Real $2008)'!D145</f>
        <v>0</v>
      </c>
      <c r="E52" s="82">
        <f>'AMI RAB 2009-15'!E7*'Data 2009-15 (Real $2008)'!E145</f>
        <v>0</v>
      </c>
      <c r="F52" s="82">
        <f>'AMI RAB 2009-15'!F7*'Data 2009-15 (Real $2008)'!F145</f>
        <v>0</v>
      </c>
      <c r="G52" s="82">
        <f>'AMI RAB 2009-15'!G7*'Data 2009-15 (Real $2008)'!G145</f>
        <v>0</v>
      </c>
      <c r="H52" s="82">
        <f>'AMI RAB 2009-15'!H7*'Data 2009-15 (Real $2008)'!H145</f>
        <v>0</v>
      </c>
      <c r="I52" s="82">
        <f>'AMI RAB 2009-15'!I7*'Data 2009-15 (Real $2008)'!I145</f>
        <v>0</v>
      </c>
      <c r="J52" s="82">
        <f>'AMI RAB 2009-15'!J7*'Data 2009-15 (Real $2008)'!J145</f>
        <v>0</v>
      </c>
    </row>
    <row r="53" spans="1:10" x14ac:dyDescent="0.2">
      <c r="A53" s="57" t="s">
        <v>126</v>
      </c>
      <c r="D53" s="82">
        <f>'Data 2009-15 (Real $2008)'!D55/10^3*'Data 2009-15 (Real $2008)'!D145</f>
        <v>27133.020450744909</v>
      </c>
      <c r="E53" s="82">
        <f>'Data 2009-15 (Real $2008)'!E55/10^3*'Data 2009-15 (Real $2008)'!E145</f>
        <v>39809.474162623126</v>
      </c>
      <c r="F53" s="82">
        <f>'Data 2009-15 (Real $2008)'!F55/10^3*'Data 2009-15 (Real $2008)'!F145</f>
        <v>42811.168404355973</v>
      </c>
      <c r="G53" s="82">
        <f>'Data 2009-15 (Real $2008)'!G55/10^3*'Data 2009-15 (Real $2008)'!G145</f>
        <v>40190.981149277504</v>
      </c>
      <c r="H53" s="82">
        <f>'Data 2009-15 (Real $2008)'!H55/10^3*'Data 2009-15 (Real $2008)'!H145</f>
        <v>39489.353750032744</v>
      </c>
      <c r="I53" s="82">
        <f>'Data 2009-15 (Real $2008)'!I55/10^3*'Data 2009-15 (Real $2008)'!I145</f>
        <v>31531.663964577543</v>
      </c>
      <c r="J53" s="82">
        <f>'Data 2009-15 (Real $2008)'!J55/10^3*'Data 2009-15 (Real $2008)'!J145</f>
        <v>29861.928834668161</v>
      </c>
    </row>
    <row r="54" spans="1:10" x14ac:dyDescent="0.2">
      <c r="A54" s="57" t="s">
        <v>127</v>
      </c>
      <c r="D54" s="82">
        <f>'AMI Tax Depn 2009-15'!D56</f>
        <v>0</v>
      </c>
      <c r="E54" s="82">
        <f>'AMI Tax Depn 2009-15'!E56</f>
        <v>0</v>
      </c>
      <c r="F54" s="82">
        <f>'AMI Tax Depn 2009-15'!F56</f>
        <v>0</v>
      </c>
      <c r="G54" s="82">
        <f>'AMI Tax Depn 2009-15'!G56</f>
        <v>0</v>
      </c>
      <c r="H54" s="82">
        <f>'AMI Tax Depn 2009-15'!H56</f>
        <v>0</v>
      </c>
      <c r="I54" s="82">
        <f>'AMI Tax Depn 2009-15'!I56</f>
        <v>0</v>
      </c>
      <c r="J54" s="82">
        <f>'AMI Tax Depn 2009-15'!J56</f>
        <v>0</v>
      </c>
    </row>
    <row r="55" spans="1:10" x14ac:dyDescent="0.2">
      <c r="A55" s="57" t="s">
        <v>128</v>
      </c>
      <c r="D55" s="82">
        <f>'AMI RAB 2009-15'!D12*D45*'Data 2009-15 (Real $2008)'!D145*D46</f>
        <v>0</v>
      </c>
      <c r="E55" s="82">
        <f>'AMI RAB 2009-15'!E12*E45*'Data 2009-15 (Real $2008)'!E145*E46</f>
        <v>0</v>
      </c>
      <c r="F55" s="82">
        <f>'AMI RAB 2009-15'!F12*F45*'Data 2009-15 (Real $2008)'!F145*F46</f>
        <v>0</v>
      </c>
      <c r="G55" s="82">
        <f>'AMI RAB 2009-15'!G12*G45*'Data 2009-15 (Real $2008)'!G145*G46</f>
        <v>0</v>
      </c>
      <c r="H55" s="82">
        <f>'AMI RAB 2009-15'!H12*H45*'Data 2009-15 (Real $2008)'!H145*H46</f>
        <v>0</v>
      </c>
      <c r="I55" s="82">
        <f>'AMI RAB 2009-15'!I12*I45*'Data 2009-15 (Real $2008)'!I145*I46</f>
        <v>0</v>
      </c>
      <c r="J55" s="82">
        <f>'AMI RAB 2009-15'!J12*J45*'Data 2009-15 (Real $2008)'!J145*J46</f>
        <v>0</v>
      </c>
    </row>
    <row r="56" spans="1:10" x14ac:dyDescent="0.2">
      <c r="A56" s="356" t="s">
        <v>129</v>
      </c>
      <c r="D56" s="82">
        <f>IF('Offset of Costs and Rev 2006-08'!F106&lt;0,-'Offset of Costs and Rev 2006-08'!F106,0)</f>
        <v>0</v>
      </c>
      <c r="E56" s="82">
        <f t="shared" ref="E56:J56" si="10">IF(D57&lt;0,-D57,0)</f>
        <v>0</v>
      </c>
      <c r="F56" s="82">
        <f t="shared" si="10"/>
        <v>0</v>
      </c>
      <c r="G56" s="82">
        <f t="shared" si="10"/>
        <v>0</v>
      </c>
      <c r="H56" s="82">
        <f t="shared" si="10"/>
        <v>0</v>
      </c>
      <c r="I56" s="82">
        <f t="shared" si="10"/>
        <v>0</v>
      </c>
      <c r="J56" s="82">
        <f t="shared" si="10"/>
        <v>0</v>
      </c>
    </row>
    <row r="57" spans="1:10" x14ac:dyDescent="0.2">
      <c r="A57" s="57" t="s">
        <v>151</v>
      </c>
      <c r="D57" s="82">
        <f t="shared" ref="D57:J57" si="11">SUM(D51:D52)-SUM(D53:D56)</f>
        <v>10794.224782755096</v>
      </c>
      <c r="E57" s="82">
        <f t="shared" si="11"/>
        <v>25844.419583376861</v>
      </c>
      <c r="F57" s="82">
        <f t="shared" si="11"/>
        <v>30667.012328044038</v>
      </c>
      <c r="G57" s="82">
        <f t="shared" si="11"/>
        <v>54371.822129411026</v>
      </c>
      <c r="H57" s="82">
        <f t="shared" si="11"/>
        <v>59313.464037450241</v>
      </c>
      <c r="I57" s="82">
        <f t="shared" si="11"/>
        <v>89409.58241863169</v>
      </c>
      <c r="J57" s="82">
        <f t="shared" si="11"/>
        <v>118095.25555489981</v>
      </c>
    </row>
    <row r="58" spans="1:10" x14ac:dyDescent="0.2">
      <c r="A58" s="57" t="s">
        <v>152</v>
      </c>
      <c r="D58" s="82">
        <f t="shared" ref="D58:J58" si="12">IF(D57&lt;0,0,D57*D47)</f>
        <v>3238.2674348265286</v>
      </c>
      <c r="E58" s="82">
        <f t="shared" si="12"/>
        <v>7753.3258750130581</v>
      </c>
      <c r="F58" s="82">
        <f t="shared" si="12"/>
        <v>9200.1036984132115</v>
      </c>
      <c r="G58" s="82">
        <f t="shared" si="12"/>
        <v>16311.546638823307</v>
      </c>
      <c r="H58" s="82">
        <f t="shared" si="12"/>
        <v>17794.039211235071</v>
      </c>
      <c r="I58" s="82">
        <f t="shared" si="12"/>
        <v>26822.874725589507</v>
      </c>
      <c r="J58" s="82">
        <f t="shared" si="12"/>
        <v>35428.57666646994</v>
      </c>
    </row>
    <row r="59" spans="1:10" x14ac:dyDescent="0.2">
      <c r="A59" s="57" t="s">
        <v>132</v>
      </c>
      <c r="D59" s="82">
        <f t="shared" ref="D59:J59" si="13">D58*D48</f>
        <v>2104.8738326372436</v>
      </c>
      <c r="E59" s="82">
        <f t="shared" si="13"/>
        <v>5039.6618187584882</v>
      </c>
      <c r="F59" s="82">
        <f t="shared" si="13"/>
        <v>5980.0674039685873</v>
      </c>
      <c r="G59" s="82">
        <f t="shared" si="13"/>
        <v>10602.50531523515</v>
      </c>
      <c r="H59" s="82">
        <f t="shared" si="13"/>
        <v>11566.125487302797</v>
      </c>
      <c r="I59" s="82">
        <f t="shared" si="13"/>
        <v>6705.7186813973767</v>
      </c>
      <c r="J59" s="82">
        <f t="shared" si="13"/>
        <v>8857.1441666174851</v>
      </c>
    </row>
    <row r="60" spans="1:10" x14ac:dyDescent="0.2">
      <c r="A60" s="57" t="s">
        <v>347</v>
      </c>
      <c r="D60" s="512">
        <f t="shared" ref="D60:J60" si="14">D58-D59</f>
        <v>1133.393602189285</v>
      </c>
      <c r="E60" s="512">
        <f t="shared" si="14"/>
        <v>2713.6640562545699</v>
      </c>
      <c r="F60" s="512">
        <f t="shared" si="14"/>
        <v>3220.0362944446242</v>
      </c>
      <c r="G60" s="512">
        <f t="shared" si="14"/>
        <v>5709.041323588157</v>
      </c>
      <c r="H60" s="512">
        <f t="shared" si="14"/>
        <v>6227.9137239322736</v>
      </c>
      <c r="I60" s="512">
        <f t="shared" si="14"/>
        <v>20117.156044192132</v>
      </c>
      <c r="J60" s="512">
        <f t="shared" si="14"/>
        <v>26571.432499852453</v>
      </c>
    </row>
    <row r="61" spans="1:10" x14ac:dyDescent="0.2">
      <c r="A61" s="57"/>
      <c r="D61" s="57"/>
      <c r="E61" s="57"/>
      <c r="F61" s="57"/>
      <c r="G61" s="57"/>
      <c r="H61" s="57"/>
      <c r="I61" s="57"/>
      <c r="J61" s="57"/>
    </row>
    <row r="62" spans="1:10" x14ac:dyDescent="0.2">
      <c r="D62" s="391">
        <f>$D$21</f>
        <v>2009</v>
      </c>
      <c r="E62" s="391">
        <f>$E$21</f>
        <v>2010</v>
      </c>
      <c r="F62" s="391">
        <f>$F$21</f>
        <v>2011</v>
      </c>
      <c r="G62" s="391">
        <f>$G$21</f>
        <v>2012</v>
      </c>
      <c r="H62" s="391">
        <f>$H$21</f>
        <v>2013</v>
      </c>
      <c r="I62" s="391">
        <f>$I$21</f>
        <v>2014</v>
      </c>
      <c r="J62" s="391">
        <f>$J$21</f>
        <v>2015</v>
      </c>
    </row>
    <row r="63" spans="1:10" x14ac:dyDescent="0.2">
      <c r="A63" s="409" t="s">
        <v>289</v>
      </c>
    </row>
    <row r="64" spans="1:10" ht="13.5" thickBot="1" x14ac:dyDescent="0.25">
      <c r="A64" s="57" t="s">
        <v>294</v>
      </c>
      <c r="D64" s="567">
        <f>D60/'Data 2009-15 (Real $2008)'!D145</f>
        <v>1079.6169688121358</v>
      </c>
      <c r="E64" s="567">
        <f>E60/'Data 2009-15 (Real $2008)'!E145</f>
        <v>2552.7112652548926</v>
      </c>
      <c r="F64" s="567">
        <f>F60/'Data 2009-15 (Real $2008)'!F145</f>
        <v>2946.8999209400886</v>
      </c>
      <c r="G64" s="567">
        <f>G60/'Data 2009-15 (Real $2008)'!G145</f>
        <v>5047.1234889692405</v>
      </c>
      <c r="H64" s="567">
        <f>H60/'Data 2009-15 (Real $2008)'!H145</f>
        <v>5397.6670892848861</v>
      </c>
      <c r="I64" s="567">
        <f>I60/'Data 2009-15 (Real $2008)'!I145</f>
        <v>17015.05495086723</v>
      </c>
      <c r="J64" s="567">
        <f>J60/'Data 2009-15 (Real $2008)'!J145</f>
        <v>21932.34170519494</v>
      </c>
    </row>
    <row r="65" spans="2:3" ht="13.5" thickTop="1" x14ac:dyDescent="0.2">
      <c r="B65" s="360"/>
      <c r="C65" s="360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3" style="360" customWidth="1"/>
    <col min="2" max="2" width="9.5703125" style="365" customWidth="1"/>
    <col min="3" max="3" width="8.42578125" style="365" customWidth="1"/>
    <col min="4" max="4" width="10.28515625" style="360" bestFit="1" customWidth="1"/>
    <col min="5" max="16384" width="9.140625" style="360"/>
  </cols>
  <sheetData>
    <row r="1" spans="1:27" x14ac:dyDescent="0.2">
      <c r="A1" s="555" t="str">
        <f>'Data 2006-08'!$A$1</f>
        <v>SP AusNet</v>
      </c>
      <c r="B1" s="495" t="s">
        <v>0</v>
      </c>
      <c r="C1" s="496" t="str">
        <f>IF(SUM(C59)&lt;0.001,"Ok","Error")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">
      <c r="A2" s="268"/>
      <c r="B2" s="278"/>
      <c r="C2" s="792">
        <f>C59</f>
        <v>0</v>
      </c>
      <c r="D2" s="497"/>
      <c r="E2" s="422"/>
      <c r="F2" s="422"/>
      <c r="G2" s="359"/>
      <c r="H2" s="359"/>
      <c r="I2" s="359"/>
      <c r="J2" s="359"/>
      <c r="K2" s="498"/>
      <c r="L2" s="498"/>
      <c r="M2" s="498"/>
      <c r="N2" s="498"/>
    </row>
    <row r="3" spans="1:27" s="84" customFormat="1" x14ac:dyDescent="0.2">
      <c r="A3" s="74" t="s">
        <v>325</v>
      </c>
      <c r="B3" s="433"/>
      <c r="C3" s="433"/>
    </row>
    <row r="4" spans="1:27" s="84" customFormat="1" x14ac:dyDescent="0.2">
      <c r="B4" s="85"/>
      <c r="C4" s="85"/>
    </row>
    <row r="5" spans="1:27" s="84" customFormat="1" x14ac:dyDescent="0.2">
      <c r="A5" s="74" t="s">
        <v>326</v>
      </c>
      <c r="B5" s="433"/>
      <c r="C5" s="433"/>
      <c r="D5" s="490"/>
      <c r="E5" s="486"/>
      <c r="F5" s="486"/>
    </row>
    <row r="6" spans="1:27" s="84" customFormat="1" x14ac:dyDescent="0.2">
      <c r="A6" s="84" t="str">
        <f>'Data 2009-15 (Real $2008)'!A$162</f>
        <v>Meters and transformers (Group 1) (Unit cost &lt; $1,000)</v>
      </c>
      <c r="B6" s="85"/>
      <c r="C6" s="85"/>
      <c r="D6" s="487"/>
      <c r="E6" s="486"/>
      <c r="F6" s="486"/>
    </row>
    <row r="7" spans="1:27" s="84" customFormat="1" x14ac:dyDescent="0.2">
      <c r="A7" s="84" t="str">
        <f>'Data 2009-15 (Real $2008)'!A$163</f>
        <v>Meters and transformers (Group 2) (Unit cost =&gt; $1,000)</v>
      </c>
      <c r="B7" s="85"/>
      <c r="C7" s="85"/>
      <c r="D7" s="488"/>
      <c r="E7" s="486"/>
      <c r="F7" s="486"/>
    </row>
    <row r="8" spans="1:27" s="84" customFormat="1" x14ac:dyDescent="0.2">
      <c r="A8" s="84" t="str">
        <f>'Data 2009-15 (Real $2008)'!A$164</f>
        <v>IT</v>
      </c>
      <c r="B8" s="85"/>
      <c r="C8" s="85"/>
      <c r="D8" s="488"/>
      <c r="E8" s="486"/>
      <c r="F8" s="486"/>
    </row>
    <row r="9" spans="1:27" s="84" customFormat="1" x14ac:dyDescent="0.2">
      <c r="A9" s="84" t="str">
        <f>'Data 2009-15 (Real $2008)'!A$165</f>
        <v>Communications</v>
      </c>
      <c r="B9" s="108"/>
      <c r="C9" s="108"/>
      <c r="D9" s="488"/>
      <c r="E9" s="486"/>
      <c r="F9" s="486"/>
    </row>
    <row r="10" spans="1:27" s="84" customFormat="1" x14ac:dyDescent="0.2">
      <c r="A10" s="87" t="str">
        <f>'Data 2009-15 (Real $2008)'!A$166</f>
        <v>Other</v>
      </c>
      <c r="B10" s="108"/>
      <c r="C10" s="108"/>
      <c r="D10" s="489"/>
      <c r="E10" s="486"/>
      <c r="F10" s="486"/>
    </row>
    <row r="11" spans="1:27" s="84" customFormat="1" x14ac:dyDescent="0.2">
      <c r="B11" s="85"/>
      <c r="C11" s="85"/>
    </row>
    <row r="12" spans="1:27" s="84" customFormat="1" x14ac:dyDescent="0.2">
      <c r="B12" s="85"/>
      <c r="C12" s="85"/>
    </row>
    <row r="13" spans="1:27" s="84" customFormat="1" x14ac:dyDescent="0.2">
      <c r="A13" s="74" t="s">
        <v>183</v>
      </c>
      <c r="B13" s="433"/>
      <c r="C13" s="433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68"/>
      <c r="Z13" s="468"/>
      <c r="AA13" s="468"/>
    </row>
    <row r="14" spans="1:27" s="84" customFormat="1" x14ac:dyDescent="0.2">
      <c r="A14" s="409" t="s">
        <v>297</v>
      </c>
      <c r="B14" s="457"/>
      <c r="C14" s="457"/>
      <c r="D14" s="485"/>
      <c r="E14" s="485"/>
      <c r="F14" s="485"/>
    </row>
    <row r="15" spans="1:27" s="84" customFormat="1" x14ac:dyDescent="0.2">
      <c r="A15" s="101" t="s">
        <v>321</v>
      </c>
      <c r="B15" s="457"/>
      <c r="C15" s="457"/>
      <c r="D15" s="485"/>
      <c r="E15" s="485"/>
      <c r="F15" s="485"/>
    </row>
    <row r="16" spans="1:27" s="84" customFormat="1" x14ac:dyDescent="0.2">
      <c r="A16" s="84" t="str">
        <f>'Data 2009-15 (Real $2008)'!A$162</f>
        <v>Meters and transformers (Group 1) (Unit cost &lt; $1,000)</v>
      </c>
      <c r="B16" s="85"/>
      <c r="C16" s="85"/>
      <c r="D16" s="82"/>
      <c r="E16" s="82"/>
      <c r="F16" s="82"/>
      <c r="G16" s="82"/>
      <c r="H16" s="82"/>
      <c r="I16" s="82"/>
      <c r="J16" s="82"/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</row>
    <row r="17" spans="1:27" s="84" customFormat="1" x14ac:dyDescent="0.2">
      <c r="A17" s="84" t="str">
        <f>'Data 2009-15 (Real $2008)'!A$163</f>
        <v>Meters and transformers (Group 2) (Unit cost =&gt; $1,000)</v>
      </c>
      <c r="B17" s="85"/>
      <c r="C17" s="85"/>
      <c r="D17" s="82"/>
      <c r="E17" s="82"/>
      <c r="F17" s="82"/>
      <c r="G17" s="82"/>
      <c r="H17" s="82"/>
      <c r="I17" s="82"/>
      <c r="J17" s="82"/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</row>
    <row r="18" spans="1:27" s="84" customFormat="1" x14ac:dyDescent="0.2">
      <c r="A18" s="84" t="str">
        <f>'Data 2009-15 (Real $2008)'!A$164</f>
        <v>IT</v>
      </c>
      <c r="B18" s="85"/>
      <c r="C18" s="85"/>
      <c r="D18" s="82"/>
      <c r="E18" s="82"/>
      <c r="F18" s="82"/>
      <c r="G18" s="82"/>
      <c r="H18" s="82"/>
      <c r="I18" s="82"/>
      <c r="J18" s="82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</row>
    <row r="19" spans="1:27" s="84" customFormat="1" x14ac:dyDescent="0.2">
      <c r="A19" s="84" t="str">
        <f>'Data 2009-15 (Real $2008)'!A$165</f>
        <v>Communications</v>
      </c>
      <c r="B19" s="108"/>
      <c r="C19" s="108"/>
      <c r="D19" s="82"/>
      <c r="E19" s="82"/>
      <c r="F19" s="82"/>
      <c r="G19" s="82"/>
      <c r="H19" s="82"/>
      <c r="I19" s="82"/>
      <c r="J19" s="82"/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</row>
    <row r="20" spans="1:27" s="84" customFormat="1" x14ac:dyDescent="0.2">
      <c r="A20" s="87" t="str">
        <f>'Data 2009-15 (Real $2008)'!A$166</f>
        <v>Other</v>
      </c>
      <c r="B20" s="108"/>
      <c r="C20" s="108"/>
      <c r="D20" s="82"/>
      <c r="E20" s="82"/>
      <c r="F20" s="82"/>
      <c r="G20" s="82"/>
      <c r="H20" s="82"/>
      <c r="I20" s="82"/>
      <c r="J20" s="82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</row>
    <row r="21" spans="1:27" s="84" customFormat="1" x14ac:dyDescent="0.2">
      <c r="A21" s="87"/>
      <c r="B21" s="108"/>
      <c r="C21" s="108"/>
      <c r="D21" s="109"/>
      <c r="E21" s="109"/>
      <c r="F21" s="109"/>
      <c r="G21" s="109"/>
      <c r="H21" s="109"/>
      <c r="I21" s="109"/>
      <c r="J21" s="109"/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</row>
    <row r="22" spans="1:27" s="84" customFormat="1" x14ac:dyDescent="0.2">
      <c r="A22" s="346" t="s">
        <v>346</v>
      </c>
      <c r="B22" s="93"/>
      <c r="C22" s="93"/>
      <c r="D22" s="91"/>
      <c r="E22" s="91"/>
      <c r="F22" s="91"/>
    </row>
    <row r="23" spans="1:27" s="84" customFormat="1" x14ac:dyDescent="0.2">
      <c r="A23" s="455" t="str">
        <f>'Data 2009-15 (Real $2008)'!A$162</f>
        <v>Meters and transformers (Group 1) (Unit cost &lt; $1,000)</v>
      </c>
      <c r="B23" s="455"/>
      <c r="C23" s="455"/>
      <c r="D23" s="91"/>
      <c r="E23" s="91"/>
      <c r="F23" s="91"/>
    </row>
    <row r="24" spans="1:27" s="84" customFormat="1" x14ac:dyDescent="0.2">
      <c r="A24" s="85" t="s">
        <v>348</v>
      </c>
      <c r="B24" s="85"/>
      <c r="C24" s="85"/>
      <c r="D24" s="491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</row>
    <row r="25" spans="1:27" s="84" customFormat="1" x14ac:dyDescent="0.2">
      <c r="A25" s="85" t="s">
        <v>176</v>
      </c>
      <c r="B25" s="85"/>
      <c r="C25" s="85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</row>
    <row r="26" spans="1:27" s="84" customFormat="1" x14ac:dyDescent="0.2">
      <c r="A26" s="85" t="s">
        <v>200</v>
      </c>
      <c r="B26" s="85"/>
      <c r="C26" s="85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</row>
    <row r="27" spans="1:27" s="84" customFormat="1" x14ac:dyDescent="0.2">
      <c r="A27" s="85" t="s">
        <v>201</v>
      </c>
      <c r="B27" s="85"/>
      <c r="C27" s="85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</row>
    <row r="28" spans="1:27" s="84" customFormat="1" x14ac:dyDescent="0.2">
      <c r="A28" s="91"/>
      <c r="B28" s="91"/>
      <c r="C28" s="91"/>
      <c r="D28" s="85"/>
      <c r="E28" s="85"/>
      <c r="F28" s="85"/>
    </row>
    <row r="29" spans="1:27" s="84" customFormat="1" x14ac:dyDescent="0.2">
      <c r="A29" s="455" t="str">
        <f>'Data 2009-15 (Real $2008)'!A$163</f>
        <v>Meters and transformers (Group 2) (Unit cost =&gt; $1,000)</v>
      </c>
      <c r="B29" s="455"/>
      <c r="C29" s="455"/>
      <c r="D29" s="91"/>
      <c r="E29" s="91"/>
      <c r="F29" s="91"/>
    </row>
    <row r="30" spans="1:27" s="84" customFormat="1" x14ac:dyDescent="0.2">
      <c r="A30" s="85" t="str">
        <f>A$24</f>
        <v>Opening asset value</v>
      </c>
      <c r="B30" s="85"/>
      <c r="C30" s="85"/>
      <c r="D30" s="491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</row>
    <row r="31" spans="1:27" s="84" customFormat="1" x14ac:dyDescent="0.2">
      <c r="A31" s="85" t="str">
        <f>A$25</f>
        <v>Depreciation</v>
      </c>
      <c r="B31" s="85"/>
      <c r="C31" s="85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</row>
    <row r="32" spans="1:27" s="84" customFormat="1" x14ac:dyDescent="0.2">
      <c r="A32" s="85" t="str">
        <f>A$26</f>
        <v>Gross capex</v>
      </c>
      <c r="B32" s="85"/>
      <c r="C32" s="85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</row>
    <row r="33" spans="1:27" s="84" customFormat="1" x14ac:dyDescent="0.2">
      <c r="A33" s="85" t="str">
        <f>A$27</f>
        <v>Closing asset value</v>
      </c>
      <c r="B33" s="85"/>
      <c r="C33" s="85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</row>
    <row r="34" spans="1:27" s="84" customFormat="1" x14ac:dyDescent="0.2">
      <c r="A34" s="91"/>
      <c r="B34" s="91"/>
      <c r="C34" s="91"/>
      <c r="D34" s="83"/>
      <c r="E34" s="83"/>
      <c r="F34" s="83"/>
      <c r="G34" s="83"/>
      <c r="H34" s="83"/>
      <c r="I34" s="83"/>
    </row>
    <row r="35" spans="1:27" s="84" customFormat="1" x14ac:dyDescent="0.2">
      <c r="A35" s="455" t="str">
        <f>'Data 2009-15 (Real $2008)'!A$164</f>
        <v>IT</v>
      </c>
      <c r="B35" s="455"/>
      <c r="C35" s="455"/>
      <c r="D35" s="85"/>
      <c r="E35" s="85"/>
      <c r="F35" s="85"/>
      <c r="G35" s="85"/>
      <c r="H35" s="85"/>
      <c r="I35" s="85"/>
    </row>
    <row r="36" spans="1:27" s="84" customFormat="1" x14ac:dyDescent="0.2">
      <c r="A36" s="85" t="str">
        <f>A$24</f>
        <v>Opening asset value</v>
      </c>
      <c r="B36" s="85"/>
      <c r="C36" s="85"/>
      <c r="D36" s="49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</row>
    <row r="37" spans="1:27" s="84" customFormat="1" x14ac:dyDescent="0.2">
      <c r="A37" s="85" t="str">
        <f>A$25</f>
        <v>Depreciation</v>
      </c>
      <c r="B37" s="85"/>
      <c r="C37" s="85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</row>
    <row r="38" spans="1:27" s="84" customFormat="1" x14ac:dyDescent="0.2">
      <c r="A38" s="85" t="str">
        <f>A$26</f>
        <v>Gross capex</v>
      </c>
      <c r="B38" s="85"/>
      <c r="C38" s="85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</row>
    <row r="39" spans="1:27" s="84" customFormat="1" x14ac:dyDescent="0.2">
      <c r="A39" s="85" t="str">
        <f>A$27</f>
        <v>Closing asset value</v>
      </c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</row>
    <row r="40" spans="1:27" s="84" customFormat="1" x14ac:dyDescent="0.2">
      <c r="A40" s="91"/>
      <c r="B40" s="91"/>
      <c r="C40" s="91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</row>
    <row r="41" spans="1:27" s="84" customFormat="1" x14ac:dyDescent="0.2">
      <c r="A41" s="455" t="str">
        <f>'Data 2009-15 (Real $2008)'!A$165</f>
        <v>Communications</v>
      </c>
      <c r="B41" s="455"/>
      <c r="C41" s="45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84" customFormat="1" x14ac:dyDescent="0.2">
      <c r="A42" s="85" t="str">
        <f>A$24</f>
        <v>Opening asset value</v>
      </c>
      <c r="B42" s="85"/>
      <c r="C42" s="85"/>
      <c r="D42" s="491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</row>
    <row r="43" spans="1:27" s="84" customFormat="1" x14ac:dyDescent="0.2">
      <c r="A43" s="85" t="str">
        <f>A$25</f>
        <v>Depreciation</v>
      </c>
      <c r="B43" s="85"/>
      <c r="C43" s="85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</row>
    <row r="44" spans="1:27" s="84" customFormat="1" x14ac:dyDescent="0.2">
      <c r="A44" s="85" t="str">
        <f>A$26</f>
        <v>Gross capex</v>
      </c>
      <c r="B44" s="85"/>
      <c r="C44" s="85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</row>
    <row r="45" spans="1:27" s="84" customFormat="1" x14ac:dyDescent="0.2">
      <c r="A45" s="85" t="str">
        <f>A$27</f>
        <v>Closing asset value</v>
      </c>
      <c r="B45" s="85"/>
      <c r="C45" s="85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</row>
    <row r="46" spans="1:27" s="84" customFormat="1" x14ac:dyDescent="0.2">
      <c r="A46" s="91"/>
      <c r="B46" s="91"/>
      <c r="C46" s="91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</row>
    <row r="47" spans="1:27" s="84" customFormat="1" x14ac:dyDescent="0.2">
      <c r="A47" s="455" t="str">
        <f>'Data 2009-15 (Real $2008)'!A$166</f>
        <v>Other</v>
      </c>
      <c r="B47" s="455"/>
      <c r="C47" s="45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1:27" s="84" customFormat="1" x14ac:dyDescent="0.2">
      <c r="A48" s="85" t="str">
        <f>A$24</f>
        <v>Opening asset value</v>
      </c>
      <c r="B48" s="85"/>
      <c r="C48" s="85"/>
      <c r="D48" s="49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</row>
    <row r="49" spans="1:27" s="84" customFormat="1" x14ac:dyDescent="0.2">
      <c r="A49" s="85" t="str">
        <f>A$25</f>
        <v>Depreciation</v>
      </c>
      <c r="B49" s="85"/>
      <c r="C49" s="85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</row>
    <row r="50" spans="1:27" s="84" customFormat="1" x14ac:dyDescent="0.2">
      <c r="A50" s="85" t="str">
        <f>A$26</f>
        <v>Gross capex</v>
      </c>
      <c r="B50" s="85"/>
      <c r="C50" s="85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</row>
    <row r="51" spans="1:27" s="84" customFormat="1" x14ac:dyDescent="0.2">
      <c r="A51" s="85" t="str">
        <f>A$27</f>
        <v>Closing asset value</v>
      </c>
      <c r="B51" s="85"/>
      <c r="C51" s="85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</row>
    <row r="52" spans="1:27" s="84" customFormat="1" x14ac:dyDescent="0.2">
      <c r="A52" s="85"/>
      <c r="B52" s="85"/>
      <c r="C52" s="85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</row>
    <row r="53" spans="1:27" s="84" customFormat="1" x14ac:dyDescent="0.2">
      <c r="A53" s="85"/>
      <c r="B53" s="85"/>
      <c r="C53" s="85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</row>
    <row r="54" spans="1:27" s="84" customFormat="1" x14ac:dyDescent="0.2">
      <c r="A54" s="455" t="s">
        <v>45</v>
      </c>
      <c r="B54" s="455"/>
      <c r="C54" s="455"/>
      <c r="D54" s="468"/>
      <c r="E54" s="468"/>
      <c r="F54" s="468"/>
      <c r="G54" s="468"/>
      <c r="H54" s="468"/>
      <c r="I54" s="468"/>
      <c r="J54" s="468"/>
      <c r="K54" s="468"/>
      <c r="L54" s="468"/>
      <c r="M54" s="468"/>
      <c r="N54" s="468"/>
      <c r="O54" s="468"/>
      <c r="P54" s="468"/>
      <c r="Q54" s="468"/>
      <c r="R54" s="468"/>
      <c r="S54" s="468"/>
      <c r="T54" s="468"/>
      <c r="U54" s="468"/>
      <c r="V54" s="468"/>
      <c r="W54" s="468"/>
      <c r="X54" s="468"/>
      <c r="Y54" s="468"/>
      <c r="Z54" s="468"/>
      <c r="AA54" s="468"/>
    </row>
    <row r="55" spans="1:27" s="84" customFormat="1" x14ac:dyDescent="0.2">
      <c r="A55" s="85" t="str">
        <f>A$24</f>
        <v>Opening asset value</v>
      </c>
      <c r="B55" s="85"/>
      <c r="C55" s="85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</row>
    <row r="56" spans="1:27" s="84" customFormat="1" x14ac:dyDescent="0.2">
      <c r="A56" s="85" t="str">
        <f>A$25</f>
        <v>Depreciation</v>
      </c>
      <c r="B56" s="85"/>
      <c r="C56" s="85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</row>
    <row r="57" spans="1:27" s="84" customFormat="1" x14ac:dyDescent="0.2">
      <c r="A57" s="85" t="str">
        <f>A$26</f>
        <v>Gross capex</v>
      </c>
      <c r="B57" s="85"/>
      <c r="C57" s="85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</row>
    <row r="58" spans="1:27" s="84" customFormat="1" x14ac:dyDescent="0.2">
      <c r="A58" s="85" t="str">
        <f>A$27</f>
        <v>Closing asset value</v>
      </c>
      <c r="B58" s="85"/>
      <c r="C58" s="85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</row>
    <row r="59" spans="1:27" s="84" customFormat="1" x14ac:dyDescent="0.2">
      <c r="A59" s="561" t="s">
        <v>0</v>
      </c>
      <c r="B59" s="557"/>
      <c r="C59" s="557">
        <f>SUM(D59:AA59)</f>
        <v>0</v>
      </c>
      <c r="D59" s="560"/>
      <c r="E59" s="560"/>
      <c r="F59" s="560"/>
      <c r="G59" s="560"/>
      <c r="H59" s="560"/>
      <c r="I59" s="560"/>
      <c r="J59" s="560"/>
      <c r="K59" s="560"/>
      <c r="L59" s="560"/>
      <c r="M59" s="560"/>
      <c r="N59" s="560"/>
      <c r="O59" s="560"/>
      <c r="P59" s="560"/>
      <c r="Q59" s="560"/>
      <c r="R59" s="560"/>
      <c r="S59" s="560"/>
      <c r="T59" s="560"/>
      <c r="U59" s="560"/>
      <c r="V59" s="560"/>
      <c r="W59" s="560"/>
      <c r="X59" s="560"/>
      <c r="Y59" s="560"/>
      <c r="Z59" s="560"/>
      <c r="AA59" s="560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2"/>
  <sheetViews>
    <sheetView zoomScale="85" workbookViewId="0">
      <pane ySplit="1" topLeftCell="A2" activePane="bottomLeft" state="frozen"/>
      <selection pane="bottomLeft"/>
    </sheetView>
  </sheetViews>
  <sheetFormatPr defaultRowHeight="12.75" outlineLevelRow="1" x14ac:dyDescent="0.2"/>
  <cols>
    <col min="1" max="1" width="44.7109375" style="84" customWidth="1"/>
    <col min="2" max="2" width="14.28515625" style="84" customWidth="1"/>
    <col min="3" max="3" width="12.140625" style="84" customWidth="1"/>
    <col min="4" max="16" width="9" style="84" customWidth="1"/>
    <col min="17" max="16384" width="9.140625" style="84"/>
  </cols>
  <sheetData>
    <row r="1" spans="1:27" x14ac:dyDescent="0.2">
      <c r="A1" s="555" t="str">
        <f>'Data 2006-08'!$A$1</f>
        <v>SP AusNet</v>
      </c>
      <c r="B1" s="495"/>
      <c r="C1" s="496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</row>
    <row r="2" spans="1:27" x14ac:dyDescent="0.2">
      <c r="C2" s="792"/>
    </row>
    <row r="3" spans="1:27" s="461" customFormat="1" x14ac:dyDescent="0.2">
      <c r="A3" s="460" t="s">
        <v>314</v>
      </c>
      <c r="B3" s="460"/>
      <c r="C3" s="460"/>
      <c r="D3" s="84"/>
      <c r="E3" s="84"/>
      <c r="F3" s="84"/>
      <c r="G3" s="84"/>
    </row>
    <row r="4" spans="1:27" s="461" customFormat="1" x14ac:dyDescent="0.2">
      <c r="A4" s="409" t="s">
        <v>289</v>
      </c>
      <c r="B4" s="409"/>
      <c r="C4" s="409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</row>
    <row r="5" spans="1:27" s="461" customFormat="1" x14ac:dyDescent="0.2">
      <c r="A5" s="73" t="s">
        <v>315</v>
      </c>
      <c r="B5" s="73"/>
      <c r="C5" s="73"/>
      <c r="D5" s="82"/>
      <c r="E5" s="82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</row>
    <row r="6" spans="1:27" s="461" customFormat="1" x14ac:dyDescent="0.2">
      <c r="A6" s="73" t="s">
        <v>316</v>
      </c>
      <c r="B6" s="73"/>
      <c r="C6" s="73"/>
      <c r="D6" s="82"/>
      <c r="E6" s="82"/>
      <c r="F6" s="82"/>
      <c r="G6" s="83"/>
      <c r="H6" s="82"/>
      <c r="I6" s="82"/>
      <c r="J6" s="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</row>
    <row r="7" spans="1:27" s="461" customFormat="1" x14ac:dyDescent="0.2">
      <c r="A7" s="73" t="s">
        <v>4</v>
      </c>
      <c r="B7" s="73"/>
      <c r="C7" s="73"/>
      <c r="D7" s="82"/>
      <c r="E7" s="82"/>
      <c r="F7" s="82"/>
      <c r="G7" s="82"/>
      <c r="H7" s="82"/>
      <c r="I7" s="82"/>
      <c r="J7" s="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</row>
    <row r="8" spans="1:27" s="461" customFormat="1" x14ac:dyDescent="0.2">
      <c r="A8" s="84" t="s">
        <v>5</v>
      </c>
      <c r="B8" s="84"/>
      <c r="C8" s="84"/>
      <c r="D8" s="82"/>
      <c r="E8" s="82"/>
      <c r="F8" s="82"/>
      <c r="G8" s="82"/>
      <c r="H8" s="82"/>
      <c r="I8" s="82"/>
      <c r="J8" s="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</row>
    <row r="9" spans="1:27" s="461" customFormat="1" x14ac:dyDescent="0.2">
      <c r="A9" s="73" t="s">
        <v>137</v>
      </c>
      <c r="B9" s="73"/>
      <c r="C9" s="73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1:27" s="461" customFormat="1" x14ac:dyDescent="0.2">
      <c r="A10" s="73" t="s">
        <v>317</v>
      </c>
      <c r="B10" s="73"/>
      <c r="C10" s="73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</row>
    <row r="11" spans="1:27" s="461" customFormat="1" x14ac:dyDescent="0.2">
      <c r="A11" s="73"/>
      <c r="B11" s="73"/>
      <c r="C11" s="73"/>
      <c r="D11" s="82"/>
      <c r="E11" s="82"/>
      <c r="F11" s="901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</row>
    <row r="12" spans="1:27" s="461" customFormat="1" x14ac:dyDescent="0.2">
      <c r="A12" s="73" t="s">
        <v>318</v>
      </c>
      <c r="B12" s="73"/>
      <c r="C12" s="73"/>
      <c r="D12" s="82"/>
      <c r="E12" s="82"/>
      <c r="F12" s="82"/>
      <c r="G12" s="82"/>
      <c r="H12" s="82"/>
      <c r="I12" s="83"/>
      <c r="J12" s="83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</row>
    <row r="13" spans="1:27" s="461" customFormat="1" outlineLevel="1" x14ac:dyDescent="0.2">
      <c r="A13" s="462"/>
      <c r="B13" s="462"/>
      <c r="C13" s="462"/>
      <c r="D13" s="463"/>
      <c r="E13" s="463"/>
      <c r="F13" s="463"/>
    </row>
    <row r="14" spans="1:27" s="101" customFormat="1" outlineLevel="1" x14ac:dyDescent="0.2">
      <c r="A14" s="556" t="s">
        <v>0</v>
      </c>
      <c r="B14" s="559"/>
      <c r="C14" s="557"/>
      <c r="D14" s="560"/>
      <c r="E14" s="560"/>
      <c r="F14" s="560"/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</row>
    <row r="15" spans="1:27" s="85" customFormat="1" outlineLevel="1" x14ac:dyDescent="0.2">
      <c r="A15" s="492"/>
      <c r="C15" s="493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</row>
    <row r="16" spans="1:27" s="85" customFormat="1" outlineLevel="1" x14ac:dyDescent="0.2">
      <c r="A16" s="492"/>
      <c r="C16" s="493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</row>
    <row r="17" spans="1:27" s="85" customFormat="1" outlineLevel="1" x14ac:dyDescent="0.2">
      <c r="A17" s="492"/>
      <c r="C17" s="493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</row>
    <row r="18" spans="1:27" s="461" customFormat="1" outlineLevel="1" x14ac:dyDescent="0.2">
      <c r="A18" s="346" t="s">
        <v>261</v>
      </c>
      <c r="B18" s="460"/>
      <c r="C18" s="460"/>
      <c r="D18" s="84"/>
      <c r="E18" s="84"/>
      <c r="F18" s="84"/>
      <c r="G18" s="84"/>
    </row>
    <row r="19" spans="1:27" s="461" customFormat="1" outlineLevel="1" x14ac:dyDescent="0.2">
      <c r="A19" s="346" t="str">
        <f>$A$4</f>
        <v>($000 Real 2008)</v>
      </c>
      <c r="B19" s="409"/>
      <c r="C19" s="409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8"/>
      <c r="Z19" s="468"/>
      <c r="AA19" s="468"/>
    </row>
    <row r="20" spans="1:27" s="461" customFormat="1" outlineLevel="1" x14ac:dyDescent="0.2">
      <c r="A20" s="73" t="s">
        <v>315</v>
      </c>
      <c r="B20" s="73"/>
      <c r="C20" s="73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</row>
    <row r="21" spans="1:27" s="461" customFormat="1" outlineLevel="1" x14ac:dyDescent="0.2">
      <c r="A21" s="73" t="s">
        <v>316</v>
      </c>
      <c r="B21" s="73"/>
      <c r="C21" s="73"/>
      <c r="D21" s="82"/>
      <c r="E21" s="82"/>
      <c r="F21" s="82"/>
      <c r="G21" s="82"/>
      <c r="H21" s="82"/>
      <c r="I21" s="82"/>
      <c r="J21" s="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  <c r="AA21" s="482"/>
    </row>
    <row r="22" spans="1:27" s="461" customFormat="1" outlineLevel="1" x14ac:dyDescent="0.2">
      <c r="A22" s="73" t="s">
        <v>4</v>
      </c>
      <c r="B22" s="73"/>
      <c r="C22" s="73"/>
      <c r="D22" s="82"/>
      <c r="E22" s="82"/>
      <c r="F22" s="82"/>
      <c r="G22" s="82"/>
      <c r="H22" s="82"/>
      <c r="I22" s="82"/>
      <c r="J22" s="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</row>
    <row r="23" spans="1:27" s="461" customFormat="1" outlineLevel="1" x14ac:dyDescent="0.2">
      <c r="A23" s="84" t="s">
        <v>5</v>
      </c>
      <c r="B23" s="84"/>
      <c r="C23" s="84"/>
      <c r="D23" s="82"/>
      <c r="E23" s="82"/>
      <c r="F23" s="82"/>
      <c r="G23" s="82"/>
      <c r="H23" s="82"/>
      <c r="I23" s="82"/>
      <c r="J23" s="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</row>
    <row r="24" spans="1:27" s="461" customFormat="1" outlineLevel="1" x14ac:dyDescent="0.2">
      <c r="A24" s="73" t="s">
        <v>137</v>
      </c>
      <c r="B24" s="73"/>
      <c r="C24" s="73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</row>
    <row r="25" spans="1:27" s="461" customFormat="1" outlineLevel="1" x14ac:dyDescent="0.2">
      <c r="A25" s="73" t="s">
        <v>317</v>
      </c>
      <c r="B25" s="73"/>
      <c r="C25" s="73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</row>
    <row r="26" spans="1:27" s="85" customFormat="1" outlineLevel="1" x14ac:dyDescent="0.2">
      <c r="A26" s="492"/>
      <c r="C26" s="493"/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</row>
    <row r="27" spans="1:27" s="85" customFormat="1" outlineLevel="1" x14ac:dyDescent="0.2">
      <c r="A27" s="492"/>
      <c r="C27" s="493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</row>
    <row r="28" spans="1:27" s="461" customFormat="1" outlineLevel="1" x14ac:dyDescent="0.2">
      <c r="A28" s="346" t="s">
        <v>260</v>
      </c>
      <c r="B28" s="460"/>
      <c r="C28" s="460"/>
      <c r="D28" s="84"/>
      <c r="E28" s="84"/>
      <c r="F28" s="84"/>
      <c r="G28" s="84"/>
    </row>
    <row r="29" spans="1:27" s="461" customFormat="1" outlineLevel="1" x14ac:dyDescent="0.2">
      <c r="A29" s="346" t="str">
        <f>$A$4</f>
        <v>($000 Real 2008)</v>
      </c>
      <c r="B29" s="409"/>
      <c r="C29" s="409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8"/>
      <c r="O29" s="468"/>
      <c r="P29" s="468"/>
      <c r="Q29" s="468"/>
      <c r="R29" s="468"/>
      <c r="S29" s="468"/>
      <c r="T29" s="468"/>
      <c r="U29" s="468"/>
      <c r="V29" s="468"/>
      <c r="W29" s="468"/>
      <c r="X29" s="468"/>
      <c r="Y29" s="468"/>
      <c r="Z29" s="468"/>
      <c r="AA29" s="468"/>
    </row>
    <row r="30" spans="1:27" s="461" customFormat="1" outlineLevel="1" x14ac:dyDescent="0.2">
      <c r="A30" s="73" t="s">
        <v>315</v>
      </c>
      <c r="B30" s="73"/>
      <c r="C30" s="73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</row>
    <row r="31" spans="1:27" s="461" customFormat="1" outlineLevel="1" x14ac:dyDescent="0.2">
      <c r="A31" s="73" t="s">
        <v>316</v>
      </c>
      <c r="B31" s="73"/>
      <c r="C31" s="73"/>
      <c r="D31" s="82"/>
      <c r="E31" s="82"/>
      <c r="F31" s="82"/>
      <c r="G31" s="82"/>
      <c r="H31" s="82"/>
      <c r="I31" s="82"/>
      <c r="J31" s="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</row>
    <row r="32" spans="1:27" s="461" customFormat="1" outlineLevel="1" x14ac:dyDescent="0.2">
      <c r="A32" s="73" t="s">
        <v>4</v>
      </c>
      <c r="B32" s="73"/>
      <c r="C32" s="73"/>
      <c r="D32" s="82"/>
      <c r="E32" s="82"/>
      <c r="F32" s="82"/>
      <c r="G32" s="82"/>
      <c r="H32" s="82"/>
      <c r="I32" s="82"/>
      <c r="J32" s="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</row>
    <row r="33" spans="1:27" s="461" customFormat="1" outlineLevel="1" x14ac:dyDescent="0.2">
      <c r="A33" s="84" t="s">
        <v>5</v>
      </c>
      <c r="B33" s="84"/>
      <c r="C33" s="84"/>
      <c r="D33" s="82"/>
      <c r="E33" s="82"/>
      <c r="F33" s="82"/>
      <c r="G33" s="82"/>
      <c r="H33" s="82"/>
      <c r="I33" s="82"/>
      <c r="J33" s="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</row>
    <row r="34" spans="1:27" s="461" customFormat="1" outlineLevel="1" x14ac:dyDescent="0.2">
      <c r="A34" s="73" t="s">
        <v>137</v>
      </c>
      <c r="B34" s="73"/>
      <c r="C34" s="73"/>
      <c r="D34" s="82"/>
      <c r="E34" s="82"/>
      <c r="F34" s="82"/>
      <c r="G34" s="82"/>
      <c r="H34" s="83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</row>
    <row r="35" spans="1:27" s="461" customFormat="1" outlineLevel="1" x14ac:dyDescent="0.2">
      <c r="A35" s="73" t="s">
        <v>317</v>
      </c>
      <c r="B35" s="73"/>
      <c r="C35" s="73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</row>
    <row r="36" spans="1:27" s="85" customFormat="1" outlineLevel="1" x14ac:dyDescent="0.2">
      <c r="A36" s="492"/>
      <c r="C36" s="493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</row>
    <row r="37" spans="1:27" s="85" customFormat="1" outlineLevel="1" x14ac:dyDescent="0.2">
      <c r="A37" s="492"/>
      <c r="C37" s="493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</row>
    <row r="38" spans="1:27" s="461" customFormat="1" outlineLevel="1" x14ac:dyDescent="0.2">
      <c r="A38" s="346" t="str">
        <f>'Data 2009-15 (Real $2008)'!A$154</f>
        <v>Remotely read interval meters &amp; transformers</v>
      </c>
      <c r="B38" s="460"/>
      <c r="C38" s="460"/>
      <c r="D38" s="84"/>
      <c r="E38" s="84"/>
      <c r="F38" s="84"/>
      <c r="G38" s="84"/>
    </row>
    <row r="39" spans="1:27" s="461" customFormat="1" outlineLevel="1" x14ac:dyDescent="0.2">
      <c r="A39" s="346" t="str">
        <f>$A$4</f>
        <v>($000 Real 2008)</v>
      </c>
      <c r="B39" s="409"/>
      <c r="C39" s="409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468"/>
      <c r="AA39" s="468"/>
    </row>
    <row r="40" spans="1:27" s="461" customFormat="1" outlineLevel="1" x14ac:dyDescent="0.2">
      <c r="A40" s="73" t="s">
        <v>315</v>
      </c>
      <c r="B40" s="73"/>
      <c r="C40" s="73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  <row r="41" spans="1:27" s="461" customFormat="1" outlineLevel="1" x14ac:dyDescent="0.2">
      <c r="A41" s="73" t="s">
        <v>316</v>
      </c>
      <c r="B41" s="73"/>
      <c r="C41" s="73"/>
      <c r="D41" s="82"/>
      <c r="E41" s="82"/>
      <c r="F41" s="82"/>
      <c r="G41" s="82"/>
      <c r="H41" s="82"/>
      <c r="I41" s="82"/>
      <c r="J41" s="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</row>
    <row r="42" spans="1:27" s="461" customFormat="1" outlineLevel="1" x14ac:dyDescent="0.2">
      <c r="A42" s="73" t="s">
        <v>4</v>
      </c>
      <c r="B42" s="73"/>
      <c r="C42" s="73"/>
      <c r="D42" s="82"/>
      <c r="E42" s="82"/>
      <c r="F42" s="82"/>
      <c r="G42" s="82"/>
      <c r="H42" s="82"/>
      <c r="I42" s="82"/>
      <c r="J42" s="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</row>
    <row r="43" spans="1:27" s="461" customFormat="1" outlineLevel="1" x14ac:dyDescent="0.2">
      <c r="A43" s="84" t="s">
        <v>5</v>
      </c>
      <c r="B43" s="84"/>
      <c r="C43" s="84"/>
      <c r="D43" s="82"/>
      <c r="E43" s="82"/>
      <c r="F43" s="82"/>
      <c r="G43" s="82"/>
      <c r="H43" s="82"/>
      <c r="I43" s="82"/>
      <c r="J43" s="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  <c r="AA43" s="482"/>
    </row>
    <row r="44" spans="1:27" s="461" customFormat="1" outlineLevel="1" x14ac:dyDescent="0.2">
      <c r="A44" s="73" t="s">
        <v>137</v>
      </c>
      <c r="B44" s="73"/>
      <c r="C44" s="73"/>
      <c r="D44" s="82"/>
      <c r="E44" s="82"/>
      <c r="F44" s="82"/>
      <c r="G44" s="82"/>
      <c r="H44" s="83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</row>
    <row r="45" spans="1:27" s="461" customFormat="1" outlineLevel="1" x14ac:dyDescent="0.2">
      <c r="A45" s="73" t="s">
        <v>317</v>
      </c>
      <c r="B45" s="73"/>
      <c r="C45" s="73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</row>
    <row r="46" spans="1:27" s="85" customFormat="1" outlineLevel="1" x14ac:dyDescent="0.2">
      <c r="A46" s="492"/>
      <c r="C46" s="493"/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</row>
    <row r="47" spans="1:27" s="85" customFormat="1" outlineLevel="1" x14ac:dyDescent="0.2">
      <c r="A47" s="492"/>
      <c r="C47" s="493"/>
      <c r="D47" s="494"/>
      <c r="E47" s="494"/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</row>
    <row r="48" spans="1:27" s="461" customFormat="1" outlineLevel="1" x14ac:dyDescent="0.2">
      <c r="A48" s="346" t="s">
        <v>277</v>
      </c>
      <c r="B48" s="460"/>
      <c r="C48" s="460"/>
      <c r="D48" s="84"/>
      <c r="E48" s="84"/>
      <c r="F48" s="84"/>
      <c r="G48" s="84"/>
    </row>
    <row r="49" spans="1:27" s="461" customFormat="1" outlineLevel="1" x14ac:dyDescent="0.2">
      <c r="A49" s="346" t="str">
        <f>$A$4</f>
        <v>($000 Real 2008)</v>
      </c>
      <c r="B49" s="409"/>
      <c r="C49" s="409"/>
      <c r="D49" s="468"/>
      <c r="E49" s="468"/>
      <c r="F49" s="468"/>
      <c r="G49" s="468"/>
      <c r="H49" s="468"/>
      <c r="I49" s="468"/>
      <c r="J49" s="468"/>
      <c r="K49" s="468"/>
      <c r="L49" s="468"/>
      <c r="M49" s="468"/>
      <c r="N49" s="468"/>
      <c r="O49" s="468"/>
      <c r="P49" s="468"/>
      <c r="Q49" s="468"/>
      <c r="R49" s="468"/>
      <c r="S49" s="468"/>
      <c r="T49" s="468"/>
      <c r="U49" s="468"/>
      <c r="V49" s="468"/>
      <c r="W49" s="468"/>
      <c r="X49" s="468"/>
      <c r="Y49" s="468"/>
      <c r="Z49" s="468"/>
      <c r="AA49" s="468"/>
    </row>
    <row r="50" spans="1:27" s="461" customFormat="1" outlineLevel="1" x14ac:dyDescent="0.2">
      <c r="A50" s="73" t="s">
        <v>315</v>
      </c>
      <c r="B50" s="73"/>
      <c r="C50" s="73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</row>
    <row r="51" spans="1:27" s="461" customFormat="1" outlineLevel="1" x14ac:dyDescent="0.2">
      <c r="A51" s="73" t="s">
        <v>316</v>
      </c>
      <c r="B51" s="73"/>
      <c r="C51" s="73"/>
      <c r="D51" s="82"/>
      <c r="E51" s="82"/>
      <c r="F51" s="82"/>
      <c r="G51" s="82"/>
      <c r="H51" s="82"/>
      <c r="I51" s="82"/>
      <c r="J51" s="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  <c r="AA51" s="482"/>
    </row>
    <row r="52" spans="1:27" s="461" customFormat="1" outlineLevel="1" x14ac:dyDescent="0.2">
      <c r="A52" s="73" t="s">
        <v>4</v>
      </c>
      <c r="B52" s="73"/>
      <c r="C52" s="73"/>
      <c r="D52" s="82"/>
      <c r="E52" s="82"/>
      <c r="F52" s="82"/>
      <c r="G52" s="82"/>
      <c r="H52" s="82"/>
      <c r="I52" s="82"/>
      <c r="J52" s="82"/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  <c r="AA52" s="482"/>
    </row>
    <row r="53" spans="1:27" s="461" customFormat="1" outlineLevel="1" x14ac:dyDescent="0.2">
      <c r="A53" s="84" t="s">
        <v>5</v>
      </c>
      <c r="B53" s="84"/>
      <c r="C53" s="84"/>
      <c r="D53" s="82"/>
      <c r="E53" s="82"/>
      <c r="F53" s="82"/>
      <c r="G53" s="82"/>
      <c r="H53" s="82"/>
      <c r="I53" s="82"/>
      <c r="J53" s="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</row>
    <row r="54" spans="1:27" s="461" customFormat="1" outlineLevel="1" x14ac:dyDescent="0.2">
      <c r="A54" s="73" t="s">
        <v>137</v>
      </c>
      <c r="B54" s="73"/>
      <c r="C54" s="73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</row>
    <row r="55" spans="1:27" s="461" customFormat="1" outlineLevel="1" x14ac:dyDescent="0.2">
      <c r="A55" s="73" t="s">
        <v>317</v>
      </c>
      <c r="B55" s="73"/>
      <c r="C55" s="73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</row>
    <row r="56" spans="1:27" s="85" customFormat="1" outlineLevel="1" x14ac:dyDescent="0.2">
      <c r="A56" s="492"/>
      <c r="C56" s="493"/>
      <c r="D56" s="494"/>
      <c r="E56" s="494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  <c r="AA56" s="494"/>
    </row>
    <row r="57" spans="1:27" s="85" customFormat="1" outlineLevel="1" x14ac:dyDescent="0.2">
      <c r="A57" s="492"/>
      <c r="C57" s="493"/>
      <c r="D57" s="494"/>
      <c r="E57" s="494"/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  <c r="AA57" s="494"/>
    </row>
    <row r="58" spans="1:27" s="461" customFormat="1" outlineLevel="1" x14ac:dyDescent="0.2">
      <c r="A58" s="346" t="s">
        <v>279</v>
      </c>
      <c r="B58" s="460"/>
      <c r="C58" s="460"/>
      <c r="D58" s="84"/>
      <c r="E58" s="84"/>
      <c r="F58" s="84"/>
      <c r="G58" s="84"/>
    </row>
    <row r="59" spans="1:27" s="461" customFormat="1" outlineLevel="1" x14ac:dyDescent="0.2">
      <c r="A59" s="346" t="str">
        <f>$A$4</f>
        <v>($000 Real 2008)</v>
      </c>
      <c r="B59" s="409"/>
      <c r="C59" s="409"/>
      <c r="D59" s="468"/>
      <c r="E59" s="468"/>
      <c r="F59" s="468"/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  <c r="T59" s="468"/>
      <c r="U59" s="468"/>
      <c r="V59" s="468"/>
      <c r="W59" s="468"/>
      <c r="X59" s="468"/>
      <c r="Y59" s="468"/>
      <c r="Z59" s="468"/>
      <c r="AA59" s="468"/>
    </row>
    <row r="60" spans="1:27" s="461" customFormat="1" outlineLevel="1" x14ac:dyDescent="0.2">
      <c r="A60" s="73" t="s">
        <v>315</v>
      </c>
      <c r="B60" s="73"/>
      <c r="C60" s="73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</row>
    <row r="61" spans="1:27" s="461" customFormat="1" outlineLevel="1" x14ac:dyDescent="0.2">
      <c r="A61" s="73" t="s">
        <v>316</v>
      </c>
      <c r="B61" s="73"/>
      <c r="C61" s="73"/>
      <c r="D61" s="82"/>
      <c r="E61" s="82"/>
      <c r="F61" s="82"/>
      <c r="G61" s="83"/>
      <c r="H61" s="82"/>
      <c r="I61" s="82"/>
      <c r="J61" s="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  <c r="AA61" s="482"/>
    </row>
    <row r="62" spans="1:27" s="461" customFormat="1" outlineLevel="1" x14ac:dyDescent="0.2">
      <c r="A62" s="73" t="s">
        <v>4</v>
      </c>
      <c r="B62" s="73"/>
      <c r="C62" s="73"/>
      <c r="D62" s="82"/>
      <c r="E62" s="82"/>
      <c r="F62" s="82"/>
      <c r="G62" s="82"/>
      <c r="H62" s="82"/>
      <c r="I62" s="82"/>
      <c r="J62" s="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  <c r="AA62" s="482"/>
    </row>
    <row r="63" spans="1:27" s="461" customFormat="1" outlineLevel="1" x14ac:dyDescent="0.2">
      <c r="A63" s="84" t="s">
        <v>5</v>
      </c>
      <c r="B63" s="84"/>
      <c r="C63" s="84"/>
      <c r="D63" s="82"/>
      <c r="E63" s="82"/>
      <c r="F63" s="82"/>
      <c r="G63" s="82"/>
      <c r="H63" s="82"/>
      <c r="I63" s="82"/>
      <c r="J63" s="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  <c r="AA63" s="482"/>
    </row>
    <row r="64" spans="1:27" s="461" customFormat="1" outlineLevel="1" x14ac:dyDescent="0.2">
      <c r="A64" s="73" t="s">
        <v>137</v>
      </c>
      <c r="B64" s="73"/>
      <c r="C64" s="73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</row>
    <row r="65" spans="1:27" s="461" customFormat="1" outlineLevel="1" x14ac:dyDescent="0.2">
      <c r="A65" s="73" t="s">
        <v>317</v>
      </c>
      <c r="B65" s="73"/>
      <c r="C65" s="73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</row>
    <row r="66" spans="1:27" s="85" customFormat="1" outlineLevel="1" x14ac:dyDescent="0.2">
      <c r="A66" s="492"/>
      <c r="C66" s="493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494"/>
    </row>
    <row r="67" spans="1:27" s="85" customFormat="1" outlineLevel="1" x14ac:dyDescent="0.2">
      <c r="A67" s="492"/>
      <c r="C67" s="493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</row>
    <row r="68" spans="1:27" s="461" customFormat="1" outlineLevel="1" x14ac:dyDescent="0.2">
      <c r="A68" s="346" t="s">
        <v>278</v>
      </c>
      <c r="B68" s="460"/>
      <c r="C68" s="460"/>
      <c r="D68" s="84"/>
      <c r="E68" s="84"/>
      <c r="F68" s="84"/>
      <c r="G68" s="84"/>
    </row>
    <row r="69" spans="1:27" s="461" customFormat="1" outlineLevel="1" x14ac:dyDescent="0.2">
      <c r="A69" s="346" t="str">
        <f>$A$4</f>
        <v>($000 Real 2008)</v>
      </c>
      <c r="B69" s="409"/>
      <c r="C69" s="409"/>
      <c r="D69" s="468"/>
      <c r="E69" s="468"/>
      <c r="F69" s="468"/>
      <c r="G69" s="468"/>
      <c r="H69" s="468"/>
      <c r="I69" s="468"/>
      <c r="J69" s="468"/>
      <c r="K69" s="468"/>
      <c r="L69" s="468"/>
      <c r="M69" s="468"/>
      <c r="N69" s="468"/>
      <c r="O69" s="468"/>
      <c r="P69" s="468"/>
      <c r="Q69" s="468"/>
      <c r="R69" s="468"/>
      <c r="S69" s="468"/>
      <c r="T69" s="468"/>
      <c r="U69" s="468"/>
      <c r="V69" s="468"/>
      <c r="W69" s="468"/>
      <c r="X69" s="468"/>
      <c r="Y69" s="468"/>
      <c r="Z69" s="468"/>
      <c r="AA69" s="468"/>
    </row>
    <row r="70" spans="1:27" s="461" customFormat="1" outlineLevel="1" x14ac:dyDescent="0.2">
      <c r="A70" s="73" t="s">
        <v>315</v>
      </c>
      <c r="B70" s="73"/>
      <c r="C70" s="73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</row>
    <row r="71" spans="1:27" s="461" customFormat="1" outlineLevel="1" x14ac:dyDescent="0.2">
      <c r="A71" s="73" t="s">
        <v>316</v>
      </c>
      <c r="B71" s="73"/>
      <c r="C71" s="73"/>
      <c r="D71" s="82"/>
      <c r="E71" s="82"/>
      <c r="F71" s="82"/>
      <c r="G71" s="82"/>
      <c r="H71" s="82"/>
      <c r="I71" s="82"/>
      <c r="J71" s="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</row>
    <row r="72" spans="1:27" s="461" customFormat="1" outlineLevel="1" x14ac:dyDescent="0.2">
      <c r="A72" s="73" t="s">
        <v>4</v>
      </c>
      <c r="B72" s="73"/>
      <c r="C72" s="73"/>
      <c r="D72" s="82"/>
      <c r="E72" s="82"/>
      <c r="F72" s="82"/>
      <c r="G72" s="82"/>
      <c r="H72" s="82"/>
      <c r="I72" s="82"/>
      <c r="J72" s="82"/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  <c r="AA72" s="482"/>
    </row>
    <row r="73" spans="1:27" s="461" customFormat="1" outlineLevel="1" x14ac:dyDescent="0.2">
      <c r="A73" s="84" t="s">
        <v>5</v>
      </c>
      <c r="B73" s="84"/>
      <c r="C73" s="84"/>
      <c r="D73" s="82"/>
      <c r="E73" s="82"/>
      <c r="F73" s="82"/>
      <c r="G73" s="82"/>
      <c r="H73" s="82"/>
      <c r="I73" s="82"/>
      <c r="J73" s="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</row>
    <row r="74" spans="1:27" s="461" customFormat="1" outlineLevel="1" x14ac:dyDescent="0.2">
      <c r="A74" s="73" t="s">
        <v>137</v>
      </c>
      <c r="B74" s="73"/>
      <c r="C74" s="73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</row>
    <row r="75" spans="1:27" s="461" customFormat="1" outlineLevel="1" x14ac:dyDescent="0.2">
      <c r="A75" s="73" t="s">
        <v>317</v>
      </c>
      <c r="B75" s="73"/>
      <c r="C75" s="73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</row>
    <row r="76" spans="1:27" s="85" customFormat="1" outlineLevel="1" x14ac:dyDescent="0.2">
      <c r="A76" s="492"/>
      <c r="C76" s="493"/>
      <c r="D76" s="494"/>
      <c r="E76" s="494"/>
      <c r="F76" s="494"/>
      <c r="G76" s="494"/>
      <c r="H76" s="494"/>
      <c r="I76" s="494"/>
      <c r="J76" s="494"/>
      <c r="K76" s="494"/>
      <c r="L76" s="494"/>
      <c r="M76" s="494"/>
      <c r="N76" s="494"/>
      <c r="O76" s="494"/>
      <c r="P76" s="494"/>
      <c r="Q76" s="494"/>
      <c r="R76" s="494"/>
      <c r="S76" s="494"/>
      <c r="T76" s="494"/>
      <c r="U76" s="494"/>
      <c r="V76" s="494"/>
      <c r="W76" s="494"/>
      <c r="X76" s="494"/>
      <c r="Y76" s="494"/>
      <c r="Z76" s="494"/>
      <c r="AA76" s="494"/>
    </row>
    <row r="77" spans="1:27" s="101" customFormat="1" outlineLevel="1" x14ac:dyDescent="0.2">
      <c r="A77" s="556" t="s">
        <v>0</v>
      </c>
      <c r="B77" s="559"/>
      <c r="C77" s="557"/>
      <c r="D77" s="560"/>
      <c r="E77" s="560"/>
      <c r="F77" s="560"/>
      <c r="G77" s="560"/>
      <c r="H77" s="560"/>
      <c r="I77" s="560"/>
      <c r="J77" s="560"/>
      <c r="K77" s="560"/>
      <c r="L77" s="560"/>
      <c r="M77" s="560"/>
      <c r="N77" s="560"/>
      <c r="O77" s="560"/>
      <c r="P77" s="560"/>
      <c r="Q77" s="560"/>
      <c r="R77" s="560"/>
      <c r="S77" s="560"/>
      <c r="T77" s="560"/>
      <c r="U77" s="560"/>
      <c r="V77" s="560"/>
      <c r="W77" s="560"/>
      <c r="X77" s="560"/>
      <c r="Y77" s="560"/>
      <c r="Z77" s="560"/>
      <c r="AA77" s="560"/>
    </row>
    <row r="78" spans="1:27" s="85" customFormat="1" x14ac:dyDescent="0.2">
      <c r="A78" s="492"/>
      <c r="C78" s="493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</row>
    <row r="79" spans="1:27" x14ac:dyDescent="0.2">
      <c r="A79" s="464" t="s">
        <v>323</v>
      </c>
      <c r="B79" s="464"/>
      <c r="C79" s="464"/>
      <c r="G79" s="60"/>
    </row>
    <row r="80" spans="1:27" x14ac:dyDescent="0.2">
      <c r="A80" s="346" t="str">
        <f>$A$4</f>
        <v>($000 Real 2008)</v>
      </c>
      <c r="B80" s="464"/>
      <c r="C80" s="464"/>
      <c r="G80" s="60"/>
    </row>
    <row r="81" spans="1:27" x14ac:dyDescent="0.2">
      <c r="A81" s="101" t="s">
        <v>320</v>
      </c>
      <c r="D81" s="468"/>
      <c r="E81" s="468"/>
      <c r="F81" s="468"/>
      <c r="G81" s="468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8"/>
      <c r="S81" s="468"/>
      <c r="T81" s="468"/>
      <c r="U81" s="468"/>
      <c r="V81" s="468"/>
      <c r="W81" s="468"/>
      <c r="X81" s="468"/>
      <c r="Y81" s="468"/>
      <c r="Z81" s="468"/>
      <c r="AA81" s="468"/>
    </row>
    <row r="82" spans="1:27" x14ac:dyDescent="0.2">
      <c r="A82" s="73" t="s">
        <v>171</v>
      </c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</row>
    <row r="83" spans="1:27" x14ac:dyDescent="0.2">
      <c r="A83" s="84" t="s">
        <v>137</v>
      </c>
      <c r="D83" s="87"/>
      <c r="E83" s="87"/>
      <c r="F83" s="87"/>
      <c r="G83" s="108"/>
      <c r="H83" s="108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</row>
    <row r="84" spans="1:27" ht="13.5" thickBot="1" x14ac:dyDescent="0.25">
      <c r="A84" s="73" t="s">
        <v>173</v>
      </c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</row>
    <row r="85" spans="1:27" s="101" customFormat="1" ht="13.5" outlineLevel="1" thickTop="1" x14ac:dyDescent="0.2">
      <c r="A85" s="556" t="s">
        <v>0</v>
      </c>
      <c r="B85" s="484"/>
      <c r="C85" s="557"/>
      <c r="D85" s="558"/>
      <c r="E85" s="558"/>
      <c r="G85" s="60"/>
    </row>
    <row r="86" spans="1:27" outlineLevel="1" x14ac:dyDescent="0.2"/>
    <row r="87" spans="1:27" outlineLevel="1" x14ac:dyDescent="0.2">
      <c r="A87" s="346" t="s">
        <v>261</v>
      </c>
      <c r="B87" s="473"/>
      <c r="C87" s="308"/>
      <c r="D87" s="468"/>
      <c r="E87" s="468"/>
      <c r="F87" s="468"/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8"/>
      <c r="S87" s="468"/>
      <c r="T87" s="468"/>
      <c r="U87" s="468"/>
      <c r="V87" s="468"/>
      <c r="W87" s="468"/>
      <c r="X87" s="468"/>
      <c r="Y87" s="468"/>
      <c r="Z87" s="468"/>
      <c r="AA87" s="468"/>
    </row>
    <row r="88" spans="1:27" outlineLevel="1" x14ac:dyDescent="0.2">
      <c r="A88" s="346" t="str">
        <f>$A$4</f>
        <v>($000 Real 2008)</v>
      </c>
      <c r="B88" s="474"/>
      <c r="C88" s="475"/>
      <c r="D88" s="460"/>
      <c r="E88" s="460"/>
      <c r="F88" s="460"/>
      <c r="G88" s="460"/>
      <c r="H88" s="460"/>
      <c r="I88" s="460"/>
      <c r="J88" s="460"/>
      <c r="K88" s="460"/>
      <c r="L88" s="460"/>
      <c r="M88" s="460"/>
      <c r="N88" s="460"/>
      <c r="O88" s="460"/>
      <c r="P88" s="460"/>
      <c r="Q88" s="460"/>
      <c r="R88" s="460"/>
      <c r="S88" s="460"/>
      <c r="T88" s="460"/>
      <c r="U88" s="460"/>
      <c r="V88" s="460"/>
      <c r="W88" s="460"/>
      <c r="X88" s="460"/>
      <c r="Y88" s="460"/>
      <c r="Z88" s="460"/>
      <c r="AA88" s="460"/>
    </row>
    <row r="89" spans="1:27" outlineLevel="1" x14ac:dyDescent="0.2">
      <c r="A89" s="469">
        <v>2006</v>
      </c>
      <c r="B89" s="471"/>
      <c r="C89" s="46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</row>
    <row r="90" spans="1:27" outlineLevel="1" x14ac:dyDescent="0.2">
      <c r="A90" s="469">
        <v>2007</v>
      </c>
      <c r="B90" s="471"/>
      <c r="C90" s="46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</row>
    <row r="91" spans="1:27" outlineLevel="1" x14ac:dyDescent="0.2">
      <c r="A91" s="469">
        <v>2008</v>
      </c>
      <c r="B91" s="471"/>
      <c r="C91" s="46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</row>
    <row r="92" spans="1:27" outlineLevel="1" x14ac:dyDescent="0.2">
      <c r="A92" s="356"/>
      <c r="B92" s="472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</row>
    <row r="93" spans="1:27" outlineLevel="1" x14ac:dyDescent="0.2"/>
    <row r="94" spans="1:27" outlineLevel="1" x14ac:dyDescent="0.2"/>
    <row r="95" spans="1:27" outlineLevel="1" x14ac:dyDescent="0.2">
      <c r="A95" s="346" t="s">
        <v>260</v>
      </c>
      <c r="B95" s="473"/>
      <c r="C95" s="308"/>
      <c r="D95" s="468"/>
      <c r="E95" s="468"/>
      <c r="F95" s="468"/>
      <c r="G95" s="468"/>
      <c r="H95" s="468"/>
      <c r="I95" s="468"/>
      <c r="J95" s="468"/>
      <c r="K95" s="468"/>
      <c r="L95" s="468"/>
      <c r="M95" s="468"/>
      <c r="N95" s="468"/>
      <c r="O95" s="468"/>
      <c r="P95" s="468"/>
      <c r="Q95" s="468"/>
      <c r="R95" s="468"/>
      <c r="S95" s="468"/>
      <c r="T95" s="468"/>
      <c r="U95" s="468"/>
      <c r="V95" s="468"/>
      <c r="W95" s="468"/>
      <c r="X95" s="468"/>
      <c r="Y95" s="468"/>
      <c r="Z95" s="468"/>
      <c r="AA95" s="468"/>
    </row>
    <row r="96" spans="1:27" outlineLevel="1" x14ac:dyDescent="0.2">
      <c r="A96" s="346" t="str">
        <f>$A$4</f>
        <v>($000 Real 2008)</v>
      </c>
      <c r="B96" s="474"/>
      <c r="C96" s="475"/>
      <c r="D96" s="460"/>
      <c r="E96" s="460"/>
      <c r="F96" s="460"/>
      <c r="G96" s="460"/>
      <c r="H96" s="460"/>
      <c r="I96" s="460"/>
      <c r="J96" s="460"/>
      <c r="K96" s="460"/>
      <c r="L96" s="460"/>
      <c r="M96" s="460"/>
      <c r="N96" s="460"/>
      <c r="O96" s="460"/>
      <c r="P96" s="460"/>
      <c r="Q96" s="460"/>
      <c r="R96" s="460"/>
      <c r="S96" s="460"/>
      <c r="T96" s="460"/>
      <c r="U96" s="460"/>
      <c r="V96" s="460"/>
      <c r="W96" s="460"/>
      <c r="X96" s="460"/>
      <c r="Y96" s="460"/>
      <c r="Z96" s="460"/>
      <c r="AA96" s="460"/>
    </row>
    <row r="97" spans="1:27" outlineLevel="1" x14ac:dyDescent="0.2">
      <c r="A97" s="469">
        <v>2006</v>
      </c>
      <c r="B97" s="471"/>
      <c r="C97" s="46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</row>
    <row r="98" spans="1:27" outlineLevel="1" x14ac:dyDescent="0.2">
      <c r="A98" s="469">
        <v>2007</v>
      </c>
      <c r="B98" s="471"/>
      <c r="C98" s="46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</row>
    <row r="99" spans="1:27" outlineLevel="1" x14ac:dyDescent="0.2">
      <c r="A99" s="469">
        <v>2008</v>
      </c>
      <c r="B99" s="471"/>
      <c r="C99" s="46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</row>
    <row r="100" spans="1:27" outlineLevel="1" x14ac:dyDescent="0.2">
      <c r="A100" s="356"/>
      <c r="B100" s="472"/>
      <c r="D100" s="109"/>
      <c r="E100" s="109"/>
      <c r="F100" s="109"/>
      <c r="G100" s="109"/>
      <c r="H100" s="897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</row>
    <row r="101" spans="1:27" outlineLevel="1" x14ac:dyDescent="0.2"/>
    <row r="102" spans="1:27" outlineLevel="1" x14ac:dyDescent="0.2"/>
    <row r="103" spans="1:27" outlineLevel="1" x14ac:dyDescent="0.2">
      <c r="A103" s="346" t="s">
        <v>277</v>
      </c>
      <c r="B103" s="473"/>
      <c r="C103" s="308"/>
      <c r="D103" s="468"/>
      <c r="E103" s="468"/>
      <c r="F103" s="468"/>
      <c r="G103" s="468"/>
      <c r="H103" s="468"/>
      <c r="I103" s="468"/>
      <c r="J103" s="468"/>
      <c r="K103" s="468"/>
      <c r="L103" s="468"/>
      <c r="M103" s="468"/>
      <c r="N103" s="468"/>
      <c r="O103" s="468"/>
      <c r="P103" s="468"/>
      <c r="Q103" s="468"/>
      <c r="R103" s="468"/>
      <c r="S103" s="468"/>
      <c r="T103" s="468"/>
      <c r="U103" s="468"/>
      <c r="V103" s="468"/>
      <c r="W103" s="468"/>
      <c r="X103" s="468"/>
      <c r="Y103" s="468"/>
      <c r="Z103" s="468"/>
      <c r="AA103" s="468"/>
    </row>
    <row r="104" spans="1:27" outlineLevel="1" x14ac:dyDescent="0.2">
      <c r="A104" s="346" t="str">
        <f>$A$4</f>
        <v>($000 Real 2008)</v>
      </c>
      <c r="B104" s="474"/>
      <c r="C104" s="475"/>
      <c r="D104" s="460"/>
      <c r="E104" s="460"/>
      <c r="F104" s="460"/>
      <c r="G104" s="460"/>
      <c r="H104" s="460"/>
      <c r="I104" s="460"/>
      <c r="J104" s="460"/>
      <c r="K104" s="460"/>
      <c r="L104" s="460"/>
      <c r="M104" s="460"/>
      <c r="N104" s="460"/>
      <c r="O104" s="460"/>
      <c r="P104" s="460"/>
      <c r="Q104" s="460"/>
      <c r="R104" s="460"/>
      <c r="S104" s="460"/>
      <c r="T104" s="460"/>
      <c r="U104" s="460"/>
      <c r="V104" s="460"/>
      <c r="W104" s="460"/>
      <c r="X104" s="460"/>
      <c r="Y104" s="460"/>
      <c r="Z104" s="460"/>
      <c r="AA104" s="460"/>
    </row>
    <row r="105" spans="1:27" outlineLevel="1" x14ac:dyDescent="0.2">
      <c r="A105" s="469">
        <v>2006</v>
      </c>
      <c r="B105" s="471"/>
      <c r="C105" s="470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</row>
    <row r="106" spans="1:27" outlineLevel="1" x14ac:dyDescent="0.2">
      <c r="A106" s="469">
        <v>2007</v>
      </c>
      <c r="B106" s="471"/>
      <c r="C106" s="470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</row>
    <row r="107" spans="1:27" outlineLevel="1" x14ac:dyDescent="0.2">
      <c r="A107" s="469">
        <v>2008</v>
      </c>
      <c r="B107" s="471"/>
      <c r="C107" s="470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</row>
    <row r="108" spans="1:27" outlineLevel="1" x14ac:dyDescent="0.2">
      <c r="B108" s="472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</row>
    <row r="109" spans="1:27" outlineLevel="1" x14ac:dyDescent="0.2"/>
    <row r="110" spans="1:27" outlineLevel="1" x14ac:dyDescent="0.2"/>
    <row r="111" spans="1:27" outlineLevel="1" x14ac:dyDescent="0.2">
      <c r="A111" s="346" t="s">
        <v>278</v>
      </c>
      <c r="B111" s="473"/>
      <c r="C111" s="308"/>
      <c r="D111" s="468"/>
      <c r="E111" s="468"/>
      <c r="F111" s="468"/>
      <c r="G111" s="468"/>
      <c r="H111" s="468"/>
      <c r="I111" s="468"/>
      <c r="J111" s="468"/>
      <c r="K111" s="468"/>
      <c r="L111" s="468"/>
      <c r="M111" s="468"/>
      <c r="N111" s="468"/>
      <c r="O111" s="468"/>
      <c r="P111" s="468"/>
      <c r="Q111" s="468"/>
      <c r="R111" s="468"/>
      <c r="S111" s="468"/>
      <c r="T111" s="468"/>
      <c r="U111" s="468"/>
      <c r="V111" s="468"/>
      <c r="W111" s="468"/>
      <c r="X111" s="468"/>
      <c r="Y111" s="468"/>
      <c r="Z111" s="468"/>
      <c r="AA111" s="468"/>
    </row>
    <row r="112" spans="1:27" outlineLevel="1" x14ac:dyDescent="0.2">
      <c r="A112" s="346" t="str">
        <f>$A$4</f>
        <v>($000 Real 2008)</v>
      </c>
      <c r="B112" s="474"/>
      <c r="C112" s="475"/>
      <c r="D112" s="460"/>
      <c r="E112" s="460"/>
      <c r="F112" s="460"/>
      <c r="G112" s="460"/>
      <c r="H112" s="460"/>
      <c r="I112" s="460"/>
      <c r="J112" s="460"/>
      <c r="K112" s="460"/>
      <c r="L112" s="460"/>
      <c r="M112" s="460"/>
      <c r="N112" s="460"/>
      <c r="O112" s="460"/>
      <c r="P112" s="460"/>
      <c r="Q112" s="460"/>
      <c r="R112" s="460"/>
      <c r="S112" s="460"/>
      <c r="T112" s="460"/>
      <c r="U112" s="460"/>
      <c r="V112" s="460"/>
      <c r="W112" s="460"/>
      <c r="X112" s="460"/>
      <c r="Y112" s="460"/>
      <c r="Z112" s="460"/>
      <c r="AA112" s="460"/>
    </row>
    <row r="113" spans="1:27" outlineLevel="1" x14ac:dyDescent="0.2">
      <c r="A113" s="469">
        <v>2006</v>
      </c>
      <c r="B113" s="471"/>
      <c r="C113" s="470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</row>
    <row r="114" spans="1:27" outlineLevel="1" x14ac:dyDescent="0.2">
      <c r="A114" s="469">
        <v>2007</v>
      </c>
      <c r="B114" s="471"/>
      <c r="C114" s="470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</row>
    <row r="115" spans="1:27" outlineLevel="1" x14ac:dyDescent="0.2">
      <c r="A115" s="469">
        <v>2008</v>
      </c>
      <c r="B115" s="471"/>
      <c r="C115" s="470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</row>
    <row r="116" spans="1:27" outlineLevel="1" x14ac:dyDescent="0.2">
      <c r="B116" s="472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</row>
    <row r="117" spans="1:27" outlineLevel="1" x14ac:dyDescent="0.2">
      <c r="B117" s="478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</row>
    <row r="118" spans="1:27" outlineLevel="1" x14ac:dyDescent="0.2"/>
    <row r="119" spans="1:27" ht="13.5" outlineLevel="1" thickBot="1" x14ac:dyDescent="0.25">
      <c r="A119" s="476" t="s">
        <v>45</v>
      </c>
      <c r="B119" s="477"/>
      <c r="C119" s="476"/>
      <c r="D119" s="477"/>
      <c r="E119" s="477"/>
      <c r="F119" s="477"/>
      <c r="G119" s="477"/>
      <c r="H119" s="477"/>
      <c r="I119" s="477"/>
      <c r="J119" s="477"/>
      <c r="K119" s="477"/>
      <c r="L119" s="477"/>
      <c r="M119" s="477"/>
      <c r="N119" s="477"/>
      <c r="O119" s="477"/>
      <c r="P119" s="477"/>
      <c r="Q119" s="477"/>
      <c r="R119" s="477"/>
      <c r="S119" s="477"/>
      <c r="T119" s="477"/>
      <c r="U119" s="477"/>
      <c r="V119" s="477"/>
      <c r="W119" s="477"/>
      <c r="X119" s="477"/>
      <c r="Y119" s="477"/>
      <c r="Z119" s="477"/>
      <c r="AA119" s="477"/>
    </row>
    <row r="120" spans="1:27" ht="13.5" outlineLevel="1" thickTop="1" x14ac:dyDescent="0.2"/>
    <row r="121" spans="1:27" outlineLevel="1" x14ac:dyDescent="0.2"/>
    <row r="123" spans="1:27" x14ac:dyDescent="0.2">
      <c r="A123" s="464" t="s">
        <v>324</v>
      </c>
      <c r="B123" s="464"/>
      <c r="C123" s="464"/>
      <c r="J123" s="466"/>
    </row>
    <row r="124" spans="1:27" x14ac:dyDescent="0.2">
      <c r="A124" s="346" t="str">
        <f>$A$4</f>
        <v>($000 Real 2008)</v>
      </c>
      <c r="B124" s="464"/>
      <c r="C124" s="464"/>
      <c r="J124" s="466"/>
    </row>
    <row r="125" spans="1:27" x14ac:dyDescent="0.2">
      <c r="A125" s="101" t="s">
        <v>320</v>
      </c>
      <c r="D125" s="468"/>
      <c r="E125" s="468"/>
      <c r="F125" s="468"/>
      <c r="G125" s="468"/>
      <c r="H125" s="468"/>
      <c r="I125" s="468"/>
      <c r="J125" s="468"/>
      <c r="K125" s="468"/>
      <c r="L125" s="468"/>
      <c r="M125" s="468"/>
      <c r="N125" s="468"/>
      <c r="O125" s="468"/>
      <c r="P125" s="468"/>
      <c r="Q125" s="468"/>
      <c r="R125" s="468"/>
      <c r="S125" s="468"/>
      <c r="T125" s="468"/>
      <c r="U125" s="468"/>
      <c r="V125" s="468"/>
      <c r="W125" s="468"/>
      <c r="X125" s="468"/>
      <c r="Y125" s="468"/>
      <c r="Z125" s="468"/>
      <c r="AA125" s="468"/>
    </row>
    <row r="126" spans="1:27" x14ac:dyDescent="0.2">
      <c r="A126" s="73" t="s">
        <v>171</v>
      </c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</row>
    <row r="127" spans="1:27" x14ac:dyDescent="0.2">
      <c r="A127" s="84" t="s">
        <v>137</v>
      </c>
      <c r="D127" s="87"/>
      <c r="E127" s="87"/>
      <c r="F127" s="87"/>
      <c r="G127" s="108"/>
      <c r="H127" s="108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</row>
    <row r="128" spans="1:27" ht="13.5" thickBot="1" x14ac:dyDescent="0.25">
      <c r="A128" s="73" t="s">
        <v>173</v>
      </c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</row>
    <row r="129" spans="1:27" s="101" customFormat="1" ht="13.5" outlineLevel="1" thickTop="1" x14ac:dyDescent="0.2">
      <c r="A129" s="556" t="s">
        <v>0</v>
      </c>
      <c r="B129" s="484"/>
      <c r="C129" s="557"/>
      <c r="D129" s="558"/>
      <c r="E129" s="558"/>
      <c r="G129" s="60"/>
    </row>
    <row r="130" spans="1:27" outlineLevel="1" x14ac:dyDescent="0.2"/>
    <row r="131" spans="1:27" outlineLevel="1" x14ac:dyDescent="0.2">
      <c r="A131" s="346" t="str">
        <f>'Data 2009-15 (Real $2008)'!A$154</f>
        <v>Remotely read interval meters &amp; transformers</v>
      </c>
      <c r="B131" s="473"/>
      <c r="C131" s="308"/>
      <c r="D131" s="468"/>
      <c r="E131" s="468"/>
      <c r="F131" s="468"/>
      <c r="G131" s="468"/>
      <c r="H131" s="468"/>
      <c r="I131" s="468"/>
      <c r="J131" s="468"/>
      <c r="K131" s="468"/>
      <c r="L131" s="468"/>
      <c r="M131" s="468"/>
      <c r="N131" s="468"/>
      <c r="O131" s="468"/>
      <c r="P131" s="468"/>
      <c r="Q131" s="468"/>
      <c r="R131" s="468"/>
      <c r="S131" s="468"/>
      <c r="T131" s="468"/>
      <c r="U131" s="468"/>
      <c r="V131" s="468"/>
      <c r="W131" s="468"/>
      <c r="X131" s="468"/>
      <c r="Y131" s="468"/>
      <c r="Z131" s="468"/>
      <c r="AA131" s="468"/>
    </row>
    <row r="132" spans="1:27" outlineLevel="1" x14ac:dyDescent="0.2">
      <c r="A132" s="346" t="str">
        <f>$A$4</f>
        <v>($000 Real 2008)</v>
      </c>
      <c r="B132" s="474"/>
      <c r="C132" s="475"/>
      <c r="D132" s="460"/>
      <c r="E132" s="460"/>
      <c r="F132" s="460"/>
      <c r="G132" s="460"/>
      <c r="H132" s="460"/>
      <c r="I132" s="460"/>
      <c r="J132" s="460"/>
      <c r="K132" s="101"/>
      <c r="L132" s="101"/>
      <c r="M132" s="101"/>
      <c r="N132" s="101"/>
    </row>
    <row r="133" spans="1:27" outlineLevel="1" x14ac:dyDescent="0.2">
      <c r="A133" s="469">
        <v>2006</v>
      </c>
      <c r="B133" s="471"/>
      <c r="C133" s="470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</row>
    <row r="134" spans="1:27" outlineLevel="1" x14ac:dyDescent="0.2">
      <c r="A134" s="469">
        <v>2007</v>
      </c>
      <c r="B134" s="471"/>
      <c r="C134" s="470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</row>
    <row r="135" spans="1:27" outlineLevel="1" x14ac:dyDescent="0.2">
      <c r="A135" s="469">
        <v>2008</v>
      </c>
      <c r="B135" s="471"/>
      <c r="C135" s="470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</row>
    <row r="136" spans="1:27" outlineLevel="1" x14ac:dyDescent="0.2">
      <c r="A136" s="356"/>
      <c r="B136" s="472"/>
      <c r="D136" s="109"/>
      <c r="E136" s="109"/>
      <c r="F136" s="109"/>
      <c r="G136" s="109"/>
      <c r="H136" s="897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</row>
    <row r="137" spans="1:27" outlineLevel="1" x14ac:dyDescent="0.2"/>
    <row r="138" spans="1:27" outlineLevel="1" x14ac:dyDescent="0.2"/>
    <row r="139" spans="1:27" outlineLevel="1" x14ac:dyDescent="0.2">
      <c r="A139" s="346" t="s">
        <v>277</v>
      </c>
      <c r="B139" s="473"/>
      <c r="C139" s="308"/>
      <c r="D139" s="468"/>
      <c r="E139" s="468"/>
      <c r="F139" s="468"/>
      <c r="G139" s="468"/>
      <c r="H139" s="468"/>
      <c r="I139" s="468"/>
      <c r="J139" s="468"/>
      <c r="K139" s="468"/>
      <c r="L139" s="468"/>
      <c r="M139" s="468"/>
      <c r="N139" s="468"/>
      <c r="O139" s="468"/>
      <c r="P139" s="468"/>
      <c r="Q139" s="468"/>
      <c r="R139" s="468"/>
      <c r="S139" s="468"/>
      <c r="T139" s="468"/>
      <c r="U139" s="468"/>
      <c r="V139" s="468"/>
      <c r="W139" s="468"/>
      <c r="X139" s="468"/>
      <c r="Y139" s="468"/>
      <c r="Z139" s="468"/>
      <c r="AA139" s="468"/>
    </row>
    <row r="140" spans="1:27" outlineLevel="1" x14ac:dyDescent="0.2">
      <c r="A140" s="346" t="str">
        <f>$A$4</f>
        <v>($000 Real 2008)</v>
      </c>
      <c r="B140" s="474"/>
      <c r="C140" s="475"/>
      <c r="D140" s="460"/>
      <c r="E140" s="460"/>
      <c r="F140" s="460"/>
      <c r="G140" s="460"/>
      <c r="H140" s="460"/>
      <c r="I140" s="460"/>
      <c r="J140" s="460"/>
    </row>
    <row r="141" spans="1:27" outlineLevel="1" x14ac:dyDescent="0.2">
      <c r="A141" s="469">
        <v>2006</v>
      </c>
      <c r="B141" s="471"/>
      <c r="C141" s="470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</row>
    <row r="142" spans="1:27" outlineLevel="1" x14ac:dyDescent="0.2">
      <c r="A142" s="469">
        <v>2007</v>
      </c>
      <c r="B142" s="471"/>
      <c r="C142" s="470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</row>
    <row r="143" spans="1:27" outlineLevel="1" x14ac:dyDescent="0.2">
      <c r="A143" s="469">
        <v>2008</v>
      </c>
      <c r="B143" s="471"/>
      <c r="C143" s="470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</row>
    <row r="144" spans="1:27" outlineLevel="1" x14ac:dyDescent="0.2">
      <c r="A144" s="356"/>
      <c r="B144" s="472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</row>
    <row r="145" spans="1:27" outlineLevel="1" x14ac:dyDescent="0.2"/>
    <row r="146" spans="1:27" outlineLevel="1" x14ac:dyDescent="0.2"/>
    <row r="147" spans="1:27" outlineLevel="1" x14ac:dyDescent="0.2">
      <c r="A147" s="346" t="s">
        <v>279</v>
      </c>
      <c r="B147" s="473"/>
      <c r="C147" s="308"/>
      <c r="D147" s="468"/>
      <c r="E147" s="468"/>
      <c r="F147" s="468"/>
      <c r="G147" s="468"/>
      <c r="H147" s="468"/>
      <c r="I147" s="468"/>
      <c r="J147" s="468"/>
      <c r="K147" s="468"/>
      <c r="L147" s="468"/>
      <c r="M147" s="468"/>
      <c r="N147" s="468"/>
      <c r="O147" s="468"/>
      <c r="P147" s="468"/>
      <c r="Q147" s="468"/>
      <c r="R147" s="468"/>
      <c r="S147" s="468"/>
      <c r="T147" s="468"/>
      <c r="U147" s="468"/>
      <c r="V147" s="468"/>
      <c r="W147" s="468"/>
      <c r="X147" s="468"/>
      <c r="Y147" s="468"/>
      <c r="Z147" s="468"/>
      <c r="AA147" s="468"/>
    </row>
    <row r="148" spans="1:27" outlineLevel="1" x14ac:dyDescent="0.2">
      <c r="A148" s="346" t="str">
        <f>$A$4</f>
        <v>($000 Real 2008)</v>
      </c>
      <c r="B148" s="474"/>
      <c r="C148" s="475"/>
      <c r="D148" s="460"/>
      <c r="E148" s="460"/>
      <c r="F148" s="460"/>
      <c r="G148" s="460"/>
      <c r="H148" s="460"/>
      <c r="I148" s="460"/>
      <c r="J148" s="460"/>
    </row>
    <row r="149" spans="1:27" outlineLevel="1" x14ac:dyDescent="0.2">
      <c r="A149" s="469">
        <v>2006</v>
      </c>
      <c r="B149" s="471"/>
      <c r="C149" s="470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</row>
    <row r="150" spans="1:27" outlineLevel="1" x14ac:dyDescent="0.2">
      <c r="A150" s="469">
        <v>2007</v>
      </c>
      <c r="B150" s="471"/>
      <c r="C150" s="470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</row>
    <row r="151" spans="1:27" outlineLevel="1" x14ac:dyDescent="0.2">
      <c r="A151" s="469">
        <v>2008</v>
      </c>
      <c r="B151" s="471"/>
      <c r="C151" s="470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</row>
    <row r="152" spans="1:27" outlineLevel="1" x14ac:dyDescent="0.2">
      <c r="B152" s="472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</row>
    <row r="153" spans="1:27" outlineLevel="1" x14ac:dyDescent="0.2"/>
    <row r="154" spans="1:27" outlineLevel="1" x14ac:dyDescent="0.2"/>
    <row r="155" spans="1:27" outlineLevel="1" x14ac:dyDescent="0.2">
      <c r="A155" s="346" t="s">
        <v>278</v>
      </c>
      <c r="B155" s="473"/>
      <c r="C155" s="308"/>
      <c r="D155" s="468"/>
      <c r="E155" s="468"/>
      <c r="F155" s="468"/>
      <c r="G155" s="468"/>
      <c r="H155" s="468"/>
      <c r="I155" s="468"/>
      <c r="J155" s="468"/>
      <c r="K155" s="468"/>
      <c r="L155" s="468"/>
      <c r="M155" s="468"/>
      <c r="N155" s="468"/>
      <c r="O155" s="468"/>
      <c r="P155" s="468"/>
      <c r="Q155" s="468"/>
      <c r="R155" s="468"/>
      <c r="S155" s="468"/>
      <c r="T155" s="468"/>
      <c r="U155" s="468"/>
      <c r="V155" s="468"/>
      <c r="W155" s="468"/>
      <c r="X155" s="468"/>
      <c r="Y155" s="468"/>
      <c r="Z155" s="468"/>
      <c r="AA155" s="468"/>
    </row>
    <row r="156" spans="1:27" outlineLevel="1" x14ac:dyDescent="0.2">
      <c r="A156" s="346" t="str">
        <f>$A$4</f>
        <v>($000 Real 2008)</v>
      </c>
      <c r="B156" s="474"/>
      <c r="C156" s="475"/>
      <c r="D156" s="460"/>
      <c r="E156" s="460"/>
      <c r="F156" s="460"/>
      <c r="G156" s="460"/>
      <c r="H156" s="460"/>
      <c r="I156" s="460"/>
      <c r="J156" s="460"/>
    </row>
    <row r="157" spans="1:27" outlineLevel="1" x14ac:dyDescent="0.2">
      <c r="A157" s="469">
        <v>2006</v>
      </c>
      <c r="B157" s="471"/>
      <c r="C157" s="470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</row>
    <row r="158" spans="1:27" outlineLevel="1" x14ac:dyDescent="0.2">
      <c r="A158" s="469">
        <v>2007</v>
      </c>
      <c r="B158" s="471"/>
      <c r="C158" s="470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</row>
    <row r="159" spans="1:27" outlineLevel="1" x14ac:dyDescent="0.2">
      <c r="A159" s="469">
        <v>2008</v>
      </c>
      <c r="B159" s="471"/>
      <c r="C159" s="470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</row>
    <row r="160" spans="1:27" outlineLevel="1" x14ac:dyDescent="0.2">
      <c r="B160" s="472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</row>
    <row r="161" spans="1:27" outlineLevel="1" x14ac:dyDescent="0.2"/>
    <row r="162" spans="1:27" outlineLevel="1" x14ac:dyDescent="0.2"/>
    <row r="163" spans="1:27" ht="13.5" outlineLevel="1" thickBot="1" x14ac:dyDescent="0.25">
      <c r="A163" s="476" t="s">
        <v>45</v>
      </c>
      <c r="B163" s="477"/>
      <c r="C163" s="476"/>
      <c r="D163" s="479"/>
      <c r="E163" s="479"/>
      <c r="F163" s="479"/>
      <c r="G163" s="479"/>
      <c r="H163" s="479"/>
      <c r="I163" s="479"/>
      <c r="J163" s="479"/>
      <c r="K163" s="479"/>
      <c r="L163" s="479"/>
      <c r="M163" s="479"/>
      <c r="N163" s="479"/>
      <c r="O163" s="479"/>
      <c r="P163" s="479"/>
      <c r="Q163" s="479"/>
      <c r="R163" s="479"/>
      <c r="S163" s="479"/>
      <c r="T163" s="479"/>
      <c r="U163" s="479"/>
      <c r="V163" s="479"/>
      <c r="W163" s="479"/>
      <c r="X163" s="479"/>
      <c r="Y163" s="479"/>
      <c r="Z163" s="479"/>
      <c r="AA163" s="479"/>
    </row>
    <row r="164" spans="1:27" ht="13.5" outlineLevel="1" thickTop="1" x14ac:dyDescent="0.2">
      <c r="J164" s="466"/>
    </row>
    <row r="165" spans="1:27" outlineLevel="1" x14ac:dyDescent="0.2">
      <c r="J165" s="466"/>
    </row>
    <row r="166" spans="1:27" x14ac:dyDescent="0.2">
      <c r="J166" s="466"/>
    </row>
    <row r="167" spans="1:27" x14ac:dyDescent="0.2">
      <c r="A167" s="60" t="s">
        <v>380</v>
      </c>
      <c r="B167" s="60"/>
      <c r="C167" s="60"/>
      <c r="J167" s="466"/>
    </row>
    <row r="168" spans="1:27" x14ac:dyDescent="0.2">
      <c r="A168" s="346" t="str">
        <f>$A$4</f>
        <v>($000 Real 2008)</v>
      </c>
      <c r="J168" s="466"/>
    </row>
    <row r="169" spans="1:27" x14ac:dyDescent="0.2">
      <c r="A169" s="101" t="s">
        <v>322</v>
      </c>
      <c r="D169" s="468"/>
      <c r="E169" s="468"/>
      <c r="F169" s="468"/>
      <c r="G169" s="468"/>
      <c r="H169" s="468"/>
      <c r="I169" s="468"/>
      <c r="J169" s="468"/>
      <c r="K169" s="468"/>
      <c r="L169" s="468"/>
      <c r="M169" s="468"/>
      <c r="N169" s="468"/>
      <c r="O169" s="468"/>
      <c r="P169" s="468"/>
      <c r="Q169" s="468"/>
      <c r="R169" s="468"/>
      <c r="S169" s="468"/>
      <c r="T169" s="468"/>
      <c r="U169" s="468"/>
      <c r="V169" s="468"/>
      <c r="W169" s="468"/>
      <c r="X169" s="468"/>
      <c r="Y169" s="468"/>
      <c r="Z169" s="468"/>
      <c r="AA169" s="468"/>
    </row>
    <row r="170" spans="1:27" x14ac:dyDescent="0.2">
      <c r="A170" s="73" t="s">
        <v>171</v>
      </c>
      <c r="D170" s="483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</row>
    <row r="171" spans="1:27" x14ac:dyDescent="0.2">
      <c r="A171" s="73" t="s">
        <v>319</v>
      </c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</row>
    <row r="172" spans="1:27" x14ac:dyDescent="0.2">
      <c r="A172" s="84" t="s">
        <v>137</v>
      </c>
      <c r="D172" s="87"/>
      <c r="E172" s="87"/>
      <c r="F172" s="87"/>
      <c r="G172" s="108"/>
      <c r="H172" s="108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</row>
    <row r="173" spans="1:27" ht="13.5" thickBot="1" x14ac:dyDescent="0.25">
      <c r="A173" s="73" t="s">
        <v>173</v>
      </c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</row>
    <row r="174" spans="1:27" s="101" customFormat="1" ht="13.5" outlineLevel="1" thickTop="1" x14ac:dyDescent="0.2">
      <c r="A174" s="556" t="s">
        <v>0</v>
      </c>
      <c r="B174" s="484"/>
      <c r="C174" s="557"/>
      <c r="D174" s="558"/>
      <c r="E174" s="558"/>
      <c r="F174" s="558"/>
      <c r="G174" s="558"/>
      <c r="H174" s="558"/>
      <c r="I174" s="558"/>
      <c r="J174" s="558"/>
      <c r="K174" s="558"/>
    </row>
    <row r="175" spans="1:27" outlineLevel="1" x14ac:dyDescent="0.2">
      <c r="A175" s="346"/>
      <c r="J175" s="466"/>
    </row>
    <row r="176" spans="1:27" outlineLevel="1" x14ac:dyDescent="0.2">
      <c r="A176" s="346"/>
      <c r="J176" s="466"/>
    </row>
    <row r="177" spans="1:27" outlineLevel="1" x14ac:dyDescent="0.2">
      <c r="A177" s="346"/>
      <c r="J177" s="466"/>
    </row>
    <row r="178" spans="1:27" outlineLevel="1" x14ac:dyDescent="0.2">
      <c r="A178" s="346"/>
      <c r="J178" s="466"/>
    </row>
    <row r="179" spans="1:27" outlineLevel="1" x14ac:dyDescent="0.2">
      <c r="A179" s="101" t="s">
        <v>319</v>
      </c>
      <c r="D179" s="468"/>
      <c r="E179" s="468"/>
      <c r="F179" s="468"/>
      <c r="G179" s="468"/>
      <c r="H179" s="468"/>
      <c r="I179" s="468"/>
      <c r="J179" s="468"/>
      <c r="K179" s="468"/>
      <c r="L179" s="468"/>
      <c r="M179" s="468"/>
      <c r="N179" s="468"/>
      <c r="O179" s="468"/>
      <c r="P179" s="468"/>
      <c r="Q179" s="468"/>
      <c r="R179" s="468"/>
      <c r="S179" s="468"/>
      <c r="T179" s="468"/>
      <c r="U179" s="468"/>
      <c r="V179" s="468"/>
      <c r="W179" s="468"/>
      <c r="X179" s="468"/>
      <c r="Y179" s="468"/>
      <c r="Z179" s="468"/>
      <c r="AA179" s="468"/>
    </row>
    <row r="180" spans="1:27" outlineLevel="1" x14ac:dyDescent="0.2">
      <c r="A180" s="85" t="s">
        <v>42</v>
      </c>
      <c r="D180" s="87"/>
      <c r="E180" s="87"/>
      <c r="F180" s="87"/>
      <c r="G180" s="87"/>
      <c r="H180" s="87"/>
      <c r="I180" s="87"/>
      <c r="J180" s="87"/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  <c r="AA180" s="481"/>
    </row>
    <row r="181" spans="1:27" outlineLevel="1" x14ac:dyDescent="0.2">
      <c r="A181" s="84" t="s">
        <v>260</v>
      </c>
      <c r="D181" s="87"/>
      <c r="E181" s="87"/>
      <c r="F181" s="87"/>
      <c r="G181" s="87"/>
      <c r="H181" s="87"/>
      <c r="I181" s="87"/>
      <c r="J181" s="87"/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</row>
    <row r="182" spans="1:27" outlineLevel="1" x14ac:dyDescent="0.2">
      <c r="A182" s="318" t="str">
        <f>'Data 2009-15 (Real $2008)'!A$154</f>
        <v>Remotely read interval meters &amp; transformers</v>
      </c>
      <c r="D182" s="87"/>
      <c r="E182" s="87"/>
      <c r="F182" s="87"/>
      <c r="G182" s="87"/>
      <c r="H182" s="87"/>
      <c r="I182" s="87"/>
      <c r="J182" s="87"/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  <c r="AA182" s="481"/>
    </row>
    <row r="183" spans="1:27" outlineLevel="1" x14ac:dyDescent="0.2">
      <c r="A183" s="84" t="s">
        <v>277</v>
      </c>
      <c r="D183" s="87"/>
      <c r="E183" s="87"/>
      <c r="F183" s="87"/>
      <c r="G183" s="87"/>
      <c r="H183" s="87"/>
      <c r="I183" s="87"/>
      <c r="J183" s="87"/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  <c r="AA183" s="481"/>
    </row>
    <row r="184" spans="1:27" outlineLevel="1" x14ac:dyDescent="0.2">
      <c r="A184" s="84" t="s">
        <v>279</v>
      </c>
      <c r="D184" s="87"/>
      <c r="E184" s="87"/>
      <c r="F184" s="87"/>
      <c r="G184" s="87"/>
      <c r="H184" s="108"/>
      <c r="I184" s="87"/>
      <c r="J184" s="87"/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  <c r="AA184" s="481"/>
    </row>
    <row r="185" spans="1:27" outlineLevel="1" x14ac:dyDescent="0.2">
      <c r="A185" s="318" t="s">
        <v>278</v>
      </c>
      <c r="D185" s="87"/>
      <c r="E185" s="87"/>
      <c r="F185" s="87"/>
      <c r="G185" s="87"/>
      <c r="H185" s="87"/>
      <c r="I185" s="87"/>
      <c r="J185" s="87"/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</row>
    <row r="186" spans="1:27" outlineLevel="1" x14ac:dyDescent="0.2">
      <c r="D186" s="109"/>
      <c r="E186" s="109"/>
      <c r="F186" s="109"/>
      <c r="G186" s="109"/>
      <c r="H186" s="109"/>
      <c r="I186" s="109"/>
      <c r="J186" s="109"/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  <c r="AA186" s="481"/>
    </row>
    <row r="187" spans="1:27" outlineLevel="1" x14ac:dyDescent="0.2">
      <c r="J187" s="466"/>
    </row>
    <row r="188" spans="1:27" outlineLevel="1" x14ac:dyDescent="0.2">
      <c r="J188" s="466"/>
    </row>
    <row r="189" spans="1:27" outlineLevel="1" x14ac:dyDescent="0.2">
      <c r="A189" s="346" t="s">
        <v>42</v>
      </c>
      <c r="B189" s="473"/>
      <c r="C189" s="308"/>
      <c r="D189" s="468"/>
      <c r="E189" s="468"/>
      <c r="F189" s="468"/>
      <c r="G189" s="468"/>
      <c r="H189" s="468"/>
      <c r="I189" s="468"/>
      <c r="J189" s="468"/>
      <c r="K189" s="468"/>
      <c r="L189" s="468"/>
      <c r="M189" s="468"/>
      <c r="N189" s="468"/>
      <c r="O189" s="468"/>
      <c r="P189" s="468"/>
      <c r="Q189" s="468"/>
      <c r="R189" s="468"/>
      <c r="S189" s="468"/>
      <c r="T189" s="468"/>
      <c r="U189" s="468"/>
      <c r="V189" s="468"/>
      <c r="W189" s="468"/>
      <c r="X189" s="468"/>
      <c r="Y189" s="468"/>
      <c r="Z189" s="468"/>
      <c r="AA189" s="468"/>
    </row>
    <row r="190" spans="1:27" outlineLevel="1" x14ac:dyDescent="0.2">
      <c r="A190" s="346" t="str">
        <f>$A$4</f>
        <v>($000 Real 2008)</v>
      </c>
      <c r="B190" s="474"/>
      <c r="C190" s="475"/>
      <c r="D190" s="460"/>
      <c r="E190" s="460"/>
      <c r="F190" s="460"/>
      <c r="G190" s="460"/>
      <c r="H190" s="460"/>
      <c r="I190" s="460"/>
      <c r="J190" s="460"/>
      <c r="K190" s="460"/>
      <c r="L190" s="460"/>
      <c r="M190" s="460"/>
      <c r="N190" s="460"/>
      <c r="O190" s="460"/>
      <c r="P190" s="460"/>
      <c r="Q190" s="460"/>
      <c r="R190" s="460"/>
      <c r="S190" s="460"/>
      <c r="T190" s="460"/>
      <c r="U190" s="460"/>
      <c r="V190" s="460"/>
      <c r="W190" s="460"/>
      <c r="X190" s="460"/>
      <c r="Y190" s="460"/>
      <c r="Z190" s="460"/>
      <c r="AA190" s="460"/>
    </row>
    <row r="191" spans="1:27" outlineLevel="1" x14ac:dyDescent="0.2">
      <c r="A191" s="469">
        <v>2009</v>
      </c>
      <c r="B191" s="471"/>
      <c r="C191" s="46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</row>
    <row r="192" spans="1:27" outlineLevel="1" x14ac:dyDescent="0.2">
      <c r="A192" s="469">
        <v>2010</v>
      </c>
      <c r="B192" s="471"/>
      <c r="C192" s="467"/>
      <c r="D192" s="480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</row>
    <row r="193" spans="1:27" outlineLevel="1" x14ac:dyDescent="0.2">
      <c r="A193" s="469">
        <v>2011</v>
      </c>
      <c r="B193" s="471"/>
      <c r="C193" s="467"/>
      <c r="D193" s="480"/>
      <c r="E193" s="480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</row>
    <row r="194" spans="1:27" outlineLevel="1" x14ac:dyDescent="0.2">
      <c r="A194" s="469">
        <v>2012</v>
      </c>
      <c r="B194" s="471"/>
      <c r="C194" s="467"/>
      <c r="D194" s="480"/>
      <c r="E194" s="480"/>
      <c r="F194" s="480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</row>
    <row r="195" spans="1:27" outlineLevel="1" x14ac:dyDescent="0.2">
      <c r="A195" s="469">
        <v>2013</v>
      </c>
      <c r="B195" s="471"/>
      <c r="C195" s="467"/>
      <c r="D195" s="480"/>
      <c r="E195" s="480"/>
      <c r="F195" s="480"/>
      <c r="G195" s="480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</row>
    <row r="196" spans="1:27" outlineLevel="1" x14ac:dyDescent="0.2">
      <c r="A196" s="469">
        <v>2014</v>
      </c>
      <c r="B196" s="471"/>
      <c r="C196" s="467"/>
      <c r="D196" s="480"/>
      <c r="E196" s="480"/>
      <c r="F196" s="480"/>
      <c r="G196" s="480"/>
      <c r="H196" s="480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</row>
    <row r="197" spans="1:27" outlineLevel="1" x14ac:dyDescent="0.2">
      <c r="A197" s="469">
        <v>2015</v>
      </c>
      <c r="B197" s="471"/>
      <c r="C197" s="467"/>
      <c r="D197" s="480"/>
      <c r="E197" s="480"/>
      <c r="F197" s="480"/>
      <c r="G197" s="480"/>
      <c r="H197" s="480"/>
      <c r="I197" s="480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</row>
    <row r="198" spans="1:27" s="469" customFormat="1" outlineLevel="1" x14ac:dyDescent="0.2">
      <c r="B198" s="472"/>
      <c r="D198" s="697"/>
      <c r="E198" s="697"/>
      <c r="F198" s="697"/>
      <c r="G198" s="697"/>
      <c r="H198" s="697"/>
      <c r="I198" s="697"/>
      <c r="J198" s="697"/>
      <c r="K198" s="697"/>
      <c r="L198" s="697"/>
      <c r="M198" s="697"/>
      <c r="N198" s="697"/>
      <c r="O198" s="697"/>
      <c r="P198" s="697"/>
      <c r="Q198" s="697"/>
      <c r="R198" s="697"/>
      <c r="S198" s="697"/>
      <c r="T198" s="697"/>
      <c r="U198" s="697"/>
      <c r="V198" s="697"/>
      <c r="W198" s="697"/>
      <c r="X198" s="697"/>
      <c r="Y198" s="697"/>
      <c r="Z198" s="697"/>
      <c r="AA198" s="697"/>
    </row>
    <row r="199" spans="1:27" outlineLevel="1" x14ac:dyDescent="0.2">
      <c r="A199" s="85"/>
      <c r="B199" s="85"/>
      <c r="C199" s="85"/>
      <c r="D199" s="85"/>
      <c r="F199" s="91"/>
      <c r="G199" s="85"/>
      <c r="H199" s="85"/>
      <c r="I199" s="85"/>
      <c r="J199" s="466"/>
    </row>
    <row r="200" spans="1:27" outlineLevel="1" x14ac:dyDescent="0.2">
      <c r="A200" s="85"/>
      <c r="B200" s="85"/>
      <c r="C200" s="85"/>
      <c r="D200" s="85"/>
      <c r="F200" s="91"/>
      <c r="G200" s="85"/>
      <c r="H200" s="85"/>
      <c r="I200" s="85"/>
      <c r="J200" s="466"/>
    </row>
    <row r="201" spans="1:27" outlineLevel="1" x14ac:dyDescent="0.2">
      <c r="A201" s="346" t="s">
        <v>260</v>
      </c>
      <c r="B201" s="473"/>
      <c r="C201" s="308"/>
      <c r="D201" s="468"/>
      <c r="E201" s="468"/>
      <c r="F201" s="468"/>
      <c r="G201" s="468"/>
      <c r="H201" s="468"/>
      <c r="I201" s="468"/>
      <c r="J201" s="468"/>
      <c r="K201" s="468"/>
      <c r="L201" s="468"/>
      <c r="M201" s="468"/>
      <c r="N201" s="468"/>
      <c r="O201" s="468"/>
      <c r="P201" s="468"/>
      <c r="Q201" s="468"/>
      <c r="R201" s="468"/>
      <c r="S201" s="468"/>
      <c r="T201" s="468"/>
      <c r="U201" s="468"/>
      <c r="V201" s="468"/>
      <c r="W201" s="468"/>
      <c r="X201" s="468"/>
      <c r="Y201" s="468"/>
      <c r="Z201" s="468"/>
      <c r="AA201" s="468"/>
    </row>
    <row r="202" spans="1:27" outlineLevel="1" x14ac:dyDescent="0.2">
      <c r="A202" s="346" t="str">
        <f>$A$4</f>
        <v>($000 Real 2008)</v>
      </c>
      <c r="B202" s="474"/>
      <c r="C202" s="475"/>
      <c r="D202" s="460"/>
      <c r="E202" s="460"/>
      <c r="F202" s="460"/>
      <c r="G202" s="460"/>
      <c r="H202" s="460"/>
      <c r="I202" s="460"/>
      <c r="J202" s="460"/>
      <c r="K202" s="460"/>
      <c r="L202" s="460"/>
      <c r="M202" s="460"/>
      <c r="N202" s="460"/>
      <c r="O202" s="460"/>
      <c r="P202" s="460"/>
      <c r="Q202" s="460"/>
      <c r="R202" s="460"/>
      <c r="S202" s="460"/>
      <c r="T202" s="460"/>
      <c r="U202" s="460"/>
      <c r="V202" s="460"/>
      <c r="W202" s="460"/>
      <c r="X202" s="460"/>
      <c r="Y202" s="460"/>
      <c r="Z202" s="460"/>
      <c r="AA202" s="460"/>
    </row>
    <row r="203" spans="1:27" outlineLevel="1" x14ac:dyDescent="0.2">
      <c r="A203" s="469">
        <v>2009</v>
      </c>
      <c r="B203" s="471"/>
      <c r="C203" s="46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</row>
    <row r="204" spans="1:27" outlineLevel="1" x14ac:dyDescent="0.2">
      <c r="A204" s="469">
        <v>2010</v>
      </c>
      <c r="B204" s="471"/>
      <c r="C204" s="467"/>
      <c r="D204" s="480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</row>
    <row r="205" spans="1:27" outlineLevel="1" x14ac:dyDescent="0.2">
      <c r="A205" s="469">
        <v>2011</v>
      </c>
      <c r="B205" s="471"/>
      <c r="C205" s="467"/>
      <c r="D205" s="480"/>
      <c r="E205" s="480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</row>
    <row r="206" spans="1:27" outlineLevel="1" x14ac:dyDescent="0.2">
      <c r="A206" s="469">
        <v>2012</v>
      </c>
      <c r="B206" s="471"/>
      <c r="C206" s="467"/>
      <c r="D206" s="480"/>
      <c r="E206" s="480"/>
      <c r="F206" s="480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</row>
    <row r="207" spans="1:27" outlineLevel="1" x14ac:dyDescent="0.2">
      <c r="A207" s="469">
        <v>2013</v>
      </c>
      <c r="B207" s="471"/>
      <c r="C207" s="467"/>
      <c r="D207" s="480"/>
      <c r="E207" s="480"/>
      <c r="F207" s="480"/>
      <c r="G207" s="480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</row>
    <row r="208" spans="1:27" outlineLevel="1" x14ac:dyDescent="0.2">
      <c r="A208" s="469">
        <v>2014</v>
      </c>
      <c r="B208" s="471"/>
      <c r="C208" s="467"/>
      <c r="D208" s="480"/>
      <c r="E208" s="480"/>
      <c r="F208" s="480"/>
      <c r="G208" s="480"/>
      <c r="H208" s="480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</row>
    <row r="209" spans="1:27" outlineLevel="1" x14ac:dyDescent="0.2">
      <c r="A209" s="469">
        <v>2015</v>
      </c>
      <c r="B209" s="471"/>
      <c r="C209" s="467"/>
      <c r="D209" s="480"/>
      <c r="E209" s="480"/>
      <c r="F209" s="480"/>
      <c r="G209" s="480"/>
      <c r="H209" s="480"/>
      <c r="I209" s="480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</row>
    <row r="210" spans="1:27" s="469" customFormat="1" outlineLevel="1" x14ac:dyDescent="0.2">
      <c r="B210" s="472"/>
      <c r="D210" s="697"/>
      <c r="E210" s="697"/>
      <c r="F210" s="697"/>
      <c r="G210" s="697"/>
      <c r="H210" s="896"/>
      <c r="I210" s="697"/>
      <c r="J210" s="697"/>
      <c r="K210" s="697"/>
      <c r="L210" s="697"/>
      <c r="M210" s="697"/>
      <c r="N210" s="697"/>
      <c r="O210" s="697"/>
      <c r="P210" s="697"/>
      <c r="Q210" s="697"/>
      <c r="R210" s="697"/>
      <c r="S210" s="697"/>
      <c r="T210" s="697"/>
      <c r="U210" s="697"/>
      <c r="V210" s="697"/>
      <c r="W210" s="697"/>
      <c r="X210" s="697"/>
      <c r="Y210" s="697"/>
      <c r="Z210" s="697"/>
      <c r="AA210" s="697"/>
    </row>
    <row r="211" spans="1:27" outlineLevel="1" x14ac:dyDescent="0.2">
      <c r="A211" s="465"/>
      <c r="B211" s="465"/>
      <c r="C211" s="465"/>
      <c r="D211" s="465"/>
      <c r="E211" s="465"/>
      <c r="F211" s="465"/>
      <c r="G211" s="465"/>
      <c r="H211" s="465"/>
      <c r="I211" s="465"/>
    </row>
    <row r="212" spans="1:27" outlineLevel="1" x14ac:dyDescent="0.2">
      <c r="A212" s="465"/>
      <c r="B212" s="465"/>
      <c r="C212" s="465"/>
      <c r="D212" s="465"/>
      <c r="E212" s="465"/>
      <c r="F212" s="465"/>
      <c r="G212" s="465"/>
      <c r="H212" s="465"/>
      <c r="I212" s="465"/>
    </row>
    <row r="213" spans="1:27" outlineLevel="1" x14ac:dyDescent="0.2">
      <c r="A213" s="3" t="str">
        <f>'Data 2009-15 (Real $2008)'!A$154</f>
        <v>Remotely read interval meters &amp; transformers</v>
      </c>
      <c r="B213" s="473"/>
      <c r="C213" s="308"/>
      <c r="D213" s="468"/>
      <c r="E213" s="468"/>
      <c r="F213" s="468"/>
      <c r="G213" s="468"/>
      <c r="H213" s="468"/>
      <c r="I213" s="468"/>
      <c r="J213" s="468"/>
      <c r="K213" s="468"/>
      <c r="L213" s="468"/>
      <c r="M213" s="468"/>
      <c r="N213" s="468"/>
      <c r="O213" s="468"/>
      <c r="P213" s="468"/>
      <c r="Q213" s="468"/>
      <c r="R213" s="468"/>
      <c r="S213" s="468"/>
      <c r="T213" s="468"/>
      <c r="U213" s="468"/>
      <c r="V213" s="468"/>
      <c r="W213" s="468"/>
      <c r="X213" s="468"/>
      <c r="Y213" s="468"/>
      <c r="Z213" s="468"/>
      <c r="AA213" s="468"/>
    </row>
    <row r="214" spans="1:27" outlineLevel="1" x14ac:dyDescent="0.2">
      <c r="A214" s="346" t="str">
        <f>$A$4</f>
        <v>($000 Real 2008)</v>
      </c>
      <c r="B214" s="474"/>
      <c r="C214" s="475"/>
      <c r="D214" s="460"/>
      <c r="E214" s="460"/>
      <c r="F214" s="460"/>
      <c r="G214" s="460"/>
      <c r="H214" s="460"/>
      <c r="I214" s="460"/>
      <c r="J214" s="460"/>
    </row>
    <row r="215" spans="1:27" outlineLevel="1" x14ac:dyDescent="0.2">
      <c r="A215" s="469">
        <v>2009</v>
      </c>
      <c r="B215" s="471"/>
      <c r="C215" s="470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</row>
    <row r="216" spans="1:27" outlineLevel="1" x14ac:dyDescent="0.2">
      <c r="A216" s="469">
        <v>2010</v>
      </c>
      <c r="B216" s="471"/>
      <c r="C216" s="470"/>
      <c r="D216" s="480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</row>
    <row r="217" spans="1:27" outlineLevel="1" x14ac:dyDescent="0.2">
      <c r="A217" s="469">
        <v>2011</v>
      </c>
      <c r="B217" s="471"/>
      <c r="C217" s="470"/>
      <c r="D217" s="480"/>
      <c r="E217" s="480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</row>
    <row r="218" spans="1:27" outlineLevel="1" x14ac:dyDescent="0.2">
      <c r="A218" s="469">
        <v>2012</v>
      </c>
      <c r="B218" s="471"/>
      <c r="C218" s="470"/>
      <c r="D218" s="480"/>
      <c r="E218" s="480"/>
      <c r="F218" s="480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</row>
    <row r="219" spans="1:27" outlineLevel="1" x14ac:dyDescent="0.2">
      <c r="A219" s="469">
        <v>2013</v>
      </c>
      <c r="B219" s="471"/>
      <c r="C219" s="470"/>
      <c r="D219" s="480"/>
      <c r="E219" s="480"/>
      <c r="F219" s="480"/>
      <c r="G219" s="480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</row>
    <row r="220" spans="1:27" outlineLevel="1" x14ac:dyDescent="0.2">
      <c r="A220" s="469">
        <v>2014</v>
      </c>
      <c r="B220" s="471"/>
      <c r="C220" s="470"/>
      <c r="D220" s="480"/>
      <c r="E220" s="480"/>
      <c r="F220" s="480"/>
      <c r="G220" s="480"/>
      <c r="H220" s="480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</row>
    <row r="221" spans="1:27" outlineLevel="1" x14ac:dyDescent="0.2">
      <c r="A221" s="469">
        <v>2015</v>
      </c>
      <c r="B221" s="471"/>
      <c r="C221" s="470"/>
      <c r="D221" s="480"/>
      <c r="E221" s="480"/>
      <c r="F221" s="480"/>
      <c r="G221" s="480"/>
      <c r="H221" s="480"/>
      <c r="I221" s="480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</row>
    <row r="222" spans="1:27" s="469" customFormat="1" outlineLevel="1" x14ac:dyDescent="0.2">
      <c r="B222" s="472"/>
      <c r="D222" s="697"/>
      <c r="E222" s="697"/>
      <c r="F222" s="697"/>
      <c r="G222" s="697"/>
      <c r="H222" s="896"/>
      <c r="I222" s="697"/>
      <c r="J222" s="697"/>
      <c r="K222" s="697"/>
      <c r="L222" s="697"/>
      <c r="M222" s="697"/>
      <c r="N222" s="697"/>
      <c r="O222" s="697"/>
      <c r="P222" s="697"/>
      <c r="Q222" s="697"/>
      <c r="R222" s="697"/>
      <c r="S222" s="697"/>
      <c r="T222" s="697"/>
      <c r="U222" s="697"/>
      <c r="V222" s="697"/>
      <c r="W222" s="697"/>
      <c r="X222" s="697"/>
      <c r="Y222" s="697"/>
      <c r="Z222" s="697"/>
      <c r="AA222" s="697"/>
    </row>
    <row r="223" spans="1:27" outlineLevel="1" x14ac:dyDescent="0.2">
      <c r="A223" s="465"/>
      <c r="B223" s="465"/>
      <c r="C223" s="465"/>
      <c r="D223" s="465"/>
      <c r="E223" s="465"/>
      <c r="F223" s="465"/>
      <c r="G223" s="465"/>
      <c r="H223" s="465"/>
      <c r="I223" s="465"/>
    </row>
    <row r="224" spans="1:27" outlineLevel="1" x14ac:dyDescent="0.2">
      <c r="A224" s="465"/>
      <c r="B224" s="465"/>
      <c r="C224" s="465"/>
      <c r="D224" s="465"/>
      <c r="E224" s="465"/>
      <c r="F224" s="465"/>
      <c r="G224" s="465"/>
      <c r="H224" s="465"/>
      <c r="I224" s="465"/>
    </row>
    <row r="225" spans="1:27" outlineLevel="1" x14ac:dyDescent="0.2">
      <c r="A225" s="346" t="s">
        <v>277</v>
      </c>
      <c r="B225" s="473"/>
      <c r="C225" s="308"/>
      <c r="D225" s="468"/>
      <c r="E225" s="468"/>
      <c r="F225" s="468"/>
      <c r="G225" s="468"/>
      <c r="H225" s="468"/>
      <c r="I225" s="468"/>
      <c r="J225" s="468"/>
      <c r="K225" s="468"/>
      <c r="L225" s="468"/>
      <c r="M225" s="468"/>
      <c r="N225" s="468"/>
      <c r="O225" s="468"/>
      <c r="P225" s="468"/>
      <c r="Q225" s="468"/>
      <c r="R225" s="468"/>
      <c r="S225" s="468"/>
      <c r="T225" s="468"/>
      <c r="U225" s="468"/>
      <c r="V225" s="468"/>
      <c r="W225" s="468"/>
      <c r="X225" s="468"/>
      <c r="Y225" s="468"/>
      <c r="Z225" s="468"/>
      <c r="AA225" s="468"/>
    </row>
    <row r="226" spans="1:27" outlineLevel="1" x14ac:dyDescent="0.2">
      <c r="A226" s="346" t="str">
        <f>$A$4</f>
        <v>($000 Real 2008)</v>
      </c>
      <c r="B226" s="474"/>
      <c r="C226" s="475"/>
      <c r="D226" s="460"/>
      <c r="E226" s="460"/>
      <c r="F226" s="460"/>
      <c r="G226" s="460"/>
      <c r="H226" s="460"/>
      <c r="I226" s="460"/>
      <c r="J226" s="460"/>
    </row>
    <row r="227" spans="1:27" outlineLevel="1" x14ac:dyDescent="0.2">
      <c r="A227" s="469">
        <v>2009</v>
      </c>
      <c r="B227" s="471"/>
      <c r="C227" s="470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</row>
    <row r="228" spans="1:27" outlineLevel="1" x14ac:dyDescent="0.2">
      <c r="A228" s="469">
        <v>2010</v>
      </c>
      <c r="B228" s="471"/>
      <c r="C228" s="470"/>
      <c r="D228" s="480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</row>
    <row r="229" spans="1:27" outlineLevel="1" x14ac:dyDescent="0.2">
      <c r="A229" s="469">
        <v>2011</v>
      </c>
      <c r="B229" s="471"/>
      <c r="C229" s="470"/>
      <c r="D229" s="480"/>
      <c r="E229" s="480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</row>
    <row r="230" spans="1:27" outlineLevel="1" x14ac:dyDescent="0.2">
      <c r="A230" s="469">
        <v>2012</v>
      </c>
      <c r="B230" s="471"/>
      <c r="C230" s="470"/>
      <c r="D230" s="480"/>
      <c r="E230" s="480"/>
      <c r="F230" s="480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</row>
    <row r="231" spans="1:27" outlineLevel="1" x14ac:dyDescent="0.2">
      <c r="A231" s="469">
        <v>2013</v>
      </c>
      <c r="B231" s="471"/>
      <c r="C231" s="470"/>
      <c r="D231" s="480"/>
      <c r="E231" s="480"/>
      <c r="F231" s="480"/>
      <c r="G231" s="480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</row>
    <row r="232" spans="1:27" outlineLevel="1" x14ac:dyDescent="0.2">
      <c r="A232" s="469">
        <v>2014</v>
      </c>
      <c r="B232" s="471"/>
      <c r="C232" s="470"/>
      <c r="D232" s="480"/>
      <c r="E232" s="480"/>
      <c r="F232" s="480"/>
      <c r="G232" s="480"/>
      <c r="H232" s="480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</row>
    <row r="233" spans="1:27" outlineLevel="1" x14ac:dyDescent="0.2">
      <c r="A233" s="469">
        <v>2015</v>
      </c>
      <c r="B233" s="471"/>
      <c r="C233" s="470"/>
      <c r="D233" s="480"/>
      <c r="E233" s="480"/>
      <c r="F233" s="480"/>
      <c r="G233" s="480"/>
      <c r="H233" s="480"/>
      <c r="I233" s="480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</row>
    <row r="234" spans="1:27" s="469" customFormat="1" outlineLevel="1" x14ac:dyDescent="0.2">
      <c r="B234" s="472"/>
      <c r="D234" s="697"/>
      <c r="E234" s="697"/>
      <c r="F234" s="697"/>
      <c r="G234" s="697"/>
      <c r="H234" s="697"/>
      <c r="I234" s="697"/>
      <c r="J234" s="697"/>
      <c r="K234" s="697"/>
      <c r="L234" s="697"/>
      <c r="M234" s="697"/>
      <c r="N234" s="697"/>
      <c r="O234" s="697"/>
      <c r="P234" s="697"/>
      <c r="Q234" s="697"/>
      <c r="R234" s="697"/>
      <c r="S234" s="697"/>
      <c r="T234" s="697"/>
      <c r="U234" s="697"/>
      <c r="V234" s="697"/>
      <c r="W234" s="697"/>
      <c r="X234" s="697"/>
      <c r="Y234" s="697"/>
      <c r="Z234" s="697"/>
      <c r="AA234" s="697"/>
    </row>
    <row r="235" spans="1:27" outlineLevel="1" x14ac:dyDescent="0.2">
      <c r="A235" s="465"/>
      <c r="B235" s="465"/>
      <c r="C235" s="465"/>
      <c r="D235" s="465"/>
      <c r="E235" s="465"/>
      <c r="F235" s="465"/>
      <c r="G235" s="465"/>
      <c r="H235" s="465"/>
      <c r="I235" s="465"/>
    </row>
    <row r="236" spans="1:27" outlineLevel="1" x14ac:dyDescent="0.2">
      <c r="A236" s="465"/>
      <c r="B236" s="465"/>
      <c r="C236" s="465"/>
      <c r="D236" s="465"/>
      <c r="E236" s="465"/>
      <c r="F236" s="465"/>
      <c r="G236" s="465"/>
      <c r="H236" s="465"/>
      <c r="I236" s="465"/>
    </row>
    <row r="237" spans="1:27" outlineLevel="1" x14ac:dyDescent="0.2">
      <c r="A237" s="346" t="s">
        <v>279</v>
      </c>
      <c r="B237" s="473"/>
      <c r="C237" s="308"/>
      <c r="D237" s="468"/>
      <c r="E237" s="468"/>
      <c r="F237" s="468"/>
      <c r="G237" s="468"/>
      <c r="H237" s="468"/>
      <c r="I237" s="468"/>
      <c r="J237" s="468"/>
      <c r="K237" s="468"/>
      <c r="L237" s="468"/>
      <c r="M237" s="468"/>
      <c r="N237" s="468"/>
      <c r="O237" s="468"/>
      <c r="P237" s="468"/>
      <c r="Q237" s="468"/>
      <c r="R237" s="468"/>
      <c r="S237" s="468"/>
      <c r="T237" s="468"/>
      <c r="U237" s="468"/>
      <c r="V237" s="468"/>
      <c r="W237" s="468"/>
      <c r="X237" s="468"/>
      <c r="Y237" s="468"/>
      <c r="Z237" s="468"/>
      <c r="AA237" s="468"/>
    </row>
    <row r="238" spans="1:27" outlineLevel="1" x14ac:dyDescent="0.2">
      <c r="A238" s="346" t="str">
        <f>$A$4</f>
        <v>($000 Real 2008)</v>
      </c>
      <c r="B238" s="474"/>
      <c r="C238" s="475"/>
      <c r="D238" s="460"/>
      <c r="E238" s="460"/>
      <c r="F238" s="460"/>
      <c r="G238" s="460"/>
      <c r="H238" s="460"/>
      <c r="I238" s="460"/>
      <c r="J238" s="460"/>
    </row>
    <row r="239" spans="1:27" outlineLevel="1" x14ac:dyDescent="0.2">
      <c r="A239" s="469">
        <v>2009</v>
      </c>
      <c r="B239" s="471"/>
      <c r="C239" s="470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</row>
    <row r="240" spans="1:27" outlineLevel="1" x14ac:dyDescent="0.2">
      <c r="A240" s="469">
        <v>2010</v>
      </c>
      <c r="B240" s="471"/>
      <c r="C240" s="470"/>
      <c r="D240" s="480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</row>
    <row r="241" spans="1:27" outlineLevel="1" x14ac:dyDescent="0.2">
      <c r="A241" s="469">
        <v>2011</v>
      </c>
      <c r="B241" s="471"/>
      <c r="C241" s="470"/>
      <c r="D241" s="480"/>
      <c r="E241" s="480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</row>
    <row r="242" spans="1:27" outlineLevel="1" x14ac:dyDescent="0.2">
      <c r="A242" s="469">
        <v>2012</v>
      </c>
      <c r="B242" s="471"/>
      <c r="C242" s="470"/>
      <c r="D242" s="480"/>
      <c r="E242" s="480"/>
      <c r="F242" s="480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</row>
    <row r="243" spans="1:27" outlineLevel="1" x14ac:dyDescent="0.2">
      <c r="A243" s="469">
        <v>2013</v>
      </c>
      <c r="B243" s="899"/>
      <c r="C243" s="900"/>
      <c r="D243" s="480"/>
      <c r="E243" s="480"/>
      <c r="F243" s="480"/>
      <c r="G243" s="480"/>
      <c r="H243" s="108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</row>
    <row r="244" spans="1:27" outlineLevel="1" x14ac:dyDescent="0.2">
      <c r="A244" s="469">
        <v>2014</v>
      </c>
      <c r="B244" s="471"/>
      <c r="C244" s="470"/>
      <c r="D244" s="480"/>
      <c r="E244" s="480"/>
      <c r="F244" s="480"/>
      <c r="G244" s="480"/>
      <c r="H244" s="480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</row>
    <row r="245" spans="1:27" outlineLevel="1" x14ac:dyDescent="0.2">
      <c r="A245" s="469">
        <v>2015</v>
      </c>
      <c r="B245" s="471"/>
      <c r="C245" s="470"/>
      <c r="D245" s="480"/>
      <c r="E245" s="480"/>
      <c r="F245" s="480"/>
      <c r="G245" s="480"/>
      <c r="H245" s="480"/>
      <c r="I245" s="480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</row>
    <row r="246" spans="1:27" s="469" customFormat="1" outlineLevel="1" x14ac:dyDescent="0.2">
      <c r="B246" s="472"/>
      <c r="D246" s="697"/>
      <c r="E246" s="697"/>
      <c r="F246" s="697"/>
      <c r="G246" s="697"/>
      <c r="H246" s="697"/>
      <c r="I246" s="697"/>
      <c r="J246" s="697"/>
      <c r="K246" s="697"/>
      <c r="L246" s="697"/>
      <c r="M246" s="697"/>
      <c r="N246" s="697"/>
      <c r="O246" s="697"/>
      <c r="P246" s="697"/>
      <c r="Q246" s="697"/>
      <c r="R246" s="697"/>
      <c r="S246" s="697"/>
      <c r="T246" s="697"/>
      <c r="U246" s="697"/>
      <c r="V246" s="697"/>
      <c r="W246" s="697"/>
      <c r="X246" s="697"/>
      <c r="Y246" s="697"/>
      <c r="Z246" s="697"/>
      <c r="AA246" s="697"/>
    </row>
    <row r="247" spans="1:27" outlineLevel="1" x14ac:dyDescent="0.2">
      <c r="A247" s="465"/>
      <c r="B247" s="465"/>
      <c r="C247" s="465"/>
      <c r="D247" s="465"/>
      <c r="E247" s="465"/>
      <c r="F247" s="465"/>
      <c r="G247" s="465"/>
      <c r="H247" s="465"/>
      <c r="I247" s="465"/>
    </row>
    <row r="248" spans="1:27" outlineLevel="1" x14ac:dyDescent="0.2">
      <c r="A248" s="465"/>
      <c r="B248" s="465"/>
      <c r="C248" s="465"/>
      <c r="D248" s="465"/>
      <c r="E248" s="465"/>
      <c r="F248" s="465"/>
      <c r="G248" s="465"/>
      <c r="H248" s="465"/>
      <c r="I248" s="465"/>
    </row>
    <row r="249" spans="1:27" outlineLevel="1" x14ac:dyDescent="0.2">
      <c r="A249" s="346" t="s">
        <v>278</v>
      </c>
      <c r="B249" s="473"/>
      <c r="C249" s="308"/>
      <c r="D249" s="468"/>
      <c r="E249" s="468"/>
      <c r="F249" s="468"/>
      <c r="G249" s="468"/>
      <c r="H249" s="468"/>
      <c r="I249" s="468"/>
      <c r="J249" s="468"/>
      <c r="K249" s="468"/>
      <c r="L249" s="468"/>
      <c r="M249" s="468"/>
      <c r="N249" s="468"/>
      <c r="O249" s="468"/>
      <c r="P249" s="468"/>
      <c r="Q249" s="468"/>
      <c r="R249" s="468"/>
      <c r="S249" s="468"/>
      <c r="T249" s="468"/>
      <c r="U249" s="468"/>
      <c r="V249" s="468"/>
      <c r="W249" s="468"/>
      <c r="X249" s="468"/>
      <c r="Y249" s="468"/>
      <c r="Z249" s="468"/>
      <c r="AA249" s="468"/>
    </row>
    <row r="250" spans="1:27" outlineLevel="1" x14ac:dyDescent="0.2">
      <c r="A250" s="346" t="str">
        <f>$A$4</f>
        <v>($000 Real 2008)</v>
      </c>
      <c r="B250" s="474"/>
      <c r="C250" s="475"/>
      <c r="D250" s="460"/>
      <c r="E250" s="460"/>
      <c r="F250" s="460"/>
      <c r="G250" s="460"/>
      <c r="H250" s="460"/>
      <c r="I250" s="460"/>
      <c r="J250" s="460"/>
    </row>
    <row r="251" spans="1:27" outlineLevel="1" x14ac:dyDescent="0.2">
      <c r="A251" s="469">
        <v>2009</v>
      </c>
      <c r="B251" s="471"/>
      <c r="C251" s="470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</row>
    <row r="252" spans="1:27" outlineLevel="1" x14ac:dyDescent="0.2">
      <c r="A252" s="469">
        <v>2010</v>
      </c>
      <c r="B252" s="471"/>
      <c r="C252" s="470"/>
      <c r="D252" s="480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</row>
    <row r="253" spans="1:27" outlineLevel="1" x14ac:dyDescent="0.2">
      <c r="A253" s="469">
        <v>2011</v>
      </c>
      <c r="B253" s="471"/>
      <c r="C253" s="470"/>
      <c r="D253" s="480"/>
      <c r="E253" s="480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</row>
    <row r="254" spans="1:27" outlineLevel="1" x14ac:dyDescent="0.2">
      <c r="A254" s="469">
        <v>2012</v>
      </c>
      <c r="B254" s="471"/>
      <c r="C254" s="470"/>
      <c r="D254" s="480"/>
      <c r="E254" s="480"/>
      <c r="F254" s="480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</row>
    <row r="255" spans="1:27" outlineLevel="1" x14ac:dyDescent="0.2">
      <c r="A255" s="469">
        <v>2013</v>
      </c>
      <c r="B255" s="471"/>
      <c r="C255" s="470"/>
      <c r="D255" s="480"/>
      <c r="E255" s="480"/>
      <c r="F255" s="480"/>
      <c r="G255" s="480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</row>
    <row r="256" spans="1:27" outlineLevel="1" x14ac:dyDescent="0.2">
      <c r="A256" s="469">
        <v>2014</v>
      </c>
      <c r="B256" s="471"/>
      <c r="C256" s="470"/>
      <c r="D256" s="480"/>
      <c r="E256" s="480"/>
      <c r="F256" s="480"/>
      <c r="G256" s="480"/>
      <c r="H256" s="480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</row>
    <row r="257" spans="1:27" outlineLevel="1" x14ac:dyDescent="0.2">
      <c r="A257" s="469">
        <v>2015</v>
      </c>
      <c r="B257" s="471"/>
      <c r="C257" s="470"/>
      <c r="D257" s="480"/>
      <c r="E257" s="480"/>
      <c r="F257" s="480"/>
      <c r="G257" s="480"/>
      <c r="H257" s="480"/>
      <c r="I257" s="480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</row>
    <row r="258" spans="1:27" s="469" customFormat="1" outlineLevel="1" x14ac:dyDescent="0.2">
      <c r="B258" s="472"/>
      <c r="D258" s="697"/>
      <c r="E258" s="697"/>
      <c r="F258" s="697"/>
      <c r="G258" s="697"/>
      <c r="H258" s="697"/>
      <c r="I258" s="697"/>
      <c r="J258" s="697"/>
      <c r="K258" s="697"/>
      <c r="L258" s="697"/>
      <c r="M258" s="697"/>
      <c r="N258" s="697"/>
      <c r="O258" s="697"/>
      <c r="P258" s="697"/>
      <c r="Q258" s="697"/>
      <c r="R258" s="697"/>
      <c r="S258" s="697"/>
      <c r="T258" s="697"/>
      <c r="U258" s="697"/>
      <c r="V258" s="697"/>
      <c r="W258" s="697"/>
      <c r="X258" s="697"/>
      <c r="Y258" s="697"/>
      <c r="Z258" s="697"/>
      <c r="AA258" s="697"/>
    </row>
    <row r="259" spans="1:27" outlineLevel="1" x14ac:dyDescent="0.2"/>
    <row r="260" spans="1:27" outlineLevel="1" x14ac:dyDescent="0.2"/>
    <row r="261" spans="1:27" ht="13.5" outlineLevel="1" thickBot="1" x14ac:dyDescent="0.25">
      <c r="A261" s="476" t="s">
        <v>45</v>
      </c>
      <c r="B261" s="477"/>
      <c r="C261" s="476"/>
      <c r="D261" s="479"/>
      <c r="E261" s="479"/>
      <c r="F261" s="479"/>
      <c r="G261" s="479"/>
      <c r="H261" s="898"/>
      <c r="I261" s="479"/>
      <c r="J261" s="479"/>
      <c r="K261" s="479"/>
      <c r="L261" s="479"/>
      <c r="M261" s="479"/>
      <c r="N261" s="479"/>
      <c r="O261" s="479"/>
      <c r="P261" s="479"/>
      <c r="Q261" s="479"/>
      <c r="R261" s="479"/>
      <c r="S261" s="479"/>
      <c r="T261" s="479"/>
      <c r="U261" s="479"/>
      <c r="V261" s="479"/>
      <c r="W261" s="479"/>
      <c r="X261" s="479"/>
      <c r="Y261" s="479"/>
      <c r="Z261" s="479"/>
      <c r="AA261" s="479"/>
    </row>
    <row r="262" spans="1:27" ht="13.5" thickTop="1" x14ac:dyDescent="0.2"/>
  </sheetData>
  <sheetProtection sheet="1" objects="1" scenarios="1"/>
  <phoneticPr fontId="2" type="noConversion"/>
  <pageMargins left="0.75" right="0.75" top="1" bottom="1" header="0.5" footer="0.5"/>
  <pageSetup paperSize="8" scale="4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Instructions</vt:lpstr>
      <vt:lpstr>DNSP Data Inputs 2012-15</vt:lpstr>
      <vt:lpstr>Data 2006-08</vt:lpstr>
      <vt:lpstr>Data 2009-11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'Data 2009-11'!Print_Area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2013-09-02T05:56:14Z</dcterms:created>
  <dcterms:modified xsi:type="dcterms:W3CDTF">2013-09-02T05:59:32Z</dcterms:modified>
</cp:coreProperties>
</file>