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orpStrategy\_RegNew\01_Reset 2020-25\09_Opex\05a_Revised Proposal Forecast workings\"/>
    </mc:Choice>
  </mc:AlternateContent>
  <xr:revisionPtr revIDLastSave="0" documentId="13_ncr:1_{F5ADA131-1365-4D8C-8A9B-605F729C4923}" xr6:coauthVersionLast="45" xr6:coauthVersionMax="45" xr10:uidLastSave="{00000000-0000-0000-0000-000000000000}"/>
  <bookViews>
    <workbookView xWindow="28680" yWindow="-120" windowWidth="29040" windowHeight="16440" tabRatio="80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2" i="42" l="1"/>
  <c r="U100" i="42"/>
  <c r="J47" i="58"/>
  <c r="F64" i="55"/>
  <c r="F62" i="55"/>
  <c r="F60" i="55"/>
  <c r="F61" i="55" s="1"/>
  <c r="F63" i="55"/>
  <c r="F59" i="55" l="1"/>
  <c r="G15" i="16"/>
  <c r="G60" i="55" l="1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64" i="55" l="1"/>
  <c r="G62" i="55" l="1"/>
  <c r="G63" i="55"/>
  <c r="G61" i="55"/>
  <c r="Q38" i="2" l="1"/>
  <c r="R38" i="2"/>
  <c r="S38" i="2"/>
  <c r="T38" i="2"/>
  <c r="P38" i="2"/>
  <c r="F47" i="58" l="1"/>
  <c r="F42" i="58"/>
  <c r="F43" i="58"/>
  <c r="F44" i="58"/>
  <c r="F45" i="58"/>
  <c r="F41" i="58"/>
  <c r="C78" i="4" l="1"/>
  <c r="K47" i="58" l="1"/>
  <c r="L47" i="58"/>
  <c r="N47" i="58"/>
  <c r="O47" i="58"/>
  <c r="P47" i="58"/>
  <c r="Q47" i="58"/>
  <c r="R47" i="58"/>
  <c r="S47" i="58"/>
  <c r="W56" i="58"/>
  <c r="W29" i="58"/>
  <c r="C95" i="2" l="1" a="1"/>
  <c r="C98" i="2" s="1"/>
  <c r="T91" i="2" a="1"/>
  <c r="T91" i="2" s="1"/>
  <c r="S91" i="2" a="1"/>
  <c r="S91" i="2" s="1"/>
  <c r="R91" i="2" a="1"/>
  <c r="R91" i="2" s="1"/>
  <c r="Q91" i="2" a="1"/>
  <c r="Q91" i="2" s="1"/>
  <c r="P91" i="2" a="1"/>
  <c r="P91" i="2" s="1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C89" i="2"/>
  <c r="C88" i="2"/>
  <c r="C87" i="2"/>
  <c r="C86" i="2"/>
  <c r="C85" i="2"/>
  <c r="C84" i="2"/>
  <c r="W91" i="2" l="1"/>
  <c r="C95" i="2"/>
  <c r="C96" i="2"/>
  <c r="C97" i="2"/>
  <c r="S1" i="58" l="1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 l="1"/>
  <c r="G72" i="4" s="1"/>
  <c r="G73" i="4" s="1"/>
  <c r="G74" i="4" s="1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N4" i="42"/>
  <c r="M4" i="42"/>
  <c r="M35" i="42" s="1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J75" i="2"/>
  <c r="K75" i="2"/>
  <c r="L75" i="2"/>
  <c r="M75" i="2"/>
  <c r="O75" i="2"/>
  <c r="P75" i="2"/>
  <c r="Q75" i="2"/>
  <c r="R75" i="2"/>
  <c r="S75" i="2"/>
  <c r="T75" i="2"/>
  <c r="N75" i="2"/>
  <c r="N34" i="58" l="1"/>
  <c r="R34" i="58"/>
  <c r="R96" i="2"/>
  <c r="R95" i="2"/>
  <c r="R98" i="2"/>
  <c r="R97" i="2"/>
  <c r="K97" i="2"/>
  <c r="K96" i="2"/>
  <c r="K95" i="2"/>
  <c r="K98" i="2"/>
  <c r="O97" i="2"/>
  <c r="O96" i="2"/>
  <c r="O95" i="2"/>
  <c r="O98" i="2"/>
  <c r="S97" i="2"/>
  <c r="S96" i="2"/>
  <c r="S95" i="2"/>
  <c r="S98" i="2"/>
  <c r="L98" i="2"/>
  <c r="L97" i="2"/>
  <c r="L96" i="2"/>
  <c r="L95" i="2"/>
  <c r="P98" i="2"/>
  <c r="P97" i="2"/>
  <c r="P96" i="2"/>
  <c r="P95" i="2"/>
  <c r="T98" i="2"/>
  <c r="T97" i="2"/>
  <c r="T95" i="2"/>
  <c r="T96" i="2"/>
  <c r="N96" i="2"/>
  <c r="N97" i="2"/>
  <c r="N98" i="2"/>
  <c r="N95" i="2"/>
  <c r="M95" i="2"/>
  <c r="M98" i="2"/>
  <c r="M97" i="2"/>
  <c r="M96" i="2"/>
  <c r="Q95" i="2"/>
  <c r="Q98" i="2"/>
  <c r="Q97" i="2"/>
  <c r="Q96" i="2"/>
  <c r="J96" i="2"/>
  <c r="J97" i="2"/>
  <c r="J95" i="2"/>
  <c r="J98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O49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9" i="42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 l="1"/>
  <c r="M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M58" i="42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J68" i="42" l="1" a="1"/>
  <c r="J68" i="42" s="1"/>
  <c r="J61" i="42"/>
  <c r="L68" i="42" a="1"/>
  <c r="L68" i="42" s="1"/>
  <c r="L61" i="42"/>
  <c r="M61" i="42"/>
  <c r="K68" i="42" a="1"/>
  <c r="K68" i="42" s="1"/>
  <c r="K61" i="42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s="1" a="1"/>
  <c r="M68" i="42" s="1"/>
  <c r="N68" i="42" l="1" a="1"/>
  <c r="N68" i="42" s="1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N20" i="2"/>
  <c r="J16" i="2"/>
  <c r="K16" i="2" s="1"/>
  <c r="K25" i="2" s="1"/>
  <c r="K17" i="2"/>
  <c r="K26" i="2" s="1"/>
  <c r="L18" i="2"/>
  <c r="D21" i="2"/>
  <c r="E21" i="2"/>
  <c r="D17" i="2"/>
  <c r="E17" i="2"/>
  <c r="E18" i="2"/>
  <c r="D18" i="2"/>
  <c r="E30" i="2"/>
  <c r="D30" i="2"/>
  <c r="S30" i="2"/>
  <c r="R13" i="42" s="1"/>
  <c r="R26" i="42" s="1"/>
  <c r="R30" i="2"/>
  <c r="Q30" i="2"/>
  <c r="P13" i="42" s="1"/>
  <c r="P26" i="42" s="1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L27" i="2"/>
  <c r="S27" i="2"/>
  <c r="R27" i="2"/>
  <c r="S13" i="42" l="1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M47" i="58" s="1"/>
  <c r="N19" i="2"/>
  <c r="N28" i="2" s="1"/>
  <c r="Q13" i="42"/>
  <c r="Q26" i="42" s="1"/>
  <c r="J25" i="2"/>
  <c r="N29" i="2"/>
  <c r="M12" i="42" l="1"/>
  <c r="M13" i="42" s="1"/>
  <c r="M26" i="42" s="1"/>
  <c r="M20" i="42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P28" i="2"/>
  <c r="O20" i="42" s="1"/>
  <c r="P26" i="2"/>
  <c r="P27" i="2"/>
  <c r="M30" i="2"/>
  <c r="M27" i="2"/>
  <c r="N16" i="2" l="1"/>
  <c r="O16" i="2" s="1"/>
  <c r="N13" i="42"/>
  <c r="N26" i="42" s="1"/>
  <c r="O26" i="42"/>
  <c r="L20" i="42"/>
  <c r="L13" i="42"/>
  <c r="L26" i="42" s="1"/>
  <c r="K21" i="2"/>
  <c r="O18" i="2"/>
  <c r="J19" i="2"/>
  <c r="J28" i="2" s="1"/>
  <c r="N17" i="2"/>
  <c r="M26" i="2"/>
  <c r="K20" i="2"/>
  <c r="K29" i="2" s="1"/>
  <c r="L30" i="2"/>
  <c r="L24" i="42" l="1"/>
  <c r="N22" i="42"/>
  <c r="J24" i="42"/>
  <c r="M24" i="42"/>
  <c r="J22" i="42"/>
  <c r="N25" i="2"/>
  <c r="L22" i="42"/>
  <c r="P22" i="42"/>
  <c r="S17" i="42"/>
  <c r="N24" i="42"/>
  <c r="Q22" i="42"/>
  <c r="K17" i="42"/>
  <c r="S22" i="42"/>
  <c r="Q24" i="42"/>
  <c r="S15" i="42"/>
  <c r="O74" i="42"/>
  <c r="M38" i="42"/>
  <c r="O38" i="42"/>
  <c r="S38" i="42"/>
  <c r="Q38" i="42"/>
  <c r="L38" i="42"/>
  <c r="K74" i="42"/>
  <c r="R38" i="42"/>
  <c r="R74" i="42"/>
  <c r="P74" i="42"/>
  <c r="P38" i="42"/>
  <c r="J74" i="42"/>
  <c r="M74" i="42"/>
  <c r="L74" i="42"/>
  <c r="J38" i="42"/>
  <c r="S74" i="42"/>
  <c r="N38" i="42"/>
  <c r="Q74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M29" i="42" s="1"/>
  <c r="N26" i="2"/>
  <c r="O27" i="2"/>
  <c r="P25" i="2"/>
  <c r="O25" i="2"/>
  <c r="K30" i="2"/>
  <c r="J79" i="42" l="1"/>
  <c r="L76" i="42"/>
  <c r="Q82" i="42"/>
  <c r="N82" i="42"/>
  <c r="Q29" i="42"/>
  <c r="J78" i="42"/>
  <c r="K80" i="42"/>
  <c r="S90" i="42"/>
  <c r="Q76" i="42"/>
  <c r="P29" i="42"/>
  <c r="P50" i="42"/>
  <c r="K44" i="42"/>
  <c r="M92" i="42"/>
  <c r="M16" i="44" s="1"/>
  <c r="Q80" i="42"/>
  <c r="J76" i="42"/>
  <c r="O80" i="42"/>
  <c r="K41" i="42"/>
  <c r="P75" i="42"/>
  <c r="M76" i="42"/>
  <c r="R29" i="42"/>
  <c r="S92" i="42"/>
  <c r="S16" i="44" s="1"/>
  <c r="K91" i="42"/>
  <c r="S47" i="42"/>
  <c r="M44" i="42"/>
  <c r="J82" i="42"/>
  <c r="L90" i="42"/>
  <c r="M81" i="42"/>
  <c r="Q79" i="42"/>
  <c r="Q92" i="42"/>
  <c r="Q16" i="44" s="1"/>
  <c r="R47" i="42"/>
  <c r="J47" i="42"/>
  <c r="N79" i="42"/>
  <c r="L80" i="42"/>
  <c r="K47" i="42"/>
  <c r="M91" i="42"/>
  <c r="M15" i="44" s="1"/>
  <c r="N76" i="42"/>
  <c r="J80" i="42"/>
  <c r="S75" i="42"/>
  <c r="O29" i="42"/>
  <c r="M50" i="42"/>
  <c r="J90" i="42"/>
  <c r="L92" i="42"/>
  <c r="J41" i="42"/>
  <c r="L78" i="42"/>
  <c r="Q44" i="42"/>
  <c r="O82" i="42"/>
  <c r="K81" i="42"/>
  <c r="L82" i="42"/>
  <c r="Q41" i="42"/>
  <c r="Q75" i="42"/>
  <c r="Q50" i="42"/>
  <c r="J92" i="42"/>
  <c r="O77" i="42"/>
  <c r="O90" i="42"/>
  <c r="O14" i="44" s="1"/>
  <c r="N41" i="42"/>
  <c r="P44" i="42"/>
  <c r="P90" i="42"/>
  <c r="L29" i="42"/>
  <c r="N78" i="42"/>
  <c r="N75" i="42"/>
  <c r="O76" i="42"/>
  <c r="K90" i="42"/>
  <c r="M90" i="42"/>
  <c r="N47" i="42"/>
  <c r="P82" i="42"/>
  <c r="L50" i="42"/>
  <c r="N50" i="42"/>
  <c r="J81" i="42"/>
  <c r="L77" i="42"/>
  <c r="S91" i="42"/>
  <c r="S15" i="44" s="1"/>
  <c r="P77" i="42"/>
  <c r="O75" i="42"/>
  <c r="N44" i="42"/>
  <c r="P91" i="42"/>
  <c r="P15" i="44" s="1"/>
  <c r="Q77" i="42"/>
  <c r="Q91" i="42"/>
  <c r="Q15" i="44" s="1"/>
  <c r="J77" i="42"/>
  <c r="K50" i="42"/>
  <c r="N29" i="42"/>
  <c r="R76" i="42"/>
  <c r="J50" i="42"/>
  <c r="R90" i="42"/>
  <c r="R14" i="44" s="1"/>
  <c r="P76" i="42"/>
  <c r="L44" i="42"/>
  <c r="L47" i="42"/>
  <c r="R75" i="42"/>
  <c r="S41" i="42"/>
  <c r="O79" i="42"/>
  <c r="N91" i="42"/>
  <c r="N15" i="44" s="1"/>
  <c r="O91" i="42"/>
  <c r="O15" i="44" s="1"/>
  <c r="R44" i="42"/>
  <c r="R91" i="42"/>
  <c r="R15" i="44" s="1"/>
  <c r="R50" i="42"/>
  <c r="K82" i="42"/>
  <c r="O81" i="42"/>
  <c r="S77" i="42"/>
  <c r="O92" i="42"/>
  <c r="O16" i="44" s="1"/>
  <c r="R92" i="42"/>
  <c r="R16" i="44" s="1"/>
  <c r="N77" i="42"/>
  <c r="N81" i="42"/>
  <c r="K78" i="42"/>
  <c r="L79" i="42"/>
  <c r="M41" i="42"/>
  <c r="M78" i="42"/>
  <c r="L91" i="42"/>
  <c r="N90" i="42"/>
  <c r="P47" i="42"/>
  <c r="R81" i="42"/>
  <c r="Q81" i="42"/>
  <c r="M47" i="42"/>
  <c r="S76" i="42"/>
  <c r="P81" i="42"/>
  <c r="R41" i="42"/>
  <c r="S79" i="42"/>
  <c r="L41" i="42"/>
  <c r="J29" i="42"/>
  <c r="P41" i="42"/>
  <c r="J91" i="42"/>
  <c r="Q47" i="42"/>
  <c r="O47" i="42"/>
  <c r="K92" i="42"/>
  <c r="S82" i="42"/>
  <c r="L75" i="42"/>
  <c r="S50" i="42"/>
  <c r="M82" i="42"/>
  <c r="O50" i="42"/>
  <c r="O44" i="42"/>
  <c r="L81" i="42"/>
  <c r="O41" i="42"/>
  <c r="P92" i="42"/>
  <c r="P16" i="44" s="1"/>
  <c r="N80" i="42"/>
  <c r="K75" i="42"/>
  <c r="S81" i="42"/>
  <c r="M80" i="42"/>
  <c r="R82" i="42"/>
  <c r="K76" i="42"/>
  <c r="J44" i="42"/>
  <c r="R77" i="42"/>
  <c r="M77" i="42"/>
  <c r="S80" i="42"/>
  <c r="R80" i="42"/>
  <c r="Q90" i="42"/>
  <c r="P79" i="42"/>
  <c r="K77" i="42"/>
  <c r="J75" i="42"/>
  <c r="M79" i="42"/>
  <c r="K29" i="42"/>
  <c r="S44" i="42"/>
  <c r="R79" i="42"/>
  <c r="S29" i="42"/>
  <c r="M75" i="42"/>
  <c r="P80" i="42"/>
  <c r="N92" i="42"/>
  <c r="N16" i="44" s="1"/>
  <c r="K79" i="42"/>
  <c r="N14" i="44"/>
  <c r="P14" i="44"/>
  <c r="M14" i="44"/>
  <c r="J13" i="42"/>
  <c r="J26" i="42" s="1"/>
  <c r="J20" i="42"/>
  <c r="O26" i="2"/>
  <c r="S52" i="42" l="1"/>
  <c r="S54" i="42" s="1"/>
  <c r="P52" i="42"/>
  <c r="P54" i="42" s="1"/>
  <c r="R52" i="42"/>
  <c r="R54" i="42" s="1"/>
  <c r="Q52" i="42"/>
  <c r="Q54" i="42" s="1"/>
  <c r="Q94" i="42"/>
  <c r="K52" i="42"/>
  <c r="K54" i="42" s="1"/>
  <c r="L94" i="42"/>
  <c r="M94" i="42"/>
  <c r="P94" i="42"/>
  <c r="K94" i="42"/>
  <c r="N94" i="42"/>
  <c r="S94" i="42"/>
  <c r="M84" i="42"/>
  <c r="J84" i="42"/>
  <c r="R94" i="42"/>
  <c r="N84" i="42"/>
  <c r="Q14" i="44"/>
  <c r="S14" i="44"/>
  <c r="K84" i="42"/>
  <c r="L84" i="42"/>
  <c r="O94" i="42"/>
  <c r="J52" i="42"/>
  <c r="J54" i="42" s="1"/>
  <c r="J94" i="42"/>
  <c r="O33" i="42"/>
  <c r="O52" i="42" s="1"/>
  <c r="L35" i="42"/>
  <c r="O35" i="42"/>
  <c r="L33" i="42"/>
  <c r="L52" i="42" s="1"/>
  <c r="N35" i="42"/>
  <c r="O54" i="42" l="1"/>
  <c r="L54" i="42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1" i="42"/>
  <c r="N100" i="42"/>
  <c r="N13" i="44" s="1"/>
  <c r="N102" i="42"/>
  <c r="Q22" i="53" l="1"/>
  <c r="Q78" i="42"/>
  <c r="Q84" i="42" s="1"/>
  <c r="R22" i="53"/>
  <c r="R78" i="42"/>
  <c r="R84" i="42" s="1"/>
  <c r="P22" i="53"/>
  <c r="P78" i="42"/>
  <c r="P84" i="42" s="1"/>
  <c r="O22" i="53"/>
  <c r="O78" i="42"/>
  <c r="O84" i="42" s="1"/>
  <c r="S22" i="53"/>
  <c r="S78" i="42"/>
  <c r="S84" i="42" s="1"/>
  <c r="S101" i="42" l="1"/>
  <c r="S100" i="42"/>
  <c r="S13" i="44" s="1"/>
  <c r="Q101" i="42"/>
  <c r="Q100" i="42"/>
  <c r="Q13" i="44" s="1"/>
  <c r="W22" i="53"/>
  <c r="S1" i="53" s="1"/>
  <c r="G14" i="16" s="1"/>
  <c r="S1" i="16" s="1"/>
  <c r="R100" i="42"/>
  <c r="R13" i="44" s="1"/>
  <c r="R101" i="42"/>
  <c r="O100" i="42"/>
  <c r="O13" i="44" s="1"/>
  <c r="O101" i="42"/>
  <c r="P101" i="42"/>
  <c r="P100" i="42"/>
  <c r="P13" i="44" s="1"/>
  <c r="P102" i="42" l="1"/>
  <c r="R102" i="42"/>
  <c r="Q102" i="42"/>
  <c r="V1" i="44"/>
  <c r="V1" i="54"/>
  <c r="V1" i="53"/>
  <c r="V1" i="42"/>
  <c r="W1" i="55"/>
  <c r="W1" i="2"/>
  <c r="V1" i="58"/>
  <c r="V1" i="4"/>
  <c r="O102" i="42"/>
  <c r="S102" i="42"/>
</calcChain>
</file>

<file path=xl/sharedStrings.xml><?xml version="1.0" encoding="utf-8"?>
<sst xmlns="http://schemas.openxmlformats.org/spreadsheetml/2006/main" count="711" uniqueCount="218">
  <si>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</si>
  <si>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</si>
  <si>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</si>
  <si>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</si>
  <si>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</si>
  <si>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</si>
  <si>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</si>
  <si>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</si>
  <si>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</si>
  <si>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</si>
  <si>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</si>
  <si>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</si>
  <si>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</si>
  <si>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</si>
  <si>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</si>
  <si>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</si>
  <si>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</si>
  <si>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</si>
  <si>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</si>
  <si>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</si>
  <si>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</si>
  <si>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</si>
  <si>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</si>
  <si>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</si>
  <si>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</si>
  <si>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</si>
  <si>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</si>
  <si>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</si>
  <si>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</si>
  <si>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</si>
  <si>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</si>
  <si>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</si>
  <si>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</si>
  <si>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</si>
  <si>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</si>
  <si>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</si>
  <si>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</si>
  <si>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</si>
  <si>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</si>
  <si>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</si>
  <si>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</si>
  <si>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</si>
  <si>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</si>
  <si>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</si>
  <si>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</si>
  <si>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</si>
  <si>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</si>
  <si>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</si>
  <si>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</si>
  <si>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</si>
  <si>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</si>
  <si>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</si>
  <si>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</si>
  <si>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</si>
  <si>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</si>
  <si>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</si>
  <si>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</si>
  <si>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</si>
  <si>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</si>
  <si>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</si>
  <si>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</si>
  <si>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</si>
  <si>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</si>
  <si>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</si>
  <si>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</si>
  <si>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</si>
  <si>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</si>
  <si>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</si>
  <si>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</si>
  <si>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</si>
  <si>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</si>
  <si>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</si>
  <si>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</si>
  <si>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</si>
  <si>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</si>
  <si>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</si>
  <si>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</si>
  <si>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</si>
  <si>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</si>
  <si>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</si>
  <si>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</si>
  <si>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</si>
  <si>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</si>
  <si>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</si>
  <si>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</si>
  <si>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</si>
  <si>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</si>
  <si>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</si>
  <si>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</si>
  <si>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</si>
  <si>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</si>
  <si>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</si>
  <si>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</si>
  <si>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</si>
  <si>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</si>
  <si>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</si>
  <si>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</si>
  <si>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</si>
  <si>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</si>
  <si>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</si>
  <si>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</si>
  <si>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</si>
  <si>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</si>
  <si>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</si>
  <si>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</si>
  <si>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</si>
  <si>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</si>
  <si>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</si>
  <si>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</si>
  <si>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</si>
  <si>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</si>
  <si>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</si>
  <si>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</si>
  <si>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</si>
  <si>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</si>
  <si>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</si>
  <si>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</si>
  <si>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</si>
  <si>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</si>
  <si>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</si>
  <si>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</si>
  <si>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</si>
  <si>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</si>
  <si>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</si>
  <si>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</si>
  <si>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</si>
  <si>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</si>
  <si>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</si>
  <si>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</si>
  <si>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</si>
  <si>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</si>
  <si>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</si>
  <si>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</si>
  <si>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</si>
  <si>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</si>
  <si>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</si>
  <si>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</si>
  <si>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</si>
  <si>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</si>
  <si>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</si>
  <si>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</si>
  <si>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</si>
  <si>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</si>
  <si>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</si>
  <si>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</si>
  <si>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</si>
  <si>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</si>
  <si>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</si>
  <si>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</si>
  <si>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</si>
  <si>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</si>
  <si>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</si>
  <si>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</si>
  <si>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</si>
  <si>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</si>
  <si>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</si>
  <si>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</si>
  <si>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</si>
  <si>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</si>
  <si>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</si>
  <si>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</si>
  <si>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</si>
  <si>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</si>
  <si>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</si>
  <si>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</si>
  <si>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</si>
  <si>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</si>
  <si>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</si>
  <si>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</si>
  <si>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</si>
  <si>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</si>
  <si>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</si>
  <si>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</si>
  <si>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</si>
  <si>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</si>
  <si>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</si>
  <si>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</si>
  <si>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</si>
  <si>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</si>
  <si>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</si>
  <si>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</si>
  <si>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</si>
  <si>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</si>
  <si>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</si>
  <si>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</si>
  <si>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</si>
  <si>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</si>
  <si>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</si>
  <si>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</si>
  <si>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</si>
  <si>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</si>
  <si>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</si>
  <si>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Total opex to be trended</t>
  </si>
  <si>
    <t>Non-recurrent efficiency gain in the base year</t>
  </si>
  <si>
    <t>Adjustment can be postive or negative.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</si>
  <si>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</si>
  <si>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</si>
  <si>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</si>
  <si>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</si>
  <si>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</si>
  <si>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</si>
  <si>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SA Power Networks</t>
  </si>
  <si>
    <t>WPI - BIS</t>
  </si>
  <si>
    <t>WPI - average of DAE and BIS</t>
  </si>
  <si>
    <t>Interpolated</t>
  </si>
  <si>
    <t>RBA statement of monetary policy inflation forecast, August 2019, Table 5.1</t>
  </si>
  <si>
    <t>AER Final Decision 2015-20 (excluding debt raising)</t>
  </si>
  <si>
    <t>Movements in provisions</t>
  </si>
  <si>
    <t>LV Management</t>
  </si>
  <si>
    <t>Cloud Transition - cloud hosting</t>
  </si>
  <si>
    <t>Cloud Transition - work scheduling</t>
  </si>
  <si>
    <t>Critical Infrastructure Centre Compliance</t>
  </si>
  <si>
    <t>GSL reliability payments</t>
  </si>
  <si>
    <t>Cable and Conductor Repair</t>
  </si>
  <si>
    <t>Distribution Licence Fee [NEW]</t>
  </si>
  <si>
    <t>Utilities Cyber Maturity Uplift [NEW]</t>
  </si>
  <si>
    <t>LV Monitoring [NEW]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</si>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</sst>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8" formatCode="_-&quot;$&quot;* #,##0.00_-;\-&quot;$&quot;* #,##0.00_-;_-&quot;$&quot;* &quot;-&quot;??_-;_-@_-"/>
    <numFmt numFmtId="209" formatCode="_-* #,##0.00_-;\-* #,##0.00_-;_-* &quot;-&quot;??_-;_-@_-"/>
    <numFmt numFmtId="210" formatCode="_-* #,##0_-;[Red]\(#,##0\)_-;_-* &quot;-&quot;??_-;_-@_-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2"/>
      <color indexed="8"/>
      <name val="Verdana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17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  <xf numFmtId="209" fontId="10" fillId="0" borderId="0" applyFont="0" applyFill="0" applyBorder="0" applyAlignment="0" applyProtection="0"/>
    <xf numFmtId="209" fontId="19" fillId="0" borderId="0" applyFont="0" applyFill="0" applyBorder="0" applyAlignment="0" applyProtection="0"/>
    <xf numFmtId="0" fontId="19" fillId="0" borderId="0" applyFill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91" fillId="52" borderId="30">
      <alignment vertical="center"/>
    </xf>
    <xf numFmtId="9" fontId="19" fillId="0" borderId="0" applyFont="0" applyFill="0" applyBorder="0" applyAlignment="0" applyProtection="0"/>
    <xf numFmtId="41" fontId="19" fillId="51" borderId="0" applyFont="0" applyBorder="0" applyAlignment="0">
      <alignment horizontal="right"/>
      <protection locked="0"/>
    </xf>
    <xf numFmtId="41" fontId="19" fillId="4" borderId="0" applyNumberFormat="0" applyFont="0" applyBorder="0" applyAlignment="0">
      <alignment horizontal="right"/>
    </xf>
    <xf numFmtId="41" fontId="19" fillId="4" borderId="0" applyNumberFormat="0" applyFont="0" applyBorder="0" applyAlignment="0">
      <alignment horizontal="right"/>
    </xf>
    <xf numFmtId="209" fontId="18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0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41" fontId="19" fillId="36" borderId="0" applyFont="0" applyBorder="0" applyAlignment="0">
      <alignment horizontal="right"/>
      <protection locked="0"/>
    </xf>
    <xf numFmtId="41" fontId="19" fillId="36" borderId="0" applyFont="0" applyBorder="0" applyAlignment="0">
      <alignment horizontal="right"/>
      <protection locked="0"/>
    </xf>
    <xf numFmtId="41" fontId="19" fillId="10" borderId="0" applyFont="0" applyBorder="0">
      <alignment horizontal="right"/>
      <protection locked="0"/>
    </xf>
    <xf numFmtId="41" fontId="19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82" fillId="53" borderId="0">
      <alignment horizontal="left" vertical="center"/>
      <protection locked="0"/>
    </xf>
    <xf numFmtId="209" fontId="19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1" fillId="0" borderId="0"/>
    <xf numFmtId="209" fontId="10" fillId="0" borderId="0" applyFont="0" applyFill="0" applyBorder="0" applyAlignment="0" applyProtection="0"/>
    <xf numFmtId="0" fontId="19" fillId="0" borderId="0"/>
    <xf numFmtId="208" fontId="1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" fillId="50" borderId="29" applyFont="0" applyFill="0" applyBorder="0" applyAlignment="0">
      <alignment horizontal="right" vertical="top" wrapText="1"/>
      <protection locked="0"/>
    </xf>
    <xf numFmtId="20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90" fillId="52" borderId="0">
      <alignment vertical="center"/>
      <protection locked="0"/>
    </xf>
    <xf numFmtId="0" fontId="19" fillId="0" borderId="0"/>
  </cellStyleXfs>
  <cellXfs count="24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1" fontId="5" fillId="0" borderId="0" xfId="0" applyNumberFormat="1" applyFont="1" applyAlignment="1" applyProtection="1">
      <alignment horizontal="center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4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3" fontId="3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0" fontId="3" fillId="0" borderId="0" xfId="2" applyNumberFormat="1" applyFont="1" applyAlignment="1" applyProtection="1">
      <alignment horizontal="center"/>
      <protection locked="0"/>
    </xf>
    <xf numFmtId="170" fontId="9" fillId="0" borderId="0" xfId="5" applyNumberFormat="1" applyFont="1" applyFill="1" applyBorder="1" applyAlignment="1" applyProtection="1">
      <alignment horizontal="center" vertical="center"/>
      <protection locked="0"/>
    </xf>
    <xf numFmtId="164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92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/>
    </xf>
    <xf numFmtId="164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191" fontId="89" fillId="0" borderId="0" xfId="0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center"/>
      <protection locked="0"/>
    </xf>
    <xf numFmtId="0" fontId="11" fillId="0" borderId="0" xfId="3"/>
    <xf numFmtId="43" fontId="3" fillId="0" borderId="0" xfId="0" applyNumberFormat="1" applyFont="1" applyProtection="1">
      <protection locked="0"/>
    </xf>
    <xf numFmtId="10" fontId="3" fillId="0" borderId="0" xfId="2" applyNumberFormat="1" applyFont="1" applyAlignment="1" applyProtection="1">
      <alignment horizontal="center"/>
      <protection locked="0"/>
    </xf>
    <xf numFmtId="0" fontId="71" fillId="38" borderId="2" xfId="0" applyNumberFormat="1" applyFont="1" applyFill="1" applyBorder="1" applyAlignment="1" applyProtection="1">
      <alignment horizontal="center"/>
    </xf>
    <xf numFmtId="193" fontId="5" fillId="0" borderId="0" xfId="0" applyNumberFormat="1" applyFont="1" applyProtection="1"/>
    <xf numFmtId="164" fontId="12" fillId="0" borderId="0" xfId="0" applyNumberFormat="1" applyFont="1" applyProtection="1">
      <protection locked="0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3" fontId="3" fillId="0" borderId="0" xfId="0" applyNumberFormat="1" applyFont="1" applyProtection="1">
      <protection locked="0"/>
    </xf>
    <xf numFmtId="193" fontId="3" fillId="0" borderId="0" xfId="0" applyNumberFormat="1" applyFont="1" applyFill="1" applyProtection="1"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2" fontId="3" fillId="41" borderId="3" xfId="0" applyNumberFormat="1" applyFont="1" applyFill="1" applyBorder="1" applyAlignment="1" applyProtection="1">
      <alignment horizontal="center"/>
      <protection locked="0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10" fontId="3" fillId="0" borderId="0" xfId="2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5" fillId="0" borderId="0" xfId="0" applyNumberFormat="1" applyFont="1" applyAlignment="1" applyProtection="1">
      <alignment horizontal="center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9" fontId="3" fillId="0" borderId="0" xfId="0" applyNumberFormat="1" applyFont="1" applyProtection="1">
      <protection locked="0"/>
    </xf>
  </cellXfs>
  <cellStyles count="31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1_dms_Financial" xfId="309" xr:uid="{3AB2D6B3-D551-45E8-BED6-C0CB42D1BE58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73" xr:uid="{35228E0E-FDF2-4525-A077-8691B2881FAD}"/>
    <cellStyle name="Blockout 3" xfId="272" xr:uid="{E4197A60-12EA-41D2-BAC1-34C5FEB29EF8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264" xr:uid="{336C7B07-251E-445D-9D4B-6573104E2C5E}"/>
    <cellStyle name="Comma 11" xfId="308" xr:uid="{B6C23300-7203-4967-B878-A8E4971DBAE9}"/>
    <cellStyle name="Comma 12" xfId="314" xr:uid="{3FB2BCD3-007A-40D0-A532-302AE22DD535}"/>
    <cellStyle name="Comma 13" xfId="307" xr:uid="{CE29340D-A9DC-4F71-890C-4F074B29F452}"/>
    <cellStyle name="Comma 14" xfId="267" xr:uid="{A6CDC764-162E-4B28-8F9D-3BBC7EE8C8C6}"/>
    <cellStyle name="Comma 15" xfId="304" xr:uid="{C8670C58-80ED-4A61-A7BB-BC321D7F6293}"/>
    <cellStyle name="Comma 16" xfId="268" xr:uid="{DC7E81BC-4AC7-46B3-8BDC-8FEF626E9A5E}"/>
    <cellStyle name="Comma 17" xfId="302" xr:uid="{0C52EA28-F4BE-4C96-9BF4-B966A2C5803B}"/>
    <cellStyle name="Comma 18" xfId="285" xr:uid="{FC711973-A44F-4520-86CA-ABE0E719285B}"/>
    <cellStyle name="Comma 19" xfId="301" xr:uid="{2BB5C0E9-3F6C-4DF3-AEE9-35C4A540FA9F}"/>
    <cellStyle name="Comma 2" xfId="8" xr:uid="{00000000-0005-0000-0000-000044000000}"/>
    <cellStyle name="Comma 2 2" xfId="73" xr:uid="{00000000-0005-0000-0000-000045000000}"/>
    <cellStyle name="Comma 2 2 2" xfId="274" xr:uid="{4AB182E9-5B95-4FFE-878A-1D99E5A81B24}"/>
    <cellStyle name="Comma 2 3" xfId="74" xr:uid="{00000000-0005-0000-0000-000046000000}"/>
    <cellStyle name="Comma 2 3 2" xfId="75" xr:uid="{00000000-0005-0000-0000-000047000000}"/>
    <cellStyle name="Comma 2 3 2 2" xfId="276" xr:uid="{BA985F6A-CC2B-4AC9-8DFA-049619432672}"/>
    <cellStyle name="Comma 2 3 3" xfId="275" xr:uid="{AC5DC659-2A95-4B33-890D-66A6B38177A2}"/>
    <cellStyle name="Comma 2 4" xfId="76" xr:uid="{00000000-0005-0000-0000-000048000000}"/>
    <cellStyle name="Comma 2 4 2" xfId="277" xr:uid="{9EEBF728-5A51-4174-86FD-BFE3680ECD12}"/>
    <cellStyle name="Comma 2 5" xfId="77" xr:uid="{00000000-0005-0000-0000-000049000000}"/>
    <cellStyle name="Comma 2 5 2" xfId="278" xr:uid="{72C933B3-BD3D-4583-A2C6-D1AF14AE9882}"/>
    <cellStyle name="Comma 2 6" xfId="265" xr:uid="{DC0C64F5-F574-40AA-A519-B2E0F4B89F32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3 3 2" xfId="279" xr:uid="{CB5826EA-8DA3-4310-A298-621AB1702644}"/>
    <cellStyle name="Comma 4" xfId="81" xr:uid="{00000000-0005-0000-0000-00004D000000}"/>
    <cellStyle name="Comma 4 2" xfId="280" xr:uid="{07213124-E561-4B5A-AF47-EFF86367DCEA}"/>
    <cellStyle name="Comma 5" xfId="82" xr:uid="{00000000-0005-0000-0000-00004E000000}"/>
    <cellStyle name="Comma 5 2" xfId="281" xr:uid="{C8E0A125-64AE-4EB5-BDDA-9EB770115134}"/>
    <cellStyle name="Comma 6" xfId="83" xr:uid="{00000000-0005-0000-0000-00004F000000}"/>
    <cellStyle name="Comma 6 2" xfId="282" xr:uid="{0EBEFE9B-52D5-4A4E-BBCA-2F92E18C10DA}"/>
    <cellStyle name="Comma 7" xfId="84" xr:uid="{00000000-0005-0000-0000-000050000000}"/>
    <cellStyle name="Comma 7 2" xfId="283" xr:uid="{FB0845E6-0CD7-486C-84E1-74E26ED66309}"/>
    <cellStyle name="Comma 8" xfId="85" xr:uid="{00000000-0005-0000-0000-000051000000}"/>
    <cellStyle name="Comma 8 2" xfId="284" xr:uid="{83212D85-E8EC-4F10-A922-8D40B7527385}"/>
    <cellStyle name="Comma 9" xfId="310" xr:uid="{8142E7E8-66D4-4040-B39E-4DC69B0387B2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11 2 2" xfId="287" xr:uid="{38ACB239-7735-44A4-8F83-91E4321486DB}"/>
    <cellStyle name="Currency 11 3" xfId="286" xr:uid="{4423D84E-72CB-4997-9BAB-F97FF805829A}"/>
    <cellStyle name="Currency 2" xfId="89" xr:uid="{00000000-0005-0000-0000-000055000000}"/>
    <cellStyle name="Currency 2 2" xfId="90" xr:uid="{00000000-0005-0000-0000-000056000000}"/>
    <cellStyle name="Currency 2 2 2" xfId="289" xr:uid="{436D45B6-711F-4A5D-9FB5-BF61E38FDC5C}"/>
    <cellStyle name="Currency 2 3" xfId="288" xr:uid="{379FB5D1-1683-4B79-92AD-FB7C35E45FAF}"/>
    <cellStyle name="Currency 3" xfId="91" xr:uid="{00000000-0005-0000-0000-000057000000}"/>
    <cellStyle name="Currency 3 2" xfId="92" xr:uid="{00000000-0005-0000-0000-000058000000}"/>
    <cellStyle name="Currency 3 2 2" xfId="291" xr:uid="{7404FB6C-DD84-4F79-99FA-D58E10BFECE1}"/>
    <cellStyle name="Currency 3 3" xfId="290" xr:uid="{93E8569D-15E4-4F3E-8EE1-DE58B520E8DC}"/>
    <cellStyle name="Currency 4" xfId="93" xr:uid="{00000000-0005-0000-0000-000059000000}"/>
    <cellStyle name="Currency 4 2" xfId="94" xr:uid="{00000000-0005-0000-0000-00005A000000}"/>
    <cellStyle name="Currency 4 2 2" xfId="293" xr:uid="{7D7483F2-750B-4B96-AF82-1464A119695F}"/>
    <cellStyle name="Currency 4 3" xfId="292" xr:uid="{73AE6006-A4D3-45B8-A03F-0447752A702C}"/>
    <cellStyle name="Currency 5" xfId="243" xr:uid="{00000000-0005-0000-0000-00005B000000}"/>
    <cellStyle name="Currency 5 2" xfId="313" xr:uid="{781EF7EA-D820-4F0C-9B73-AFAEE35CDB35}"/>
    <cellStyle name="Currency 5 3" xfId="306" xr:uid="{C6D42B83-FF10-43D1-806F-FB965F0BDED7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dms_1" xfId="269" xr:uid="{015326F4-3CCC-4594-8D54-75E0C04ABC4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1 2 2" xfId="295" xr:uid="{34F030A0-73DF-4B21-80B6-B78E83B9889E}"/>
    <cellStyle name="Input1 3" xfId="294" xr:uid="{4CF68023-E1F7-4C36-91B9-DDF700A9EBDC}"/>
    <cellStyle name="Input1 4" xfId="271" xr:uid="{71A79D55-8CE4-4D5D-B45D-580E7BD925D3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3 2 2" xfId="297" xr:uid="{F43A2E75-3673-46A6-86B5-543D8209400A}"/>
    <cellStyle name="Input3 3" xfId="296" xr:uid="{AF6D32EF-7E57-4D03-B7C0-BE7AC6C2A673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0 2" xfId="311" xr:uid="{095FEB4F-1CFB-4FBF-BFB0-29D0BB1C4B09}"/>
    <cellStyle name="Normal 10 2 2" xfId="316" xr:uid="{89EEA0C7-3E5D-477C-BFE2-B12813733464}"/>
    <cellStyle name="Normal 11" xfId="305" xr:uid="{CD55CE5A-D2F7-4BB8-BD3A-99BD904FEEF8}"/>
    <cellStyle name="Normal 114" xfId="266" xr:uid="{A3D9D6A3-29D6-40A8-9421-9C99763AA670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 3 2" xfId="299" xr:uid="{156A1DAB-3C47-414A-AD28-E33CF7C7E7FB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5 3" xfId="298" xr:uid="{28139F4A-B860-4E5F-B6B0-05F3C427B233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7 2 2" xfId="303" xr:uid="{1C0EF8B8-21DB-4036-A0C3-881441D238D8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5 2" xfId="312" xr:uid="{761D2BA3-6CFB-4DC6-83EA-53FD578E2802}"/>
    <cellStyle name="Percent 6" xfId="270" xr:uid="{EEE479F3-55D6-4A37-95CF-5C818BFA5585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ableLvl2" xfId="300" xr:uid="{C3EC9A1F-610A-435F-8FE1-A7F1B059B5DA}"/>
    <cellStyle name="TableLvl3" xfId="315" xr:uid="{392A0420-9C6D-4524-95CD-02182274528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1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178</v>
      </c>
    </row>
    <row r="13" spans="1:47">
      <c r="C13" s="19" t="s">
        <v>55</v>
      </c>
      <c r="D13" s="7" t="s">
        <v>179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7"/>
  <sheetViews>
    <sheetView showGridLines="0" zoomScale="115" zoomScaleNormal="115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201</v>
      </c>
      <c r="H7" s="29"/>
      <c r="I7" s="29"/>
      <c r="S7" s="131" t="str">
        <f>IF(COUNTBLANK($G7),"Check","Ok")</f>
        <v>Ok</v>
      </c>
    </row>
    <row r="8" spans="1:47">
      <c r="C8" s="29" t="s">
        <v>144</v>
      </c>
      <c r="D8" s="30" t="s">
        <v>73</v>
      </c>
      <c r="E8" s="29"/>
      <c r="F8" s="29"/>
      <c r="G8" s="52" t="s">
        <v>145</v>
      </c>
      <c r="H8" s="29"/>
      <c r="I8" s="29"/>
      <c r="S8" s="131" t="str">
        <f>IF(COUNTBLANK($G8),"Check","Ok")</f>
        <v>Ok</v>
      </c>
    </row>
    <row r="9" spans="1:47">
      <c r="C9" s="29" t="s">
        <v>128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159</v>
      </c>
      <c r="D10" s="30" t="s">
        <v>72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2019</v>
      </c>
      <c r="H11" s="29"/>
      <c r="I11" s="29"/>
      <c r="S11" s="131" t="str">
        <f t="shared" si="0"/>
        <v>Ok</v>
      </c>
    </row>
    <row r="12" spans="1:47">
      <c r="C12" s="29" t="s">
        <v>160</v>
      </c>
      <c r="D12" s="30" t="s">
        <v>72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197</v>
      </c>
      <c r="D15" s="30" t="s">
        <v>73</v>
      </c>
      <c r="E15" s="29"/>
      <c r="F15" s="29"/>
      <c r="G15" s="155" t="s">
        <v>200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5" priority="13" operator="equal">
      <formula>"Check"</formula>
    </cfRule>
    <cfRule type="cellIs" dxfId="194" priority="14" operator="equal">
      <formula>"Ok"</formula>
    </cfRule>
  </conditionalFormatting>
  <conditionalFormatting sqref="V1">
    <cfRule type="cellIs" dxfId="193" priority="3" operator="equal">
      <formula>"Check"</formula>
    </cfRule>
    <cfRule type="cellIs" dxfId="192" priority="4" operator="equal">
      <formula>"Ok"</formula>
    </cfRule>
  </conditionalFormatting>
  <conditionalFormatting sqref="S7:S15">
    <cfRule type="cellIs" dxfId="191" priority="5" operator="equal">
      <formula>"Check"</formula>
    </cfRule>
    <cfRule type="cellIs" dxfId="190" priority="6" operator="equal">
      <formula>"Ok"</formula>
    </cfRule>
  </conditionalFormatting>
  <conditionalFormatting sqref="S1">
    <cfRule type="cellIs" dxfId="189" priority="1" operator="equal">
      <formula>"Check"</formula>
    </cfRule>
    <cfRule type="cellIs" dxfId="188" priority="2" operator="equal">
      <formula>"Ok"</formula>
    </cfRule>
  </conditionalFormatting>
  <dataValidations count="4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  <dataValidation type="list" allowBlank="1" showInputMessage="1" showErrorMessage="1" sqref="G8" xr:uid="{00000000-0002-0000-0100-000003000000}">
      <formula1>"draft,final"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76"/>
  <sheetViews>
    <sheetView showGridLines="0" workbookViewId="0">
      <selection activeCell="N51" sqref="N5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142</v>
      </c>
      <c r="F6" s="62" t="s">
        <v>102</v>
      </c>
      <c r="G6" s="62" t="s">
        <v>142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9"/>
      <c r="I55" s="220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226">
        <v>114.8</v>
      </c>
      <c r="G58" s="117">
        <f t="shared" si="1"/>
        <v>1.5929203539823078E-2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226">
        <f>AVERAGE(F58,F60)</f>
        <v>115.448375</v>
      </c>
      <c r="G59" s="117">
        <f t="shared" si="1"/>
        <v>1.7166299559471243E-2</v>
      </c>
      <c r="H59" s="228" t="s">
        <v>204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226">
        <f>F56*1.0175</f>
        <v>116.09675</v>
      </c>
      <c r="G60" s="117">
        <f t="shared" si="1"/>
        <v>1.7500000000000071E-2</v>
      </c>
      <c r="H60" s="227" t="s">
        <v>205</v>
      </c>
      <c r="I60" s="29"/>
      <c r="J60" s="29"/>
      <c r="N60" s="220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226">
        <f>AVERAGE(F60,F62)</f>
        <v>116.45287500000001</v>
      </c>
      <c r="G61" s="117">
        <f t="shared" si="1"/>
        <v>2.0621165644171935E-2</v>
      </c>
      <c r="H61" s="228" t="s">
        <v>204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226">
        <f>F58*1.0175</f>
        <v>116.80900000000001</v>
      </c>
      <c r="G62" s="117">
        <f t="shared" si="1"/>
        <v>1.7500000000000071E-2</v>
      </c>
      <c r="H62" s="227" t="s">
        <v>205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226">
        <f>AVERAGE(F62,F64)</f>
        <v>117.46872156250001</v>
      </c>
      <c r="G63" s="117">
        <f t="shared" si="1"/>
        <v>1.7500000000000071E-2</v>
      </c>
      <c r="H63" s="227" t="s">
        <v>204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226">
        <f>F60*1.0175</f>
        <v>118.128443125</v>
      </c>
      <c r="G64" s="117">
        <f t="shared" si="1"/>
        <v>1.7500000000000071E-2</v>
      </c>
      <c r="H64" s="227" t="s">
        <v>205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7" priority="11" operator="equal">
      <formula>"Check"</formula>
    </cfRule>
    <cfRule type="cellIs" dxfId="186" priority="12" operator="equal">
      <formula>"Ok"</formula>
    </cfRule>
  </conditionalFormatting>
  <conditionalFormatting sqref="W1">
    <cfRule type="cellIs" dxfId="185" priority="7" operator="equal">
      <formula>"Check"</formula>
    </cfRule>
    <cfRule type="cellIs" dxfId="184" priority="8" operator="equal">
      <formula>"Ok"</formula>
    </cfRule>
  </conditionalFormatting>
  <conditionalFormatting sqref="T1">
    <cfRule type="cellIs" dxfId="183" priority="5" operator="equal">
      <formula>"Check"</formula>
    </cfRule>
    <cfRule type="cellIs" dxfId="182" priority="6" operator="equal">
      <formula>"Ok"</formula>
    </cfRule>
  </conditionalFormatting>
  <conditionalFormatting sqref="X51:X57">
    <cfRule type="cellIs" dxfId="181" priority="3" operator="equal">
      <formula>"Check"</formula>
    </cfRule>
    <cfRule type="cellIs" dxfId="180" priority="4" operator="equal">
      <formula>"Ok"</formula>
    </cfRule>
  </conditionalFormatting>
  <conditionalFormatting sqref="X58:X62 T9:T64">
    <cfRule type="cellIs" dxfId="179" priority="1" operator="equal">
      <formula>"Check"</formula>
    </cfRule>
    <cfRule type="cellIs" dxfId="178" priority="2" operator="equal">
      <formula>"Ok"</formula>
    </cfRule>
  </conditionalFormatting>
  <dataValidations disablePrompts="1" count="2">
    <dataValidation type="list" allowBlank="1" showInputMessage="1" showErrorMessage="1" sqref="G65" xr:uid="{00000000-0002-0000-0200-000000000000}">
      <formula1>"Real 2010,Real 2011,Real 2012,Real 2013,Real 2014,Real 2015,Nominal"</formula1>
    </dataValidation>
    <dataValidation type="list" allowBlank="1" showInputMessage="1" showErrorMessage="1" sqref="J12:J6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ignoredErrors>
    <ignoredError sqref="F59 F63:F64" unlockedFormula="1"/>
    <ignoredError sqref="F60:F62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2"/>
  <sheetViews>
    <sheetView zoomScale="115" zoomScaleNormal="115" workbookViewId="0">
      <selection activeCell="T20" sqref="T2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128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42156</v>
      </c>
      <c r="G13" s="32"/>
      <c r="H13" s="32"/>
      <c r="I13" s="30"/>
      <c r="J13" s="164">
        <v>241.54362517511299</v>
      </c>
      <c r="K13" s="164">
        <v>250.21293150792275</v>
      </c>
      <c r="L13" s="164">
        <v>250.05478622223706</v>
      </c>
      <c r="M13" s="164">
        <v>253.28609640441189</v>
      </c>
      <c r="N13" s="164">
        <v>256.33753615168092</v>
      </c>
      <c r="O13" s="152"/>
      <c r="P13" s="152"/>
      <c r="Q13" s="152"/>
      <c r="R13" s="152"/>
      <c r="S13" s="152"/>
      <c r="T13" s="225" t="s">
        <v>206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>J13</f>
        <v>241.54362517511299</v>
      </c>
      <c r="K15" s="129">
        <f t="shared" ref="K15:S15" si="1">K13</f>
        <v>250.21293150792275</v>
      </c>
      <c r="L15" s="129">
        <f t="shared" si="1"/>
        <v>250.05478622223706</v>
      </c>
      <c r="M15" s="129">
        <f t="shared" si="1"/>
        <v>253.28609640441189</v>
      </c>
      <c r="N15" s="129">
        <f t="shared" si="1"/>
        <v>256.33753615168092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169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/>
      <c r="D19" s="30" t="s">
        <v>73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/>
      <c r="D20" s="30" t="s">
        <v>73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167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0</v>
      </c>
      <c r="K29" s="129">
        <f t="shared" ref="K29:S29" si="4">SUM(K19:K27)</f>
        <v>0</v>
      </c>
      <c r="L29" s="129">
        <f t="shared" si="4"/>
        <v>0</v>
      </c>
      <c r="M29" s="129">
        <f t="shared" si="4"/>
        <v>0</v>
      </c>
      <c r="N29" s="129">
        <f t="shared" si="4"/>
        <v>0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 t="s">
        <v>78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16" t="str">
        <f>$E$56</f>
        <v>$millions</v>
      </c>
      <c r="F37" s="217" t="s">
        <v>105</v>
      </c>
      <c r="G37" s="32"/>
      <c r="H37" s="32"/>
      <c r="I37" s="30"/>
      <c r="J37" s="230">
        <v>214.41588964999656</v>
      </c>
      <c r="K37" s="230">
        <v>250.71031062569813</v>
      </c>
      <c r="L37" s="230">
        <v>251.21574444000004</v>
      </c>
      <c r="M37" s="231">
        <v>264.42781274617204</v>
      </c>
      <c r="N37" s="164"/>
      <c r="O37" s="221"/>
      <c r="P37" s="152"/>
      <c r="Q37" s="152"/>
      <c r="R37" s="152"/>
      <c r="S37" s="152"/>
      <c r="T37" s="29" t="s">
        <v>180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196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207</v>
      </c>
      <c r="D41" s="30" t="s">
        <v>79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229">
        <v>0.72693701309668601</v>
      </c>
      <c r="K41" s="229">
        <v>2.9627271369396002</v>
      </c>
      <c r="L41" s="229">
        <v>-0.65107121548903901</v>
      </c>
      <c r="M41" s="229">
        <v>6.1862314295924703</v>
      </c>
      <c r="N41" s="164"/>
      <c r="O41" s="152"/>
      <c r="P41" s="152"/>
      <c r="Q41" s="152"/>
      <c r="R41" s="152"/>
      <c r="S41" s="152"/>
      <c r="T41" s="29" t="s">
        <v>195</v>
      </c>
      <c r="U41" s="29"/>
      <c r="V41" s="29"/>
      <c r="W41" s="29"/>
    </row>
    <row r="42" spans="1:23">
      <c r="A42" s="29"/>
      <c r="B42" s="29"/>
      <c r="C42" s="61"/>
      <c r="D42" s="30" t="s">
        <v>79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79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79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192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213.68895263689987</v>
      </c>
      <c r="K47" s="129">
        <f t="shared" ref="K47:S47" si="7">K37-SUM(K41:K45)</f>
        <v>247.74758348875852</v>
      </c>
      <c r="L47" s="129">
        <f t="shared" si="7"/>
        <v>251.86681565548906</v>
      </c>
      <c r="M47" s="129">
        <f t="shared" si="7"/>
        <v>258.24158131657958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116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191</v>
      </c>
      <c r="U51" s="29"/>
      <c r="V51" s="29"/>
      <c r="W51" s="29"/>
    </row>
    <row r="52" spans="1:23">
      <c r="A52" s="29"/>
      <c r="B52" s="29"/>
      <c r="C52" s="61"/>
      <c r="D52" s="30" t="s">
        <v>79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79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167</v>
      </c>
      <c r="D56" s="140" t="s">
        <v>30</v>
      </c>
      <c r="E56" s="130" t="s">
        <v>15</v>
      </c>
      <c r="F56" s="162" t="s">
        <v>105</v>
      </c>
      <c r="G56" s="32"/>
      <c r="H56" s="32"/>
      <c r="I56" s="30"/>
      <c r="J56" s="187">
        <f>SUM(J51:J54)</f>
        <v>0</v>
      </c>
      <c r="K56" s="187">
        <f t="shared" ref="K56:S56" si="9">SUM(K51:K54)</f>
        <v>0</v>
      </c>
      <c r="L56" s="187">
        <f t="shared" si="9"/>
        <v>0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117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118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119</v>
      </c>
      <c r="D62" s="30" t="s">
        <v>34</v>
      </c>
      <c r="E62" s="30" t="str">
        <f>$E$56</f>
        <v>$millions</v>
      </c>
      <c r="F62" s="172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9" t="s">
        <v>194</v>
      </c>
      <c r="U62" s="142"/>
      <c r="V62" s="142"/>
      <c r="W62" s="29"/>
    </row>
    <row r="63" spans="1:23">
      <c r="A63" s="29"/>
      <c r="B63" s="29"/>
      <c r="C63" s="61" t="s">
        <v>120</v>
      </c>
      <c r="D63" s="30" t="s">
        <v>34</v>
      </c>
      <c r="E63" s="30" t="str">
        <f t="shared" ref="E63:E68" si="11">$E$56</f>
        <v>$millions</v>
      </c>
      <c r="F63" s="172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121</v>
      </c>
      <c r="D64" s="30" t="s">
        <v>34</v>
      </c>
      <c r="E64" s="30" t="str">
        <f t="shared" si="11"/>
        <v>$millions</v>
      </c>
      <c r="F64" s="172">
        <v>42522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122</v>
      </c>
      <c r="D65" s="30" t="s">
        <v>34</v>
      </c>
      <c r="E65" s="30" t="str">
        <f t="shared" si="11"/>
        <v>$millions</v>
      </c>
      <c r="F65" s="172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123</v>
      </c>
      <c r="D66" s="30" t="s">
        <v>34</v>
      </c>
      <c r="E66" s="30" t="str">
        <f t="shared" si="11"/>
        <v>$millions</v>
      </c>
      <c r="F66" s="172">
        <v>42522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193</v>
      </c>
      <c r="D68" s="30" t="s">
        <v>34</v>
      </c>
      <c r="E68" s="30" t="str">
        <f t="shared" si="11"/>
        <v>$millions</v>
      </c>
      <c r="F68" s="172">
        <v>42522</v>
      </c>
      <c r="G68" s="32"/>
      <c r="H68" s="32"/>
      <c r="I68" s="32"/>
      <c r="J68" s="164"/>
      <c r="K68" s="164"/>
      <c r="L68" s="164"/>
      <c r="M68" s="164"/>
      <c r="N68" s="164">
        <v>0</v>
      </c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93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>
        <v>0</v>
      </c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7" priority="31" operator="equal">
      <formula>"Check"</formula>
    </cfRule>
    <cfRule type="cellIs" dxfId="176" priority="32" operator="equal">
      <formula>"Ok"</formula>
    </cfRule>
  </conditionalFormatting>
  <conditionalFormatting sqref="W56">
    <cfRule type="cellIs" dxfId="175" priority="29" operator="equal">
      <formula>"Check"</formula>
    </cfRule>
    <cfRule type="cellIs" dxfId="174" priority="30" operator="equal">
      <formula>"Ok"</formula>
    </cfRule>
  </conditionalFormatting>
  <conditionalFormatting sqref="W15">
    <cfRule type="cellIs" dxfId="173" priority="27" operator="equal">
      <formula>"Check"</formula>
    </cfRule>
    <cfRule type="cellIs" dxfId="172" priority="28" operator="equal">
      <formula>"Ok"</formula>
    </cfRule>
  </conditionalFormatting>
  <conditionalFormatting sqref="V1">
    <cfRule type="cellIs" dxfId="171" priority="25" operator="equal">
      <formula>"Check"</formula>
    </cfRule>
    <cfRule type="cellIs" dxfId="170" priority="26" operator="equal">
      <formula>"Ok"</formula>
    </cfRule>
  </conditionalFormatting>
  <conditionalFormatting sqref="S1">
    <cfRule type="cellIs" dxfId="169" priority="23" operator="equal">
      <formula>"Check"</formula>
    </cfRule>
    <cfRule type="cellIs" dxfId="168" priority="24" operator="equal">
      <formula>"Ok"</formula>
    </cfRule>
  </conditionalFormatting>
  <conditionalFormatting sqref="J15:S15">
    <cfRule type="cellIs" dxfId="167" priority="22" operator="equal">
      <formula>0</formula>
    </cfRule>
  </conditionalFormatting>
  <conditionalFormatting sqref="J56:S56">
    <cfRule type="cellIs" dxfId="166" priority="21" operator="equal">
      <formula>0</formula>
    </cfRule>
  </conditionalFormatting>
  <conditionalFormatting sqref="W48:W50">
    <cfRule type="cellIs" dxfId="165" priority="19" operator="equal">
      <formula>"Check"</formula>
    </cfRule>
    <cfRule type="cellIs" dxfId="164" priority="20" operator="equal">
      <formula>"Ok"</formula>
    </cfRule>
  </conditionalFormatting>
  <conditionalFormatting sqref="J41:S45 N37:S37 J33:S33 J51:S54">
    <cfRule type="expression" dxfId="163" priority="17">
      <formula>J$34=J$4</formula>
    </cfRule>
  </conditionalFormatting>
  <conditionalFormatting sqref="J19:S27 J13:S13">
    <cfRule type="expression" dxfId="162" priority="16">
      <formula>J$10=J$4</formula>
    </cfRule>
  </conditionalFormatting>
  <conditionalFormatting sqref="J37:N37">
    <cfRule type="expression" dxfId="161" priority="13">
      <formula>J$10=J$4</formula>
    </cfRule>
  </conditionalFormatting>
  <conditionalFormatting sqref="W47">
    <cfRule type="cellIs" dxfId="160" priority="11" operator="equal">
      <formula>"Check"</formula>
    </cfRule>
    <cfRule type="cellIs" dxfId="159" priority="12" operator="equal">
      <formula>"Ok"</formula>
    </cfRule>
  </conditionalFormatting>
  <conditionalFormatting sqref="J47:S47">
    <cfRule type="cellIs" dxfId="158" priority="9" operator="equal">
      <formula>0</formula>
    </cfRule>
  </conditionalFormatting>
  <conditionalFormatting sqref="J62:S66 J68:S68 J70:S70">
    <cfRule type="expression" dxfId="157" priority="8">
      <formula>J$60=J$4</formula>
    </cfRule>
  </conditionalFormatting>
  <conditionalFormatting sqref="W29">
    <cfRule type="cellIs" dxfId="156" priority="4" operator="equal">
      <formula>"Check"</formula>
    </cfRule>
    <cfRule type="cellIs" dxfId="155" priority="5" operator="equal">
      <formula>"Ok"</formula>
    </cfRule>
  </conditionalFormatting>
  <conditionalFormatting sqref="J29:S29">
    <cfRule type="cellIs" dxfId="154" priority="3" operator="equal">
      <formula>0</formula>
    </cfRule>
  </conditionalFormatting>
  <dataValidations disablePrompts="1"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84"/>
  <sheetViews>
    <sheetView showGridLines="0" workbookViewId="0">
      <selection activeCell="O75" sqref="O75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128</v>
      </c>
      <c r="K3" s="223"/>
      <c r="L3" s="223"/>
      <c r="M3" s="223"/>
      <c r="N3" s="183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1.5108593012275628E-2</v>
      </c>
      <c r="K12" s="143">
        <f>IF(K10=K4,LOOKUP(EOMONTH(K4,0),'Input|Inflation'!$C$9:$C$64,'Input|Inflation'!$G$9:$G$64),"")</f>
        <v>1.0232558139534831E-2</v>
      </c>
      <c r="L12" s="143">
        <f>IF(L10=L4,LOOKUP(EOMONTH(L4,0),'Input|Inflation'!$C$9:$C$64,'Input|Inflation'!$G$9:$G$64),"")</f>
        <v>1.9337016574585641E-2</v>
      </c>
      <c r="M12" s="143">
        <f>IF(M10=M4,LOOKUP(EOMONTH(M4,0),'Input|Inflation'!$C$9:$C$64,'Input|Inflation'!$G$9:$G$64),"")</f>
        <v>2.0776874435411097E-2</v>
      </c>
      <c r="N12" s="143">
        <f>IF(N10=N4,LOOKUP(EOMONTH(N4,0),'Input|Inflation'!$C$9:$C$64,'Input|Inflation'!$G$9:$G$64),"")</f>
        <v>1.5929203539823078E-2</v>
      </c>
      <c r="O12" s="143">
        <f>IF(O10=O4,LOOKUP(EOMONTH(O4,0),'Input|Inflation'!$C$9:$C$64,'Input|Inflation'!$G$9:$G$64),"")</f>
        <v>1.7500000000000071E-2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1.0865953488372093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1.0755893186003687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1.0551851851851854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1.0337079646017699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1.0175000000000001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0.92030579835457871</v>
      </c>
      <c r="K21" s="22">
        <f t="shared" ref="K21" si="14">IF(AND($C21&gt;K$14,ISNONTEXT($C21)),L21/(1+L$12),IF(AND($C21=K$14,K$14=K$4),1,IF(AND($C21&lt;K$14,K$14=K$4),J21*(1+K$12),0)))</f>
        <v>0.92972288094239297</v>
      </c>
      <c r="L21" s="22">
        <f t="shared" ref="L21" si="15">IF(AND($C21&gt;L$14,ISNONTEXT($C21)),M21/(1+M$12),IF(AND($C21=L$14,L$14=L$4),1,IF(AND($C21&lt;L$14,L$14=L$4),K21*(1+L$12),0)))</f>
        <v>0.94770094770094748</v>
      </c>
      <c r="M21" s="22">
        <f t="shared" ref="M21" si="16">IF(AND($C21&gt;M$14,ISNONTEXT($C21)),N21/(1+N$12),IF(AND($C21=M$14,M$14=M$4),1,IF(AND($C21&lt;M$14,M$14=M$4),L21*(1+M$12),0)))</f>
        <v>0.96739121129365013</v>
      </c>
      <c r="N21" s="22">
        <f t="shared" ref="N21" si="17">IF(AND($C21&gt;N$14,ISNONTEXT($C21)),O21/(1+O$12),IF(AND($C21=N$14,N$14=N$4),1,IF(AND($C21&lt;N$14,N$14=N$4),M21*(1+N$12),0)))</f>
        <v>0.98280098280098271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0.92832354856943444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0.93782267325247026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0.95595736582917556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0.97581917198461476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0.99136319419321928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1.0947730397304019</v>
      </c>
      <c r="K30" s="22">
        <f t="shared" si="27"/>
        <v>1.0810783278052261</v>
      </c>
      <c r="L30" s="22">
        <f t="shared" si="27"/>
        <v>1.0653384036683073</v>
      </c>
      <c r="M30" s="22">
        <f t="shared" si="27"/>
        <v>1.0443913682407184</v>
      </c>
      <c r="N30" s="22">
        <f t="shared" si="27"/>
        <v>1.0255719643117693</v>
      </c>
      <c r="O30" s="22">
        <f t="shared" si="27"/>
        <v>1.0087120500916007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127</v>
      </c>
      <c r="D36" s="30" t="s">
        <v>106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4.1110262708619104E-3</v>
      </c>
      <c r="Q36" s="168">
        <v>3.7356136916013583E-3</v>
      </c>
      <c r="R36" s="168">
        <v>3.4203245037740526E-3</v>
      </c>
      <c r="S36" s="168">
        <v>4.5277698904737651E-3</v>
      </c>
      <c r="T36" s="168">
        <v>4.410518495279625E-3</v>
      </c>
    </row>
    <row r="37" spans="3:23" ht="11.25" customHeight="1" outlineLevel="1">
      <c r="C37" s="61" t="s">
        <v>202</v>
      </c>
      <c r="D37" s="30" t="s">
        <v>106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232">
        <v>1.1126964650614291E-2</v>
      </c>
      <c r="Q37" s="232">
        <v>1.2798280475158852E-2</v>
      </c>
      <c r="R37" s="232">
        <v>1.4425373476583365E-2</v>
      </c>
      <c r="S37" s="232">
        <v>1.5971489126995614E-2</v>
      </c>
      <c r="T37" s="232">
        <v>1.3326371986336899E-2</v>
      </c>
    </row>
    <row r="38" spans="3:23" ht="11.25" customHeight="1" outlineLevel="1">
      <c r="C38" s="61" t="s">
        <v>203</v>
      </c>
      <c r="D38" s="30" t="s">
        <v>106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7.6189954607381004E-3</v>
      </c>
      <c r="Q38" s="60">
        <f t="shared" ref="Q38:T38" si="30">AVERAGE(Q36:Q37)</f>
        <v>8.2669470833801051E-3</v>
      </c>
      <c r="R38" s="60">
        <f t="shared" si="30"/>
        <v>8.9228489901787087E-3</v>
      </c>
      <c r="S38" s="60">
        <f t="shared" si="30"/>
        <v>1.0249629508734689E-2</v>
      </c>
      <c r="T38" s="60">
        <f t="shared" si="30"/>
        <v>8.8684452408082613E-3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18"/>
      <c r="K40" s="218"/>
      <c r="L40" s="218"/>
      <c r="M40" s="218"/>
      <c r="N40" s="218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19"/>
      <c r="K41" s="219"/>
      <c r="L41" s="219"/>
      <c r="M41" s="219"/>
      <c r="N41" s="219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44348</v>
      </c>
      <c r="Q47" s="163">
        <f t="shared" si="32"/>
        <v>44713</v>
      </c>
      <c r="R47" s="163">
        <f t="shared" si="32"/>
        <v>45078</v>
      </c>
      <c r="S47" s="163">
        <f t="shared" si="32"/>
        <v>45444</v>
      </c>
      <c r="T47" s="163">
        <f t="shared" si="32"/>
        <v>45809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106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210">
        <v>0</v>
      </c>
    </row>
    <row r="50" spans="1:50" ht="11.25" customHeight="1" outlineLevel="1">
      <c r="C50" s="148" t="str">
        <f t="shared" si="33"/>
        <v>WPI - BIS</v>
      </c>
      <c r="D50" s="30" t="s">
        <v>106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10">
        <v>0</v>
      </c>
    </row>
    <row r="51" spans="1:50" ht="11.25" customHeight="1" outlineLevel="1">
      <c r="C51" s="148" t="str">
        <f t="shared" si="33"/>
        <v>WPI - average of DAE and BIS</v>
      </c>
      <c r="D51" s="30" t="s">
        <v>106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232">
        <v>0.59699999999999998</v>
      </c>
      <c r="Q51" s="232">
        <v>0.59699999999999998</v>
      </c>
      <c r="R51" s="232">
        <v>0.59699999999999998</v>
      </c>
      <c r="S51" s="232">
        <v>0.59699999999999998</v>
      </c>
      <c r="T51" s="233">
        <v>0.59699999999999998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210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210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210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210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210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43983</v>
      </c>
      <c r="P62" s="163">
        <f t="shared" si="36"/>
        <v>44348</v>
      </c>
      <c r="Q62" s="163">
        <f t="shared" si="36"/>
        <v>44713</v>
      </c>
      <c r="R62" s="163">
        <f t="shared" si="36"/>
        <v>45078</v>
      </c>
      <c r="S62" s="163">
        <f t="shared" si="36"/>
        <v>45444</v>
      </c>
      <c r="T62" s="163">
        <f t="shared" si="36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181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235">
        <v>915493</v>
      </c>
      <c r="P64" s="235">
        <v>926279</v>
      </c>
      <c r="Q64" s="235">
        <v>935431</v>
      </c>
      <c r="R64" s="235">
        <v>942766</v>
      </c>
      <c r="S64" s="235">
        <v>950069</v>
      </c>
      <c r="T64" s="235">
        <v>957324</v>
      </c>
    </row>
    <row r="65" spans="3:23" outlineLevel="1">
      <c r="C65" s="61" t="s">
        <v>182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235">
        <v>89961.93138082762</v>
      </c>
      <c r="P65" s="235">
        <v>90295.301913190546</v>
      </c>
      <c r="Q65" s="235">
        <v>90634.061724816856</v>
      </c>
      <c r="R65" s="235">
        <v>90978.302256038864</v>
      </c>
      <c r="S65" s="235">
        <v>91328.116499692784</v>
      </c>
      <c r="T65" s="235">
        <v>91683.599027477889</v>
      </c>
    </row>
    <row r="66" spans="3:23" outlineLevel="1">
      <c r="C66" s="61" t="s">
        <v>183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235">
        <v>3192.7919959999999</v>
      </c>
      <c r="P66" s="235">
        <v>3192.7919959999999</v>
      </c>
      <c r="Q66" s="235">
        <v>3192.7919959999999</v>
      </c>
      <c r="R66" s="235">
        <v>3192.7919959999999</v>
      </c>
      <c r="S66" s="235">
        <v>3192.7919959999999</v>
      </c>
      <c r="T66" s="235">
        <v>3192.7919959999999</v>
      </c>
    </row>
    <row r="67" spans="3:23" outlineLevel="1">
      <c r="C67" s="61" t="s">
        <v>184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234">
        <v>9693</v>
      </c>
      <c r="P67" s="234">
        <v>9639</v>
      </c>
      <c r="Q67" s="234">
        <v>9664</v>
      </c>
      <c r="R67" s="234">
        <v>9687</v>
      </c>
      <c r="S67" s="234">
        <v>9737</v>
      </c>
      <c r="T67" s="234">
        <v>9819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44348</v>
      </c>
      <c r="Q73" s="163">
        <f t="shared" si="38"/>
        <v>44713</v>
      </c>
      <c r="R73" s="163">
        <f t="shared" si="38"/>
        <v>45078</v>
      </c>
      <c r="S73" s="163">
        <f t="shared" si="38"/>
        <v>45444</v>
      </c>
      <c r="T73" s="163">
        <f t="shared" si="38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1.1712767171710325E-2</v>
      </c>
      <c r="Q75" s="117">
        <f t="shared" si="40"/>
        <v>9.8319004829132695E-3</v>
      </c>
      <c r="R75" s="117">
        <f t="shared" si="40"/>
        <v>7.8107219750869206E-3</v>
      </c>
      <c r="S75" s="117">
        <f t="shared" si="40"/>
        <v>7.716505915974281E-3</v>
      </c>
      <c r="T75" s="117">
        <f t="shared" si="40"/>
        <v>7.6072786128715819E-3</v>
      </c>
    </row>
    <row r="76" spans="3:23" outlineLevel="1">
      <c r="C76" s="148" t="str">
        <f t="shared" ref="C76:C80" si="41">C65</f>
        <v>Circuit Length (km)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3.6988353404918684E-3</v>
      </c>
      <c r="Q76" s="117">
        <f t="shared" si="42"/>
        <v>3.7446680922403885E-3</v>
      </c>
      <c r="R76" s="117">
        <f t="shared" si="42"/>
        <v>3.7909417171810844E-3</v>
      </c>
      <c r="S76" s="117">
        <f t="shared" si="42"/>
        <v>3.8376561326636249E-3</v>
      </c>
      <c r="T76" s="117">
        <f t="shared" si="42"/>
        <v>3.8848111317069112E-3</v>
      </c>
    </row>
    <row r="77" spans="3:23" outlineLevel="1">
      <c r="C77" s="148" t="str">
        <f t="shared" si="41"/>
        <v>Ratcheted Maximum Demand (MW)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0</v>
      </c>
      <c r="S77" s="117">
        <f t="shared" si="43"/>
        <v>0</v>
      </c>
      <c r="T77" s="117">
        <f t="shared" si="43"/>
        <v>0</v>
      </c>
    </row>
    <row r="78" spans="3:23" outlineLevel="1">
      <c r="C78" s="148" t="str">
        <f t="shared" si="41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-5.586606708639863E-3</v>
      </c>
      <c r="Q78" s="117">
        <f t="shared" si="44"/>
        <v>2.5902723906270353E-3</v>
      </c>
      <c r="R78" s="117">
        <f t="shared" si="44"/>
        <v>2.3771392517897283E-3</v>
      </c>
      <c r="S78" s="117">
        <f t="shared" si="44"/>
        <v>5.1482815523709036E-3</v>
      </c>
      <c r="T78" s="117">
        <f t="shared" si="44"/>
        <v>8.3862221905341983E-3</v>
      </c>
    </row>
    <row r="79" spans="3:23" outlineLevel="1">
      <c r="C79" s="148">
        <f t="shared" si="41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O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/>
      <c r="Q80" s="117"/>
      <c r="R80" s="117"/>
      <c r="S80" s="117"/>
      <c r="T80" s="117"/>
    </row>
    <row r="81" spans="3:23" outlineLevel="1">
      <c r="C81" s="111"/>
      <c r="G81" s="32"/>
      <c r="H81" s="32"/>
      <c r="K81" s="23"/>
      <c r="L81" s="23"/>
      <c r="M81" s="23"/>
      <c r="N81" s="23"/>
      <c r="O81" s="23"/>
      <c r="P81" s="117"/>
      <c r="Q81" s="117"/>
      <c r="R81" s="117"/>
      <c r="S81" s="117"/>
      <c r="T81" s="117"/>
    </row>
    <row r="82" spans="3:23" outlineLevel="1">
      <c r="C82" s="67" t="s">
        <v>185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186</v>
      </c>
      <c r="K82" s="212" t="s">
        <v>187</v>
      </c>
      <c r="L82" s="212" t="s">
        <v>188</v>
      </c>
      <c r="M82" s="212" t="s">
        <v>189</v>
      </c>
      <c r="N82" s="163"/>
      <c r="O82" s="163"/>
      <c r="P82" s="117"/>
      <c r="Q82" s="117"/>
      <c r="R82" s="117"/>
      <c r="S82" s="117"/>
      <c r="T82" s="117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17"/>
      <c r="Q83" s="117"/>
      <c r="R83" s="117"/>
      <c r="S83" s="117"/>
      <c r="T83" s="117"/>
    </row>
    <row r="84" spans="3:23" outlineLevel="1">
      <c r="C84" s="148" t="str">
        <f>C64</f>
        <v>Customer numbers (#)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0.71710255491777608</v>
      </c>
      <c r="K84" s="60">
        <v>0.68712715761212573</v>
      </c>
      <c r="L84" s="60">
        <v>0.57738136830492559</v>
      </c>
      <c r="M84" s="60">
        <v>0.31</v>
      </c>
      <c r="N84" s="194"/>
      <c r="O84" s="194"/>
      <c r="P84" s="117"/>
      <c r="Q84" s="117"/>
      <c r="R84" s="117"/>
      <c r="S84" s="117"/>
      <c r="T84" s="117"/>
    </row>
    <row r="85" spans="3:23" outlineLevel="1">
      <c r="C85" s="148" t="str">
        <f t="shared" ref="C85:C89" si="47">C65</f>
        <v>Circuit Length (km)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0.12650862933930324</v>
      </c>
      <c r="K85" s="60">
        <v>0.10762084130593763</v>
      </c>
      <c r="L85" s="60">
        <v>0.1127492284952822</v>
      </c>
      <c r="M85" s="60">
        <v>0.28999999999999998</v>
      </c>
      <c r="N85" s="194"/>
      <c r="O85" s="194"/>
      <c r="P85" s="117"/>
      <c r="Q85" s="117"/>
      <c r="R85" s="117"/>
      <c r="S85" s="117"/>
      <c r="T85" s="117"/>
    </row>
    <row r="86" spans="3:23" outlineLevel="1">
      <c r="C86" s="148" t="str">
        <f t="shared" si="47"/>
        <v>Ratcheted Maximum Demand (MW)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0.15638881574292068</v>
      </c>
      <c r="K86" s="60">
        <v>0.20525200108193667</v>
      </c>
      <c r="L86" s="60">
        <v>0.30986940319979217</v>
      </c>
      <c r="M86" s="60">
        <v>0.28000000000000003</v>
      </c>
      <c r="N86" s="194"/>
      <c r="O86" s="194"/>
      <c r="P86" s="222"/>
      <c r="Q86" s="222"/>
      <c r="R86" s="222"/>
      <c r="S86" s="222"/>
      <c r="T86" s="222"/>
    </row>
    <row r="87" spans="3:23" outlineLevel="1">
      <c r="C87" s="148" t="str">
        <f t="shared" si="47"/>
        <v>Energy throughput (GWh)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 t="shared" si="47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190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8.8671898530679298E-3</v>
      </c>
      <c r="Q95" s="117">
        <f t="shared" si="49"/>
        <v>7.5242137836743772E-3</v>
      </c>
      <c r="R95" s="117">
        <f t="shared" si="49"/>
        <v>6.080675524633013E-3</v>
      </c>
      <c r="S95" s="117">
        <f t="shared" si="49"/>
        <v>6.0190227246021376E-3</v>
      </c>
      <c r="T95" s="117">
        <f>IF(T$93=T$4,SUMPRODUCT(T$75:T$80,$J$84:$J$89),"")</f>
        <v>5.9466610607758754E-3</v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0">IF(J$93=J$4,SUMPRODUCT(J$75:J$80,$K$84:$K$89),"")</f>
        <v/>
      </c>
      <c r="K96" s="117" t="str">
        <f t="shared" si="50"/>
        <v/>
      </c>
      <c r="L96" s="117" t="str">
        <f t="shared" si="50"/>
        <v/>
      </c>
      <c r="M96" s="117" t="str">
        <f t="shared" si="50"/>
        <v/>
      </c>
      <c r="N96" s="117" t="str">
        <f t="shared" si="50"/>
        <v/>
      </c>
      <c r="O96" s="117" t="str">
        <f t="shared" si="50"/>
        <v/>
      </c>
      <c r="P96" s="117">
        <f t="shared" si="50"/>
        <v>8.4462321856658019E-3</v>
      </c>
      <c r="Q96" s="117">
        <f t="shared" si="50"/>
        <v>7.1587701632478918E-3</v>
      </c>
      <c r="R96" s="117">
        <f t="shared" si="50"/>
        <v>5.774943526584848E-3</v>
      </c>
      <c r="S96" s="117">
        <f t="shared" si="50"/>
        <v>5.7152325583807112E-3</v>
      </c>
      <c r="T96" s="117">
        <f>IF(T$93=T$4,SUMPRODUCT(T$75:T$80,$K$84:$K$89),"")</f>
        <v>5.6452543727349347E-3</v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1">IF(J$93=J$4,SUMPRODUCT(J$75:J$80,$L$84:$L$89),"")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7.1797743672106637E-3</v>
      </c>
      <c r="Q97" s="117">
        <f t="shared" si="51"/>
        <v>6.0989645922333259E-3</v>
      </c>
      <c r="R97" s="117">
        <f t="shared" si="51"/>
        <v>4.9371910953077847E-3</v>
      </c>
      <c r="S97" s="117">
        <f t="shared" si="51"/>
        <v>4.8880595124862949E-3</v>
      </c>
      <c r="T97" s="117">
        <f>IF(T$93=T$4,SUMPRODUCT(T$75:T$80,$L$84:$L$89),"")</f>
        <v>4.8303103925264289E-3</v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2">IF(J$93=J$4,SUMPRODUCT(J$75:J$80,$M$84:$M$89),"")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4.0332272669360595E-3</v>
      </c>
      <c r="Q98" s="117">
        <f t="shared" si="52"/>
        <v>4.4446755833280702E-3</v>
      </c>
      <c r="R98" s="117">
        <f t="shared" si="52"/>
        <v>3.8059536204742271E-3</v>
      </c>
      <c r="S98" s="117">
        <f t="shared" si="52"/>
        <v>4.1228308987089866E-3</v>
      </c>
      <c r="T98" s="117">
        <f>IF(T$93=T$4,SUMPRODUCT(T$75:T$80,$M$84:$M$89),"")</f>
        <v>4.4911982610492986E-3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3">IF(YEAR(J$4)&gt;=FPFirstYear,IF(YEAR(J$4)&lt;=FPLastYear,J$4,""),"")</f>
        <v/>
      </c>
      <c r="K102" s="163" t="str">
        <f t="shared" si="53"/>
        <v/>
      </c>
      <c r="L102" s="163" t="str">
        <f t="shared" si="53"/>
        <v/>
      </c>
      <c r="M102" s="163" t="str">
        <f t="shared" si="53"/>
        <v/>
      </c>
      <c r="N102" s="163" t="str">
        <f t="shared" si="53"/>
        <v/>
      </c>
      <c r="O102" s="163" t="str">
        <f t="shared" si="53"/>
        <v/>
      </c>
      <c r="P102" s="163">
        <f t="shared" si="53"/>
        <v>44348</v>
      </c>
      <c r="Q102" s="163">
        <f t="shared" si="53"/>
        <v>44713</v>
      </c>
      <c r="R102" s="163">
        <f t="shared" si="53"/>
        <v>45078</v>
      </c>
      <c r="S102" s="163">
        <f t="shared" si="53"/>
        <v>45444</v>
      </c>
      <c r="T102" s="163">
        <f t="shared" si="53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6"/>
      <c r="K104" s="195"/>
      <c r="L104" s="195"/>
      <c r="M104" s="195"/>
      <c r="N104" s="195"/>
      <c r="O104" s="170"/>
      <c r="P104" s="170">
        <v>5.0000000000000001E-3</v>
      </c>
      <c r="Q104" s="170">
        <v>5.0000000000000001E-3</v>
      </c>
      <c r="R104" s="170">
        <v>5.0000000000000001E-3</v>
      </c>
      <c r="S104" s="170">
        <v>5.0000000000000001E-3</v>
      </c>
      <c r="T104" s="170">
        <v>5.0000000000000001E-3</v>
      </c>
    </row>
    <row r="105" spans="1:50" outlineLevel="1">
      <c r="C105" s="111"/>
      <c r="G105" s="32"/>
      <c r="H105" s="32"/>
      <c r="J105" s="169"/>
      <c r="K105" s="23"/>
      <c r="L105" s="23"/>
      <c r="M105" s="23"/>
      <c r="N105" s="23"/>
      <c r="O105" s="23"/>
      <c r="P105" s="193"/>
      <c r="Q105" s="193"/>
      <c r="R105" s="193"/>
      <c r="S105" s="193"/>
      <c r="T105" s="193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54">IF(J102=J$4,IF(ISBLANK(J104),"Check","Ok"),"")</f>
        <v/>
      </c>
      <c r="K106" s="132" t="str">
        <f t="shared" si="54"/>
        <v/>
      </c>
      <c r="L106" s="132" t="str">
        <f t="shared" si="54"/>
        <v/>
      </c>
      <c r="M106" s="132" t="str">
        <f t="shared" si="54"/>
        <v/>
      </c>
      <c r="N106" s="132" t="str">
        <f t="shared" si="54"/>
        <v/>
      </c>
      <c r="O106" s="132" t="str">
        <f t="shared" si="54"/>
        <v/>
      </c>
      <c r="P106" s="132" t="str">
        <f t="shared" si="54"/>
        <v>Ok</v>
      </c>
      <c r="Q106" s="132" t="str">
        <f t="shared" si="54"/>
        <v>Ok</v>
      </c>
      <c r="R106" s="132" t="str">
        <f t="shared" si="54"/>
        <v>Ok</v>
      </c>
      <c r="S106" s="132" t="str">
        <f t="shared" si="54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3" priority="111" operator="equal">
      <formula>"Check"</formula>
    </cfRule>
    <cfRule type="cellIs" dxfId="152" priority="112" operator="equal">
      <formula>"Ok"</formula>
    </cfRule>
  </conditionalFormatting>
  <conditionalFormatting sqref="T1">
    <cfRule type="cellIs" dxfId="151" priority="75" operator="equal">
      <formula>"Check"</formula>
    </cfRule>
    <cfRule type="cellIs" dxfId="150" priority="76" operator="equal">
      <formula>"Ok"</formula>
    </cfRule>
  </conditionalFormatting>
  <conditionalFormatting sqref="W58">
    <cfRule type="cellIs" dxfId="149" priority="63" operator="equal">
      <formula>"Check"</formula>
    </cfRule>
    <cfRule type="cellIs" dxfId="148" priority="64" operator="equal">
      <formula>"Ok"</formula>
    </cfRule>
  </conditionalFormatting>
  <conditionalFormatting sqref="J58:T58">
    <cfRule type="cellIs" dxfId="147" priority="55" operator="equal">
      <formula>"Check"</formula>
    </cfRule>
    <cfRule type="cellIs" dxfId="146" priority="56" operator="equal">
      <formula>"Ok"</formula>
    </cfRule>
  </conditionalFormatting>
  <conditionalFormatting sqref="J34:T34">
    <cfRule type="expression" dxfId="145" priority="46">
      <formula>J$34=J$4</formula>
    </cfRule>
  </conditionalFormatting>
  <conditionalFormatting sqref="J36:T43">
    <cfRule type="expression" dxfId="144" priority="44">
      <formula>J$34=J$4</formula>
    </cfRule>
  </conditionalFormatting>
  <conditionalFormatting sqref="J49:T56">
    <cfRule type="expression" dxfId="143" priority="43">
      <formula>J$47=J$4</formula>
    </cfRule>
  </conditionalFormatting>
  <conditionalFormatting sqref="W106">
    <cfRule type="cellIs" dxfId="142" priority="37" operator="equal">
      <formula>"Check"</formula>
    </cfRule>
    <cfRule type="cellIs" dxfId="141" priority="38" operator="equal">
      <formula>"Ok"</formula>
    </cfRule>
  </conditionalFormatting>
  <conditionalFormatting sqref="J106:T106">
    <cfRule type="cellIs" dxfId="140" priority="35" operator="equal">
      <formula>"Check"</formula>
    </cfRule>
    <cfRule type="cellIs" dxfId="139" priority="36" operator="equal">
      <formula>"Ok"</formula>
    </cfRule>
  </conditionalFormatting>
  <conditionalFormatting sqref="W45">
    <cfRule type="cellIs" dxfId="138" priority="33" operator="equal">
      <formula>"Check"</formula>
    </cfRule>
    <cfRule type="cellIs" dxfId="137" priority="34" operator="equal">
      <formula>"Ok"</formula>
    </cfRule>
  </conditionalFormatting>
  <conditionalFormatting sqref="J45:T45">
    <cfRule type="cellIs" dxfId="136" priority="31" operator="equal">
      <formula>"Check"</formula>
    </cfRule>
    <cfRule type="cellIs" dxfId="135" priority="32" operator="equal">
      <formula>"Ok"</formula>
    </cfRule>
  </conditionalFormatting>
  <conditionalFormatting sqref="W71">
    <cfRule type="cellIs" dxfId="134" priority="29" operator="equal">
      <formula>"Check"</formula>
    </cfRule>
    <cfRule type="cellIs" dxfId="133" priority="30" operator="equal">
      <formula>"Ok"</formula>
    </cfRule>
  </conditionalFormatting>
  <conditionalFormatting sqref="J71:T71">
    <cfRule type="cellIs" dxfId="132" priority="27" operator="equal">
      <formula>"Check"</formula>
    </cfRule>
    <cfRule type="cellIs" dxfId="131" priority="28" operator="equal">
      <formula>"Ok"</formula>
    </cfRule>
  </conditionalFormatting>
  <conditionalFormatting sqref="J62:T62">
    <cfRule type="expression" dxfId="130" priority="21">
      <formula>J$62=J$4</formula>
    </cfRule>
  </conditionalFormatting>
  <conditionalFormatting sqref="J64:T69">
    <cfRule type="expression" dxfId="129" priority="19">
      <formula>J$62=J$4</formula>
    </cfRule>
  </conditionalFormatting>
  <conditionalFormatting sqref="J47:T47">
    <cfRule type="expression" dxfId="128" priority="16">
      <formula>J$34=J$4</formula>
    </cfRule>
  </conditionalFormatting>
  <conditionalFormatting sqref="J73:T73">
    <cfRule type="expression" dxfId="127" priority="15">
      <formula>J$34=J$4</formula>
    </cfRule>
  </conditionalFormatting>
  <conditionalFormatting sqref="J102:T102">
    <cfRule type="expression" dxfId="126" priority="14">
      <formula>J$34=J$4</formula>
    </cfRule>
  </conditionalFormatting>
  <conditionalFormatting sqref="J25:T30">
    <cfRule type="cellIs" dxfId="125" priority="12" operator="equal">
      <formula>0</formula>
    </cfRule>
  </conditionalFormatting>
  <conditionalFormatting sqref="J16:T21">
    <cfRule type="cellIs" dxfId="124" priority="11" operator="equal">
      <formula>0</formula>
    </cfRule>
  </conditionalFormatting>
  <conditionalFormatting sqref="W91:W98">
    <cfRule type="cellIs" dxfId="123" priority="7" operator="equal">
      <formula>"Check"</formula>
    </cfRule>
    <cfRule type="cellIs" dxfId="122" priority="8" operator="equal">
      <formula>"Ok"</formula>
    </cfRule>
  </conditionalFormatting>
  <conditionalFormatting sqref="K88:M89">
    <cfRule type="expression" dxfId="121" priority="6">
      <formula>K$82=K$4</formula>
    </cfRule>
  </conditionalFormatting>
  <conditionalFormatting sqref="J91:T92 J94:T94">
    <cfRule type="cellIs" dxfId="120" priority="4" operator="equal">
      <formula>"Check"</formula>
    </cfRule>
    <cfRule type="cellIs" dxfId="119" priority="5" operator="equal">
      <formula>"Ok"</formula>
    </cfRule>
  </conditionalFormatting>
  <conditionalFormatting sqref="J93:T93">
    <cfRule type="expression" dxfId="118" priority="3">
      <formula>J$93=J$4</formula>
    </cfRule>
  </conditionalFormatting>
  <conditionalFormatting sqref="J104:T104">
    <cfRule type="expression" dxfId="117" priority="116">
      <formula>J$102=J$4</formula>
    </cfRule>
  </conditionalFormatting>
  <conditionalFormatting sqref="K87:M87 M84:M86">
    <cfRule type="expression" dxfId="116" priority="2">
      <formula>K$82=K$4</formula>
    </cfRule>
  </conditionalFormatting>
  <conditionalFormatting sqref="K84:L86">
    <cfRule type="expression" dxfId="115" priority="1">
      <formula>K$82=K$4</formula>
    </cfRule>
  </conditionalFormatting>
  <dataValidations disablePrompts="1" count="2">
    <dataValidation type="list" allowBlank="1" showInputMessage="1" showErrorMessage="1" sqref="F107 F72 F99" xr:uid="{00000000-0002-0000-0400-000000000000}">
      <formula1>#REF!</formula1>
    </dataValidation>
    <dataValidation type="list" allowBlank="1" showInputMessage="1" showErrorMessage="1" sqref="F83 F81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ignoredErrors>
    <ignoredError sqref="P38:T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2"/>
  <sheetViews>
    <sheetView showGridLines="0" topLeftCell="A4" workbookViewId="0">
      <selection activeCell="M40" sqref="M40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128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236" t="s">
        <v>208</v>
      </c>
      <c r="D12" s="30" t="s">
        <v>73</v>
      </c>
      <c r="E12" s="150" t="s">
        <v>15</v>
      </c>
      <c r="F12" s="172">
        <v>43983</v>
      </c>
      <c r="G12" s="32"/>
      <c r="H12" s="32"/>
      <c r="J12" s="152"/>
      <c r="K12" s="152"/>
      <c r="L12" s="152"/>
      <c r="M12" s="152"/>
      <c r="N12" s="152"/>
      <c r="O12" s="239">
        <v>0</v>
      </c>
      <c r="P12" s="239">
        <v>0.40110926524552842</v>
      </c>
      <c r="Q12" s="239">
        <v>0.92790671987317064</v>
      </c>
      <c r="R12" s="239">
        <v>1.0852901917951219</v>
      </c>
      <c r="S12" s="239">
        <v>1.3137148142373982</v>
      </c>
    </row>
    <row r="13" spans="1:47" outlineLevel="1">
      <c r="C13" s="236" t="s">
        <v>209</v>
      </c>
      <c r="D13" s="30" t="s">
        <v>73</v>
      </c>
      <c r="E13" s="150" t="s">
        <v>15</v>
      </c>
      <c r="F13" s="172">
        <v>43983</v>
      </c>
      <c r="G13" s="32"/>
      <c r="H13" s="32"/>
      <c r="J13" s="152"/>
      <c r="K13" s="152"/>
      <c r="L13" s="152"/>
      <c r="M13" s="152"/>
      <c r="N13" s="152"/>
      <c r="O13" s="239">
        <v>0.9464786252716737</v>
      </c>
      <c r="P13" s="239">
        <v>1.1774650011228744</v>
      </c>
      <c r="Q13" s="239">
        <v>1.6333986125606377</v>
      </c>
      <c r="R13" s="239">
        <v>1.6831592709506429</v>
      </c>
      <c r="S13" s="239">
        <v>1.740934159081059</v>
      </c>
    </row>
    <row r="14" spans="1:47" outlineLevel="1">
      <c r="C14" s="236" t="s">
        <v>210</v>
      </c>
      <c r="D14" s="30" t="s">
        <v>73</v>
      </c>
      <c r="E14" s="150" t="s">
        <v>15</v>
      </c>
      <c r="F14" s="172">
        <v>43983</v>
      </c>
      <c r="G14" s="32"/>
      <c r="H14" s="32"/>
      <c r="J14" s="152"/>
      <c r="K14" s="152"/>
      <c r="L14" s="152"/>
      <c r="M14" s="152"/>
      <c r="N14" s="152"/>
      <c r="O14" s="239">
        <v>0.74836727235024181</v>
      </c>
      <c r="P14" s="239">
        <v>0.74836727235024181</v>
      </c>
      <c r="Q14" s="239">
        <v>0.74836727235024181</v>
      </c>
      <c r="R14" s="239">
        <v>0.74836727235024181</v>
      </c>
      <c r="S14" s="239">
        <v>0.74836727235024181</v>
      </c>
    </row>
    <row r="15" spans="1:47" outlineLevel="1">
      <c r="C15" s="236" t="s">
        <v>211</v>
      </c>
      <c r="D15" s="30" t="s">
        <v>73</v>
      </c>
      <c r="E15" s="150" t="s">
        <v>15</v>
      </c>
      <c r="F15" s="172">
        <v>43983</v>
      </c>
      <c r="G15" s="32"/>
      <c r="H15" s="32"/>
      <c r="J15" s="152"/>
      <c r="K15" s="152"/>
      <c r="L15" s="152"/>
      <c r="M15" s="152"/>
      <c r="N15" s="152"/>
      <c r="O15" s="239">
        <v>1.8079585462511292</v>
      </c>
      <c r="P15" s="239">
        <v>1.9785996829268291</v>
      </c>
      <c r="Q15" s="239">
        <v>2.0885218875338754</v>
      </c>
      <c r="R15" s="239">
        <v>2.0885218875338754</v>
      </c>
      <c r="S15" s="239">
        <v>2.0885218875338754</v>
      </c>
    </row>
    <row r="16" spans="1:47" outlineLevel="1">
      <c r="C16" s="236" t="s">
        <v>212</v>
      </c>
      <c r="D16" s="30" t="s">
        <v>73</v>
      </c>
      <c r="E16" s="150" t="s">
        <v>15</v>
      </c>
      <c r="F16" s="172">
        <v>43983</v>
      </c>
      <c r="G16" s="32"/>
      <c r="H16" s="32"/>
      <c r="J16" s="152"/>
      <c r="K16" s="152"/>
      <c r="L16" s="152"/>
      <c r="M16" s="152"/>
      <c r="N16" s="152"/>
      <c r="O16" s="239">
        <v>-0.3681669680188126</v>
      </c>
      <c r="P16" s="239">
        <v>-0.3681669680188126</v>
      </c>
      <c r="Q16" s="239">
        <v>-0.3681669680188126</v>
      </c>
      <c r="R16" s="239">
        <v>-0.3681669680188126</v>
      </c>
      <c r="S16" s="239">
        <v>-0.3681669680188126</v>
      </c>
    </row>
    <row r="17" spans="1:47" outlineLevel="1">
      <c r="C17" s="236" t="s">
        <v>213</v>
      </c>
      <c r="D17" s="30" t="s">
        <v>73</v>
      </c>
      <c r="E17" s="150" t="s">
        <v>15</v>
      </c>
      <c r="F17" s="172">
        <v>43983</v>
      </c>
      <c r="G17" s="32"/>
      <c r="H17" s="32"/>
      <c r="J17" s="152"/>
      <c r="K17" s="152"/>
      <c r="L17" s="152"/>
      <c r="M17" s="152"/>
      <c r="N17" s="152"/>
      <c r="O17" s="239">
        <v>9.948029</v>
      </c>
      <c r="P17" s="239">
        <v>9.948029</v>
      </c>
      <c r="Q17" s="239">
        <v>9.948029</v>
      </c>
      <c r="R17" s="239">
        <v>9.948029</v>
      </c>
      <c r="S17" s="239">
        <v>9.948029</v>
      </c>
    </row>
    <row r="18" spans="1:47" outlineLevel="1">
      <c r="C18" s="236" t="s">
        <v>214</v>
      </c>
      <c r="D18" s="30" t="s">
        <v>73</v>
      </c>
      <c r="E18" s="150" t="s">
        <v>15</v>
      </c>
      <c r="F18" s="172">
        <v>43983</v>
      </c>
      <c r="G18" s="32"/>
      <c r="H18" s="32"/>
      <c r="J18" s="152"/>
      <c r="K18" s="152"/>
      <c r="L18" s="152"/>
      <c r="M18" s="152"/>
      <c r="N18" s="152"/>
      <c r="O18" s="239">
        <v>0.67619021491988374</v>
      </c>
      <c r="P18" s="239">
        <v>0.66060005365365737</v>
      </c>
      <c r="Q18" s="239">
        <v>0.64536933729352997</v>
      </c>
      <c r="R18" s="239">
        <v>0.63048977852044741</v>
      </c>
      <c r="S18" s="239">
        <v>0.61595328108679892</v>
      </c>
    </row>
    <row r="19" spans="1:47" outlineLevel="1">
      <c r="C19" s="236" t="s">
        <v>215</v>
      </c>
      <c r="D19" s="30" t="s">
        <v>73</v>
      </c>
      <c r="E19" s="150" t="s">
        <v>15</v>
      </c>
      <c r="F19" s="172">
        <v>43983</v>
      </c>
      <c r="G19" s="32"/>
      <c r="H19" s="32"/>
      <c r="J19" s="152"/>
      <c r="K19" s="152"/>
      <c r="L19" s="152"/>
      <c r="M19" s="152"/>
      <c r="N19" s="152"/>
      <c r="O19" s="239">
        <v>0</v>
      </c>
      <c r="P19" s="239">
        <v>0</v>
      </c>
      <c r="Q19" s="239">
        <v>9.4219032520325194E-2</v>
      </c>
      <c r="R19" s="239">
        <v>0.48470457841011733</v>
      </c>
      <c r="S19" s="239">
        <v>1.0887532646793134</v>
      </c>
    </row>
    <row r="20" spans="1:47" outlineLevel="1">
      <c r="C20" s="236" t="s">
        <v>216</v>
      </c>
      <c r="D20" s="30" t="s">
        <v>73</v>
      </c>
      <c r="E20" s="150" t="s">
        <v>15</v>
      </c>
      <c r="F20" s="172">
        <v>43983</v>
      </c>
      <c r="G20" s="32"/>
      <c r="H20" s="32"/>
      <c r="J20" s="152"/>
      <c r="K20" s="152"/>
      <c r="L20" s="152"/>
      <c r="M20" s="152"/>
      <c r="N20" s="152"/>
      <c r="O20" s="239">
        <v>-0.11292141042000001</v>
      </c>
      <c r="P20" s="239">
        <v>-0.43210751038</v>
      </c>
      <c r="Q20" s="239">
        <v>-0.31395466739</v>
      </c>
      <c r="R20" s="239">
        <v>-0.22342145007</v>
      </c>
      <c r="S20" s="239">
        <v>-0.21643013938000003</v>
      </c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124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2">
        <v>42522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61"/>
      <c r="D29" s="30" t="s">
        <v>73</v>
      </c>
      <c r="E29" s="150" t="s">
        <v>15</v>
      </c>
      <c r="F29" s="172">
        <v>42522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73</v>
      </c>
      <c r="E30" s="150" t="s">
        <v>15</v>
      </c>
      <c r="F30" s="172">
        <v>42522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1">
        <v>43983</v>
      </c>
      <c r="G38" s="32"/>
      <c r="H38" s="32"/>
      <c r="J38" s="171"/>
      <c r="K38" s="171"/>
      <c r="L38" s="171"/>
      <c r="M38" s="171"/>
      <c r="N38" s="171"/>
      <c r="O38" s="238">
        <v>2.2200000000000002</v>
      </c>
      <c r="P38" s="238">
        <v>2.2400000000000002</v>
      </c>
      <c r="Q38" s="238">
        <v>2.25</v>
      </c>
      <c r="R38" s="238">
        <v>2.25</v>
      </c>
      <c r="S38" s="238">
        <v>2.2400000000000002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2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2:T32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0 O29:S30">
    <cfRule type="expression" dxfId="100" priority="12">
      <formula>J$26=J$4</formula>
    </cfRule>
  </conditionalFormatting>
  <conditionalFormatting sqref="W40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0:T40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8:S28">
    <cfRule type="expression" dxfId="95" priority="7">
      <formula>O$10=O$4</formula>
    </cfRule>
  </conditionalFormatting>
  <conditionalFormatting sqref="N28:N30">
    <cfRule type="expression" dxfId="94" priority="6">
      <formula>N$10=N$4</formula>
    </cfRule>
  </conditionalFormatting>
  <conditionalFormatting sqref="J38:S38">
    <cfRule type="expression" dxfId="93" priority="3">
      <formula>J$36=J$4</formula>
    </cfRule>
  </conditionalFormatting>
  <conditionalFormatting sqref="J26:S26">
    <cfRule type="expression" dxfId="92" priority="2">
      <formula>J$10=J$4</formula>
    </cfRule>
  </conditionalFormatting>
  <conditionalFormatting sqref="J36:S36">
    <cfRule type="expression" dxfId="91" priority="1">
      <formula>J$10=J$4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U28:U31 I38 U23 I23 U12:U21 I28:I31 U33 I33 U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'Lookup|Tables'!$C$66:$C$74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91"/>
  <sheetViews>
    <sheetView showGridLines="0" topLeftCell="A67" workbookViewId="0">
      <selection activeCell="U98" sqref="U98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128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170</v>
      </c>
      <c r="D12" s="108" t="s">
        <v>96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258.24158131657958</v>
      </c>
      <c r="N12" s="109">
        <f>IF(YEAR(N$4)=BaseYear,'Input|Reported opex'!N47,0)</f>
        <v>0</v>
      </c>
      <c r="O12" s="109"/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170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264.84532581782202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/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171</v>
      </c>
      <c r="D14" s="108" t="s">
        <v>96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253.28609640441189</v>
      </c>
      <c r="N14" s="109">
        <f>IF(YEAR(N$4)=BaseYear,'Input|Reported opex'!N15,0)</f>
        <v>0</v>
      </c>
      <c r="O14" s="109"/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171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275.21949427816696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/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172</v>
      </c>
      <c r="D16" s="108" t="s">
        <v>96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256.33753615168092</v>
      </c>
      <c r="O16" s="109"/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172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278.5351745148065</v>
      </c>
      <c r="O17" s="109"/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173</v>
      </c>
      <c r="D19" s="108" t="s">
        <v>96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173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174</v>
      </c>
      <c r="D21" s="108" t="s">
        <v>96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174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175</v>
      </c>
      <c r="D23" s="108" t="s">
        <v>96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175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146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264.84532581782202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168</v>
      </c>
      <c r="D28" s="108" t="s">
        <v>96</v>
      </c>
      <c r="E28" s="110" t="str">
        <f>'Input|Reported opex'!E68</f>
        <v>$millions</v>
      </c>
      <c r="F28" s="161">
        <f>'Input|Reported opex'!F68</f>
        <v>42522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166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3.3156802366395368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268.16100605446155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176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0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Adjustment 1</v>
      </c>
      <c r="D37" s="108" t="s">
        <v>96</v>
      </c>
      <c r="E37" s="110" t="str">
        <f>'Input|Reported opex'!E62</f>
        <v>$millions</v>
      </c>
      <c r="F37" s="161">
        <f>'Input|Reported opex'!F62</f>
        <v>43617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96</v>
      </c>
      <c r="E40" s="30" t="str">
        <f>'Input|Reported opex'!$E$63</f>
        <v>$millions</v>
      </c>
      <c r="F40" s="161">
        <f>'Input|Reported opex'!$F$63</f>
        <v>42522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96</v>
      </c>
      <c r="E43" s="30" t="str">
        <f>'Input|Reported opex'!$E$64</f>
        <v>$millions</v>
      </c>
      <c r="F43" s="161">
        <f>'Input|Reported opex'!$F$64</f>
        <v>42522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96</v>
      </c>
      <c r="E46" s="30" t="str">
        <f>'Input|Reported opex'!$E$65</f>
        <v>$millions</v>
      </c>
      <c r="F46" s="161">
        <f>'Input|Reported opex'!$F$65</f>
        <v>42522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96</v>
      </c>
      <c r="E49" s="30" t="str">
        <f>'Input|Reported opex'!$E$66</f>
        <v>$millions</v>
      </c>
      <c r="F49" s="161">
        <f>'Input|Reported opex'!$F$66</f>
        <v>42522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177</v>
      </c>
      <c r="D54" s="112" t="s">
        <v>103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268.16100605446155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117">
        <f>IF(O58=O4,AVERAGE('Input|Rate of change'!P95:P98),0)</f>
        <v>7.1316059182201146E-3</v>
      </c>
      <c r="P61" s="117">
        <f>IF(P58=P4,AVERAGE('Input|Rate of change'!Q95:Q98),0)</f>
        <v>6.3066560306209163E-3</v>
      </c>
      <c r="Q61" s="117">
        <f>IF(Q58=Q4,AVERAGE('Input|Rate of change'!R95:R98),0)</f>
        <v>5.1496909417499681E-3</v>
      </c>
      <c r="R61" s="117">
        <f>IF(R58=R4,AVERAGE('Input|Rate of change'!S95:S98),0)</f>
        <v>5.1862864235445319E-3</v>
      </c>
      <c r="S61" s="117">
        <f>IF(S58=S4,AVERAGE('Input|Rate of change'!T95:T98),0)</f>
        <v>5.228356021771634E-3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4.5485402900606459E-3</v>
      </c>
      <c r="P63" s="117">
        <f>SUMPRODUCT('Input|Rate of change'!Q36:Q43,'Input|Rate of change'!Q49:Q56)</f>
        <v>4.9353674087779225E-3</v>
      </c>
      <c r="Q63" s="117">
        <f>SUMPRODUCT('Input|Rate of change'!R36:R43,'Input|Rate of change'!R49:R56)</f>
        <v>5.3269408471366885E-3</v>
      </c>
      <c r="R63" s="117">
        <f>SUMPRODUCT('Input|Rate of change'!S36:S43,'Input|Rate of change'!S49:S56)</f>
        <v>6.1190288167146095E-3</v>
      </c>
      <c r="S63" s="117">
        <f>SUMPRODUCT('Input|Rate of change'!T36:T43,'Input|Rate of change'!T49:T56)</f>
        <v>5.2944618087625321E-3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5.0000000000000001E-3</v>
      </c>
      <c r="P65" s="117">
        <f>'Input|Rate of change'!Q104</f>
        <v>5.0000000000000001E-3</v>
      </c>
      <c r="Q65" s="117">
        <f>'Input|Rate of change'!R104</f>
        <v>5.0000000000000001E-3</v>
      </c>
      <c r="R65" s="117">
        <f>'Input|Rate of change'!S104</f>
        <v>5.0000000000000001E-3</v>
      </c>
      <c r="S65" s="117">
        <f>'Input|Rate of change'!T104</f>
        <v>5.0000000000000001E-3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147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6.6540216821069365E-3</v>
      </c>
      <c r="P67" s="143">
        <f t="shared" si="6"/>
        <v>6.2167833585105026E-3</v>
      </c>
      <c r="Q67" s="143">
        <f t="shared" si="6"/>
        <v>5.4515435684745484E-3</v>
      </c>
      <c r="R67" s="143">
        <f t="shared" si="6"/>
        <v>6.2803650249549925E-3</v>
      </c>
      <c r="S67" s="143">
        <f t="shared" si="6"/>
        <v>5.4977466660048879E-3</v>
      </c>
    </row>
    <row r="68" spans="1:47" outlineLevel="1">
      <c r="C68" s="124" t="s">
        <v>148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6.6540216821069365E-3</v>
      </c>
      <c r="P68" s="117">
        <f t="array" ref="P68">IF(P$58=P$4,PRODUCT(1+$J67:P67)-1,"")</f>
        <v>1.2912171651877857E-2</v>
      </c>
      <c r="Q68" s="117">
        <f t="array" ref="Q68">IF(Q$58=Q$4,PRODUCT(1+$J67:Q67)-1,"")</f>
        <v>1.8434106486676205E-2</v>
      </c>
      <c r="R68" s="117">
        <f t="array" ref="R68">IF(R$58=R$4,PRODUCT(1+$J67:R67)-1,"")</f>
        <v>2.4830244429276505E-2</v>
      </c>
      <c r="S68" s="117">
        <f t="array" ref="S68">IF(S$58=S$4,PRODUCT(1+$J67:S67)-1,"")</f>
        <v>3.0464501488808526E-2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LV Management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0.40110926524552842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0.92790671987317064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1.0852901917951219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1.3137148142373982</v>
      </c>
    </row>
    <row r="75" spans="1:47" outlineLevel="1">
      <c r="C75" s="121" t="str">
        <f>'Input|Step changes'!C13</f>
        <v>Cloud Transition - cloud hosting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0.9464786252716737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1.1774650011228744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1.6333986125606377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1.6831592709506429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1.740934159081059</v>
      </c>
    </row>
    <row r="76" spans="1:47" outlineLevel="1">
      <c r="C76" s="121" t="str">
        <f>'Input|Step changes'!C14</f>
        <v>Cloud Transition - work scheduling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0.74836727235024181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0.74836727235024181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0.74836727235024181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0.74836727235024181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0.74836727235024181</v>
      </c>
    </row>
    <row r="77" spans="1:47" outlineLevel="1">
      <c r="C77" s="121" t="str">
        <f>'Input|Step changes'!C15</f>
        <v>Critical Infrastructure Centre Compliance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1.8079585462511292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1.9785996829268289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2.0885218875338754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2.0885218875338754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2.0885218875338754</v>
      </c>
    </row>
    <row r="78" spans="1:47" outlineLevel="1">
      <c r="C78" s="121" t="str">
        <f>'Input|Step changes'!C16</f>
        <v>GSL reliability payments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-0.3681669680188126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-0.3681669680188126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-0.3681669680188126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-0.3681669680188126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-0.3681669680188126</v>
      </c>
    </row>
    <row r="79" spans="1:47" outlineLevel="1">
      <c r="C79" s="121" t="str">
        <f>'Input|Step changes'!C17</f>
        <v>Cable and Conductor Repair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9.948029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9.948029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9.948029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9.948029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9.948029</v>
      </c>
    </row>
    <row r="80" spans="1:47" outlineLevel="1">
      <c r="C80" s="121" t="str">
        <f>'Input|Step changes'!C18</f>
        <v>Distribution Licence Fee [NEW]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0.67619021491988374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0.66060005365365737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0.64536933729352997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0.63048977852044741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0.61595328108679892</v>
      </c>
    </row>
    <row r="81" spans="1:47" outlineLevel="1">
      <c r="C81" s="121" t="str">
        <f>'Input|Step changes'!C19</f>
        <v>Utilities Cyber Maturity Uplift [NEW]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9.4219032520325194E-2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0.48470457841011733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1.0887532646793134</v>
      </c>
    </row>
    <row r="82" spans="1:47" outlineLevel="1">
      <c r="C82" s="121" t="str">
        <f>'Input|Step changes'!C20</f>
        <v>LV Monitoring [NEW]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-0.11292141042000001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-0.43210751038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-0.31395466739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-0.22342145007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-0.21643013938000003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13.645935280354117</v>
      </c>
      <c r="P84" s="177">
        <f t="shared" si="9"/>
        <v>14.113895796900319</v>
      </c>
      <c r="Q84" s="177">
        <f t="shared" si="9"/>
        <v>15.403690226722969</v>
      </c>
      <c r="R84" s="177">
        <f t="shared" si="9"/>
        <v>16.076973561471636</v>
      </c>
      <c r="S84" s="177">
        <f t="shared" si="9"/>
        <v>16.959676571569872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125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115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126</v>
      </c>
      <c r="D94" s="122" t="s">
        <v>30</v>
      </c>
      <c r="E94" s="122" t="str">
        <f>$E$8</f>
        <v>$millions</v>
      </c>
      <c r="F94" s="175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  <c r="U98" s="237" t="s">
        <v>217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143</v>
      </c>
      <c r="D100" s="126" t="s">
        <v>30</v>
      </c>
      <c r="E100" s="126" t="str">
        <f>$E$8</f>
        <v>$millions</v>
      </c>
      <c r="F100" s="175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283.5912904833977</v>
      </c>
      <c r="P100" s="151">
        <f t="shared" si="14"/>
        <v>285.7374427918773</v>
      </c>
      <c r="Q100" s="151">
        <f t="shared" si="14"/>
        <v>288.50800482236667</v>
      </c>
      <c r="R100" s="151">
        <f t="shared" si="14"/>
        <v>290.89648294266613</v>
      </c>
      <c r="S100" s="151">
        <f t="shared" si="14"/>
        <v>293.29007399421801</v>
      </c>
      <c r="U100" s="224">
        <f>SUM(O100:S100)</f>
        <v>1442.0232950345257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5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283.5912904833977</v>
      </c>
      <c r="P101" s="151">
        <f t="shared" si="15"/>
        <v>285.7374427918773</v>
      </c>
      <c r="Q101" s="151">
        <f t="shared" si="15"/>
        <v>288.50800482236667</v>
      </c>
      <c r="R101" s="151">
        <f t="shared" si="15"/>
        <v>290.89648294266613</v>
      </c>
      <c r="S101" s="151">
        <f t="shared" si="15"/>
        <v>293.29007399421801</v>
      </c>
      <c r="U101" s="224"/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5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285.81129048339773</v>
      </c>
      <c r="P102" s="151">
        <f>IF(YEAR(P$4)&gt;=FPFirstYear,IF(YEAR(P$4)&lt;=FPLastYear,P101+'Input|Step changes'!P38,""),"")</f>
        <v>287.97744279187731</v>
      </c>
      <c r="Q102" s="151">
        <f>IF(YEAR(Q$4)&gt;=FPFirstYear,IF(YEAR(Q$4)&lt;=FPLastYear,Q101+'Input|Step changes'!Q38,""),"")</f>
        <v>290.75800482236667</v>
      </c>
      <c r="R102" s="151">
        <f>IF(YEAR(R$4)&gt;=FPFirstYear,IF(YEAR(R$4)&lt;=FPLastYear,R101+'Input|Step changes'!R38,""),"")</f>
        <v>293.14648294266613</v>
      </c>
      <c r="S102" s="151">
        <f>IF(YEAR(S$4)&gt;=FPFirstYear,IF(YEAR(S$4)&lt;=FPLastYear,S101+'Input|Step changes'!S38,""),"")</f>
        <v>295.53007399421801</v>
      </c>
      <c r="U102" s="224">
        <f>SUM(O102:S102)</f>
        <v>1453.223295034526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disablePrompts="1" count="2">
    <dataValidation type="list" allowBlank="1" showInputMessage="1" showErrorMessage="1" sqref="F95 F93 F103 F85" xr:uid="{00000000-0002-0000-0600-000000000000}">
      <formula1>"Real 2010,Real 2011,Real 2012,Real 2013,Real 2014,Real 2015,Nominal"</formula1>
    </dataValidation>
    <dataValidation type="list" allowBlank="1" showInputMessage="1" showErrorMessage="1" sqref="F83" xr:uid="{00000000-0002-0000-0600-000001000000}">
      <formula1>$G$60:$G$66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53"/>
  <sheetViews>
    <sheetView showGridLines="0" workbookViewId="0">
      <selection activeCell="O13" sqref="O13:S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128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283.5912904833977</v>
      </c>
      <c r="P13" s="181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285.73744279187724</v>
      </c>
      <c r="Q13" s="181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288.50800482236667</v>
      </c>
      <c r="R13" s="181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290.89648294266613</v>
      </c>
      <c r="S13" s="181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293.29007399421801</v>
      </c>
      <c r="T13" s="111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43983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43983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U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7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130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131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132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133</v>
      </c>
      <c r="D28" s="16" t="s">
        <v>73</v>
      </c>
      <c r="E28" s="16"/>
      <c r="F28" s="16"/>
      <c r="G28" s="154">
        <v>36617</v>
      </c>
    </row>
    <row r="29" spans="1:47">
      <c r="C29" s="15" t="s">
        <v>134</v>
      </c>
      <c r="D29" s="16" t="s">
        <v>73</v>
      </c>
      <c r="E29" s="16"/>
      <c r="F29" s="16"/>
      <c r="G29" s="154">
        <v>36647</v>
      </c>
    </row>
    <row r="30" spans="1:47">
      <c r="C30" s="15" t="s">
        <v>135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136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137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138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139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140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141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165</v>
      </c>
      <c r="H40" s="14" t="s">
        <v>163</v>
      </c>
      <c r="I40" s="14" t="s">
        <v>164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>
      <c r="H61" s="8" t="s">
        <v>105</v>
      </c>
    </row>
    <row r="62" spans="1:47" customFormat="1" ht="12.75">
      <c r="A62" s="43"/>
      <c r="B62" s="51" t="s">
        <v>161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162</v>
      </c>
      <c r="H64" s="14" t="s">
        <v>128</v>
      </c>
    </row>
    <row r="65" spans="1:47">
      <c r="C65" s="15" t="s">
        <v>149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2015–16</v>
      </c>
      <c r="H65" s="186">
        <f>DATE(PPFirstYear,MONTH('Input|General'!$G$9),1)</f>
        <v>42522</v>
      </c>
    </row>
    <row r="66" spans="1:47">
      <c r="C66" s="15" t="s">
        <v>150</v>
      </c>
      <c r="D66" s="16" t="s">
        <v>103</v>
      </c>
      <c r="E66" s="16"/>
      <c r="F66" s="16"/>
      <c r="G66" s="185" t="str">
        <f>IF(PPLastYear-PPFirstYear&lt;1,"",LEFT(G65,4)+1&amp;"–"&amp;RIGHT(G65,2)+1)</f>
        <v>2016–17</v>
      </c>
      <c r="H66" s="186">
        <f>IF(PPLastYear-PPFirstYear&lt;1,"",DATE(PPFirstYear+1,MONTH('Input|General'!$G$9),1))</f>
        <v>42887</v>
      </c>
    </row>
    <row r="67" spans="1:47">
      <c r="C67" s="15" t="s">
        <v>151</v>
      </c>
      <c r="D67" s="16" t="s">
        <v>103</v>
      </c>
      <c r="E67" s="16"/>
      <c r="F67" s="16"/>
      <c r="G67" s="185" t="str">
        <f>IF(PPLastYear-PPFirstYear&lt;2,"",LEFT(G66,4)+1&amp;"–"&amp;RIGHT(G66,2)+1)</f>
        <v>2017–18</v>
      </c>
      <c r="H67" s="186">
        <f>IF(PPLastYear-PPFirstYear&lt;2,"",DATE(PPFirstYear+2,MONTH('Input|General'!$G$9),1))</f>
        <v>43252</v>
      </c>
    </row>
    <row r="68" spans="1:47">
      <c r="C68" s="15" t="s">
        <v>152</v>
      </c>
      <c r="D68" s="16" t="s">
        <v>103</v>
      </c>
      <c r="E68" s="16"/>
      <c r="F68" s="16"/>
      <c r="G68" s="185" t="str">
        <f>IF(PPLastYear-PPFirstYear&lt;3,"",LEFT(G67,4)+1&amp;"–"&amp;RIGHT(G67,2)+1)</f>
        <v>2018–19</v>
      </c>
      <c r="H68" s="186">
        <f>IF(PPLastYear-PPFirstYear&lt;3,"",DATE(PPFirstYear+3,MONTH('Input|General'!$G$9),1))</f>
        <v>43617</v>
      </c>
    </row>
    <row r="69" spans="1:47">
      <c r="C69" s="15" t="s">
        <v>153</v>
      </c>
      <c r="D69" s="16" t="s">
        <v>103</v>
      </c>
      <c r="E69" s="16"/>
      <c r="F69" s="16"/>
      <c r="G69" s="185" t="str">
        <f>IF(PPLastYear-PPFirstYear&lt;4,"",LEFT(G68,4)+1&amp;"–"&amp;RIGHT(G68,2)+1)</f>
        <v>2019–20</v>
      </c>
      <c r="H69" s="186">
        <f>IF(PPLastYear-PPFirstYear&lt;4,"",DATE(PPFirstYear+4,MONTH('Input|General'!$G$9),1))</f>
        <v>43983</v>
      </c>
    </row>
    <row r="70" spans="1:47">
      <c r="C70" s="15" t="s">
        <v>154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2020–21</v>
      </c>
      <c r="H70" s="186">
        <f>DATE(FPFirstYear,MONTH('Input|General'!$G$9),1)</f>
        <v>44348</v>
      </c>
      <c r="T70" s="17"/>
    </row>
    <row r="71" spans="1:47">
      <c r="C71" s="15" t="s">
        <v>155</v>
      </c>
      <c r="D71" s="16" t="s">
        <v>103</v>
      </c>
      <c r="E71" s="16"/>
      <c r="F71" s="16"/>
      <c r="G71" s="185" t="str">
        <f>IF(FPLastYear-FPFirstYear&lt;1,"",LEFT(G70,4)+1&amp;"–"&amp;RIGHT(G70,2)+1)</f>
        <v>2021–22</v>
      </c>
      <c r="H71" s="186">
        <f>IF(FPLastYear-FPFirstYear&lt;1,"",DATE(FPFirstYear+1,MONTH('Input|General'!$G$9),1))</f>
        <v>44713</v>
      </c>
      <c r="T71" s="17"/>
    </row>
    <row r="72" spans="1:47">
      <c r="C72" s="15" t="s">
        <v>156</v>
      </c>
      <c r="D72" s="16" t="s">
        <v>103</v>
      </c>
      <c r="E72" s="16"/>
      <c r="F72" s="16"/>
      <c r="G72" s="185" t="str">
        <f>IF(FPLastYear-FPFirstYear&lt;2,"",LEFT(G71,4)+1&amp;"–"&amp;RIGHT(G71,2)+1)</f>
        <v>2022–23</v>
      </c>
      <c r="H72" s="186">
        <f>IF(FPLastYear-FPFirstYear&lt;2,"",DATE(FPFirstYear+2,MONTH('Input|General'!$G$9),1))</f>
        <v>45078</v>
      </c>
      <c r="T72" s="17"/>
    </row>
    <row r="73" spans="1:47">
      <c r="C73" s="15" t="s">
        <v>157</v>
      </c>
      <c r="D73" s="16" t="s">
        <v>103</v>
      </c>
      <c r="E73" s="16"/>
      <c r="F73" s="16"/>
      <c r="G73" s="185" t="str">
        <f>IF(FPLastYear-FPFirstYear&lt;3,"",LEFT(G72,4)+1&amp;"–"&amp;RIGHT(G72,2)+1)</f>
        <v>2023–24</v>
      </c>
      <c r="H73" s="186">
        <f>IF(FPLastYear-FPFirstYear&lt;3,"",DATE(FPFirstYear+3,MONTH('Input|General'!$G$9),1))</f>
        <v>45444</v>
      </c>
      <c r="T73" s="17"/>
    </row>
    <row r="74" spans="1:47">
      <c r="C74" s="15" t="s">
        <v>158</v>
      </c>
      <c r="D74" s="16" t="s">
        <v>103</v>
      </c>
      <c r="E74" s="16"/>
      <c r="F74" s="16"/>
      <c r="G74" s="185" t="str">
        <f>IF(FPLastYear-FPFirstYear&lt;4,"",LEFT(G73,4)+1&amp;"–"&amp;RIGHT(G73,2)+1)</f>
        <v>2024–25</v>
      </c>
      <c r="H74" s="186">
        <f>IF(FPLastYear-FPFirstYear&lt;4,"",DATE(FPFirstYear+4,MONTH('Input|General'!$G$9),1))</f>
        <v>45809</v>
      </c>
      <c r="T74" s="17"/>
    </row>
    <row r="75" spans="1:47">
      <c r="C75" s="15"/>
      <c r="D75" s="16"/>
      <c r="E75" s="16"/>
      <c r="F75" s="16"/>
      <c r="G75" s="213"/>
      <c r="H75" s="214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162</v>
      </c>
      <c r="H78" s="215"/>
    </row>
    <row r="79" spans="1:47">
      <c r="C79" s="15" t="s">
        <v>198</v>
      </c>
      <c r="D79" s="16" t="s">
        <v>73</v>
      </c>
      <c r="E79" s="16"/>
      <c r="F79" s="16"/>
      <c r="G79" s="184" t="s">
        <v>112</v>
      </c>
      <c r="H79" s="214"/>
    </row>
    <row r="80" spans="1:47">
      <c r="C80" s="15" t="s">
        <v>199</v>
      </c>
      <c r="D80" s="16" t="s">
        <v>73</v>
      </c>
      <c r="E80" s="16"/>
      <c r="F80" s="16"/>
      <c r="G80" s="185" t="s">
        <v>200</v>
      </c>
      <c r="H80" s="214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idden="1"/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4"/>
  <sheetViews>
    <sheetView showGridLines="0" workbookViewId="0">
      <selection activeCell="A24" sqref="A24:XFD2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 Rate of change'!A1" display="'Input| 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Bernhardt</dc:creator>
  <cp:lastModifiedBy>Kelly Bernhardt</cp:lastModifiedBy>
  <dcterms:created xsi:type="dcterms:W3CDTF">2019-09-20T04:05:18Z</dcterms:created>
  <dcterms:modified xsi:type="dcterms:W3CDTF">2019-12-02T22:54:35Z</dcterms:modified>
</cp:coreProperties>
</file>