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R:\CorpStrategy\_RegNew\01_Reset 2020-25\22_Reset RIN\6 Regulatory Proposal\01 Landing Area\01 QA In Progress\"/>
    </mc:Choice>
  </mc:AlternateContent>
  <xr:revisionPtr revIDLastSave="0" documentId="13_ncr:1_{704A6A48-891B-46CB-AE19-328C7E050B39}" xr6:coauthVersionLast="45" xr6:coauthVersionMax="45" xr10:uidLastSave="{00000000-0000-0000-0000-000000000000}"/>
  <bookViews>
    <workbookView xWindow="-120" yWindow="-120" windowWidth="29040" windowHeight="15840" xr2:uid="{577F0C49-3EEC-496B-8728-F19FC02977FC}"/>
  </bookViews>
  <sheets>
    <sheet name="Assumptions" sheetId="2" r:id="rId1"/>
    <sheet name="ESCOSA Data" sheetId="6" r:id="rId2"/>
    <sheet name="Step Change - 10 Years" sheetId="1" r:id="rId3"/>
    <sheet name="Revised Proposal" sheetId="7" r:id="rId4"/>
    <sheet name="CPI Escalations" sheetId="4" r:id="rId5"/>
  </sheets>
  <externalReferences>
    <externalReference r:id="rId6"/>
    <externalReference r:id="rId7"/>
    <externalReference r:id="rId8"/>
    <externalReference r:id="rId9"/>
    <externalReference r:id="rId10"/>
  </externalReferences>
  <definedNames>
    <definedName name="_LU_DataVersion">[1]CoverSheet!$D$46</definedName>
    <definedName name="_LU_DenominationRegPd2">[2]L2!$C$33</definedName>
    <definedName name="_LU_RegPd1">[2]L2!$D$21</definedName>
    <definedName name="_LU_RegPd2">[2]L2!$D$22</definedName>
    <definedName name="_LU_RegPd3">[2]L2!$D$23</definedName>
    <definedName name="_LU_RegPd4">[2]L2!$D$24</definedName>
    <definedName name="_LU_RegPd5">[2]L2!$D$25</definedName>
    <definedName name="_LU_RIN_Categories">#REF!</definedName>
    <definedName name="_LU_Scenario_Number">'[2]4W'!$C$9:$C$28</definedName>
    <definedName name="_LU_Version">[1]CoverSheet!$D$48</definedName>
    <definedName name="aaaaa" hidden="1">{"Allocation of Cash Flows",#N/A,FALSE,"Cash Flow Worksheet"}</definedName>
    <definedName name="abcde" hidden="1">{"Allocation of Cash Flows",#N/A,FALSE,"Cash Flow Worksheet"}</definedName>
    <definedName name="Array_ColOffset_Header">{"-7","-6","-5","-4","-3","-2","-1","0"}</definedName>
    <definedName name="Array_ColOffset_Header2">{"0","1","2","3","4","5","6"}</definedName>
    <definedName name="AS2DocOpenMode" hidden="1">"AS2DocumentEdit"</definedName>
    <definedName name="ChartData_Capex">'[2]4W4'!$B$139:$AB$158</definedName>
    <definedName name="ChartData_Debt_to_RAB">'[2]4W4'!$B$63:$AB$82</definedName>
    <definedName name="ChartData_Distributions">'[2]4W4'!$B$227:$AB$246</definedName>
    <definedName name="ChartData_EBITDA">'[2]4W4'!$B$31:$AB$50</definedName>
    <definedName name="ChartData_FFO">'[2]4W4'!$B$107:$AB$126</definedName>
    <definedName name="ChartData_FFO_Debt">'[2]4W4'!$B$85:$AB$104</definedName>
    <definedName name="ChartData_Opex">'[2]4W4'!$B$161:$AB$180</definedName>
    <definedName name="ChartData_RevenueNominal">'[2]4W4'!$B$205:$AB$224</definedName>
    <definedName name="ChartData_RevenueReal">'[2]4W4'!$B$183:$AB$202</definedName>
    <definedName name="ChartRange1">'[2]4W4'!$B$31,'[2]4W4'!$B$53,'[2]4W4'!$B$63,'[2]4W4'!$B$85,'[2]4W4'!$B$107,'[2]4W4'!$B$129,'[2]4W4'!$B$139,'[2]4W4'!$B$161,'[2]4W4'!$B$183,'[2]4W4'!$B$205,'[2]4W4'!$B$253</definedName>
    <definedName name="ChartRange2">'[2]4W4'!$B$54,'[2]4W4'!$B$32,'[2]4W4'!$B$64,'[2]4W4'!$B$86,'[2]4W4'!$B$108,'[2]4W4'!$B$130,'[2]4W4'!$B$140,'[2]4W4'!$B$162,'[2]4W4'!$B$184,'[2]4W4'!$B$206,'[2]4W4'!$B$254</definedName>
    <definedName name="ChartRange3">'[2]4W4'!$B$255,'[2]4W4'!$B$33,'[2]4W4'!$B$55,'[2]4W4'!$B$65,'[2]4W4'!$B$87,'[2]4W4'!$B$109,'[2]4W4'!$B$131,'[2]4W4'!$B$141,'[2]4W4'!$B$163,'[2]4W4'!$B$185,'[2]4W4'!$B$207</definedName>
    <definedName name="ChartRange4">'[2]4W4'!$B$34,'[2]4W4'!$B$56,'[2]4W4'!$B$66,'[2]4W4'!$B$88,'[2]4W4'!$B$110,'[2]4W4'!$B$132,'[2]4W4'!$B$142,'[2]4W4'!$B$164,'[2]4W4'!$B$186,'[2]4W4'!$B$208,'[2]4W4'!$B$256</definedName>
    <definedName name="ChartRange5">'[2]4W4'!$B$257,'[2]4W4'!$B$209,'[2]4W4'!$B$187,'[2]4W4'!$B$165,'[2]4W4'!$B$143,'[2]4W4'!$B$133,'[2]4W4'!$B$111,'[2]4W4'!$B$89,'[2]4W4'!$B$67,'[2]4W4'!$B$57,'[2]4W4'!$B$35</definedName>
    <definedName name="ChartRange6">'[2]4W4'!$B$36,'[2]4W4'!$B$58,'[2]4W4'!$B$68,'[2]4W4'!$B$90,'[2]4W4'!$B$112,'[2]4W4'!$B$134,'[2]4W4'!$B$144,'[2]4W4'!$B$166,'[2]4W4'!$B$188,'[2]4W4'!$B$210,'[2]4W4'!$B$258</definedName>
    <definedName name="ChartRange7">'[2]4W4'!$B$259,'[2]4W4'!$B$211,'[2]4W4'!$B$189,'[2]4W4'!$B$167,'[2]4W4'!$B$145,'[2]4W4'!$B$135,'[2]4W4'!$B$113,'[2]4W4'!$B$91,'[2]4W4'!$B$69,'[2]4W4'!$B$59,'[2]4W4'!$B$37</definedName>
    <definedName name="ChartRange8">'[2]4W4'!$B$38,'[2]4W4'!$B$60,'[2]4W4'!$B$70,'[2]4W4'!$B$92,'[2]4W4'!$B$114,'[2]4W4'!$B$136,'[2]4W4'!$B$146,'[2]4W4'!$B$168,'[2]4W4'!$B$190,'[2]4W4'!$B$212,'[2]4W4'!$B$260</definedName>
    <definedName name="ChartRangeSelection_1">'[2]4.3'!$C$13</definedName>
    <definedName name="ChartRangeSelection_10">'[2]4.3'!$C$22</definedName>
    <definedName name="ChartRangeSelection_11">'[2]4.3'!$C$23</definedName>
    <definedName name="ChartRangeSelection_12">'[2]4.3'!$C$24</definedName>
    <definedName name="ChartRangeSelection_13">'[2]4.3'!$C$25</definedName>
    <definedName name="ChartRangeSelection_14">'[2]4.3'!$C$26</definedName>
    <definedName name="ChartRangeSelection_15">'[2]4.3'!$C$27</definedName>
    <definedName name="ChartRangeSelection_16">'[2]4.3'!$C$28</definedName>
    <definedName name="ChartRangeSelection_17">'[2]4.3'!$C$29</definedName>
    <definedName name="ChartRangeSelection_18">'[2]4.3'!$C$30</definedName>
    <definedName name="ChartRangeSelection_19">'[2]4.3'!$C$31</definedName>
    <definedName name="ChartRangeSelection_2">'[2]4.3'!$C$14</definedName>
    <definedName name="ChartRangeSelection_20">'[2]4.3'!$C$32</definedName>
    <definedName name="ChartRangeSelection_3">'[2]4.3'!$C$15</definedName>
    <definedName name="ChartRangeSelection_4">'[2]4.3'!$C$16</definedName>
    <definedName name="ChartRangeSelection_5">'[2]4.3'!$C$17</definedName>
    <definedName name="ChartRangeSelection_6">'[2]4.3'!$C$18</definedName>
    <definedName name="ChartRangeSelection_7">'[2]4.3'!$C$19</definedName>
    <definedName name="ChartRangeSelection_8">'[2]4.3'!$C$20</definedName>
    <definedName name="ChartRangeSelection_9">'[2]4.3'!$C$21</definedName>
    <definedName name="Description_for_Scenario_1">'[2]4W'!$D$9</definedName>
    <definedName name="Description_for_Scenario_10">'[2]4W'!$D$18</definedName>
    <definedName name="Description_for_Scenario_11">'[2]4W'!$D$19</definedName>
    <definedName name="Description_for_Scenario_12">'[2]4W'!$D$20</definedName>
    <definedName name="Description_for_Scenario_13">'[2]4W'!$D$21</definedName>
    <definedName name="Description_for_Scenario_14">'[2]4W'!$D$22</definedName>
    <definedName name="Description_for_Scenario_15">'[2]4W'!$D$23</definedName>
    <definedName name="Description_for_Scenario_16">'[2]4W'!$D$24</definedName>
    <definedName name="Description_for_Scenario_17">'[2]4W'!$D$25</definedName>
    <definedName name="Description_for_Scenario_18">'[2]4W'!$D$26</definedName>
    <definedName name="Description_for_Scenario_19">'[2]4W'!$D$27</definedName>
    <definedName name="Description_for_Scenario_2">'[2]4W'!$D$10</definedName>
    <definedName name="Description_for_Scenario_20">'[2]4W'!$D$28</definedName>
    <definedName name="Description_for_Scenario_3">'[2]4W'!$D$11</definedName>
    <definedName name="Description_for_Scenario_4">'[2]4W'!$D$12</definedName>
    <definedName name="Description_for_Scenario_5">'[2]4W'!$D$13</definedName>
    <definedName name="Description_for_Scenario_6">'[2]4W'!$D$14</definedName>
    <definedName name="Description_for_Scenario_7">'[2]4W'!$D$15</definedName>
    <definedName name="Description_for_Scenario_8">'[2]4W'!$D$16</definedName>
    <definedName name="Description_for_Scenario_9">'[2]4W'!$D$17</definedName>
    <definedName name="Descriptions_For_Scenarios">'[2]4W'!$D$9:$D$16</definedName>
    <definedName name="Error_Checks">[2]Ck1!$A$1</definedName>
    <definedName name="EscalationDescription_General">'[3]I-7 Escalations'!$B$11:$B$15</definedName>
    <definedName name="EscalationDescription_Input_Cost">'[3]I-7 Escalations'!$B$24:$B$44</definedName>
    <definedName name="Escalations_General_Costs">'[3]I-7 Escalations'!$B$11:$M$15</definedName>
    <definedName name="Escalations_Specific_Costs">'[3]I-7 Escalations'!$B$24:$M$44</definedName>
    <definedName name="Future_AOpexStart">'[3]I-6 Future A'!$D$4</definedName>
    <definedName name="Future_CapexStart">'[4]I-5 Future'!$D$4</definedName>
    <definedName name="Future_DAOpexStart">'[3]I-5 Future DA'!$D$4</definedName>
    <definedName name="jordan" hidden="1">{"Allocation of Cash Flows",#N/A,FALSE,"Cash Flow Worksheet"}</definedName>
    <definedName name="List_AllocatedCosts">'[3]I-3 Allocated'!$B$4:$D$45</definedName>
    <definedName name="List_AllocOpexListStart">'[3]I-3 Allocated'!$B$4</definedName>
    <definedName name="List_AllocOpexStart">'[3]I-4 History'!$L$226</definedName>
    <definedName name="List_CapexStart">'[4]I-4 History'!$L$4</definedName>
    <definedName name="List_DAOpexStart">'[3]I-2 DA'!$B$6</definedName>
    <definedName name="List_DirectlyAttributedServices">'[3]I-2 DA'!$B$7:$C$34</definedName>
    <definedName name="List_NWOpexStart">'[3]I-4 History'!$L$5</definedName>
    <definedName name="LU_BaseYearDollars">'[3]Ref-1'!$B$45</definedName>
    <definedName name="LU_CostCategory">'[3]Ref-1'!$A$26:$A$31</definedName>
    <definedName name="LU_PTRMDollarDenomination">'[3]Ref-1'!$B$47</definedName>
    <definedName name="LU_TemplateDollarDenomination">'[3]Ref-1'!$B$46</definedName>
    <definedName name="LU_TemplateYearHeader">'[3]Ref-1'!$N$39:$U$39</definedName>
    <definedName name="LU_TemplateYearHeader2">'[3]Ref-1'!$O$39:$U$39</definedName>
    <definedName name="LU_TemplateYearHeader3">'[3]Ref-1'!$G$39:$M$39</definedName>
    <definedName name="Model_Name">'[5]GC '!$C$4</definedName>
    <definedName name="ModelName">[2]GC!$D$41</definedName>
    <definedName name="SAPBEXrevision" hidden="1">1</definedName>
    <definedName name="SAPBEXsysID" hidden="1">"ES0"</definedName>
    <definedName name="SAPBEXwbID" hidden="1">"3PXB9R7138JZ9WRNHYFOG0QH1"</definedName>
    <definedName name="Scenario_1">'[2]4W1'!$B$12</definedName>
    <definedName name="Scenario_10">'[2]4W1'!$B$415</definedName>
    <definedName name="Scenario_11">'[2]4W1'!$B$459</definedName>
    <definedName name="Scenario_12">'[2]4W1'!$B$503</definedName>
    <definedName name="Scenario_13">'[2]4W1'!$B$547</definedName>
    <definedName name="Scenario_14">'[2]4W1'!$B$591</definedName>
    <definedName name="Scenario_15">'[2]4W1'!$B$635</definedName>
    <definedName name="Scenario_16">'[2]4W1'!$B$679</definedName>
    <definedName name="Scenario_17">'[2]4W1'!$B$723</definedName>
    <definedName name="Scenario_18">'[2]4W1'!$B$767</definedName>
    <definedName name="Scenario_19">'[2]4W1'!$B$811</definedName>
    <definedName name="Scenario_2">'[2]4W1'!$B$56</definedName>
    <definedName name="Scenario_20">'[2]4W1'!$B$855</definedName>
    <definedName name="Scenario_3">'[2]4W1'!$B$103</definedName>
    <definedName name="Scenario_4">'[2]4W1'!$B$148</definedName>
    <definedName name="Scenario_5">'[2]4W1'!$B$193</definedName>
    <definedName name="Scenario_6">'[2]4W1'!$B$238</definedName>
    <definedName name="Scenario_7">'[2]4W1'!$B$283</definedName>
    <definedName name="Scenario_8">'[2]4W1'!$B$327</definedName>
    <definedName name="Scenario_9">'[2]4W1'!$B$371</definedName>
    <definedName name="ScenarioDescriptions">'[2]4W'!$C$9:$D$28</definedName>
    <definedName name="scrFormatandStyles">#REF!</definedName>
    <definedName name="scrHelpMain">[3]HelpText!$A$3</definedName>
    <definedName name="wrn.Allocation._.of._.Cash._.Flows." hidden="1">{"Allocation of Cash Flows",#N/A,FALSE,"Cash Flow Worksheet"}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xx" hidden="1">{"Allocation of Cash Flows",#N/A,FALSE,"Cash Flow Worksheet"}</definedName>
    <definedName name="xxx" hidden="1">{"Allocation of Cash Flows",#N/A,FALSE,"Cash Flow Worksheet"}</definedName>
    <definedName name="xxxx" hidden="1">{"Allocation of Cash Flows",#N/A,FALSE,"Cash Flow Worksheet"}</definedName>
    <definedName name="xxxxx" hidden="1">{"Allocation of Cash Flows",#N/A,FALSE,"Cash Flow Worksheet"}</definedName>
    <definedName name="xxxxxx" hidden="1">{"Allocation of Cash Flows",#N/A,FALSE,"Cash Flow Worksheet"}</definedName>
    <definedName name="xxxxxxxx" hidden="1">{"Allocation of Cash Flows",#N/A,FALSE,"Cash Flow Worksheet"}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2" i="1" l="1"/>
  <c r="D126" i="1" s="1"/>
  <c r="E122" i="1"/>
  <c r="E126" i="1" s="1"/>
  <c r="F122" i="1"/>
  <c r="G122" i="1"/>
  <c r="G126" i="1" s="1"/>
  <c r="H122" i="1"/>
  <c r="H126" i="1" s="1"/>
  <c r="I122" i="1"/>
  <c r="I126" i="1" s="1"/>
  <c r="J122" i="1"/>
  <c r="K122" i="1"/>
  <c r="K126" i="1" s="1"/>
  <c r="L122" i="1"/>
  <c r="L126" i="1" s="1"/>
  <c r="D123" i="1"/>
  <c r="E123" i="1"/>
  <c r="F123" i="1"/>
  <c r="G123" i="1"/>
  <c r="H123" i="1"/>
  <c r="I123" i="1"/>
  <c r="J123" i="1"/>
  <c r="K123" i="1"/>
  <c r="L123" i="1"/>
  <c r="D124" i="1"/>
  <c r="E124" i="1"/>
  <c r="F124" i="1"/>
  <c r="F126" i="1" s="1"/>
  <c r="G124" i="1"/>
  <c r="H124" i="1"/>
  <c r="I124" i="1"/>
  <c r="J124" i="1"/>
  <c r="J126" i="1" s="1"/>
  <c r="K124" i="1"/>
  <c r="L124" i="1"/>
  <c r="D125" i="1"/>
  <c r="E125" i="1"/>
  <c r="F125" i="1"/>
  <c r="G125" i="1"/>
  <c r="H125" i="1"/>
  <c r="I125" i="1"/>
  <c r="J125" i="1"/>
  <c r="K125" i="1"/>
  <c r="L125" i="1"/>
  <c r="C123" i="1"/>
  <c r="C124" i="1"/>
  <c r="C125" i="1"/>
  <c r="C122" i="1"/>
  <c r="C126" i="1" s="1"/>
  <c r="E18" i="7"/>
  <c r="F18" i="7"/>
  <c r="G18" i="7"/>
  <c r="H18" i="7"/>
  <c r="I18" i="7"/>
  <c r="J18" i="7"/>
  <c r="K18" i="7"/>
  <c r="L18" i="7"/>
  <c r="M18" i="7"/>
  <c r="N18" i="7"/>
  <c r="O18" i="7"/>
  <c r="P18" i="7"/>
  <c r="Q18" i="7"/>
  <c r="D18" i="7"/>
  <c r="D8" i="7" l="1"/>
  <c r="E8" i="7"/>
  <c r="F8" i="7"/>
  <c r="G8" i="7"/>
  <c r="I7" i="7" l="1"/>
  <c r="J7" i="7"/>
  <c r="K7" i="7"/>
  <c r="L7" i="7"/>
  <c r="M7" i="7"/>
  <c r="N7" i="7"/>
  <c r="O7" i="7"/>
  <c r="P7" i="7"/>
  <c r="Q7" i="7"/>
  <c r="H7" i="7"/>
  <c r="K4" i="7"/>
  <c r="L4" i="7"/>
  <c r="M4" i="7"/>
  <c r="N4" i="7"/>
  <c r="O4" i="7"/>
  <c r="P4" i="7"/>
  <c r="Q4" i="7"/>
  <c r="E4" i="7"/>
  <c r="E5" i="7" s="1"/>
  <c r="F4" i="7"/>
  <c r="F5" i="7" s="1"/>
  <c r="G4" i="7"/>
  <c r="G5" i="7" s="1"/>
  <c r="H4" i="7"/>
  <c r="I4" i="7"/>
  <c r="J4" i="7"/>
  <c r="D4" i="7"/>
  <c r="D5" i="7" s="1"/>
  <c r="V10" i="7" l="1"/>
  <c r="U10" i="7"/>
  <c r="C96" i="1" l="1"/>
  <c r="H8" i="7" l="1"/>
  <c r="H5" i="7"/>
  <c r="P5" i="7"/>
  <c r="P8" i="7"/>
  <c r="I8" i="7"/>
  <c r="I5" i="7"/>
  <c r="M5" i="7"/>
  <c r="M8" i="7"/>
  <c r="J8" i="7"/>
  <c r="J5" i="7"/>
  <c r="N8" i="7"/>
  <c r="N5" i="7"/>
  <c r="L5" i="7"/>
  <c r="L8" i="7"/>
  <c r="Q5" i="7"/>
  <c r="Q8" i="7"/>
  <c r="K5" i="7"/>
  <c r="K8" i="7"/>
  <c r="O5" i="7"/>
  <c r="O8" i="7"/>
  <c r="C141" i="1"/>
  <c r="K23" i="7" l="1"/>
  <c r="O23" i="7"/>
  <c r="J23" i="7"/>
  <c r="N23" i="7"/>
  <c r="L23" i="7"/>
  <c r="P23" i="7"/>
  <c r="I23" i="7"/>
  <c r="M23" i="7"/>
  <c r="Q23" i="7"/>
  <c r="H23" i="7"/>
  <c r="L75" i="1"/>
  <c r="L74" i="1"/>
  <c r="L73" i="1"/>
  <c r="L72" i="1"/>
  <c r="L69" i="1"/>
  <c r="L68" i="1"/>
  <c r="L67" i="1"/>
  <c r="L66" i="1"/>
  <c r="L65" i="1"/>
  <c r="L64" i="1"/>
  <c r="L77" i="1" l="1"/>
  <c r="J90" i="6" l="1"/>
  <c r="F16" i="1" s="1"/>
  <c r="P73" i="6"/>
  <c r="P90" i="6" s="1"/>
  <c r="L16" i="1" s="1"/>
  <c r="P74" i="6"/>
  <c r="P91" i="6" s="1"/>
  <c r="L17" i="1" s="1"/>
  <c r="P75" i="6"/>
  <c r="P76" i="6"/>
  <c r="P77" i="6"/>
  <c r="P78" i="6"/>
  <c r="P79" i="6"/>
  <c r="P80" i="6"/>
  <c r="P81" i="6"/>
  <c r="P82" i="6"/>
  <c r="P83" i="6"/>
  <c r="P67" i="6"/>
  <c r="L76" i="1" s="1"/>
  <c r="O83" i="6"/>
  <c r="N83" i="6"/>
  <c r="M83" i="6"/>
  <c r="L83" i="6"/>
  <c r="K83" i="6"/>
  <c r="J83" i="6"/>
  <c r="I83" i="6"/>
  <c r="H83" i="6"/>
  <c r="G83" i="6"/>
  <c r="F83" i="6"/>
  <c r="E83" i="6"/>
  <c r="D83" i="6"/>
  <c r="C83" i="6"/>
  <c r="O82" i="6"/>
  <c r="N82" i="6"/>
  <c r="M82" i="6"/>
  <c r="L82" i="6"/>
  <c r="K82" i="6"/>
  <c r="J82" i="6"/>
  <c r="I82" i="6"/>
  <c r="H82" i="6"/>
  <c r="G82" i="6"/>
  <c r="F82" i="6"/>
  <c r="E82" i="6"/>
  <c r="D82" i="6"/>
  <c r="C82" i="6"/>
  <c r="O81" i="6"/>
  <c r="N81" i="6"/>
  <c r="M81" i="6"/>
  <c r="M89" i="6" s="1"/>
  <c r="I15" i="1" s="1"/>
  <c r="L81" i="6"/>
  <c r="K81" i="6"/>
  <c r="J81" i="6"/>
  <c r="I81" i="6"/>
  <c r="I89" i="6" s="1"/>
  <c r="E15" i="1" s="1"/>
  <c r="H81" i="6"/>
  <c r="G81" i="6"/>
  <c r="F81" i="6"/>
  <c r="E81" i="6"/>
  <c r="D81" i="6"/>
  <c r="C81" i="6"/>
  <c r="N80" i="6"/>
  <c r="M80" i="6"/>
  <c r="L80" i="6"/>
  <c r="K80" i="6"/>
  <c r="J80" i="6"/>
  <c r="I80" i="6"/>
  <c r="H80" i="6"/>
  <c r="G80" i="6"/>
  <c r="F80" i="6"/>
  <c r="E80" i="6"/>
  <c r="D80" i="6"/>
  <c r="N79" i="6"/>
  <c r="M79" i="6"/>
  <c r="L79" i="6"/>
  <c r="K79" i="6"/>
  <c r="J79" i="6"/>
  <c r="I79" i="6"/>
  <c r="H79" i="6"/>
  <c r="G79" i="6"/>
  <c r="F79" i="6"/>
  <c r="E79" i="6"/>
  <c r="D79" i="6"/>
  <c r="C79" i="6"/>
  <c r="N78" i="6"/>
  <c r="M78" i="6"/>
  <c r="L78" i="6"/>
  <c r="K78" i="6"/>
  <c r="J78" i="6"/>
  <c r="I78" i="6"/>
  <c r="H78" i="6"/>
  <c r="G78" i="6"/>
  <c r="F78" i="6"/>
  <c r="E78" i="6"/>
  <c r="D78" i="6"/>
  <c r="C78" i="6"/>
  <c r="N77" i="6"/>
  <c r="M77" i="6"/>
  <c r="L77" i="6"/>
  <c r="L88" i="6" s="1"/>
  <c r="H14" i="1" s="1"/>
  <c r="K77" i="6"/>
  <c r="K88" i="6" s="1"/>
  <c r="G14" i="1" s="1"/>
  <c r="J77" i="6"/>
  <c r="J88" i="6" s="1"/>
  <c r="F14" i="1" s="1"/>
  <c r="I77" i="6"/>
  <c r="H77" i="6"/>
  <c r="H88" i="6" s="1"/>
  <c r="D14" i="1" s="1"/>
  <c r="G77" i="6"/>
  <c r="G88" i="6" s="1"/>
  <c r="C14" i="1" s="1"/>
  <c r="F77" i="6"/>
  <c r="E77" i="6"/>
  <c r="D77" i="6"/>
  <c r="C77" i="6"/>
  <c r="O76" i="6"/>
  <c r="N76" i="6"/>
  <c r="M76" i="6"/>
  <c r="L76" i="6"/>
  <c r="K76" i="6"/>
  <c r="J76" i="6"/>
  <c r="I76" i="6"/>
  <c r="H76" i="6"/>
  <c r="G76" i="6"/>
  <c r="F76" i="6"/>
  <c r="E76" i="6"/>
  <c r="D76" i="6"/>
  <c r="C76" i="6"/>
  <c r="O75" i="6"/>
  <c r="O92" i="6" s="1"/>
  <c r="K18" i="1" s="1"/>
  <c r="N75" i="6"/>
  <c r="N92" i="6" s="1"/>
  <c r="J18" i="1" s="1"/>
  <c r="M75" i="6"/>
  <c r="L75" i="6"/>
  <c r="L92" i="6" s="1"/>
  <c r="H18" i="1" s="1"/>
  <c r="K75" i="6"/>
  <c r="K92" i="6" s="1"/>
  <c r="G18" i="1" s="1"/>
  <c r="J75" i="6"/>
  <c r="I75" i="6"/>
  <c r="H75" i="6"/>
  <c r="H92" i="6" s="1"/>
  <c r="D18" i="1" s="1"/>
  <c r="G75" i="6"/>
  <c r="G92" i="6" s="1"/>
  <c r="C18" i="1" s="1"/>
  <c r="F75" i="6"/>
  <c r="E75" i="6"/>
  <c r="D75" i="6"/>
  <c r="C75" i="6"/>
  <c r="O74" i="6"/>
  <c r="O91" i="6" s="1"/>
  <c r="K17" i="1" s="1"/>
  <c r="N74" i="6"/>
  <c r="M74" i="6"/>
  <c r="M91" i="6" s="1"/>
  <c r="I17" i="1" s="1"/>
  <c r="L74" i="6"/>
  <c r="L91" i="6" s="1"/>
  <c r="H17" i="1" s="1"/>
  <c r="K74" i="6"/>
  <c r="K91" i="6" s="1"/>
  <c r="G17" i="1" s="1"/>
  <c r="J74" i="6"/>
  <c r="J91" i="6" s="1"/>
  <c r="F17" i="1" s="1"/>
  <c r="I74" i="6"/>
  <c r="I91" i="6" s="1"/>
  <c r="E17" i="1" s="1"/>
  <c r="H74" i="6"/>
  <c r="H91" i="6" s="1"/>
  <c r="D17" i="1" s="1"/>
  <c r="G74" i="6"/>
  <c r="G91" i="6" s="1"/>
  <c r="C17" i="1" s="1"/>
  <c r="F74" i="6"/>
  <c r="E74" i="6"/>
  <c r="D74" i="6"/>
  <c r="C74" i="6"/>
  <c r="O73" i="6"/>
  <c r="O90" i="6" s="1"/>
  <c r="K16" i="1" s="1"/>
  <c r="N73" i="6"/>
  <c r="N90" i="6" s="1"/>
  <c r="J16" i="1" s="1"/>
  <c r="M73" i="6"/>
  <c r="M90" i="6" s="1"/>
  <c r="I16" i="1" s="1"/>
  <c r="L73" i="6"/>
  <c r="L90" i="6" s="1"/>
  <c r="H16" i="1" s="1"/>
  <c r="K73" i="6"/>
  <c r="K90" i="6" s="1"/>
  <c r="G16" i="1" s="1"/>
  <c r="J73" i="6"/>
  <c r="I73" i="6"/>
  <c r="I90" i="6" s="1"/>
  <c r="E16" i="1" s="1"/>
  <c r="H73" i="6"/>
  <c r="H90" i="6" s="1"/>
  <c r="D16" i="1" s="1"/>
  <c r="G73" i="6"/>
  <c r="F73" i="6"/>
  <c r="E73" i="6"/>
  <c r="D73" i="6"/>
  <c r="C73" i="6"/>
  <c r="O66" i="6"/>
  <c r="O65" i="6"/>
  <c r="O64" i="6"/>
  <c r="O63" i="6"/>
  <c r="O60" i="6"/>
  <c r="O79" i="6" s="1"/>
  <c r="O59" i="6"/>
  <c r="O58" i="6"/>
  <c r="O78" i="6" s="1"/>
  <c r="O57" i="6"/>
  <c r="O56" i="6"/>
  <c r="O77" i="6" s="1"/>
  <c r="O55" i="6"/>
  <c r="M38" i="6"/>
  <c r="L38" i="6"/>
  <c r="K38" i="6"/>
  <c r="J38" i="6"/>
  <c r="I38" i="6"/>
  <c r="H38" i="6"/>
  <c r="G38" i="6"/>
  <c r="F38" i="6"/>
  <c r="E38" i="6"/>
  <c r="D38" i="6"/>
  <c r="C38" i="6"/>
  <c r="M29" i="6"/>
  <c r="L29" i="6"/>
  <c r="K29" i="6"/>
  <c r="J29" i="6"/>
  <c r="I29" i="6"/>
  <c r="H29" i="6"/>
  <c r="G29" i="6"/>
  <c r="F29" i="6"/>
  <c r="E29" i="6"/>
  <c r="D29" i="6"/>
  <c r="C29" i="6"/>
  <c r="N21" i="6"/>
  <c r="M21" i="6"/>
  <c r="L21" i="6"/>
  <c r="K21" i="6"/>
  <c r="J21" i="6"/>
  <c r="I21" i="6"/>
  <c r="H21" i="6"/>
  <c r="G21" i="6"/>
  <c r="F21" i="6"/>
  <c r="E21" i="6"/>
  <c r="D21" i="6"/>
  <c r="C21" i="6"/>
  <c r="J92" i="6" l="1"/>
  <c r="F18" i="1" s="1"/>
  <c r="I88" i="6"/>
  <c r="E14" i="1" s="1"/>
  <c r="G89" i="6"/>
  <c r="C15" i="1" s="1"/>
  <c r="M92" i="6"/>
  <c r="I18" i="1" s="1"/>
  <c r="H89" i="6"/>
  <c r="D15" i="1" s="1"/>
  <c r="L89" i="6"/>
  <c r="H15" i="1" s="1"/>
  <c r="H19" i="1" s="1"/>
  <c r="K89" i="6"/>
  <c r="G15" i="1" s="1"/>
  <c r="O89" i="6"/>
  <c r="K15" i="1" s="1"/>
  <c r="J89" i="6"/>
  <c r="F15" i="1" s="1"/>
  <c r="N89" i="6"/>
  <c r="J15" i="1" s="1"/>
  <c r="P88" i="6"/>
  <c r="L14" i="1" s="1"/>
  <c r="P89" i="6"/>
  <c r="L15" i="1" s="1"/>
  <c r="J93" i="6"/>
  <c r="H93" i="6"/>
  <c r="O80" i="6"/>
  <c r="O84" i="6" s="1"/>
  <c r="G84" i="6"/>
  <c r="I84" i="6"/>
  <c r="G90" i="6"/>
  <c r="O67" i="6"/>
  <c r="E84" i="6"/>
  <c r="I92" i="6"/>
  <c r="C84" i="6"/>
  <c r="D84" i="6"/>
  <c r="H84" i="6"/>
  <c r="L84" i="6"/>
  <c r="N88" i="6"/>
  <c r="J14" i="1" s="1"/>
  <c r="P92" i="6"/>
  <c r="L18" i="1" s="1"/>
  <c r="P84" i="6"/>
  <c r="F84" i="6"/>
  <c r="K84" i="6"/>
  <c r="J84" i="6"/>
  <c r="M88" i="6"/>
  <c r="I14" i="1" s="1"/>
  <c r="I19" i="1" s="1"/>
  <c r="I21" i="1" s="1"/>
  <c r="N91" i="6"/>
  <c r="J17" i="1" s="1"/>
  <c r="N84" i="6"/>
  <c r="M84" i="6"/>
  <c r="G19" i="1"/>
  <c r="G29" i="1" s="1"/>
  <c r="J19" i="1" l="1"/>
  <c r="J26" i="1" s="1"/>
  <c r="H25" i="1"/>
  <c r="H28" i="1"/>
  <c r="G93" i="6"/>
  <c r="C16" i="1"/>
  <c r="L19" i="1"/>
  <c r="O88" i="6"/>
  <c r="K14" i="1" s="1"/>
  <c r="K19" i="1" s="1"/>
  <c r="K21" i="1" s="1"/>
  <c r="P93" i="6"/>
  <c r="D19" i="1"/>
  <c r="D26" i="1" s="1"/>
  <c r="K93" i="6"/>
  <c r="I93" i="6"/>
  <c r="E18" i="1"/>
  <c r="L93" i="6"/>
  <c r="F19" i="1"/>
  <c r="F29" i="1" s="1"/>
  <c r="H27" i="1"/>
  <c r="H21" i="1"/>
  <c r="H26" i="1"/>
  <c r="H29" i="1"/>
  <c r="G27" i="1"/>
  <c r="G26" i="1"/>
  <c r="G25" i="1"/>
  <c r="G21" i="1"/>
  <c r="I25" i="1"/>
  <c r="M93" i="6"/>
  <c r="O93" i="6"/>
  <c r="N93" i="6"/>
  <c r="I28" i="1"/>
  <c r="G28" i="1"/>
  <c r="I26" i="1"/>
  <c r="I27" i="1"/>
  <c r="I29" i="1"/>
  <c r="J29" i="1" l="1"/>
  <c r="J25" i="1"/>
  <c r="J27" i="1"/>
  <c r="J28" i="1"/>
  <c r="J21" i="1"/>
  <c r="K27" i="1"/>
  <c r="K28" i="1"/>
  <c r="K29" i="1"/>
  <c r="F26" i="1"/>
  <c r="K26" i="1"/>
  <c r="K25" i="1"/>
  <c r="D25" i="1"/>
  <c r="D21" i="1"/>
  <c r="D28" i="1"/>
  <c r="D27" i="1"/>
  <c r="D29" i="1"/>
  <c r="C19" i="1"/>
  <c r="F21" i="1"/>
  <c r="F25" i="1"/>
  <c r="F28" i="1"/>
  <c r="F27" i="1"/>
  <c r="E19" i="1"/>
  <c r="E29" i="1" s="1"/>
  <c r="H30" i="1"/>
  <c r="H32" i="1" s="1"/>
  <c r="G30" i="1"/>
  <c r="G32" i="1" s="1"/>
  <c r="I30" i="1"/>
  <c r="I32" i="1" s="1"/>
  <c r="J30" i="1" l="1"/>
  <c r="J32" i="1" s="1"/>
  <c r="K30" i="1"/>
  <c r="K32" i="1" s="1"/>
  <c r="C25" i="1"/>
  <c r="C21" i="1"/>
  <c r="C29" i="1"/>
  <c r="C28" i="1"/>
  <c r="C26" i="1"/>
  <c r="C27" i="1"/>
  <c r="E28" i="1"/>
  <c r="E21" i="1"/>
  <c r="E27" i="1"/>
  <c r="E26" i="1"/>
  <c r="E25" i="1"/>
  <c r="F30" i="1"/>
  <c r="F32" i="1" s="1"/>
  <c r="D30" i="1"/>
  <c r="D32" i="1" s="1"/>
  <c r="E30" i="1" l="1"/>
  <c r="E32" i="1" s="1"/>
  <c r="C30" i="1"/>
  <c r="C32" i="1" s="1"/>
  <c r="L29" i="1"/>
  <c r="L25" i="1"/>
  <c r="L26" i="1"/>
  <c r="L21" i="1"/>
  <c r="M21" i="1" s="1"/>
  <c r="L28" i="1"/>
  <c r="L27" i="1"/>
  <c r="E40" i="1"/>
  <c r="F40" i="1"/>
  <c r="J40" i="1"/>
  <c r="G40" i="1"/>
  <c r="K40" i="1"/>
  <c r="D40" i="1"/>
  <c r="H40" i="1"/>
  <c r="L40" i="1"/>
  <c r="I40" i="1"/>
  <c r="C40" i="1"/>
  <c r="L30" i="1" l="1"/>
  <c r="L32" i="1" s="1"/>
  <c r="C43" i="1"/>
  <c r="C48" i="1"/>
  <c r="C49" i="1"/>
  <c r="C111" i="1" s="1"/>
  <c r="C52" i="1"/>
  <c r="C114" i="1" s="1"/>
  <c r="C50" i="1"/>
  <c r="C51" i="1"/>
  <c r="C113" i="1" s="1"/>
  <c r="G43" i="1"/>
  <c r="G52" i="1"/>
  <c r="G49" i="1"/>
  <c r="G51" i="1"/>
  <c r="G48" i="1"/>
  <c r="G50" i="1"/>
  <c r="H43" i="1"/>
  <c r="H49" i="1"/>
  <c r="H111" i="1" s="1"/>
  <c r="H48" i="1"/>
  <c r="H50" i="1"/>
  <c r="H52" i="1"/>
  <c r="H114" i="1" s="1"/>
  <c r="H51" i="1"/>
  <c r="H113" i="1" s="1"/>
  <c r="F43" i="1"/>
  <c r="F52" i="1"/>
  <c r="F114" i="1" s="1"/>
  <c r="F50" i="1"/>
  <c r="F48" i="1"/>
  <c r="F51" i="1"/>
  <c r="F113" i="1" s="1"/>
  <c r="F49" i="1"/>
  <c r="F111" i="1" s="1"/>
  <c r="L43" i="1"/>
  <c r="L49" i="1"/>
  <c r="L111" i="1" s="1"/>
  <c r="L48" i="1"/>
  <c r="L52" i="1"/>
  <c r="L114" i="1" s="1"/>
  <c r="L50" i="1"/>
  <c r="L51" i="1"/>
  <c r="L113" i="1" s="1"/>
  <c r="K43" i="1"/>
  <c r="K49" i="1"/>
  <c r="K111" i="1" s="1"/>
  <c r="K48" i="1"/>
  <c r="K50" i="1"/>
  <c r="K52" i="1"/>
  <c r="K114" i="1" s="1"/>
  <c r="K51" i="1"/>
  <c r="K113" i="1" s="1"/>
  <c r="I43" i="1"/>
  <c r="I49" i="1"/>
  <c r="I111" i="1" s="1"/>
  <c r="I48" i="1"/>
  <c r="I51" i="1"/>
  <c r="I113" i="1" s="1"/>
  <c r="I50" i="1"/>
  <c r="I52" i="1"/>
  <c r="I114" i="1" s="1"/>
  <c r="D43" i="1"/>
  <c r="D48" i="1"/>
  <c r="D49" i="1"/>
  <c r="D111" i="1" s="1"/>
  <c r="D52" i="1"/>
  <c r="D114" i="1" s="1"/>
  <c r="D51" i="1"/>
  <c r="D113" i="1" s="1"/>
  <c r="D50" i="1"/>
  <c r="J43" i="1"/>
  <c r="J49" i="1"/>
  <c r="J111" i="1" s="1"/>
  <c r="J52" i="1"/>
  <c r="J114" i="1" s="1"/>
  <c r="J48" i="1"/>
  <c r="J50" i="1"/>
  <c r="J51" i="1"/>
  <c r="J113" i="1" s="1"/>
  <c r="E43" i="1"/>
  <c r="E51" i="1"/>
  <c r="E113" i="1" s="1"/>
  <c r="E48" i="1"/>
  <c r="E50" i="1"/>
  <c r="E52" i="1"/>
  <c r="E114" i="1" s="1"/>
  <c r="E49" i="1"/>
  <c r="E111" i="1" s="1"/>
  <c r="L98" i="1"/>
  <c r="K98" i="1"/>
  <c r="J98" i="1"/>
  <c r="I98" i="1"/>
  <c r="H98" i="1"/>
  <c r="G98" i="1"/>
  <c r="F98" i="1"/>
  <c r="E98" i="1"/>
  <c r="D98" i="1"/>
  <c r="C98" i="1"/>
  <c r="L97" i="1"/>
  <c r="K97" i="1"/>
  <c r="J97" i="1"/>
  <c r="I97" i="1"/>
  <c r="H97" i="1"/>
  <c r="G97" i="1"/>
  <c r="F97" i="1"/>
  <c r="E97" i="1"/>
  <c r="D97" i="1"/>
  <c r="C97" i="1"/>
  <c r="L96" i="1"/>
  <c r="K96" i="1"/>
  <c r="J96" i="1"/>
  <c r="I96" i="1"/>
  <c r="H96" i="1"/>
  <c r="G96" i="1"/>
  <c r="F96" i="1"/>
  <c r="E96" i="1"/>
  <c r="D96" i="1"/>
  <c r="C137" i="1" l="1"/>
  <c r="W4" i="7"/>
  <c r="U4" i="7"/>
  <c r="M48" i="1"/>
  <c r="I53" i="1"/>
  <c r="I55" i="1" s="1"/>
  <c r="E53" i="1"/>
  <c r="E55" i="1" s="1"/>
  <c r="F53" i="1"/>
  <c r="F55" i="1" s="1"/>
  <c r="G113" i="1"/>
  <c r="M113" i="1" s="1"/>
  <c r="M51" i="1"/>
  <c r="J53" i="1"/>
  <c r="J55" i="1" s="1"/>
  <c r="K53" i="1"/>
  <c r="K55" i="1" s="1"/>
  <c r="G111" i="1"/>
  <c r="M111" i="1" s="1"/>
  <c r="M49" i="1"/>
  <c r="M50" i="1"/>
  <c r="G114" i="1"/>
  <c r="M114" i="1" s="1"/>
  <c r="M52" i="1"/>
  <c r="C53" i="1"/>
  <c r="D53" i="1"/>
  <c r="D55" i="1" s="1"/>
  <c r="L53" i="1"/>
  <c r="L55" i="1" s="1"/>
  <c r="M43" i="1"/>
  <c r="H53" i="1"/>
  <c r="H55" i="1" s="1"/>
  <c r="G53" i="1"/>
  <c r="G99" i="1"/>
  <c r="E99" i="1"/>
  <c r="E110" i="1" s="1"/>
  <c r="E116" i="1" s="1"/>
  <c r="I99" i="1"/>
  <c r="I110" i="1" s="1"/>
  <c r="I116" i="1" s="1"/>
  <c r="C99" i="1"/>
  <c r="D99" i="1"/>
  <c r="D110" i="1" s="1"/>
  <c r="H99" i="1"/>
  <c r="H110" i="1" s="1"/>
  <c r="H116" i="1" s="1"/>
  <c r="L99" i="1"/>
  <c r="L110" i="1" s="1"/>
  <c r="L116" i="1" s="1"/>
  <c r="K99" i="1"/>
  <c r="K110" i="1" s="1"/>
  <c r="K116" i="1" s="1"/>
  <c r="F99" i="1"/>
  <c r="F110" i="1" s="1"/>
  <c r="F116" i="1" s="1"/>
  <c r="J99" i="1"/>
  <c r="J110" i="1" s="1"/>
  <c r="J116" i="1" s="1"/>
  <c r="C81" i="1"/>
  <c r="D81" i="1"/>
  <c r="E81" i="1"/>
  <c r="F81" i="1"/>
  <c r="G81" i="1"/>
  <c r="H81" i="1"/>
  <c r="I81" i="1"/>
  <c r="J81" i="1"/>
  <c r="K81" i="1"/>
  <c r="L81" i="1"/>
  <c r="C77" i="1"/>
  <c r="D77" i="1"/>
  <c r="E77" i="1"/>
  <c r="F77" i="1"/>
  <c r="G77" i="1"/>
  <c r="H77" i="1"/>
  <c r="J77" i="1"/>
  <c r="J129" i="1" l="1"/>
  <c r="F129" i="1"/>
  <c r="E129" i="1"/>
  <c r="H129" i="1"/>
  <c r="K129" i="1"/>
  <c r="L129" i="1"/>
  <c r="I129" i="1"/>
  <c r="V6" i="7"/>
  <c r="W9" i="7"/>
  <c r="U9" i="7"/>
  <c r="U11" i="7" s="1"/>
  <c r="V4" i="7"/>
  <c r="V9" i="7" s="1"/>
  <c r="V11" i="7" s="1"/>
  <c r="D116" i="1"/>
  <c r="C55" i="1"/>
  <c r="M53" i="1"/>
  <c r="G101" i="1"/>
  <c r="G102" i="1"/>
  <c r="C110" i="1"/>
  <c r="C116" i="1" s="1"/>
  <c r="G110" i="1"/>
  <c r="G55" i="1"/>
  <c r="K75" i="1"/>
  <c r="K74" i="1"/>
  <c r="K73" i="1"/>
  <c r="K72" i="1"/>
  <c r="K69" i="1"/>
  <c r="K68" i="1"/>
  <c r="K67" i="1"/>
  <c r="K66" i="1"/>
  <c r="K65" i="1"/>
  <c r="I65" i="1"/>
  <c r="K64" i="1"/>
  <c r="I64" i="1"/>
  <c r="I77" i="1" s="1"/>
  <c r="I131" i="1" l="1"/>
  <c r="N20" i="7" s="1"/>
  <c r="I130" i="1"/>
  <c r="L130" i="1"/>
  <c r="L131" i="1"/>
  <c r="Q20" i="7" s="1"/>
  <c r="F131" i="1"/>
  <c r="K20" i="7" s="1"/>
  <c r="F130" i="1"/>
  <c r="H130" i="1"/>
  <c r="H131" i="1"/>
  <c r="M20" i="7" s="1"/>
  <c r="E131" i="1"/>
  <c r="J20" i="7" s="1"/>
  <c r="E130" i="1"/>
  <c r="K130" i="1"/>
  <c r="K131" i="1"/>
  <c r="P20" i="7" s="1"/>
  <c r="J131" i="1"/>
  <c r="O20" i="7" s="1"/>
  <c r="J130" i="1"/>
  <c r="D129" i="1"/>
  <c r="C129" i="1"/>
  <c r="M110" i="1"/>
  <c r="G116" i="1"/>
  <c r="K77" i="1"/>
  <c r="K76" i="1"/>
  <c r="C131" i="1" l="1"/>
  <c r="M129" i="1"/>
  <c r="C130" i="1"/>
  <c r="D130" i="1"/>
  <c r="D131" i="1"/>
  <c r="I20" i="7" s="1"/>
  <c r="G129" i="1"/>
  <c r="M116" i="1"/>
  <c r="U6" i="7"/>
  <c r="G130" i="1" l="1"/>
  <c r="G131" i="1"/>
  <c r="L20" i="7" s="1"/>
  <c r="M130" i="1"/>
  <c r="H20" i="7"/>
  <c r="M131" i="1" l="1"/>
  <c r="C138" i="1" s="1"/>
  <c r="C139" i="1" s="1"/>
  <c r="H24" i="7"/>
  <c r="L24" i="7"/>
  <c r="J24" i="7"/>
  <c r="K24" i="7"/>
  <c r="N24" i="7"/>
  <c r="M24" i="7"/>
  <c r="I24" i="7"/>
  <c r="O24" i="7"/>
  <c r="P24" i="7"/>
  <c r="Q24" i="7"/>
  <c r="W5" i="7" l="1"/>
  <c r="C143" i="1"/>
  <c r="W10" i="7" l="1"/>
  <c r="W11" i="7" s="1"/>
  <c r="W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tc={EA18DA38-5FB6-4E2E-B8F6-A4A4EB21E311}</author>
    <author>tc={ED3C96CE-80C5-479F-975C-A276E7D718ED}</author>
    <author>tc={8A669F69-4953-401A-82F9-E8A6E87BF557}</author>
  </authors>
  <commentList>
    <comment ref="U5" authorId="0" shapeId="0" xr:uid="{EA18DA38-5FB6-4E2E-B8F6-A4A4EB21E311}">
      <text>
        <t>[Threaded comment]
Your version of Excel allows you to read this threaded comment; however, any edits to it will get removed if the file is opened in a newer version of Excel. Learn more: https://go.microsoft.com/fwlink/?linkid=870924
Comment:
    5-year average 2013/14 to 2017/18</t>
      </text>
    </comment>
    <comment ref="V5" authorId="1" shapeId="0" xr:uid="{ED3C96CE-80C5-479F-975C-A276E7D718ED}">
      <text>
        <t>[Threaded comment]
Your version of Excel allows you to read this threaded comment; however, any edits to it will get removed if the file is opened in a newer version of Excel. Learn more: https://go.microsoft.com/fwlink/?linkid=870924
Comment:
    10-year average 2008/09 to 2017/18</t>
      </text>
    </comment>
    <comment ref="W5" authorId="2" shapeId="0" xr:uid="{8A669F69-4953-401A-82F9-E8A6E87BF557}">
      <text>
        <t>[Threaded comment]
Your version of Excel allows you to read this threaded comment; however, any edits to it will get removed if the file is opened in a newer version of Excel. Learn more: https://go.microsoft.com/fwlink/?linkid=870924
Comment:
    10-year average 2009/10 to 2018/19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Kelly Bernhardt</author>
  </authors>
  <commentList>
    <comment ref="J14" authorId="0" shapeId="0" xr:uid="{3B9BDF07-5A1D-4FAF-8317-1DE61B71AD46}">
      <text>
        <r>
          <rPr>
            <sz val="9"/>
            <color indexed="81"/>
            <rFont val="Tahoma"/>
            <family val="2"/>
          </rPr>
          <t>eg use for June 2010 to June 2020</t>
        </r>
      </text>
    </comment>
    <comment ref="O14" authorId="0" shapeId="0" xr:uid="{66504FB8-7810-4B1F-8199-4CFC0E99DDA3}">
      <text>
        <r>
          <rPr>
            <sz val="9"/>
            <color indexed="81"/>
            <rFont val="Tahoma"/>
            <family val="2"/>
          </rPr>
          <t>eg use for June 2015 to June 2020</t>
        </r>
      </text>
    </comment>
  </commentList>
</comments>
</file>

<file path=xl/sharedStrings.xml><?xml version="1.0" encoding="utf-8"?>
<sst xmlns="http://schemas.openxmlformats.org/spreadsheetml/2006/main" count="522" uniqueCount="196">
  <si>
    <t>OP 4.6 - GSL: Duration of Supply Interruptions</t>
  </si>
  <si>
    <t>DETAIL</t>
  </si>
  <si>
    <t>2008/09</t>
  </si>
  <si>
    <t>2009/10</t>
  </si>
  <si>
    <t>2010/11</t>
  </si>
  <si>
    <t>2011/12</t>
  </si>
  <si>
    <t>2012/13</t>
  </si>
  <si>
    <t>2013/14</t>
  </si>
  <si>
    <t>2014/15</t>
  </si>
  <si>
    <t>2015/16</t>
  </si>
  <si>
    <t>2016/17</t>
  </si>
  <si>
    <t>2017/18</t>
  </si>
  <si>
    <t xml:space="preserve">Duration of supply interruption  &gt;12 and ≤15h   </t>
  </si>
  <si>
    <t xml:space="preserve">Payment total   </t>
  </si>
  <si>
    <t xml:space="preserve">Duration of supply interruption  &gt;15 and ≤18h   </t>
  </si>
  <si>
    <t xml:space="preserve">Duration of supply interruption  &gt;18 and ≤24h   </t>
  </si>
  <si>
    <t>Duration of supply interruption  &gt;24h</t>
  </si>
  <si>
    <t>Duration of supply interruption  &gt;24h and ≤48h</t>
  </si>
  <si>
    <t xml:space="preserve">Duration of supply interruption  &gt;48h  </t>
  </si>
  <si>
    <t xml:space="preserve">TOTAL   </t>
  </si>
  <si>
    <t>2018/19</t>
  </si>
  <si>
    <t>20-30</t>
  </si>
  <si>
    <t>30-60</t>
  </si>
  <si>
    <t>&gt;60</t>
  </si>
  <si>
    <t>Total duration of supply interruption payments made (based on 1 July 2020 Scheme)</t>
  </si>
  <si>
    <t>SA Power Networks - Guaranteed Service Level (GSL) Forecasting - Step Change</t>
  </si>
  <si>
    <t>ESCoSA Reliability Standards Review Final Decision</t>
  </si>
  <si>
    <t>ESCoSA - SA Power Networks reliability standards review, Final decision,  January 2019, page 35-47</t>
  </si>
  <si>
    <t>Reliability - duration payments</t>
  </si>
  <si>
    <t>Reliability - frequency payments</t>
  </si>
  <si>
    <t>Consolidate the frequency payment thresholds to one level instead of three from 1 July 2020 (page 38)</t>
  </si>
  <si>
    <t>Appointments (late attendance)</t>
  </si>
  <si>
    <t>Remove the GSL payment for late attendance (page 42)</t>
  </si>
  <si>
    <t>Connection (timeliness)</t>
  </si>
  <si>
    <t>Continue the GSL payment for timeliness of new connection (page 43)</t>
  </si>
  <si>
    <t>Street lights (reported outages)</t>
  </si>
  <si>
    <t>Continue the GSL payment for repair of faulty street lights, and to further clarify when the five or ten day period begins (page 43)</t>
  </si>
  <si>
    <t>Steps performed to arrive at the average annual step change value;</t>
  </si>
  <si>
    <t>[1]</t>
  </si>
  <si>
    <t>Summarised current GSL scheme payment data, by individual payment obligations</t>
  </si>
  <si>
    <t>Note: this information is reported to ESCoSA and is available on their website.</t>
  </si>
  <si>
    <t xml:space="preserve">https://www.escosa.sa.gov.au/industry/electricity/regulatory-reporting/regulatory-performance-reports
</t>
  </si>
  <si>
    <t>[2]</t>
  </si>
  <si>
    <t>Reconcile ESCoSA reported scheme payments with AER RIN reported GSL expenditure total.</t>
  </si>
  <si>
    <t>There are known timing variances between ESCoSA reporting and AER RIN reporting. The cause of these variances are associated with the timing of transactions and how they are reported. RIN reporting is obtained from our financial accounting system and incorporates accrual accounting. This differs from the information that is prepared for ESCoSA which is based on when payments are made (ie monthly) to customers for the specific payment schemes.</t>
  </si>
  <si>
    <t>[3]</t>
  </si>
  <si>
    <t>Escalate to June $2020</t>
  </si>
  <si>
    <t>The reporting of the 2020-2025 proposal is in June $2020, therefore to calculate and report the average GSL payment in these dollars both the RIN reported values and the ESCoSA values have been escalated from nominal to June $2020.</t>
  </si>
  <si>
    <t>The rates used to escalate to $June 2020 are included in the CPI escalations worksheet.</t>
  </si>
  <si>
    <t>[4]</t>
  </si>
  <si>
    <t xml:space="preserve">Reliability duration payments account for 97% of all GSL expenditure and is the largest component of the re-calculation.  The customer numbers used to calculate the duration payments under the new obligations have been obtained from our pre-defined standard Outage Management System (OMS) based reliability reports. The values that have been used do not factor in the following:
• any Force Majeure exclusions (mainly impacts 2016/17)
• any phase operations
• exclusions related to multiple NMI’s at the same supply address
• payments that are currently ‘on-hold’ due to insufficient customer details (eg retailer has not provided the customer's name) to generate a cheque (mainly impacts 2016/17)
</t>
  </si>
  <si>
    <t>Where GSL payments will no longer apply in the upcoming regulatory period eg late attendance, the values have not be historically recast.</t>
  </si>
  <si>
    <t>[5]</t>
  </si>
  <si>
    <t xml:space="preserve">Source: </t>
  </si>
  <si>
    <t>(2018/19) ESCoSA regulatory performance reporting and internal OMS reporting</t>
  </si>
  <si>
    <t xml:space="preserve">(2008/09 to 2017/18) Information request #037(G) Step Change Confidential </t>
  </si>
  <si>
    <t>ESCoSA - SA Power Networks reliability standards review, Final Decision,  December 2018.</t>
  </si>
  <si>
    <t>Payments</t>
  </si>
  <si>
    <t>Thresholds</t>
  </si>
  <si>
    <t>ESCoSA Service Standard Framework Categories (June 2020, $ million)</t>
  </si>
  <si>
    <t>5 Year average (SA Power Networks 2020-25 Regulatory Proposal, January 2019)</t>
  </si>
  <si>
    <t>Re-calculation of historical GSL expenditure using the proposed ESCoSA scheme that will apply for the 2020-2025 RCP.</t>
  </si>
  <si>
    <t>2013/14 to 2017/18</t>
  </si>
  <si>
    <t>2009/10 to 2018/19</t>
  </si>
  <si>
    <t>Averaging Period</t>
  </si>
  <si>
    <t>Total value of duration of supply interruption payments made (based on 1 July 2020 Scheme)</t>
  </si>
  <si>
    <t>AVERAGE</t>
  </si>
  <si>
    <t>ESCoSA revised duration payment scheme, 2013/14 to 2017/18 historical outages have been recast with new obligations.</t>
  </si>
  <si>
    <t>ESCoSA removed payment for late attendance.</t>
  </si>
  <si>
    <t>Connection (delays)</t>
  </si>
  <si>
    <t>Other</t>
  </si>
  <si>
    <t>N/A</t>
  </si>
  <si>
    <t>Total GSL payments</t>
  </si>
  <si>
    <t xml:space="preserve">Movement in average </t>
  </si>
  <si>
    <t>2019/20</t>
  </si>
  <si>
    <t xml:space="preserve">Assumptions applied </t>
  </si>
  <si>
    <t>Key Assumptions included in modelling:</t>
  </si>
  <si>
    <t>CPI ESCALATIONS</t>
  </si>
  <si>
    <t>CPI Escalation</t>
  </si>
  <si>
    <t>Annual change quarter ending 31 Dec</t>
  </si>
  <si>
    <t>Reg Year Actual</t>
  </si>
  <si>
    <t>Escalation from $Reg Nominal to $2019/20</t>
  </si>
  <si>
    <t>AER allowances</t>
  </si>
  <si>
    <t>$June yyyy to $June 2020</t>
  </si>
  <si>
    <t>10 Year average (SA Power Networks 2020-25 Revised Regulatory Proposal, December 2019)</t>
  </si>
  <si>
    <t>The back casting of new service standard arrangements proposed by ESCoSA have been applied by calculating the cost difference between the old and new obligations based on a 5 year average.</t>
  </si>
  <si>
    <t>SAPN actual expenditure (nominal, $ million)</t>
  </si>
  <si>
    <t>[2] Assumption step 2</t>
  </si>
  <si>
    <t>EB RIN 3.2 Operating Expenditure [GSL] ($m, Nominal)</t>
  </si>
  <si>
    <t>ESCoSA Service Standard Framework Categories ($, nominal)</t>
  </si>
  <si>
    <t>Variance</t>
  </si>
  <si>
    <t>Pro-rata apportionment</t>
  </si>
  <si>
    <t>SAPN actual expenditure  (June 2020, $ million)</t>
  </si>
  <si>
    <t>[3] Assumption step 3</t>
  </si>
  <si>
    <t>CPI Escalator</t>
  </si>
  <si>
    <t>EB RIN 3.2 Operating Expenditure [GSL] (June 2020, $ million)</t>
  </si>
  <si>
    <t>[4] Assumption step 4</t>
  </si>
  <si>
    <t>[1] Assumption step 1</t>
  </si>
  <si>
    <t>https://www.escosa.sa.gov.au/industry/electricity/regulatory-reporting/regulatory-performance-reports</t>
  </si>
  <si>
    <t>LINK: Energy networks performance - time series data</t>
  </si>
  <si>
    <t>OP 4.1 - SA Power Networks’ Performance Against Timeliness of Appointments</t>
  </si>
  <si>
    <t>Measure</t>
  </si>
  <si>
    <t>2005/06</t>
  </si>
  <si>
    <t>2006/07</t>
  </si>
  <si>
    <t>2007/08</t>
  </si>
  <si>
    <t>Number of appointments</t>
  </si>
  <si>
    <t>Number of appointments where SA Power Networks is more than 15 minutes late</t>
  </si>
  <si>
    <t>Percentage of appointments where SA Power Networks is not more than 15 minutes late</t>
  </si>
  <si>
    <t>Amounts paid to customers where SA Power Networks is more than 15 minutes late</t>
  </si>
  <si>
    <t>OP 4.2 - SA Power Networks’ Performance Against Promptness of Connection</t>
  </si>
  <si>
    <t>Number of new supply addresses connected</t>
  </si>
  <si>
    <t>Number of new supply addresses not connected within the prescribed period</t>
  </si>
  <si>
    <t>Percentage of new supply addresses connected within the prescribed period</t>
  </si>
  <si>
    <t>Amounts paid to customers where SA Power Networks failed to connect new supply addresses within the prescribed period</t>
  </si>
  <si>
    <t>OP 4.3 - SA Power Networks’ Performance Against Timeliness of Street Light Repairs – Adelaide Business Area and Major Metropolitan Areas</t>
  </si>
  <si>
    <t>No. street light faults reported</t>
  </si>
  <si>
    <t>No. street light faults not repaired within 5 business days</t>
  </si>
  <si>
    <t>% of street light faults repaired within 5 business days</t>
  </si>
  <si>
    <t>Average no. business days to repair street light faults</t>
  </si>
  <si>
    <t>?</t>
  </si>
  <si>
    <t>Customer payments where SA Power Networks failed to effect repairs within 5 business days</t>
  </si>
  <si>
    <t>OP 4.4 - SA Power Networks’ Performance Against Timeliness of Street Light Repairs – Country Areas</t>
  </si>
  <si>
    <t>No. street light faults not repaired within 10 business days</t>
  </si>
  <si>
    <t>% of street light faults reported repaired within 10 business days</t>
  </si>
  <si>
    <t>Customer payments where SA Power Networks failed to effect repairs within 10 business days</t>
  </si>
  <si>
    <t>OP 4.5 - GSL: Frequency of Supply Interruptions</t>
  </si>
  <si>
    <t xml:space="preserve">Frequency of supply  &gt;9 and ≤12 interruptions   </t>
  </si>
  <si>
    <t xml:space="preserve">Frequency of supply  &gt;12 and ≤15 interruptions   </t>
  </si>
  <si>
    <t xml:space="preserve">Frequency of supply  &gt;15 interruptions   </t>
  </si>
  <si>
    <t>Summary - Performance against Guaranteed Service Levels (Customer Payments)</t>
  </si>
  <si>
    <t>Requirement</t>
  </si>
  <si>
    <t>Timeliness of appointments
 - No more than 15 minutes late</t>
  </si>
  <si>
    <t>Promptness of new connections
 - Within 6 business days</t>
  </si>
  <si>
    <t>Timeliness of street light repairs - Metro/Other
 - Within 5 business days</t>
  </si>
  <si>
    <t>Timeliness of street light repairs - Country
 - Within 10 business days</t>
  </si>
  <si>
    <t>Duration of supply interruption  &gt;12 and ≤15h</t>
  </si>
  <si>
    <t>Duration of supply interruption  &gt;15 and ≤18h</t>
  </si>
  <si>
    <t>Duration of supply interruption  &gt;18 and ≤24h</t>
  </si>
  <si>
    <t>Frequency of supply  &gt;9 and ≤12 interruptions</t>
  </si>
  <si>
    <t>Frequency of supply  &gt;12 and ≤15 interruptions</t>
  </si>
  <si>
    <t>Frequency of supply  &gt;15 interruptions</t>
  </si>
  <si>
    <t>Recalculate the historical GSL payments for Reliability (duration payments) under the new scheme that will apply from 1 July 2020.</t>
  </si>
  <si>
    <t>Calculate the average GSL payments to apply from 1 July 2020 using historical payments and the applications of the new scheme - annual GSL step change to apply.</t>
  </si>
  <si>
    <t>ESCoSA Energy Performance Reports Time Series Tables</t>
  </si>
  <si>
    <t>10 Year average (2009/10 to 2018/19)</t>
  </si>
  <si>
    <t>Revised GSL payments on new obligations (10 years)</t>
  </si>
  <si>
    <t>SA Power Networks - Guaranteed Service Level (GSL) Forecasting - Step Change (10 year average)</t>
  </si>
  <si>
    <t>Average annual negative GSL step change to be applied ($2018/19 SEM Input)</t>
  </si>
  <si>
    <t>Variance (timing)</t>
  </si>
  <si>
    <t>BASE YEAR GSL payments</t>
  </si>
  <si>
    <t>SA Power Networks - Guaranteed Service Level (GSL) Forecasting - Movement to Proposal and AER Draft Decision</t>
  </si>
  <si>
    <t>SAPN Regulatory Proposal</t>
  </si>
  <si>
    <t>Base Year</t>
  </si>
  <si>
    <t>AER Draft Decision</t>
  </si>
  <si>
    <t>SAPN Revised 
Regulatory Proposal</t>
  </si>
  <si>
    <t>Step Change</t>
  </si>
  <si>
    <t>GSL 2020-25 $pa</t>
  </si>
  <si>
    <t>2020-25 Period</t>
  </si>
  <si>
    <t>$ pa</t>
  </si>
  <si>
    <t>GSL opex</t>
  </si>
  <si>
    <t xml:space="preserve">Actual GSL Payments </t>
  </si>
  <si>
    <t>$Nominal</t>
  </si>
  <si>
    <t>Actual GSL Payments</t>
  </si>
  <si>
    <t>$June 2020</t>
  </si>
  <si>
    <t>ESCoSA</t>
  </si>
  <si>
    <t>EB RIN</t>
  </si>
  <si>
    <t>Average payment under applicable scheme (ie base year)</t>
  </si>
  <si>
    <t>Average payment under new GSL scheme (SAPN)</t>
  </si>
  <si>
    <t>CALC</t>
  </si>
  <si>
    <t>Unit</t>
  </si>
  <si>
    <t>Major Event Days (MEDs)</t>
  </si>
  <si>
    <t>CHARTS: Actual and retrospective GSL payments under the exisiting and new schemes ($June 2020) - with MEDs and USAIDI</t>
  </si>
  <si>
    <t>ASSUMPTIONS - CPI Escalations</t>
  </si>
  <si>
    <t>USAIDI (MEDs Only)</t>
  </si>
  <si>
    <t>Customer Numbers</t>
  </si>
  <si>
    <t>CBD</t>
  </si>
  <si>
    <t>Urban</t>
  </si>
  <si>
    <t>Short Rurual</t>
  </si>
  <si>
    <t>Long Rural</t>
  </si>
  <si>
    <t>Total</t>
  </si>
  <si>
    <t>[6]</t>
  </si>
  <si>
    <t>Total GSL Payments under new scheme</t>
  </si>
  <si>
    <t>Customer Numbers - EB RIN Volumes (0's)</t>
  </si>
  <si>
    <t>Customer numbers adjusted (Total)</t>
  </si>
  <si>
    <t>Customer numbers adjusted (Rural)</t>
  </si>
  <si>
    <t>To account for this the average GSL payments to apply from 1 July 2020 have been adjusted to account for the changes in customer numbers over the same 10-year period.</t>
  </si>
  <si>
    <t>[5] Assumption step 5</t>
  </si>
  <si>
    <t>[6] Assumption step 6</t>
  </si>
  <si>
    <t>Adjust GSL historical payments calculated under the new scheme to account for movements in customer numbers.</t>
  </si>
  <si>
    <t>By applying a longer historical average period (10-years compared with five-years) the changes in customer numbers applicable for GSL payments, over the averaging period, has a greater impact on the application of the new scheme.</t>
  </si>
  <si>
    <t>GSL Payments New Scheme (customer Adjusted)</t>
  </si>
  <si>
    <t>Continue GSL payments for network reliability with improvements (ESCoSA Final decision page 36);
 - Duration payments account for 97% of GSL Scheme costs.
 - Duration payments in their current form will be removed from 1 July 2020. 
 - Payments for one-off outages will be replaced with total annual duration payments, to apply at the end of each regulatory year.
 - Duration payments will  include interruptions on MEDs.</t>
  </si>
  <si>
    <t>The new scheme calculation applied in step [5] does not account for changes in customer numbers over the period and does not allow for an increase in the number of customers that will receive a GSL payment in the future.</t>
  </si>
  <si>
    <t>Rural customer movement has been used as the base for the calculation of customer number movement. These customers would typically receive poorer reliability than urban customers, and consequently under the new GSL payment regime would receive more GSL total duration payment than urban customers.</t>
  </si>
  <si>
    <t>Customer numbers have  increased by about 31,000 on Rural Feeders (or 13%), or by about 124,000 in total (or 16%). We have used the lower percentage to adjust our GSL payment.</t>
  </si>
  <si>
    <t>To account for these variances the total RIN reported expenditure, by year, has been pro-rata apportioned across the individual categories included in the ESCoSA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</si>
</sst>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quot;$&quot;#,##0"/>
    <numFmt numFmtId="165" formatCode="_-* #,##0_-;\-* #,##0_-;_-* &quot;-&quot;??_-;_-@_-"/>
    <numFmt numFmtId="166" formatCode="#,##0.0,&quot;m&quot;;\(#,##0.0,&quot;m&quot;\)"/>
    <numFmt numFmtId="167" formatCode="_-&quot;$&quot;* #,##0_-;\-&quot;$&quot;* #,##0_-;_-&quot;$&quot;* &quot;-&quot;??_-;_-@_-"/>
    <numFmt numFmtId="168" formatCode="_-* #,##0.00000_-;\-* #,##0.00000_-;_-* &quot;-&quot;??_-;_-@_-"/>
    <numFmt numFmtId="169" formatCode="_-* #,##0.0000_-;\-* #,##0.0000_-;_-* &quot;-&quot;??_-;_-@_-"/>
    <numFmt numFmtId="170" formatCode="#,##0.000,&quot;m&quot;;\(#,##0.000,&quot;m&quot;\)"/>
    <numFmt numFmtId="171" formatCode="0.0%"/>
    <numFmt numFmtId="172" formatCode="0.0"/>
  </numFmts>
  <fonts count="44" x14ac:knownFonts="1">
    <font>
      <sz val="11"/>
      <color theme="1"/>
      <name val="Calibri"/>
      <family val="2"/>
    </font>
    <font>
      <sz val="11"/>
      <color theme="1"/>
      <name val="Calibri"/>
      <family val="2"/>
    </font>
    <font>
      <b/>
      <sz val="11"/>
      <color theme="0"/>
      <name val="Calibri"/>
      <family val="2"/>
    </font>
    <font>
      <sz val="11"/>
      <color theme="0"/>
      <name val="Calibri"/>
      <family val="2"/>
    </font>
    <font>
      <sz val="10"/>
      <color theme="1"/>
      <name val="Calibri"/>
      <family val="2"/>
    </font>
    <font>
      <sz val="10"/>
      <name val="Calibri"/>
      <family val="2"/>
    </font>
    <font>
      <b/>
      <i/>
      <sz val="10"/>
      <color theme="1"/>
      <name val="Calibri"/>
      <family val="2"/>
    </font>
    <font>
      <b/>
      <sz val="10"/>
      <color theme="1"/>
      <name val="Calibri"/>
      <family val="2"/>
    </font>
    <font>
      <u/>
      <sz val="11"/>
      <color theme="10"/>
      <name val="Calibri"/>
      <family val="2"/>
    </font>
    <font>
      <b/>
      <sz val="14"/>
      <color theme="0"/>
      <name val="Calibri"/>
      <family val="2"/>
    </font>
    <font>
      <b/>
      <sz val="14"/>
      <color theme="3"/>
      <name val="Calibri"/>
      <family val="2"/>
    </font>
    <font>
      <b/>
      <u/>
      <sz val="11"/>
      <color theme="1"/>
      <name val="Calibri"/>
      <family val="2"/>
    </font>
    <font>
      <i/>
      <sz val="11"/>
      <color theme="1"/>
      <name val="Calibri"/>
      <family val="2"/>
    </font>
    <font>
      <b/>
      <i/>
      <sz val="11"/>
      <color theme="1"/>
      <name val="Calibri"/>
      <family val="2"/>
    </font>
    <font>
      <i/>
      <sz val="10"/>
      <color theme="1"/>
      <name val="Calibri"/>
      <family val="2"/>
    </font>
    <font>
      <sz val="11"/>
      <color rgb="FF9C5700"/>
      <name val="Calibri"/>
      <family val="2"/>
    </font>
    <font>
      <b/>
      <sz val="11"/>
      <color theme="1"/>
      <name val="Calibri"/>
      <family val="2"/>
    </font>
    <font>
      <b/>
      <u/>
      <sz val="10"/>
      <color theme="1"/>
      <name val="Calibri"/>
      <family val="2"/>
    </font>
    <font>
      <b/>
      <sz val="11"/>
      <name val="Calibri"/>
      <family val="2"/>
    </font>
    <font>
      <sz val="10"/>
      <color theme="1"/>
      <name val="Calibri"/>
      <family val="2"/>
      <scheme val="minor"/>
    </font>
    <font>
      <b/>
      <sz val="11"/>
      <color theme="1"/>
      <name val="Calibri"/>
      <family val="2"/>
      <scheme val="minor"/>
    </font>
    <font>
      <b/>
      <sz val="10"/>
      <color theme="1"/>
      <name val="Calibri"/>
      <family val="2"/>
      <scheme val="minor"/>
    </font>
    <font>
      <i/>
      <sz val="10"/>
      <color rgb="FFC00000"/>
      <name val="Calibri"/>
      <family val="2"/>
      <scheme val="minor"/>
    </font>
    <font>
      <sz val="12"/>
      <color theme="1"/>
      <name val="Calibri"/>
      <family val="2"/>
    </font>
    <font>
      <b/>
      <sz val="12"/>
      <color theme="0"/>
      <name val="Calibri"/>
      <family val="2"/>
    </font>
    <font>
      <sz val="12"/>
      <color theme="0"/>
      <name val="Calibri"/>
      <family val="2"/>
    </font>
    <font>
      <sz val="9"/>
      <color indexed="81"/>
      <name val="Tahoma"/>
      <family val="2"/>
    </font>
    <font>
      <b/>
      <sz val="18"/>
      <color theme="0"/>
      <name val="Calibri"/>
      <family val="2"/>
      <scheme val="minor"/>
    </font>
    <font>
      <b/>
      <sz val="12"/>
      <color theme="0"/>
      <name val="Calibri"/>
      <family val="2"/>
      <scheme val="minor"/>
    </font>
    <font>
      <sz val="11"/>
      <color theme="0"/>
      <name val="Calibri"/>
      <family val="2"/>
      <scheme val="minor"/>
    </font>
    <font>
      <b/>
      <sz val="11"/>
      <name val="Calibri"/>
      <family val="2"/>
      <scheme val="minor"/>
    </font>
    <font>
      <sz val="11"/>
      <name val="Calibri"/>
      <family val="2"/>
      <scheme val="minor"/>
    </font>
    <font>
      <b/>
      <sz val="12"/>
      <name val="Calibri"/>
      <family val="2"/>
      <scheme val="minor"/>
    </font>
    <font>
      <sz val="11"/>
      <color rgb="FF0000FF"/>
      <name val="Calibri"/>
      <family val="2"/>
      <scheme val="minor"/>
    </font>
    <font>
      <b/>
      <sz val="10"/>
      <color theme="4"/>
      <name val="Calibri"/>
      <family val="2"/>
    </font>
    <font>
      <sz val="10"/>
      <color rgb="FF0000FF"/>
      <name val="Calibri"/>
      <family val="2"/>
    </font>
    <font>
      <b/>
      <sz val="10"/>
      <name val="Calibri"/>
      <family val="2"/>
    </font>
    <font>
      <sz val="10"/>
      <color rgb="FF9C5700"/>
      <name val="Calibri"/>
      <family val="2"/>
    </font>
    <font>
      <b/>
      <sz val="12"/>
      <color theme="4"/>
      <name val="Calibri"/>
      <family val="2"/>
    </font>
    <font>
      <i/>
      <sz val="11"/>
      <name val="Calibri"/>
      <family val="2"/>
    </font>
    <font>
      <b/>
      <i/>
      <sz val="12"/>
      <color theme="1"/>
      <name val="Calibri"/>
      <family val="2"/>
      <scheme val="minor"/>
    </font>
    <font>
      <sz val="11"/>
      <name val="Calibri"/>
      <family val="2"/>
    </font>
    <font>
      <b/>
      <i/>
      <u/>
      <sz val="12"/>
      <name val="Calibri"/>
      <family val="2"/>
      <scheme val="minor"/>
    </font>
    <font>
      <b/>
      <sz val="14"/>
      <color theme="1"/>
      <name val="Calibri"/>
      <family val="2"/>
    </font>
  </fonts>
  <fills count="1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bgColor indexed="64"/>
      </patternFill>
    </fill>
    <fill>
      <patternFill patternType="solid">
        <fgColor theme="0" tint="-0.499984740745262"/>
        <bgColor indexed="64"/>
      </patternFill>
    </fill>
    <fill>
      <patternFill patternType="solid">
        <fgColor rgb="FFFFEB9C"/>
      </patternFill>
    </fill>
    <fill>
      <patternFill patternType="solid">
        <fgColor rgb="FFFFFFCC"/>
      </patternFill>
    </fill>
    <fill>
      <patternFill patternType="lightUp">
        <fgColor theme="0" tint="-0.34998626667073579"/>
        <bgColor indexed="65"/>
      </patternFill>
    </fill>
    <fill>
      <patternFill patternType="solid">
        <fgColor theme="1" tint="0.499984740745262"/>
        <bgColor indexed="64"/>
      </patternFill>
    </fill>
    <fill>
      <patternFill patternType="solid">
        <fgColor theme="2" tint="-9.9978637043366805E-2"/>
        <bgColor indexed="64"/>
      </patternFill>
    </fill>
  </fills>
  <borders count="21">
    <border>
      <left/>
      <right/>
      <top/>
      <bottom/>
      <diagonal/>
    </border>
    <border>
      <left style="thin">
        <color theme="3" tint="0.39994506668294322"/>
      </left>
      <right/>
      <top style="thin">
        <color theme="3" tint="0.39994506668294322"/>
      </top>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diagonal/>
    </border>
    <border>
      <left style="thin">
        <color theme="6" tint="-0.24994659260841701"/>
      </left>
      <right/>
      <top/>
      <bottom style="thin">
        <color theme="6" tint="-0.24994659260841701"/>
      </bottom>
      <diagonal/>
    </border>
    <border>
      <left style="thin">
        <color theme="6" tint="-0.24994659260841701"/>
      </left>
      <right/>
      <top/>
      <bottom/>
      <diagonal/>
    </border>
    <border>
      <left/>
      <right/>
      <top style="thin">
        <color theme="4" tint="0.39997558519241921"/>
      </top>
      <bottom/>
      <diagonal/>
    </border>
    <border>
      <left style="thin">
        <color theme="6" tint="-0.24994659260841701"/>
      </left>
      <right style="thin">
        <color theme="6" tint="-0.24994659260841701"/>
      </right>
      <top style="thin">
        <color theme="6" tint="-0.24994659260841701"/>
      </top>
      <bottom/>
      <diagonal/>
    </border>
    <border>
      <left/>
      <right style="thin">
        <color theme="6" tint="-0.24994659260841701"/>
      </right>
      <top style="thin">
        <color theme="6" tint="-0.24994659260841701"/>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theme="3"/>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6" tint="-0.24994659260841701"/>
      </left>
      <right style="thin">
        <color theme="6" tint="-0.24994659260841701"/>
      </right>
      <top/>
      <bottom style="thin">
        <color theme="6" tint="-0.24994659260841701"/>
      </bottom>
      <diagonal/>
    </border>
    <border>
      <left/>
      <right style="thin">
        <color theme="6"/>
      </right>
      <top/>
      <bottom/>
      <diagonal/>
    </border>
    <border>
      <left/>
      <right style="thin">
        <color theme="6" tint="-0.24994659260841701"/>
      </right>
      <top style="thin">
        <color theme="6" tint="-0.24994659260841701"/>
      </top>
      <bottom style="thin">
        <color theme="6" tint="-0.24994659260841701"/>
      </bottom>
      <diagonal/>
    </border>
  </borders>
  <cellStyleXfs count="8">
    <xf numFmtId="0" fontId="0" fillId="0" borderId="0"/>
    <xf numFmtId="43"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10" borderId="0" applyNumberFormat="0" applyBorder="0" applyAlignment="0" applyProtection="0"/>
    <xf numFmtId="0" fontId="1" fillId="11" borderId="10" applyNumberFormat="0" applyFont="0" applyAlignment="0" applyProtection="0"/>
  </cellStyleXfs>
  <cellXfs count="177">
    <xf numFmtId="0" fontId="0" fillId="0" borderId="0" xfId="0"/>
    <xf numFmtId="0" fontId="4" fillId="0" borderId="0" xfId="0" applyFont="1" applyAlignment="1">
      <alignment horizontal="center" vertical="center"/>
    </xf>
    <xf numFmtId="0" fontId="4" fillId="0" borderId="0" xfId="0" applyFont="1"/>
    <xf numFmtId="0" fontId="4" fillId="2" borderId="3" xfId="0" applyFont="1" applyFill="1" applyBorder="1" applyAlignment="1">
      <alignment horizontal="right" vertical="center"/>
    </xf>
    <xf numFmtId="3" fontId="4" fillId="3" borderId="2"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0" fontId="4" fillId="2" borderId="4" xfId="0" applyFont="1" applyFill="1" applyBorder="1" applyAlignment="1">
      <alignment horizontal="right" vertical="center"/>
    </xf>
    <xf numFmtId="164" fontId="4"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3" fontId="4" fillId="4" borderId="2" xfId="0" applyNumberFormat="1" applyFont="1" applyFill="1" applyBorder="1" applyAlignment="1">
      <alignment horizontal="center" vertical="center" wrapText="1"/>
    </xf>
    <xf numFmtId="3" fontId="5" fillId="4" borderId="2" xfId="0" applyNumberFormat="1" applyFont="1" applyFill="1" applyBorder="1" applyAlignment="1">
      <alignment horizontal="center" vertical="center" wrapText="1"/>
    </xf>
    <xf numFmtId="0" fontId="4" fillId="2" borderId="5" xfId="0" applyFont="1" applyFill="1" applyBorder="1" applyAlignment="1">
      <alignment horizontal="right" vertical="center"/>
    </xf>
    <xf numFmtId="164" fontId="4" fillId="4" borderId="2" xfId="0" applyNumberFormat="1" applyFont="1" applyFill="1" applyBorder="1" applyAlignment="1">
      <alignment horizontal="center" vertical="center" wrapText="1"/>
    </xf>
    <xf numFmtId="164" fontId="5" fillId="4" borderId="2" xfId="0" applyNumberFormat="1" applyFont="1" applyFill="1" applyBorder="1" applyAlignment="1">
      <alignment horizontal="center" vertical="center" wrapText="1"/>
    </xf>
    <xf numFmtId="0" fontId="4" fillId="6" borderId="0" xfId="0" applyFont="1" applyFill="1" applyAlignment="1">
      <alignment horizontal="right"/>
    </xf>
    <xf numFmtId="165" fontId="4" fillId="6" borderId="0" xfId="0" applyNumberFormat="1" applyFont="1" applyFill="1"/>
    <xf numFmtId="164" fontId="4" fillId="3" borderId="8"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7" xfId="0" applyFont="1" applyFill="1" applyBorder="1" applyAlignment="1">
      <alignment horizontal="right" vertical="center"/>
    </xf>
    <xf numFmtId="0" fontId="7" fillId="7" borderId="9" xfId="0" applyFont="1" applyFill="1" applyBorder="1" applyAlignment="1">
      <alignment horizontal="right" vertical="center"/>
    </xf>
    <xf numFmtId="165" fontId="7" fillId="5" borderId="6" xfId="0" applyNumberFormat="1" applyFont="1" applyFill="1" applyBorder="1"/>
    <xf numFmtId="0" fontId="7" fillId="5" borderId="6" xfId="0" applyFont="1" applyFill="1" applyBorder="1" applyAlignment="1">
      <alignment horizontal="right"/>
    </xf>
    <xf numFmtId="165" fontId="4" fillId="7" borderId="9" xfId="1" applyNumberFormat="1" applyFont="1" applyFill="1" applyBorder="1" applyAlignment="1">
      <alignment horizontal="center" vertical="center" wrapText="1"/>
    </xf>
    <xf numFmtId="0" fontId="4" fillId="0" borderId="0" xfId="0" applyFont="1" applyBorder="1" applyAlignment="1">
      <alignment horizontal="center" vertical="center"/>
    </xf>
    <xf numFmtId="0" fontId="9" fillId="8" borderId="0" xfId="0" applyFont="1" applyFill="1" applyAlignment="1">
      <alignment vertical="center"/>
    </xf>
    <xf numFmtId="0" fontId="3" fillId="8" borderId="0" xfId="0" applyFont="1" applyFill="1"/>
    <xf numFmtId="0" fontId="2" fillId="9" borderId="0" xfId="0" applyFont="1" applyFill="1"/>
    <xf numFmtId="0" fontId="0" fillId="0" borderId="0" xfId="0" applyBorder="1"/>
    <xf numFmtId="0" fontId="10" fillId="0" borderId="0" xfId="0" applyFont="1"/>
    <xf numFmtId="0" fontId="11" fillId="0" borderId="0" xfId="0" applyFont="1"/>
    <xf numFmtId="166" fontId="0" fillId="0" borderId="0" xfId="3" applyNumberFormat="1" applyFont="1" applyFill="1" applyAlignment="1">
      <alignment horizontal="right" vertical="center"/>
    </xf>
    <xf numFmtId="166" fontId="0" fillId="0" borderId="0" xfId="0" applyNumberFormat="1"/>
    <xf numFmtId="0" fontId="4" fillId="0" borderId="0" xfId="0" applyFont="1" applyAlignment="1">
      <alignment vertical="top"/>
    </xf>
    <xf numFmtId="0" fontId="12" fillId="0" borderId="0" xfId="0" applyFont="1"/>
    <xf numFmtId="0" fontId="8" fillId="0" borderId="0" xfId="2" applyAlignment="1"/>
    <xf numFmtId="0" fontId="6" fillId="0" borderId="0" xfId="0" applyFont="1"/>
    <xf numFmtId="0" fontId="13" fillId="0" borderId="0" xfId="0" applyFont="1" applyFill="1" applyBorder="1" applyAlignment="1">
      <alignment horizontal="left" vertical="center"/>
    </xf>
    <xf numFmtId="0" fontId="14" fillId="0" borderId="0" xfId="0" applyFont="1"/>
    <xf numFmtId="167" fontId="4" fillId="0" borderId="0" xfId="4" applyNumberFormat="1" applyFont="1"/>
    <xf numFmtId="0" fontId="7" fillId="0" borderId="0" xfId="0" applyFont="1"/>
    <xf numFmtId="0" fontId="17" fillId="0" borderId="0" xfId="0" applyFont="1"/>
    <xf numFmtId="0" fontId="18" fillId="0" borderId="0" xfId="0" applyFont="1"/>
    <xf numFmtId="0" fontId="4" fillId="0" borderId="0" xfId="0" applyFont="1" applyAlignment="1">
      <alignment horizontal="right"/>
    </xf>
    <xf numFmtId="167" fontId="4" fillId="6" borderId="0" xfId="4" applyNumberFormat="1" applyFont="1" applyFill="1"/>
    <xf numFmtId="167" fontId="7" fillId="5" borderId="6" xfId="4" applyNumberFormat="1" applyFont="1" applyFill="1" applyBorder="1"/>
    <xf numFmtId="167" fontId="4" fillId="0" borderId="0" xfId="0" applyNumberFormat="1" applyFont="1"/>
    <xf numFmtId="0" fontId="16" fillId="0" borderId="0" xfId="0" applyFont="1"/>
    <xf numFmtId="0" fontId="19" fillId="0" borderId="0" xfId="0" applyFont="1"/>
    <xf numFmtId="0" fontId="22" fillId="0" borderId="0" xfId="0" applyFont="1"/>
    <xf numFmtId="166" fontId="19" fillId="0" borderId="0" xfId="3" applyNumberFormat="1" applyFont="1" applyFill="1" applyAlignment="1">
      <alignment horizontal="right" vertical="center"/>
    </xf>
    <xf numFmtId="166" fontId="19" fillId="0" borderId="11" xfId="0" applyNumberFormat="1" applyFont="1" applyBorder="1"/>
    <xf numFmtId="166" fontId="19" fillId="12" borderId="0" xfId="3" applyNumberFormat="1" applyFont="1" applyFill="1" applyAlignment="1">
      <alignment horizontal="right" vertical="center"/>
    </xf>
    <xf numFmtId="166" fontId="19" fillId="12" borderId="11" xfId="0" applyNumberFormat="1" applyFont="1" applyFill="1" applyBorder="1"/>
    <xf numFmtId="0" fontId="21" fillId="0" borderId="0" xfId="0" applyFont="1"/>
    <xf numFmtId="166" fontId="19" fillId="0" borderId="12" xfId="3" applyNumberFormat="1" applyFont="1" applyFill="1" applyBorder="1" applyAlignment="1">
      <alignment horizontal="right" vertical="center"/>
    </xf>
    <xf numFmtId="166" fontId="19" fillId="0" borderId="13" xfId="3" applyNumberFormat="1" applyFont="1" applyFill="1" applyBorder="1" applyAlignment="1">
      <alignment horizontal="right" vertical="center"/>
    </xf>
    <xf numFmtId="0" fontId="21" fillId="0" borderId="0" xfId="0" applyFont="1" applyFill="1" applyBorder="1"/>
    <xf numFmtId="166" fontId="19" fillId="0" borderId="0" xfId="0" applyNumberFormat="1" applyFont="1"/>
    <xf numFmtId="0" fontId="23" fillId="13" borderId="0" xfId="0" applyFont="1" applyFill="1" applyAlignment="1">
      <alignment vertical="center"/>
    </xf>
    <xf numFmtId="0" fontId="24" fillId="13" borderId="0" xfId="0" applyFont="1" applyFill="1" applyAlignment="1">
      <alignment vertical="center"/>
    </xf>
    <xf numFmtId="0" fontId="25" fillId="13" borderId="0" xfId="0" applyFont="1" applyFill="1" applyAlignment="1">
      <alignment vertical="center"/>
    </xf>
    <xf numFmtId="0" fontId="23" fillId="0" borderId="0" xfId="0" applyFont="1" applyAlignment="1">
      <alignment vertical="center"/>
    </xf>
    <xf numFmtId="0" fontId="27" fillId="8" borderId="0" xfId="0" applyFont="1" applyFill="1"/>
    <xf numFmtId="0" fontId="0" fillId="4" borderId="0" xfId="0" applyFill="1"/>
    <xf numFmtId="0" fontId="20" fillId="4" borderId="0" xfId="0" applyFont="1" applyFill="1"/>
    <xf numFmtId="0" fontId="28" fillId="13" borderId="0" xfId="0" applyFont="1" applyFill="1"/>
    <xf numFmtId="0" fontId="29" fillId="13" borderId="0" xfId="0" applyFont="1" applyFill="1"/>
    <xf numFmtId="0" fontId="0" fillId="0" borderId="0" xfId="0" applyFill="1"/>
    <xf numFmtId="0" fontId="28" fillId="0" borderId="0" xfId="0" applyFont="1" applyFill="1"/>
    <xf numFmtId="0" fontId="29" fillId="0" borderId="0" xfId="0" applyFont="1" applyFill="1"/>
    <xf numFmtId="0" fontId="0" fillId="0" borderId="0" xfId="0" applyAlignment="1">
      <alignment vertical="center"/>
    </xf>
    <xf numFmtId="0" fontId="30" fillId="14" borderId="0" xfId="0" applyFont="1" applyFill="1"/>
    <xf numFmtId="0" fontId="31" fillId="0" borderId="0" xfId="0" applyFont="1" applyFill="1"/>
    <xf numFmtId="0" fontId="32" fillId="0" borderId="0" xfId="0" applyFont="1" applyFill="1"/>
    <xf numFmtId="0" fontId="30" fillId="0" borderId="0" xfId="0" applyFont="1" applyFill="1" applyAlignment="1">
      <alignment horizontal="center"/>
    </xf>
    <xf numFmtId="0" fontId="30" fillId="0" borderId="0" xfId="0" applyFont="1" applyFill="1" applyAlignment="1">
      <alignment horizontal="left"/>
    </xf>
    <xf numFmtId="0" fontId="31" fillId="0" borderId="0" xfId="0" applyFont="1" applyFill="1" applyAlignment="1">
      <alignment wrapText="1"/>
    </xf>
    <xf numFmtId="10" fontId="33" fillId="11" borderId="10" xfId="5" applyNumberFormat="1" applyFont="1" applyFill="1" applyBorder="1" applyAlignment="1">
      <alignment vertical="center"/>
    </xf>
    <xf numFmtId="0" fontId="30" fillId="0" borderId="0" xfId="0" applyFont="1" applyFill="1"/>
    <xf numFmtId="0" fontId="31" fillId="0" borderId="0" xfId="0" applyFont="1" applyFill="1" applyAlignment="1">
      <alignment vertical="center"/>
    </xf>
    <xf numFmtId="0" fontId="30" fillId="0" borderId="0" xfId="0" applyFont="1" applyFill="1" applyAlignment="1">
      <alignment horizontal="left" vertical="center"/>
    </xf>
    <xf numFmtId="0" fontId="31" fillId="0" borderId="0" xfId="0" applyFont="1" applyFill="1" applyAlignment="1">
      <alignment vertical="center" wrapText="1"/>
    </xf>
    <xf numFmtId="168" fontId="33" fillId="11" borderId="10" xfId="1" applyNumberFormat="1" applyFont="1" applyFill="1" applyBorder="1" applyAlignment="1">
      <alignment vertical="center"/>
    </xf>
    <xf numFmtId="168" fontId="31" fillId="0" borderId="0" xfId="1" applyNumberFormat="1" applyFont="1" applyFill="1"/>
    <xf numFmtId="1" fontId="30" fillId="0" borderId="0" xfId="1" applyNumberFormat="1" applyFont="1" applyFill="1" applyAlignment="1">
      <alignment horizontal="center"/>
    </xf>
    <xf numFmtId="0" fontId="34" fillId="0" borderId="0" xfId="0" applyFont="1"/>
    <xf numFmtId="0" fontId="7" fillId="0" borderId="0" xfId="0" applyFont="1" applyAlignment="1">
      <alignment horizontal="center"/>
    </xf>
    <xf numFmtId="0" fontId="7" fillId="0" borderId="0" xfId="0" applyFont="1" applyAlignment="1">
      <alignment horizontal="left"/>
    </xf>
    <xf numFmtId="166" fontId="35" fillId="11" borderId="10" xfId="7" applyNumberFormat="1" applyFont="1" applyAlignment="1">
      <alignment horizontal="right" vertical="center"/>
    </xf>
    <xf numFmtId="0" fontId="36" fillId="0" borderId="0" xfId="0" applyFont="1"/>
    <xf numFmtId="166" fontId="4" fillId="0" borderId="12" xfId="3" applyNumberFormat="1" applyFont="1" applyFill="1" applyBorder="1" applyAlignment="1">
      <alignment horizontal="right" vertical="center"/>
    </xf>
    <xf numFmtId="166" fontId="4" fillId="0" borderId="0" xfId="3" applyNumberFormat="1" applyFont="1" applyFill="1" applyAlignment="1">
      <alignment horizontal="right" vertical="center"/>
    </xf>
    <xf numFmtId="166" fontId="4" fillId="0" borderId="0" xfId="0" applyNumberFormat="1" applyFont="1"/>
    <xf numFmtId="0" fontId="5" fillId="0" borderId="0" xfId="0" applyFont="1"/>
    <xf numFmtId="169" fontId="4" fillId="0" borderId="0" xfId="1" applyNumberFormat="1" applyFont="1"/>
    <xf numFmtId="0" fontId="7" fillId="0" borderId="11" xfId="0" applyFont="1" applyBorder="1" applyAlignment="1">
      <alignment horizontal="center"/>
    </xf>
    <xf numFmtId="166" fontId="4" fillId="0" borderId="11" xfId="0" applyNumberFormat="1" applyFont="1" applyBorder="1"/>
    <xf numFmtId="166" fontId="4" fillId="0" borderId="13" xfId="3" applyNumberFormat="1" applyFont="1" applyFill="1" applyBorder="1" applyAlignment="1">
      <alignment horizontal="right" vertical="center"/>
    </xf>
    <xf numFmtId="0" fontId="0" fillId="0" borderId="14" xfId="0" applyBorder="1"/>
    <xf numFmtId="0" fontId="37" fillId="10" borderId="0" xfId="6" applyFont="1" applyAlignment="1">
      <alignment wrapText="1"/>
    </xf>
    <xf numFmtId="170" fontId="37" fillId="10" borderId="0" xfId="6" applyNumberFormat="1" applyFont="1" applyAlignment="1">
      <alignment vertical="center"/>
    </xf>
    <xf numFmtId="0" fontId="38" fillId="0" borderId="0" xfId="0" applyFont="1"/>
    <xf numFmtId="0" fontId="0" fillId="0" borderId="0" xfId="0" applyFont="1"/>
    <xf numFmtId="0" fontId="8" fillId="0" borderId="0" xfId="2" applyFont="1"/>
    <xf numFmtId="0" fontId="39" fillId="0" borderId="0" xfId="2" applyFont="1"/>
    <xf numFmtId="0" fontId="40" fillId="0" borderId="0" xfId="0" applyFont="1" applyAlignment="1">
      <alignment horizontal="left" vertical="center"/>
    </xf>
    <xf numFmtId="0" fontId="20"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3" fontId="0" fillId="3" borderId="2" xfId="0" applyNumberFormat="1" applyFont="1" applyFill="1" applyBorder="1" applyAlignment="1">
      <alignment horizontal="center" vertical="center" wrapText="1"/>
    </xf>
    <xf numFmtId="3" fontId="41" fillId="3" borderId="2" xfId="0" applyNumberFormat="1" applyFont="1" applyFill="1" applyBorder="1" applyAlignment="1">
      <alignment horizontal="center" vertical="center" wrapText="1"/>
    </xf>
    <xf numFmtId="3" fontId="0" fillId="0" borderId="0" xfId="0" applyNumberFormat="1" applyFont="1"/>
    <xf numFmtId="0" fontId="0" fillId="3" borderId="2" xfId="0" applyFont="1" applyFill="1" applyBorder="1" applyAlignment="1">
      <alignment horizontal="center" vertical="center" wrapText="1"/>
    </xf>
    <xf numFmtId="0" fontId="41" fillId="3" borderId="2" xfId="0" applyFont="1" applyFill="1" applyBorder="1" applyAlignment="1">
      <alignment horizontal="center" vertical="center" wrapText="1"/>
    </xf>
    <xf numFmtId="10" fontId="0" fillId="3" borderId="2" xfId="0" applyNumberFormat="1" applyFont="1" applyFill="1" applyBorder="1" applyAlignment="1">
      <alignment horizontal="center" vertical="center" wrapText="1"/>
    </xf>
    <xf numFmtId="9" fontId="0" fillId="3" borderId="2" xfId="0" applyNumberFormat="1" applyFont="1" applyFill="1" applyBorder="1" applyAlignment="1">
      <alignment horizontal="center" vertical="center" wrapText="1"/>
    </xf>
    <xf numFmtId="10" fontId="41" fillId="3" borderId="2" xfId="0" applyNumberFormat="1" applyFont="1" applyFill="1" applyBorder="1" applyAlignment="1">
      <alignment horizontal="center" vertical="center" wrapText="1"/>
    </xf>
    <xf numFmtId="6" fontId="0" fillId="3" borderId="2"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wrapText="1"/>
    </xf>
    <xf numFmtId="164" fontId="41" fillId="3" borderId="2" xfId="0" applyNumberFormat="1" applyFont="1" applyFill="1" applyBorder="1" applyAlignment="1">
      <alignment horizontal="center" vertical="center" wrapText="1"/>
    </xf>
    <xf numFmtId="3" fontId="0" fillId="3" borderId="15"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0" fontId="41" fillId="3" borderId="16" xfId="0" applyFont="1" applyFill="1" applyBorder="1" applyAlignment="1">
      <alignment horizontal="center" vertical="center" wrapText="1"/>
    </xf>
    <xf numFmtId="171" fontId="0" fillId="3" borderId="17" xfId="0" applyNumberFormat="1" applyFont="1" applyFill="1" applyBorder="1" applyAlignment="1">
      <alignment horizontal="center" vertical="center" wrapText="1"/>
    </xf>
    <xf numFmtId="171" fontId="41" fillId="3" borderId="17" xfId="0" applyNumberFormat="1" applyFont="1" applyFill="1" applyBorder="1" applyAlignment="1">
      <alignment horizontal="center" vertical="center" wrapText="1"/>
    </xf>
    <xf numFmtId="6" fontId="0" fillId="3" borderId="16" xfId="0" applyNumberFormat="1" applyFont="1" applyFill="1" applyBorder="1" applyAlignment="1">
      <alignment horizontal="center" vertical="center" wrapText="1"/>
    </xf>
    <xf numFmtId="171" fontId="0" fillId="3" borderId="2" xfId="0" applyNumberFormat="1" applyFont="1" applyFill="1" applyBorder="1" applyAlignment="1">
      <alignment horizontal="center" vertical="center" wrapText="1"/>
    </xf>
    <xf numFmtId="171" fontId="41" fillId="3" borderId="2" xfId="0" applyNumberFormat="1" applyFont="1" applyFill="1" applyBorder="1" applyAlignment="1">
      <alignment horizontal="center" vertical="center" wrapText="1"/>
    </xf>
    <xf numFmtId="172" fontId="0" fillId="3" borderId="2" xfId="0" applyNumberFormat="1" applyFont="1" applyFill="1" applyBorder="1" applyAlignment="1">
      <alignment horizontal="center" vertical="center" wrapText="1"/>
    </xf>
    <xf numFmtId="172" fontId="41" fillId="3" borderId="2" xfId="0" applyNumberFormat="1" applyFont="1" applyFill="1" applyBorder="1" applyAlignment="1">
      <alignment horizontal="center" vertical="center" wrapText="1"/>
    </xf>
    <xf numFmtId="6" fontId="41" fillId="3" borderId="2" xfId="0" applyNumberFormat="1" applyFont="1" applyFill="1" applyBorder="1" applyAlignment="1">
      <alignment horizontal="center" vertical="center" wrapText="1"/>
    </xf>
    <xf numFmtId="0" fontId="0" fillId="2" borderId="2" xfId="0" applyFont="1" applyFill="1" applyBorder="1" applyAlignment="1">
      <alignment horizontal="justify" vertical="center" wrapText="1"/>
    </xf>
    <xf numFmtId="0" fontId="40" fillId="0" borderId="0" xfId="0" applyFont="1" applyAlignment="1">
      <alignment vertical="center"/>
    </xf>
    <xf numFmtId="0" fontId="20" fillId="2" borderId="2" xfId="0" applyFont="1" applyFill="1" applyBorder="1" applyAlignment="1">
      <alignment horizontal="center" vertical="center"/>
    </xf>
    <xf numFmtId="0" fontId="0" fillId="2" borderId="7" xfId="0" applyFont="1" applyFill="1" applyBorder="1" applyAlignment="1">
      <alignment horizontal="right" vertical="center"/>
    </xf>
    <xf numFmtId="0" fontId="0" fillId="2" borderId="18" xfId="0" applyFont="1" applyFill="1" applyBorder="1" applyAlignment="1">
      <alignment horizontal="right" vertical="center"/>
    </xf>
    <xf numFmtId="0" fontId="40" fillId="0" borderId="19" xfId="0" applyFont="1" applyFill="1" applyBorder="1" applyAlignment="1">
      <alignment horizontal="left" vertical="center"/>
    </xf>
    <xf numFmtId="0" fontId="0" fillId="0" borderId="0" xfId="0" applyAlignment="1">
      <alignment horizontal="center" vertical="center"/>
    </xf>
    <xf numFmtId="0" fontId="20" fillId="2" borderId="1" xfId="0" applyFont="1" applyFill="1" applyBorder="1" applyAlignment="1">
      <alignment horizontal="center" vertical="center"/>
    </xf>
    <xf numFmtId="0" fontId="0" fillId="2" borderId="3" xfId="0" applyFont="1" applyFill="1" applyBorder="1" applyAlignment="1">
      <alignment horizontal="right" vertical="center"/>
    </xf>
    <xf numFmtId="0" fontId="0" fillId="2" borderId="4" xfId="0" applyFont="1" applyFill="1" applyBorder="1" applyAlignment="1">
      <alignment horizontal="right" vertical="center"/>
    </xf>
    <xf numFmtId="3" fontId="0" fillId="4" borderId="2" xfId="0" applyNumberFormat="1" applyFont="1" applyFill="1" applyBorder="1" applyAlignment="1">
      <alignment horizontal="center" vertical="center" wrapText="1"/>
    </xf>
    <xf numFmtId="3" fontId="41" fillId="4" borderId="2" xfId="0" applyNumberFormat="1" applyFont="1" applyFill="1" applyBorder="1" applyAlignment="1">
      <alignment horizontal="center" vertical="center" wrapText="1"/>
    </xf>
    <xf numFmtId="0" fontId="0" fillId="2" borderId="5" xfId="0" applyFont="1" applyFill="1" applyBorder="1" applyAlignment="1">
      <alignment horizontal="right" vertical="center"/>
    </xf>
    <xf numFmtId="164" fontId="0" fillId="4" borderId="2" xfId="0" applyNumberFormat="1" applyFont="1" applyFill="1" applyBorder="1" applyAlignment="1">
      <alignment horizontal="center" vertical="center" wrapText="1"/>
    </xf>
    <xf numFmtId="164" fontId="41" fillId="4" borderId="2" xfId="0" applyNumberFormat="1" applyFont="1" applyFill="1" applyBorder="1" applyAlignment="1">
      <alignment horizontal="center" vertical="center" wrapText="1"/>
    </xf>
    <xf numFmtId="0" fontId="20" fillId="2" borderId="2" xfId="0" applyFont="1" applyFill="1" applyBorder="1" applyAlignment="1">
      <alignment horizontal="right" vertical="center"/>
    </xf>
    <xf numFmtId="164" fontId="0" fillId="3" borderId="20" xfId="0" applyNumberFormat="1" applyFont="1" applyFill="1" applyBorder="1" applyAlignment="1">
      <alignment horizontal="center" vertical="center" wrapText="1"/>
    </xf>
    <xf numFmtId="0" fontId="42" fillId="0" borderId="0" xfId="0" applyFont="1" applyAlignment="1">
      <alignment horizontal="left" vertical="center"/>
    </xf>
    <xf numFmtId="0" fontId="0" fillId="2" borderId="2" xfId="0" applyFont="1" applyFill="1" applyBorder="1" applyAlignment="1">
      <alignment horizontal="left" vertical="top" wrapText="1"/>
    </xf>
    <xf numFmtId="0" fontId="0" fillId="2" borderId="2" xfId="0" applyFont="1" applyFill="1" applyBorder="1" applyAlignment="1">
      <alignment vertical="top"/>
    </xf>
    <xf numFmtId="6" fontId="20" fillId="3" borderId="2" xfId="0" applyNumberFormat="1" applyFont="1" applyFill="1" applyBorder="1" applyAlignment="1">
      <alignment horizontal="center" vertical="center" wrapText="1"/>
    </xf>
    <xf numFmtId="0" fontId="16" fillId="0" borderId="0" xfId="0" applyFont="1" applyAlignment="1">
      <alignment horizontal="center"/>
    </xf>
    <xf numFmtId="166" fontId="41" fillId="11" borderId="10" xfId="7" applyNumberFormat="1" applyFont="1" applyAlignment="1">
      <alignment horizontal="right" vertical="center"/>
    </xf>
    <xf numFmtId="166" fontId="0" fillId="0" borderId="12" xfId="3" applyNumberFormat="1" applyFont="1" applyFill="1" applyBorder="1" applyAlignment="1">
      <alignment horizontal="right" vertical="center"/>
    </xf>
    <xf numFmtId="165" fontId="0" fillId="0" borderId="0" xfId="1" applyNumberFormat="1" applyFont="1" applyBorder="1"/>
    <xf numFmtId="170" fontId="19" fillId="0" borderId="0" xfId="0" applyNumberFormat="1" applyFont="1"/>
    <xf numFmtId="170" fontId="19" fillId="0" borderId="12" xfId="0" applyNumberFormat="1" applyFont="1" applyBorder="1"/>
    <xf numFmtId="166" fontId="0" fillId="0" borderId="0" xfId="3" applyNumberFormat="1" applyFont="1" applyFill="1" applyAlignment="1">
      <alignment vertical="center"/>
    </xf>
    <xf numFmtId="166" fontId="0" fillId="0" borderId="12" xfId="0" applyNumberFormat="1" applyBorder="1"/>
    <xf numFmtId="0" fontId="16" fillId="0" borderId="0" xfId="0" applyFont="1" applyAlignment="1">
      <alignment horizontal="center" vertical="center" wrapText="1"/>
    </xf>
    <xf numFmtId="0" fontId="16" fillId="0" borderId="0" xfId="0" applyFont="1" applyAlignment="1">
      <alignment horizontal="center" vertical="center"/>
    </xf>
    <xf numFmtId="165" fontId="0" fillId="0" borderId="0" xfId="1" applyNumberFormat="1" applyFont="1" applyFill="1" applyAlignment="1">
      <alignment vertical="center"/>
    </xf>
    <xf numFmtId="0" fontId="16" fillId="0" borderId="0" xfId="0" applyFont="1" applyAlignment="1">
      <alignment horizontal="left" vertical="center"/>
    </xf>
    <xf numFmtId="166" fontId="0" fillId="0" borderId="0" xfId="0" applyNumberFormat="1" applyBorder="1"/>
    <xf numFmtId="0" fontId="43" fillId="0" borderId="0" xfId="0" applyFont="1"/>
    <xf numFmtId="165" fontId="0" fillId="0" borderId="0" xfId="1" applyNumberFormat="1" applyFont="1"/>
    <xf numFmtId="165" fontId="0" fillId="0" borderId="12" xfId="1" applyNumberFormat="1" applyFont="1" applyBorder="1"/>
    <xf numFmtId="0" fontId="21" fillId="0" borderId="0" xfId="0" applyFont="1" applyAlignment="1">
      <alignment horizontal="center"/>
    </xf>
    <xf numFmtId="165" fontId="19" fillId="0" borderId="0" xfId="1" applyNumberFormat="1" applyFont="1"/>
    <xf numFmtId="165" fontId="21" fillId="0" borderId="12" xfId="0" applyNumberFormat="1" applyFont="1" applyBorder="1"/>
    <xf numFmtId="166" fontId="21" fillId="0" borderId="0" xfId="0" applyNumberFormat="1" applyFont="1"/>
    <xf numFmtId="166" fontId="21" fillId="0" borderId="11" xfId="0" applyNumberFormat="1" applyFont="1" applyBorder="1"/>
    <xf numFmtId="0" fontId="4" fillId="0" borderId="0" xfId="0" applyFont="1" applyAlignment="1">
      <alignment horizontal="left" vertical="top" wrapText="1"/>
    </xf>
    <xf numFmtId="166" fontId="4" fillId="0" borderId="0" xfId="3" applyNumberFormat="1" applyFont="1" applyFill="1" applyAlignment="1">
      <alignment horizontal="left" vertical="top" wrapText="1"/>
    </xf>
    <xf numFmtId="0" fontId="4" fillId="0" borderId="0" xfId="0" applyFont="1" applyAlignment="1">
      <alignment horizontal="left" wrapText="1"/>
    </xf>
  </cellXfs>
  <cellStyles count="8">
    <cellStyle name="Comma" xfId="1" builtinId="3"/>
    <cellStyle name="Comma 3" xfId="3" xr:uid="{F80BA1AF-59C9-4ADE-8A67-97596966FE50}"/>
    <cellStyle name="Currency" xfId="4" builtinId="4"/>
    <cellStyle name="Hyperlink" xfId="2" builtinId="8"/>
    <cellStyle name="Neutral" xfId="6" builtinId="28"/>
    <cellStyle name="Normal" xfId="0" builtinId="0"/>
    <cellStyle name="Note" xfId="7" builtinId="10"/>
    <cellStyle name="Percent" xfId="5" builtinId="5"/>
  </cellStyles>
  <dxfs count="0"/>
  <tableStyles count="0" defaultTableStyle="TableStyleMedium2" defaultPivotStyle="PivotStyleLight16"/>
  <colors>
    <mruColors>
      <color rgb="FF1F4C71"/>
      <color rgb="FFFAA61A"/>
      <color rgb="FFFFCB00"/>
      <color rgb="FF236A65"/>
      <color rgb="FFFA780A"/>
      <color rgb="FF289696"/>
      <color rgb="FF5252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'Revised Proposal'!$B$8:$C$8</c:f>
              <c:strCache>
                <c:ptCount val="2"/>
                <c:pt idx="0">
                  <c:v>Actual GSL Payments </c:v>
                </c:pt>
                <c:pt idx="1">
                  <c:v>$June 2020</c:v>
                </c:pt>
              </c:strCache>
            </c:strRef>
          </c:tx>
          <c:spPr>
            <a:solidFill>
              <a:srgbClr val="525252"/>
            </a:solidFill>
            <a:ln>
              <a:solidFill>
                <a:srgbClr val="525252"/>
              </a:solidFill>
            </a:ln>
            <a:effectLst/>
          </c:spPr>
          <c:invertIfNegative val="0"/>
          <c:cat>
            <c:strRef>
              <c:f>'Revised Proposal'!$D$3:$Q$3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'Revised Proposal'!$D$8:$Q$8</c:f>
              <c:numCache>
                <c:formatCode>#,##0.0,"m";\(#,##0.0,"m"\)</c:formatCode>
                <c:ptCount val="14"/>
                <c:pt idx="0">
                  <c:v>2840.8822579849575</c:v>
                </c:pt>
                <c:pt idx="1">
                  <c:v>671.52227473682319</c:v>
                </c:pt>
                <c:pt idx="2">
                  <c:v>1124.1854045937098</c:v>
                </c:pt>
                <c:pt idx="3">
                  <c:v>693.05793975921904</c:v>
                </c:pt>
                <c:pt idx="4">
                  <c:v>1614.766172536665</c:v>
                </c:pt>
                <c:pt idx="5">
                  <c:v>8528.6184226432288</c:v>
                </c:pt>
                <c:pt idx="6">
                  <c:v>3506.9878943044355</c:v>
                </c:pt>
                <c:pt idx="7">
                  <c:v>5507.4343981797811</c:v>
                </c:pt>
                <c:pt idx="8">
                  <c:v>11207.599655459631</c:v>
                </c:pt>
                <c:pt idx="9">
                  <c:v>4071.2696468767704</c:v>
                </c:pt>
                <c:pt idx="10">
                  <c:v>3660.6115252325585</c:v>
                </c:pt>
                <c:pt idx="11">
                  <c:v>27276.728905986631</c:v>
                </c:pt>
                <c:pt idx="12">
                  <c:v>1958.1054045189701</c:v>
                </c:pt>
                <c:pt idx="13">
                  <c:v>5039.7920239021014</c:v>
                </c:pt>
              </c:numCache>
            </c:numRef>
          </c:val>
          <c:extLst>
            <c:ext xmlns:c16="http://schemas.microsoft.com/office/drawing/2014/chart" uri="{C3380CC4-5D6E-409C-BE32-E72D297353CC}">
              <c16:uniqueId val="{00000000-95DE-4645-9895-3920BA6F1301}"/>
            </c:ext>
          </c:extLst>
        </c:ser>
        <c:ser>
          <c:idx val="1"/>
          <c:order val="1"/>
          <c:tx>
            <c:strRef>
              <c:f>'Revised Proposal'!$B$20:$C$20</c:f>
              <c:strCache>
                <c:ptCount val="2"/>
                <c:pt idx="0">
                  <c:v>GSL Payments New Scheme (customer Adjusted)</c:v>
                </c:pt>
                <c:pt idx="1">
                  <c:v>$June 2020</c:v>
                </c:pt>
              </c:strCache>
            </c:strRef>
          </c:tx>
          <c:spPr>
            <a:solidFill>
              <a:srgbClr val="289696"/>
            </a:solidFill>
            <a:ln>
              <a:noFill/>
            </a:ln>
            <a:effectLst/>
          </c:spPr>
          <c:invertIfNegative val="0"/>
          <c:cat>
            <c:strRef>
              <c:f>'Revised Proposal'!$D$3:$Q$3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'Revised Proposal'!$D$20:$Q$20</c:f>
              <c:numCache>
                <c:formatCode>General</c:formatCode>
                <c:ptCount val="14"/>
                <c:pt idx="4" formatCode="#,##0.0,&quot;m&quot;;\(#,##0.0,&quot;m&quot;\)">
                  <c:v>2560.2114507581446</c:v>
                </c:pt>
                <c:pt idx="5" formatCode="#,##0.0,&quot;m&quot;;\(#,##0.0,&quot;m&quot;\)">
                  <c:v>6384.1242061526691</c:v>
                </c:pt>
                <c:pt idx="6" formatCode="#,##0.0,&quot;m&quot;;\(#,##0.0,&quot;m&quot;\)">
                  <c:v>2186.639484446554</c:v>
                </c:pt>
                <c:pt idx="7" formatCode="#,##0.0,&quot;m&quot;;\(#,##0.0,&quot;m&quot;\)">
                  <c:v>2857.7508142227539</c:v>
                </c:pt>
                <c:pt idx="8" formatCode="#,##0.0,&quot;m&quot;;\(#,##0.0,&quot;m&quot;\)">
                  <c:v>6622.3876527020893</c:v>
                </c:pt>
                <c:pt idx="9" formatCode="#,##0.0,&quot;m&quot;;\(#,##0.0,&quot;m&quot;\)">
                  <c:v>2434.9701851665163</c:v>
                </c:pt>
                <c:pt idx="10" formatCode="#,##0.0,&quot;m&quot;;\(#,##0.0,&quot;m&quot;\)">
                  <c:v>1872.6878104653013</c:v>
                </c:pt>
                <c:pt idx="11" formatCode="#,##0.0,&quot;m&quot;;\(#,##0.0,&quot;m&quot;\)">
                  <c:v>17316.455490004399</c:v>
                </c:pt>
                <c:pt idx="12" formatCode="#,##0.0,&quot;m&quot;;\(#,##0.0,&quot;m&quot;\)">
                  <c:v>1356.8179128355159</c:v>
                </c:pt>
                <c:pt idx="13" formatCode="#,##0.0,&quot;m&quot;;\(#,##0.0,&quot;m&quot;\)">
                  <c:v>3117.6186051655864</c:v>
                </c:pt>
              </c:numCache>
            </c:numRef>
          </c:val>
          <c:extLst>
            <c:ext xmlns:c16="http://schemas.microsoft.com/office/drawing/2014/chart" uri="{C3380CC4-5D6E-409C-BE32-E72D297353CC}">
              <c16:uniqueId val="{00000001-95DE-4645-9895-3920BA6F1301}"/>
            </c:ext>
          </c:extLst>
        </c:ser>
        <c:dLbls>
          <c:showLegendKey val="0"/>
          <c:showVal val="0"/>
          <c:showCatName val="0"/>
          <c:showSerName val="0"/>
          <c:showPercent val="0"/>
          <c:showBubbleSize val="0"/>
        </c:dLbls>
        <c:gapWidth val="219"/>
        <c:overlap val="-27"/>
        <c:axId val="482251040"/>
        <c:axId val="482250056"/>
      </c:barChart>
      <c:lineChart>
        <c:grouping val="standard"/>
        <c:varyColors val="0"/>
        <c:ser>
          <c:idx val="2"/>
          <c:order val="2"/>
          <c:tx>
            <c:strRef>
              <c:f>'Revised Proposal'!$B$23:$C$23</c:f>
              <c:strCache>
                <c:ptCount val="2"/>
                <c:pt idx="0">
                  <c:v>Average payment under applicable scheme (ie base year)</c:v>
                </c:pt>
              </c:strCache>
            </c:strRef>
          </c:tx>
          <c:spPr>
            <a:ln w="28575" cap="rnd">
              <a:solidFill>
                <a:srgbClr val="FA780A"/>
              </a:solidFill>
              <a:round/>
            </a:ln>
            <a:effectLst/>
          </c:spPr>
          <c:marker>
            <c:symbol val="none"/>
          </c:marker>
          <c:val>
            <c:numRef>
              <c:f>'Revised Proposal'!$D$23:$Q$23</c:f>
              <c:numCache>
                <c:formatCode>General</c:formatCode>
                <c:ptCount val="14"/>
                <c:pt idx="4" formatCode="#,##0.0,&quot;m&quot;;\(#,##0.0,&quot;m&quot;\)">
                  <c:v>5039.7920239021014</c:v>
                </c:pt>
                <c:pt idx="5" formatCode="#,##0.0,&quot;m&quot;;\(#,##0.0,&quot;m&quot;\)">
                  <c:v>5039.7920239021014</c:v>
                </c:pt>
                <c:pt idx="6" formatCode="#,##0.0,&quot;m&quot;;\(#,##0.0,&quot;m&quot;\)">
                  <c:v>5039.7920239021014</c:v>
                </c:pt>
                <c:pt idx="7" formatCode="#,##0.0,&quot;m&quot;;\(#,##0.0,&quot;m&quot;\)">
                  <c:v>5039.7920239021014</c:v>
                </c:pt>
                <c:pt idx="8" formatCode="#,##0.0,&quot;m&quot;;\(#,##0.0,&quot;m&quot;\)">
                  <c:v>5039.7920239021014</c:v>
                </c:pt>
                <c:pt idx="9" formatCode="#,##0.0,&quot;m&quot;;\(#,##0.0,&quot;m&quot;\)">
                  <c:v>5039.7920239021014</c:v>
                </c:pt>
                <c:pt idx="10" formatCode="#,##0.0,&quot;m&quot;;\(#,##0.0,&quot;m&quot;\)">
                  <c:v>5039.7920239021014</c:v>
                </c:pt>
                <c:pt idx="11" formatCode="#,##0.0,&quot;m&quot;;\(#,##0.0,&quot;m&quot;\)">
                  <c:v>5039.7920239021014</c:v>
                </c:pt>
                <c:pt idx="12" formatCode="#,##0.0,&quot;m&quot;;\(#,##0.0,&quot;m&quot;\)">
                  <c:v>5039.7920239021014</c:v>
                </c:pt>
                <c:pt idx="13" formatCode="#,##0.0,&quot;m&quot;;\(#,##0.0,&quot;m&quot;\)">
                  <c:v>5039.7920239021014</c:v>
                </c:pt>
              </c:numCache>
            </c:numRef>
          </c:val>
          <c:smooth val="0"/>
          <c:extLst>
            <c:ext xmlns:c16="http://schemas.microsoft.com/office/drawing/2014/chart" uri="{C3380CC4-5D6E-409C-BE32-E72D297353CC}">
              <c16:uniqueId val="{00000002-95DE-4645-9895-3920BA6F1301}"/>
            </c:ext>
          </c:extLst>
        </c:ser>
        <c:ser>
          <c:idx val="3"/>
          <c:order val="3"/>
          <c:tx>
            <c:strRef>
              <c:f>'Revised Proposal'!$B$24:$C$24</c:f>
              <c:strCache>
                <c:ptCount val="2"/>
                <c:pt idx="0">
                  <c:v>Average payment under new GSL scheme (SAPN)</c:v>
                </c:pt>
              </c:strCache>
            </c:strRef>
          </c:tx>
          <c:spPr>
            <a:ln w="28575" cap="rnd">
              <a:solidFill>
                <a:srgbClr val="FA780A"/>
              </a:solidFill>
              <a:prstDash val="sysDash"/>
              <a:round/>
            </a:ln>
            <a:effectLst/>
          </c:spPr>
          <c:marker>
            <c:symbol val="none"/>
          </c:marker>
          <c:val>
            <c:numRef>
              <c:f>'Revised Proposal'!$D$24:$Q$24</c:f>
              <c:numCache>
                <c:formatCode>General</c:formatCode>
                <c:ptCount val="14"/>
                <c:pt idx="4" formatCode="#,##0.0,&quot;m&quot;;\(#,##0.0,&quot;m&quot;\)">
                  <c:v>4670.9663611919532</c:v>
                </c:pt>
                <c:pt idx="5" formatCode="#,##0.0,&quot;m&quot;;\(#,##0.0,&quot;m&quot;\)">
                  <c:v>4670.9663611919532</c:v>
                </c:pt>
                <c:pt idx="6" formatCode="#,##0.0,&quot;m&quot;;\(#,##0.0,&quot;m&quot;\)">
                  <c:v>4670.9663611919532</c:v>
                </c:pt>
                <c:pt idx="7" formatCode="#,##0.0,&quot;m&quot;;\(#,##0.0,&quot;m&quot;\)">
                  <c:v>4670.9663611919532</c:v>
                </c:pt>
                <c:pt idx="8" formatCode="#,##0.0,&quot;m&quot;;\(#,##0.0,&quot;m&quot;\)">
                  <c:v>4670.9663611919532</c:v>
                </c:pt>
                <c:pt idx="9" formatCode="#,##0.0,&quot;m&quot;;\(#,##0.0,&quot;m&quot;\)">
                  <c:v>4670.9663611919532</c:v>
                </c:pt>
                <c:pt idx="10" formatCode="#,##0.0,&quot;m&quot;;\(#,##0.0,&quot;m&quot;\)">
                  <c:v>4670.9663611919532</c:v>
                </c:pt>
                <c:pt idx="11" formatCode="#,##0.0,&quot;m&quot;;\(#,##0.0,&quot;m&quot;\)">
                  <c:v>4670.9663611919532</c:v>
                </c:pt>
                <c:pt idx="12" formatCode="#,##0.0,&quot;m&quot;;\(#,##0.0,&quot;m&quot;\)">
                  <c:v>4670.9663611919532</c:v>
                </c:pt>
                <c:pt idx="13" formatCode="#,##0.0,&quot;m&quot;;\(#,##0.0,&quot;m&quot;\)">
                  <c:v>4670.9663611919532</c:v>
                </c:pt>
              </c:numCache>
            </c:numRef>
          </c:val>
          <c:smooth val="0"/>
          <c:extLst>
            <c:ext xmlns:c16="http://schemas.microsoft.com/office/drawing/2014/chart" uri="{C3380CC4-5D6E-409C-BE32-E72D297353CC}">
              <c16:uniqueId val="{00000003-95DE-4645-9895-3920BA6F1301}"/>
            </c:ext>
          </c:extLst>
        </c:ser>
        <c:dLbls>
          <c:showLegendKey val="0"/>
          <c:showVal val="0"/>
          <c:showCatName val="0"/>
          <c:showSerName val="0"/>
          <c:showPercent val="0"/>
          <c:showBubbleSize val="0"/>
        </c:dLbls>
        <c:marker val="1"/>
        <c:smooth val="0"/>
        <c:axId val="482251040"/>
        <c:axId val="482250056"/>
      </c:lineChart>
      <c:lineChart>
        <c:grouping val="standard"/>
        <c:varyColors val="0"/>
        <c:ser>
          <c:idx val="5"/>
          <c:order val="4"/>
          <c:tx>
            <c:strRef>
              <c:f>'Revised Proposal'!$B$10</c:f>
              <c:strCache>
                <c:ptCount val="1"/>
                <c:pt idx="0">
                  <c:v>Major Event Days (MEDs)</c:v>
                </c:pt>
              </c:strCache>
            </c:strRef>
          </c:tx>
          <c:spPr>
            <a:ln w="28575" cap="rnd">
              <a:solidFill>
                <a:srgbClr val="1F4C71">
                  <a:alpha val="40000"/>
                </a:srgbClr>
              </a:solidFill>
              <a:round/>
            </a:ln>
            <a:effectLst/>
          </c:spPr>
          <c:marker>
            <c:symbol val="none"/>
          </c:marker>
          <c:val>
            <c:numRef>
              <c:f>'Revised Proposal'!$D$10:$Q$10</c:f>
              <c:numCache>
                <c:formatCode>_-* #,##0_-;\-* #,##0_-;_-* "-"??_-;_-@_-</c:formatCode>
                <c:ptCount val="14"/>
                <c:pt idx="0">
                  <c:v>2</c:v>
                </c:pt>
                <c:pt idx="1">
                  <c:v>0</c:v>
                </c:pt>
                <c:pt idx="2">
                  <c:v>1</c:v>
                </c:pt>
                <c:pt idx="3">
                  <c:v>3</c:v>
                </c:pt>
                <c:pt idx="4">
                  <c:v>2</c:v>
                </c:pt>
                <c:pt idx="5">
                  <c:v>5</c:v>
                </c:pt>
                <c:pt idx="6">
                  <c:v>2</c:v>
                </c:pt>
                <c:pt idx="7">
                  <c:v>5</c:v>
                </c:pt>
                <c:pt idx="8">
                  <c:v>7</c:v>
                </c:pt>
                <c:pt idx="9">
                  <c:v>3</c:v>
                </c:pt>
                <c:pt idx="10">
                  <c:v>1</c:v>
                </c:pt>
                <c:pt idx="11">
                  <c:v>9</c:v>
                </c:pt>
                <c:pt idx="12">
                  <c:v>0</c:v>
                </c:pt>
                <c:pt idx="13">
                  <c:v>4</c:v>
                </c:pt>
              </c:numCache>
            </c:numRef>
          </c:val>
          <c:smooth val="0"/>
          <c:extLst>
            <c:ext xmlns:c16="http://schemas.microsoft.com/office/drawing/2014/chart" uri="{C3380CC4-5D6E-409C-BE32-E72D297353CC}">
              <c16:uniqueId val="{00000005-95DE-4645-9895-3920BA6F1301}"/>
            </c:ext>
          </c:extLst>
        </c:ser>
        <c:dLbls>
          <c:showLegendKey val="0"/>
          <c:showVal val="0"/>
          <c:showCatName val="0"/>
          <c:showSerName val="0"/>
          <c:showPercent val="0"/>
          <c:showBubbleSize val="0"/>
        </c:dLbls>
        <c:marker val="1"/>
        <c:smooth val="0"/>
        <c:axId val="528635880"/>
        <c:axId val="773343768"/>
      </c:lineChart>
      <c:catAx>
        <c:axId val="48225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250056"/>
        <c:crosses val="autoZero"/>
        <c:auto val="1"/>
        <c:lblAlgn val="ctr"/>
        <c:lblOffset val="100"/>
        <c:noMultiLvlLbl val="0"/>
      </c:catAx>
      <c:valAx>
        <c:axId val="482250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Total GSL Payments ($June 2020)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quot;m&quot;;\(#,##0.0,&quot;m&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251040"/>
        <c:crosses val="autoZero"/>
        <c:crossBetween val="between"/>
      </c:valAx>
      <c:valAx>
        <c:axId val="77334376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Number of Major Event Days (MEDs)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8635880"/>
        <c:crosses val="max"/>
        <c:crossBetween val="between"/>
      </c:valAx>
      <c:catAx>
        <c:axId val="528635880"/>
        <c:scaling>
          <c:orientation val="minMax"/>
        </c:scaling>
        <c:delete val="1"/>
        <c:axPos val="b"/>
        <c:majorTickMark val="out"/>
        <c:minorTickMark val="none"/>
        <c:tickLblPos val="nextTo"/>
        <c:crossAx val="7733437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'Revised Proposal'!$B$8:$C$8</c:f>
              <c:strCache>
                <c:ptCount val="2"/>
                <c:pt idx="0">
                  <c:v>Actual GSL Payments </c:v>
                </c:pt>
                <c:pt idx="1">
                  <c:v>$June 2020</c:v>
                </c:pt>
              </c:strCache>
            </c:strRef>
          </c:tx>
          <c:spPr>
            <a:solidFill>
              <a:srgbClr val="525252"/>
            </a:solidFill>
            <a:ln>
              <a:solidFill>
                <a:srgbClr val="525252"/>
              </a:solidFill>
            </a:ln>
            <a:effectLst/>
          </c:spPr>
          <c:invertIfNegative val="0"/>
          <c:cat>
            <c:strRef>
              <c:f>'Revised Proposal'!$D$3:$Q$3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'Revised Proposal'!$D$8:$Q$8</c:f>
              <c:numCache>
                <c:formatCode>#,##0.0,"m";\(#,##0.0,"m"\)</c:formatCode>
                <c:ptCount val="14"/>
                <c:pt idx="0">
                  <c:v>2840.8822579849575</c:v>
                </c:pt>
                <c:pt idx="1">
                  <c:v>671.52227473682319</c:v>
                </c:pt>
                <c:pt idx="2">
                  <c:v>1124.1854045937098</c:v>
                </c:pt>
                <c:pt idx="3">
                  <c:v>693.05793975921904</c:v>
                </c:pt>
                <c:pt idx="4">
                  <c:v>1614.766172536665</c:v>
                </c:pt>
                <c:pt idx="5">
                  <c:v>8528.6184226432288</c:v>
                </c:pt>
                <c:pt idx="6">
                  <c:v>3506.9878943044355</c:v>
                </c:pt>
                <c:pt idx="7">
                  <c:v>5507.4343981797811</c:v>
                </c:pt>
                <c:pt idx="8">
                  <c:v>11207.599655459631</c:v>
                </c:pt>
                <c:pt idx="9">
                  <c:v>4071.2696468767704</c:v>
                </c:pt>
                <c:pt idx="10">
                  <c:v>3660.6115252325585</c:v>
                </c:pt>
                <c:pt idx="11">
                  <c:v>27276.728905986631</c:v>
                </c:pt>
                <c:pt idx="12">
                  <c:v>1958.1054045189701</c:v>
                </c:pt>
                <c:pt idx="13">
                  <c:v>5039.7920239021014</c:v>
                </c:pt>
              </c:numCache>
            </c:numRef>
          </c:val>
          <c:extLst>
            <c:ext xmlns:c16="http://schemas.microsoft.com/office/drawing/2014/chart" uri="{C3380CC4-5D6E-409C-BE32-E72D297353CC}">
              <c16:uniqueId val="{00000000-8428-4918-821B-E61F8C8DDC4C}"/>
            </c:ext>
          </c:extLst>
        </c:ser>
        <c:ser>
          <c:idx val="1"/>
          <c:order val="1"/>
          <c:tx>
            <c:strRef>
              <c:f>'Revised Proposal'!$B$20:$C$20</c:f>
              <c:strCache>
                <c:ptCount val="2"/>
                <c:pt idx="0">
                  <c:v>GSL Payments New Scheme (customer Adjusted)</c:v>
                </c:pt>
                <c:pt idx="1">
                  <c:v>$June 2020</c:v>
                </c:pt>
              </c:strCache>
            </c:strRef>
          </c:tx>
          <c:spPr>
            <a:solidFill>
              <a:srgbClr val="289696"/>
            </a:solidFill>
            <a:ln>
              <a:noFill/>
            </a:ln>
            <a:effectLst/>
          </c:spPr>
          <c:invertIfNegative val="0"/>
          <c:cat>
            <c:strRef>
              <c:f>'Revised Proposal'!$D$3:$Q$3</c:f>
              <c:strCache>
                <c:ptCount val="14"/>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strCache>
            </c:strRef>
          </c:cat>
          <c:val>
            <c:numRef>
              <c:f>'Revised Proposal'!$D$20:$Q$20</c:f>
              <c:numCache>
                <c:formatCode>General</c:formatCode>
                <c:ptCount val="14"/>
                <c:pt idx="4" formatCode="#,##0.0,&quot;m&quot;;\(#,##0.0,&quot;m&quot;\)">
                  <c:v>2560.2114507581446</c:v>
                </c:pt>
                <c:pt idx="5" formatCode="#,##0.0,&quot;m&quot;;\(#,##0.0,&quot;m&quot;\)">
                  <c:v>6384.1242061526691</c:v>
                </c:pt>
                <c:pt idx="6" formatCode="#,##0.0,&quot;m&quot;;\(#,##0.0,&quot;m&quot;\)">
                  <c:v>2186.639484446554</c:v>
                </c:pt>
                <c:pt idx="7" formatCode="#,##0.0,&quot;m&quot;;\(#,##0.0,&quot;m&quot;\)">
                  <c:v>2857.7508142227539</c:v>
                </c:pt>
                <c:pt idx="8" formatCode="#,##0.0,&quot;m&quot;;\(#,##0.0,&quot;m&quot;\)">
                  <c:v>6622.3876527020893</c:v>
                </c:pt>
                <c:pt idx="9" formatCode="#,##0.0,&quot;m&quot;;\(#,##0.0,&quot;m&quot;\)">
                  <c:v>2434.9701851665163</c:v>
                </c:pt>
                <c:pt idx="10" formatCode="#,##0.0,&quot;m&quot;;\(#,##0.0,&quot;m&quot;\)">
                  <c:v>1872.6878104653013</c:v>
                </c:pt>
                <c:pt idx="11" formatCode="#,##0.0,&quot;m&quot;;\(#,##0.0,&quot;m&quot;\)">
                  <c:v>17316.455490004399</c:v>
                </c:pt>
                <c:pt idx="12" formatCode="#,##0.0,&quot;m&quot;;\(#,##0.0,&quot;m&quot;\)">
                  <c:v>1356.8179128355159</c:v>
                </c:pt>
                <c:pt idx="13" formatCode="#,##0.0,&quot;m&quot;;\(#,##0.0,&quot;m&quot;\)">
                  <c:v>3117.6186051655864</c:v>
                </c:pt>
              </c:numCache>
            </c:numRef>
          </c:val>
          <c:extLst>
            <c:ext xmlns:c16="http://schemas.microsoft.com/office/drawing/2014/chart" uri="{C3380CC4-5D6E-409C-BE32-E72D297353CC}">
              <c16:uniqueId val="{00000001-8428-4918-821B-E61F8C8DDC4C}"/>
            </c:ext>
          </c:extLst>
        </c:ser>
        <c:dLbls>
          <c:showLegendKey val="0"/>
          <c:showVal val="0"/>
          <c:showCatName val="0"/>
          <c:showSerName val="0"/>
          <c:showPercent val="0"/>
          <c:showBubbleSize val="0"/>
        </c:dLbls>
        <c:gapWidth val="219"/>
        <c:overlap val="-27"/>
        <c:axId val="482251040"/>
        <c:axId val="482250056"/>
      </c:barChart>
      <c:lineChart>
        <c:grouping val="standard"/>
        <c:varyColors val="0"/>
        <c:ser>
          <c:idx val="2"/>
          <c:order val="2"/>
          <c:tx>
            <c:strRef>
              <c:f>'Revised Proposal'!$B$23:$C$23</c:f>
              <c:strCache>
                <c:ptCount val="2"/>
                <c:pt idx="0">
                  <c:v>Average payment under applicable scheme (ie base year)</c:v>
                </c:pt>
              </c:strCache>
            </c:strRef>
          </c:tx>
          <c:spPr>
            <a:ln w="28575" cap="rnd">
              <a:solidFill>
                <a:srgbClr val="FA780A"/>
              </a:solidFill>
              <a:round/>
            </a:ln>
            <a:effectLst/>
          </c:spPr>
          <c:marker>
            <c:symbol val="none"/>
          </c:marker>
          <c:val>
            <c:numRef>
              <c:f>'Revised Proposal'!$D$23:$Q$23</c:f>
              <c:numCache>
                <c:formatCode>General</c:formatCode>
                <c:ptCount val="14"/>
                <c:pt idx="4" formatCode="#,##0.0,&quot;m&quot;;\(#,##0.0,&quot;m&quot;\)">
                  <c:v>5039.7920239021014</c:v>
                </c:pt>
                <c:pt idx="5" formatCode="#,##0.0,&quot;m&quot;;\(#,##0.0,&quot;m&quot;\)">
                  <c:v>5039.7920239021014</c:v>
                </c:pt>
                <c:pt idx="6" formatCode="#,##0.0,&quot;m&quot;;\(#,##0.0,&quot;m&quot;\)">
                  <c:v>5039.7920239021014</c:v>
                </c:pt>
                <c:pt idx="7" formatCode="#,##0.0,&quot;m&quot;;\(#,##0.0,&quot;m&quot;\)">
                  <c:v>5039.7920239021014</c:v>
                </c:pt>
                <c:pt idx="8" formatCode="#,##0.0,&quot;m&quot;;\(#,##0.0,&quot;m&quot;\)">
                  <c:v>5039.7920239021014</c:v>
                </c:pt>
                <c:pt idx="9" formatCode="#,##0.0,&quot;m&quot;;\(#,##0.0,&quot;m&quot;\)">
                  <c:v>5039.7920239021014</c:v>
                </c:pt>
                <c:pt idx="10" formatCode="#,##0.0,&quot;m&quot;;\(#,##0.0,&quot;m&quot;\)">
                  <c:v>5039.7920239021014</c:v>
                </c:pt>
                <c:pt idx="11" formatCode="#,##0.0,&quot;m&quot;;\(#,##0.0,&quot;m&quot;\)">
                  <c:v>5039.7920239021014</c:v>
                </c:pt>
                <c:pt idx="12" formatCode="#,##0.0,&quot;m&quot;;\(#,##0.0,&quot;m&quot;\)">
                  <c:v>5039.7920239021014</c:v>
                </c:pt>
                <c:pt idx="13" formatCode="#,##0.0,&quot;m&quot;;\(#,##0.0,&quot;m&quot;\)">
                  <c:v>5039.7920239021014</c:v>
                </c:pt>
              </c:numCache>
            </c:numRef>
          </c:val>
          <c:smooth val="0"/>
          <c:extLst>
            <c:ext xmlns:c16="http://schemas.microsoft.com/office/drawing/2014/chart" uri="{C3380CC4-5D6E-409C-BE32-E72D297353CC}">
              <c16:uniqueId val="{00000002-8428-4918-821B-E61F8C8DDC4C}"/>
            </c:ext>
          </c:extLst>
        </c:ser>
        <c:ser>
          <c:idx val="3"/>
          <c:order val="3"/>
          <c:tx>
            <c:strRef>
              <c:f>'Revised Proposal'!$B$24:$C$24</c:f>
              <c:strCache>
                <c:ptCount val="2"/>
                <c:pt idx="0">
                  <c:v>Average payment under new GSL scheme (SAPN)</c:v>
                </c:pt>
              </c:strCache>
            </c:strRef>
          </c:tx>
          <c:spPr>
            <a:ln w="28575" cap="rnd">
              <a:solidFill>
                <a:srgbClr val="FA780A"/>
              </a:solidFill>
              <a:prstDash val="sysDash"/>
              <a:round/>
            </a:ln>
            <a:effectLst/>
          </c:spPr>
          <c:marker>
            <c:symbol val="none"/>
          </c:marker>
          <c:val>
            <c:numRef>
              <c:f>'Revised Proposal'!$D$24:$Q$24</c:f>
              <c:numCache>
                <c:formatCode>General</c:formatCode>
                <c:ptCount val="14"/>
                <c:pt idx="4" formatCode="#,##0.0,&quot;m&quot;;\(#,##0.0,&quot;m&quot;\)">
                  <c:v>4670.9663611919532</c:v>
                </c:pt>
                <c:pt idx="5" formatCode="#,##0.0,&quot;m&quot;;\(#,##0.0,&quot;m&quot;\)">
                  <c:v>4670.9663611919532</c:v>
                </c:pt>
                <c:pt idx="6" formatCode="#,##0.0,&quot;m&quot;;\(#,##0.0,&quot;m&quot;\)">
                  <c:v>4670.9663611919532</c:v>
                </c:pt>
                <c:pt idx="7" formatCode="#,##0.0,&quot;m&quot;;\(#,##0.0,&quot;m&quot;\)">
                  <c:v>4670.9663611919532</c:v>
                </c:pt>
                <c:pt idx="8" formatCode="#,##0.0,&quot;m&quot;;\(#,##0.0,&quot;m&quot;\)">
                  <c:v>4670.9663611919532</c:v>
                </c:pt>
                <c:pt idx="9" formatCode="#,##0.0,&quot;m&quot;;\(#,##0.0,&quot;m&quot;\)">
                  <c:v>4670.9663611919532</c:v>
                </c:pt>
                <c:pt idx="10" formatCode="#,##0.0,&quot;m&quot;;\(#,##0.0,&quot;m&quot;\)">
                  <c:v>4670.9663611919532</c:v>
                </c:pt>
                <c:pt idx="11" formatCode="#,##0.0,&quot;m&quot;;\(#,##0.0,&quot;m&quot;\)">
                  <c:v>4670.9663611919532</c:v>
                </c:pt>
                <c:pt idx="12" formatCode="#,##0.0,&quot;m&quot;;\(#,##0.0,&quot;m&quot;\)">
                  <c:v>4670.9663611919532</c:v>
                </c:pt>
                <c:pt idx="13" formatCode="#,##0.0,&quot;m&quot;;\(#,##0.0,&quot;m&quot;\)">
                  <c:v>4670.9663611919532</c:v>
                </c:pt>
              </c:numCache>
            </c:numRef>
          </c:val>
          <c:smooth val="0"/>
          <c:extLst>
            <c:ext xmlns:c16="http://schemas.microsoft.com/office/drawing/2014/chart" uri="{C3380CC4-5D6E-409C-BE32-E72D297353CC}">
              <c16:uniqueId val="{00000003-8428-4918-821B-E61F8C8DDC4C}"/>
            </c:ext>
          </c:extLst>
        </c:ser>
        <c:dLbls>
          <c:showLegendKey val="0"/>
          <c:showVal val="0"/>
          <c:showCatName val="0"/>
          <c:showSerName val="0"/>
          <c:showPercent val="0"/>
          <c:showBubbleSize val="0"/>
        </c:dLbls>
        <c:marker val="1"/>
        <c:smooth val="0"/>
        <c:axId val="482251040"/>
        <c:axId val="482250056"/>
      </c:lineChart>
      <c:lineChart>
        <c:grouping val="standard"/>
        <c:varyColors val="0"/>
        <c:ser>
          <c:idx val="5"/>
          <c:order val="4"/>
          <c:tx>
            <c:strRef>
              <c:f>'Revised Proposal'!$B$11</c:f>
              <c:strCache>
                <c:ptCount val="1"/>
                <c:pt idx="0">
                  <c:v>USAIDI (MEDs Only)</c:v>
                </c:pt>
              </c:strCache>
            </c:strRef>
          </c:tx>
          <c:spPr>
            <a:ln w="28575" cap="rnd">
              <a:solidFill>
                <a:schemeClr val="accent6"/>
              </a:solidFill>
              <a:round/>
            </a:ln>
            <a:effectLst/>
          </c:spPr>
          <c:marker>
            <c:symbol val="none"/>
          </c:marker>
          <c:val>
            <c:numRef>
              <c:f>'Revised Proposal'!$D$11:$Q$11</c:f>
              <c:numCache>
                <c:formatCode>General</c:formatCode>
                <c:ptCount val="14"/>
                <c:pt idx="0">
                  <c:v>15.6</c:v>
                </c:pt>
                <c:pt idx="1">
                  <c:v>0</c:v>
                </c:pt>
                <c:pt idx="2">
                  <c:v>6.7</c:v>
                </c:pt>
                <c:pt idx="3">
                  <c:v>27.5</c:v>
                </c:pt>
                <c:pt idx="4">
                  <c:v>18.8</c:v>
                </c:pt>
                <c:pt idx="5">
                  <c:v>138.5</c:v>
                </c:pt>
                <c:pt idx="6">
                  <c:v>23</c:v>
                </c:pt>
                <c:pt idx="7">
                  <c:v>57.9</c:v>
                </c:pt>
                <c:pt idx="8">
                  <c:v>113.4</c:v>
                </c:pt>
                <c:pt idx="9">
                  <c:v>28.2</c:v>
                </c:pt>
                <c:pt idx="10">
                  <c:v>8.6999999999999993</c:v>
                </c:pt>
                <c:pt idx="11">
                  <c:v>329.4</c:v>
                </c:pt>
                <c:pt idx="12">
                  <c:v>0</c:v>
                </c:pt>
                <c:pt idx="13">
                  <c:v>49.6</c:v>
                </c:pt>
              </c:numCache>
            </c:numRef>
          </c:val>
          <c:smooth val="0"/>
          <c:extLst>
            <c:ext xmlns:c16="http://schemas.microsoft.com/office/drawing/2014/chart" uri="{C3380CC4-5D6E-409C-BE32-E72D297353CC}">
              <c16:uniqueId val="{00000004-8428-4918-821B-E61F8C8DDC4C}"/>
            </c:ext>
          </c:extLst>
        </c:ser>
        <c:dLbls>
          <c:showLegendKey val="0"/>
          <c:showVal val="0"/>
          <c:showCatName val="0"/>
          <c:showSerName val="0"/>
          <c:showPercent val="0"/>
          <c:showBubbleSize val="0"/>
        </c:dLbls>
        <c:marker val="1"/>
        <c:smooth val="0"/>
        <c:axId val="528635880"/>
        <c:axId val="773343768"/>
      </c:lineChart>
      <c:catAx>
        <c:axId val="48225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250056"/>
        <c:crosses val="autoZero"/>
        <c:auto val="1"/>
        <c:lblAlgn val="ctr"/>
        <c:lblOffset val="100"/>
        <c:noMultiLvlLbl val="0"/>
      </c:catAx>
      <c:valAx>
        <c:axId val="482250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Total GSL Payments ($June 2020)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quot;m&quot;;\(#,##0.0,&quot;m&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251040"/>
        <c:crosses val="autoZero"/>
        <c:crossBetween val="between"/>
      </c:valAx>
      <c:valAx>
        <c:axId val="77334376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MED USAIDI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8635880"/>
        <c:crosses val="max"/>
        <c:crossBetween val="between"/>
      </c:valAx>
      <c:catAx>
        <c:axId val="528635880"/>
        <c:scaling>
          <c:orientation val="minMax"/>
        </c:scaling>
        <c:delete val="1"/>
        <c:axPos val="b"/>
        <c:majorTickMark val="out"/>
        <c:minorTickMark val="none"/>
        <c:tickLblPos val="nextTo"/>
        <c:crossAx val="7733437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285749</xdr:colOff>
      <xdr:row>26</xdr:row>
      <xdr:rowOff>115359</xdr:rowOff>
    </xdr:from>
    <xdr:to>
      <xdr:col>12</xdr:col>
      <xdr:colOff>391583</xdr:colOff>
      <xdr:row>55</xdr:row>
      <xdr:rowOff>42333</xdr:rowOff>
    </xdr:to>
    <xdr:graphicFrame macro="">
      <xdr:nvGraphicFramePr>
        <xdr:cNvPr id="2" name="Chart 1">
          <a:extLst>
            <a:ext uri="{FF2B5EF4-FFF2-40B4-BE49-F238E27FC236}">
              <a16:creationId xmlns:a16="http://schemas.microsoft.com/office/drawing/2014/main" id="{F404A3E0-DC4F-4D1E-A58C-AC63D70FC8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264583</xdr:colOff>
      <xdr:row>56</xdr:row>
      <xdr:rowOff>10583</xdr:rowOff>
    </xdr:from>
    <xdr:to>
      <xdr:col>12</xdr:col>
      <xdr:colOff>412750</xdr:colOff>
      <xdr:row>83</xdr:row>
      <xdr:rowOff>21166</xdr:rowOff>
    </xdr:to>
    <xdr:graphicFrame macro="">
      <xdr:nvGraphicFramePr>
        <xdr:cNvPr id="3" name="Chart 2">
          <a:extLst>
            <a:ext uri="{FF2B5EF4-FFF2-40B4-BE49-F238E27FC236}">
              <a16:creationId xmlns:a16="http://schemas.microsoft.com/office/drawing/2014/main" id="{50C5836C-8BE6-478C-AA95-6E380A4CE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rpAffairs\RegulatoryFinance\04%20-%20Finance\03-Reports%20&amp;%20Projects\ImpairmentModel\2013.12\Impairment%20model-2013%20Plan%20-%20update%2031%20Dec13%20-%20Ver%20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rpAffairs\2015PriceReset\10%20Modelling\02-Modelling%20Scenarios\2014.05\Ver%2011.2b\RAS-V2014-11.2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tilities.etsa.net.au\Citrix\CorpStrategy\_RegNew\01_Reset%202020-25\12_Modelling\02-Scenarios\2017.06%20Plan%20Drafts\Opex%20SEM%20V3\4\01_SEM%20OPEX%20Model%202020-25%20v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rpAffairs\2015PriceReset\05%20Expenditure\Templates\Models\SEM\Attachment%20E.1%20SEM-Capex%20Model%20Ver7.2-Read%20Onl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RegulatoryFinance\04%20-%20Finance\02-Scenario%20Model\Scenarios%202007.03\3\RAB%20Roll%20Forward%20Model-Docu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Summary"/>
      <sheetName val="Inputs"/>
      <sheetName val="Section1-Valuation Scenarios"/>
      <sheetName val="Audit Committee DO NOT USE"/>
      <sheetName val="Audit Committee-DC"/>
      <sheetName val="Summary of Results DO NOT USE"/>
      <sheetName val="0 - Deloitte Model"/>
      <sheetName val="1 - Add Contributions"/>
      <sheetName val="2 - Growth Capex"/>
      <sheetName val="3 - No Growth (Maintain RAB)"/>
      <sheetName val="4 - Growth"/>
      <sheetName val="5-RAB Multiple"/>
      <sheetName val="6-EBITDA Multiple"/>
      <sheetName val="Section2-Plan Data"/>
      <sheetName val="W9-Interest"/>
      <sheetName val="R1-BS"/>
      <sheetName val="R2- P&amp;L"/>
      <sheetName val="R3-CF"/>
      <sheetName val="Section3-No-Growth Plan"/>
      <sheetName val="R2- P&amp;L-NG"/>
      <sheetName val="R3-NG"/>
      <sheetName val="W9-Interest-NG"/>
      <sheetName val="3 - No Growth (Maintain RAB)-x"/>
      <sheetName val="CKI Spark No. 2"/>
    </sheetNames>
    <sheetDataSet>
      <sheetData sheetId="0">
        <row r="41">
          <cell r="D41" t="str">
            <v>Finance - Impairment Test Model</v>
          </cell>
        </row>
        <row r="46">
          <cell r="D46" t="str">
            <v>Dec 2013 Update with 2014 Budget/Plan</v>
          </cell>
        </row>
        <row r="48">
          <cell r="D48" t="str">
            <v>2014.01</v>
          </cell>
        </row>
      </sheetData>
      <sheetData sheetId="1"/>
      <sheetData sheetId="2">
        <row r="5">
          <cell r="F5" t="str">
            <v xml:space="preserve">Workings For: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G1"/>
      <sheetName val="1-C"/>
      <sheetName val="1.0"/>
      <sheetName val="1.1"/>
      <sheetName val="1.2"/>
      <sheetName val="1.3"/>
      <sheetName val="1.4"/>
      <sheetName val="1.5a"/>
      <sheetName val="1.5b"/>
      <sheetName val="1.5c"/>
      <sheetName val="1.6"/>
      <sheetName val="2.0"/>
      <sheetName val="2.1"/>
      <sheetName val="2.2"/>
      <sheetName val="2.3"/>
      <sheetName val="2.4"/>
      <sheetName val="2.5"/>
      <sheetName val="Summary (2)"/>
      <sheetName val="Summary (3)"/>
      <sheetName val="Summary-Dist (2)"/>
      <sheetName val="4.5-Dist"/>
      <sheetName val="4.6 Spend"/>
      <sheetName val="3.0"/>
      <sheetName val="3.1"/>
      <sheetName val="3.2"/>
      <sheetName val="4.3a"/>
      <sheetName val="3.3"/>
      <sheetName val="3.4"/>
      <sheetName val="4-0"/>
      <sheetName val="4.1"/>
      <sheetName val="4.2"/>
      <sheetName val="4.3"/>
      <sheetName val="4W"/>
      <sheetName val="4W1"/>
      <sheetName val="4W1-SCS"/>
      <sheetName val="4W1-ACS"/>
      <sheetName val="4W2"/>
      <sheetName val="4W3"/>
      <sheetName val="4W4"/>
      <sheetName val="4W-Archive"/>
      <sheetName val="4W5"/>
      <sheetName val="Appendices"/>
      <sheetName val="A1"/>
      <sheetName val="A1.1"/>
      <sheetName val="A1.2"/>
      <sheetName val="A1.3"/>
      <sheetName val="A1.4"/>
      <sheetName val="RS11"/>
      <sheetName val="A2"/>
      <sheetName val="A2.1 EEV"/>
      <sheetName val="A2.2 Growth"/>
      <sheetName val="A2.2 Growth-2023"/>
      <sheetName val="A2.2 Growth-2030"/>
      <sheetName val="A2.3"/>
      <sheetName val="A3"/>
      <sheetName val="A3.1"/>
      <sheetName val="A3.2"/>
      <sheetName val="A3.3"/>
      <sheetName val="A3.4"/>
      <sheetName val="A4"/>
      <sheetName val="A4.1C"/>
      <sheetName val="A4.2"/>
      <sheetName val="A4.3"/>
      <sheetName val="A4.4 SCS"/>
      <sheetName val="A4.4 ACS"/>
      <sheetName val="A4.4 T"/>
      <sheetName val="A4.5"/>
      <sheetName val="A4.6"/>
      <sheetName val="A4.7"/>
      <sheetName val="A4.8"/>
      <sheetName val="A4.9"/>
      <sheetName val="A4.10"/>
      <sheetName val="A4.11"/>
      <sheetName val="DataImport"/>
      <sheetName val="Imp-1"/>
      <sheetName val="Imp-2"/>
      <sheetName val="Imp-3"/>
      <sheetName val="Imp-3-SCS"/>
      <sheetName val="Imp-3-ACS"/>
      <sheetName val="DataExport"/>
      <sheetName val="Ex-1"/>
      <sheetName val="Ex-2"/>
      <sheetName val="Documentation"/>
      <sheetName val="HelpText"/>
      <sheetName val="Ref"/>
      <sheetName val="Ck1"/>
      <sheetName val="L1"/>
      <sheetName val="L2"/>
      <sheetName val="1.5 (2)"/>
    </sheetNames>
    <sheetDataSet>
      <sheetData sheetId="0">
        <row r="41">
          <cell r="D41" t="str">
            <v>Regulatory Analysis and Scenarios Model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3">
          <cell r="C13">
            <v>1</v>
          </cell>
        </row>
        <row r="14">
          <cell r="C14">
            <v>2</v>
          </cell>
        </row>
        <row r="15">
          <cell r="C15">
            <v>3</v>
          </cell>
        </row>
        <row r="16">
          <cell r="C16">
            <v>4</v>
          </cell>
        </row>
        <row r="17">
          <cell r="C17">
            <v>5</v>
          </cell>
        </row>
        <row r="18">
          <cell r="C18">
            <v>6</v>
          </cell>
        </row>
      </sheetData>
      <sheetData sheetId="33">
        <row r="9">
          <cell r="C9">
            <v>1</v>
          </cell>
          <cell r="D9" t="str">
            <v xml:space="preserve">2014 "Owners Plan" </v>
          </cell>
        </row>
        <row r="10">
          <cell r="C10">
            <v>2</v>
          </cell>
          <cell r="D10" t="str">
            <v>2014 "Owners Plan" updated with 2014 debt refinancing</v>
          </cell>
        </row>
        <row r="11">
          <cell r="C11">
            <v>3</v>
          </cell>
          <cell r="D11" t="str">
            <v>Case 2 updated with RBA Rates forecast</v>
          </cell>
        </row>
        <row r="12">
          <cell r="C12">
            <v>4</v>
          </cell>
          <cell r="D12" t="str">
            <v>Case 2 updated with Bloomberg Rates forecast</v>
          </cell>
        </row>
        <row r="13">
          <cell r="C13">
            <v>5</v>
          </cell>
          <cell r="D13" t="str">
            <v>Case 3 updated with Transitional Benefit</v>
          </cell>
        </row>
        <row r="14">
          <cell r="C14">
            <v>6</v>
          </cell>
          <cell r="D14" t="str">
            <v>Case 3 updated with Transitional Benefit</v>
          </cell>
        </row>
        <row r="15">
          <cell r="C15">
            <v>7</v>
          </cell>
          <cell r="D15" t="str">
            <v>Case 2 updated with 4.23% RfR (Proposal Margin)</v>
          </cell>
        </row>
        <row r="16">
          <cell r="C16">
            <v>8</v>
          </cell>
        </row>
        <row r="17">
          <cell r="C17">
            <v>9</v>
          </cell>
        </row>
        <row r="18">
          <cell r="C18">
            <v>10</v>
          </cell>
        </row>
        <row r="19">
          <cell r="C19">
            <v>11</v>
          </cell>
        </row>
        <row r="20">
          <cell r="C20">
            <v>12</v>
          </cell>
        </row>
        <row r="21">
          <cell r="C21">
            <v>13</v>
          </cell>
        </row>
        <row r="22">
          <cell r="C22">
            <v>14</v>
          </cell>
        </row>
        <row r="23">
          <cell r="C23">
            <v>15</v>
          </cell>
        </row>
        <row r="24">
          <cell r="C24">
            <v>16</v>
          </cell>
        </row>
        <row r="25">
          <cell r="C25">
            <v>17</v>
          </cell>
        </row>
        <row r="26">
          <cell r="C26">
            <v>18</v>
          </cell>
        </row>
        <row r="27">
          <cell r="C27">
            <v>19</v>
          </cell>
        </row>
        <row r="28">
          <cell r="C28">
            <v>20</v>
          </cell>
        </row>
      </sheetData>
      <sheetData sheetId="34"/>
      <sheetData sheetId="35"/>
      <sheetData sheetId="36"/>
      <sheetData sheetId="37"/>
      <sheetData sheetId="38"/>
      <sheetData sheetId="39">
        <row r="31">
          <cell r="B31">
            <v>1</v>
          </cell>
          <cell r="C31" t="str">
            <v xml:space="preserve">2014 "Owners Plan" </v>
          </cell>
          <cell r="I31">
            <v>717.20110577000003</v>
          </cell>
          <cell r="J31">
            <v>807.6857415100003</v>
          </cell>
          <cell r="K31">
            <v>820.4619674600001</v>
          </cell>
          <cell r="L31">
            <v>846.92909700000018</v>
          </cell>
          <cell r="M31">
            <v>826.04073761405357</v>
          </cell>
          <cell r="N31">
            <v>814.22071663021939</v>
          </cell>
          <cell r="O31">
            <v>851.25067464494236</v>
          </cell>
          <cell r="P31">
            <v>889.07028529153126</v>
          </cell>
          <cell r="Q31">
            <v>928.24996804812019</v>
          </cell>
          <cell r="R31">
            <v>986.3089597835185</v>
          </cell>
          <cell r="S31">
            <v>1047.247873375333</v>
          </cell>
          <cell r="T31">
            <v>1096.3811510754813</v>
          </cell>
          <cell r="U31">
            <v>1154.2219091116945</v>
          </cell>
          <cell r="V31">
            <v>1215.0613358892654</v>
          </cell>
          <cell r="W31">
            <v>1240.9323900150966</v>
          </cell>
          <cell r="X31">
            <v>1269.3875255880043</v>
          </cell>
          <cell r="Y31">
            <v>1333.687588593401</v>
          </cell>
          <cell r="Z31">
            <v>1401.5326766722467</v>
          </cell>
          <cell r="AA31">
            <v>1475.5274535148146</v>
          </cell>
          <cell r="AB31">
            <v>1532.2620096949736</v>
          </cell>
        </row>
        <row r="32">
          <cell r="B32">
            <v>2</v>
          </cell>
          <cell r="C32" t="str">
            <v>2014 "Owners Plan" updated with 2014 debt refinancing</v>
          </cell>
          <cell r="I32">
            <v>717.20110577000003</v>
          </cell>
          <cell r="J32">
            <v>807.6857415100003</v>
          </cell>
          <cell r="K32">
            <v>820.4619674600001</v>
          </cell>
          <cell r="L32">
            <v>846.92909700000018</v>
          </cell>
          <cell r="M32">
            <v>826.04073761405311</v>
          </cell>
          <cell r="N32">
            <v>814.2207166302187</v>
          </cell>
          <cell r="O32">
            <v>851.25067464494191</v>
          </cell>
          <cell r="P32">
            <v>889.07028529153058</v>
          </cell>
          <cell r="Q32">
            <v>928.24996804811929</v>
          </cell>
          <cell r="R32">
            <v>986.30895978351805</v>
          </cell>
          <cell r="S32">
            <v>1047.247873375333</v>
          </cell>
          <cell r="T32">
            <v>1096.3811510754808</v>
          </cell>
          <cell r="U32">
            <v>1154.221909111694</v>
          </cell>
          <cell r="V32">
            <v>1215.0613358892649</v>
          </cell>
          <cell r="W32">
            <v>1240.9323900150966</v>
          </cell>
          <cell r="X32">
            <v>1269.3875255880046</v>
          </cell>
          <cell r="Y32">
            <v>1333.6875885934014</v>
          </cell>
          <cell r="Z32">
            <v>1401.5326766722469</v>
          </cell>
          <cell r="AA32">
            <v>1475.5274535148151</v>
          </cell>
          <cell r="AB32">
            <v>1532.262009694974</v>
          </cell>
        </row>
        <row r="33">
          <cell r="B33">
            <v>3</v>
          </cell>
          <cell r="C33" t="str">
            <v>Case 2 updated with RBA Rates forecast</v>
          </cell>
          <cell r="I33">
            <v>717.20110577000003</v>
          </cell>
          <cell r="J33">
            <v>807.6857415100003</v>
          </cell>
          <cell r="K33">
            <v>820.4619674600001</v>
          </cell>
          <cell r="L33">
            <v>846.92909700000018</v>
          </cell>
          <cell r="M33">
            <v>821.67610157468312</v>
          </cell>
          <cell r="N33">
            <v>805.42767916869002</v>
          </cell>
          <cell r="O33">
            <v>842.05216263869556</v>
          </cell>
          <cell r="P33">
            <v>879.44746618970839</v>
          </cell>
          <cell r="Q33">
            <v>918.18312514527327</v>
          </cell>
          <cell r="R33">
            <v>975.7223687768867</v>
          </cell>
          <cell r="S33">
            <v>1036.094566638046</v>
          </cell>
          <cell r="T33">
            <v>1084.6632081846187</v>
          </cell>
          <cell r="U33">
            <v>1141.9107453619822</v>
          </cell>
          <cell r="V33">
            <v>1202.126919474724</v>
          </cell>
          <cell r="W33">
            <v>1227.7416126623539</v>
          </cell>
          <cell r="X33">
            <v>1255.9148596106168</v>
          </cell>
          <cell r="Y33">
            <v>1319.5328689009084</v>
          </cell>
          <cell r="Z33">
            <v>1386.661374295322</v>
          </cell>
          <cell r="AA33">
            <v>1459.9032914550585</v>
          </cell>
          <cell r="AB33">
            <v>1516.3279225309188</v>
          </cell>
        </row>
        <row r="34">
          <cell r="B34">
            <v>4</v>
          </cell>
          <cell r="C34" t="str">
            <v>Case 2 updated with Bloomberg Rates forecast</v>
          </cell>
          <cell r="I34">
            <v>717.20110577000003</v>
          </cell>
          <cell r="J34">
            <v>807.6857415100003</v>
          </cell>
          <cell r="K34">
            <v>820.4619674600001</v>
          </cell>
          <cell r="L34">
            <v>846.92909700000018</v>
          </cell>
          <cell r="M34">
            <v>813.33352837645089</v>
          </cell>
          <cell r="N34">
            <v>788.62065094569039</v>
          </cell>
          <cell r="O34">
            <v>824.4701084742685</v>
          </cell>
          <cell r="P34">
            <v>861.05438937808253</v>
          </cell>
          <cell r="Q34">
            <v>898.94133899413021</v>
          </cell>
          <cell r="R34">
            <v>955.49358520770943</v>
          </cell>
          <cell r="S34">
            <v>1014.7891356546781</v>
          </cell>
          <cell r="T34">
            <v>1062.2791897577176</v>
          </cell>
          <cell r="U34">
            <v>1118.3935360022192</v>
          </cell>
          <cell r="V34">
            <v>1177.4191513911233</v>
          </cell>
          <cell r="W34">
            <v>1202.5530667029448</v>
          </cell>
          <cell r="X34">
            <v>1230.1969427613146</v>
          </cell>
          <cell r="Y34">
            <v>1292.5129825111103</v>
          </cell>
          <cell r="Z34">
            <v>1358.2736061570401</v>
          </cell>
          <cell r="AA34">
            <v>1430.0783925547762</v>
          </cell>
          <cell r="AB34">
            <v>1485.9222134809102</v>
          </cell>
        </row>
        <row r="35">
          <cell r="B35">
            <v>5</v>
          </cell>
          <cell r="C35" t="str">
            <v>Case 3 updated with Transitional Benefit</v>
          </cell>
          <cell r="I35">
            <v>717.20110577000003</v>
          </cell>
          <cell r="J35">
            <v>807.6857415100003</v>
          </cell>
          <cell r="K35">
            <v>820.4619674600001</v>
          </cell>
          <cell r="L35">
            <v>846.92909700000018</v>
          </cell>
          <cell r="M35">
            <v>821.67610157468312</v>
          </cell>
          <cell r="N35">
            <v>805.42767916869002</v>
          </cell>
          <cell r="O35">
            <v>842.05216263869556</v>
          </cell>
          <cell r="P35">
            <v>879.44746618970839</v>
          </cell>
          <cell r="Q35">
            <v>918.18312514527327</v>
          </cell>
          <cell r="R35">
            <v>975.7223687768867</v>
          </cell>
          <cell r="S35">
            <v>1036.094566638046</v>
          </cell>
          <cell r="T35">
            <v>1084.6632081846187</v>
          </cell>
          <cell r="U35">
            <v>1141.9107453619822</v>
          </cell>
          <cell r="V35">
            <v>1202.126919474724</v>
          </cell>
          <cell r="W35">
            <v>1227.7416126623539</v>
          </cell>
          <cell r="X35">
            <v>1255.9148596106168</v>
          </cell>
          <cell r="Y35">
            <v>1319.5328689009084</v>
          </cell>
          <cell r="Z35">
            <v>1386.661374295322</v>
          </cell>
          <cell r="AA35">
            <v>1459.9032914550585</v>
          </cell>
          <cell r="AB35">
            <v>1516.3279225309188</v>
          </cell>
        </row>
        <row r="36">
          <cell r="B36">
            <v>6</v>
          </cell>
          <cell r="C36" t="str">
            <v>Case 3 updated with Transitional Benefit</v>
          </cell>
          <cell r="I36">
            <v>717.20110577000003</v>
          </cell>
          <cell r="J36">
            <v>807.6857415100003</v>
          </cell>
          <cell r="K36">
            <v>820.4619674600001</v>
          </cell>
          <cell r="L36">
            <v>846.92909700000018</v>
          </cell>
          <cell r="M36">
            <v>813.33352837645089</v>
          </cell>
          <cell r="N36">
            <v>788.62065094569039</v>
          </cell>
          <cell r="O36">
            <v>824.4701084742685</v>
          </cell>
          <cell r="P36">
            <v>861.05438937808253</v>
          </cell>
          <cell r="Q36">
            <v>898.94133899413021</v>
          </cell>
          <cell r="R36">
            <v>955.49358520770988</v>
          </cell>
          <cell r="S36">
            <v>1014.7891356546781</v>
          </cell>
          <cell r="T36">
            <v>1062.2791897577179</v>
          </cell>
          <cell r="U36">
            <v>1118.3935360022192</v>
          </cell>
          <cell r="V36">
            <v>1177.4191513911235</v>
          </cell>
          <cell r="W36">
            <v>1202.5530667029452</v>
          </cell>
          <cell r="X36">
            <v>1230.1969427613151</v>
          </cell>
          <cell r="Y36">
            <v>1292.5129825111103</v>
          </cell>
          <cell r="Z36">
            <v>1358.2736061570404</v>
          </cell>
          <cell r="AA36">
            <v>1430.0783925547762</v>
          </cell>
          <cell r="AB36">
            <v>1485.9222134809102</v>
          </cell>
        </row>
        <row r="37">
          <cell r="B37">
            <v>7</v>
          </cell>
          <cell r="C37" t="str">
            <v>Case 2 updated with 4.23% RfR (Proposal Margin)</v>
          </cell>
          <cell r="I37">
            <v>717.20110577000003</v>
          </cell>
          <cell r="J37">
            <v>807.6857415100003</v>
          </cell>
          <cell r="K37">
            <v>820.4619674600001</v>
          </cell>
          <cell r="L37">
            <v>846.92909700000018</v>
          </cell>
          <cell r="M37">
            <v>823.85834923863513</v>
          </cell>
          <cell r="N37">
            <v>809.82405618552821</v>
          </cell>
          <cell r="O37">
            <v>846.65127044482165</v>
          </cell>
          <cell r="P37">
            <v>884.25872076307633</v>
          </cell>
          <cell r="Q37">
            <v>923.21638452741911</v>
          </cell>
          <cell r="R37">
            <v>978.23674554483136</v>
          </cell>
          <cell r="S37">
            <v>1036.0603893186174</v>
          </cell>
          <cell r="T37">
            <v>1084.6273006383938</v>
          </cell>
          <cell r="U37">
            <v>1141.8730199962292</v>
          </cell>
          <cell r="V37">
            <v>1202.0872842623303</v>
          </cell>
          <cell r="W37">
            <v>1227.765845552562</v>
          </cell>
          <cell r="X37">
            <v>1256.0041191344617</v>
          </cell>
          <cell r="Y37">
            <v>1319.6266471881481</v>
          </cell>
          <cell r="Z37">
            <v>1386.7599001083529</v>
          </cell>
          <cell r="AA37">
            <v>1460.0068051373737</v>
          </cell>
          <cell r="AB37">
            <v>1516.5116139675001</v>
          </cell>
        </row>
        <row r="38">
          <cell r="B38">
            <v>8</v>
          </cell>
          <cell r="C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B39">
            <v>9</v>
          </cell>
          <cell r="C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row>
        <row r="40">
          <cell r="B40">
            <v>10</v>
          </cell>
          <cell r="C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B41">
            <v>11</v>
          </cell>
          <cell r="C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B42">
            <v>12</v>
          </cell>
          <cell r="C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B43">
            <v>13</v>
          </cell>
          <cell r="C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v>14</v>
          </cell>
          <cell r="C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B45">
            <v>15</v>
          </cell>
          <cell r="C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B46">
            <v>16</v>
          </cell>
          <cell r="C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B47">
            <v>17</v>
          </cell>
          <cell r="C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row>
        <row r="48">
          <cell r="B48">
            <v>18</v>
          </cell>
          <cell r="C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B49">
            <v>19</v>
          </cell>
          <cell r="C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B50">
            <v>20</v>
          </cell>
          <cell r="C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3">
          <cell r="B53" t="str">
            <v>1</v>
          </cell>
        </row>
        <row r="54">
          <cell r="B54" t="str">
            <v>2</v>
          </cell>
        </row>
        <row r="55">
          <cell r="B55" t="str">
            <v>3</v>
          </cell>
        </row>
        <row r="56">
          <cell r="B56" t="str">
            <v>4</v>
          </cell>
        </row>
        <row r="57">
          <cell r="B57" t="str">
            <v>5</v>
          </cell>
        </row>
        <row r="58">
          <cell r="B58" t="str">
            <v>6</v>
          </cell>
        </row>
        <row r="59">
          <cell r="B59" t="str">
            <v>7</v>
          </cell>
        </row>
        <row r="60">
          <cell r="B60" t="str">
            <v>8</v>
          </cell>
        </row>
        <row r="63">
          <cell r="B63">
            <v>1</v>
          </cell>
          <cell r="C63" t="str">
            <v xml:space="preserve">2014 "Owners Plan" </v>
          </cell>
          <cell r="I63">
            <v>0.81030020439307315</v>
          </cell>
          <cell r="J63">
            <v>0.81287699474123598</v>
          </cell>
          <cell r="K63">
            <v>0.77843282344035236</v>
          </cell>
          <cell r="L63">
            <v>0.75746260718214931</v>
          </cell>
          <cell r="M63">
            <v>0.73779253865115035</v>
          </cell>
          <cell r="N63">
            <v>0.7374296555919595</v>
          </cell>
          <cell r="O63">
            <v>0.74936041767728956</v>
          </cell>
          <cell r="P63">
            <v>0.75711271708026406</v>
          </cell>
          <cell r="Q63">
            <v>0.76759917846221748</v>
          </cell>
          <cell r="R63">
            <v>0.7736051645811175</v>
          </cell>
          <cell r="S63">
            <v>0.77031712426401722</v>
          </cell>
          <cell r="T63">
            <v>0.76637418805231738</v>
          </cell>
          <cell r="U63">
            <v>0.7621163092022657</v>
          </cell>
          <cell r="V63">
            <v>0.75553045014649045</v>
          </cell>
          <cell r="W63">
            <v>0.74634661774413169</v>
          </cell>
          <cell r="X63">
            <v>0.73705884938983179</v>
          </cell>
          <cell r="Y63">
            <v>0.72787403838329823</v>
          </cell>
          <cell r="Z63">
            <v>0.7172211692426198</v>
          </cell>
          <cell r="AA63">
            <v>0.7031133591741402</v>
          </cell>
          <cell r="AB63">
            <v>0.69279416401544036</v>
          </cell>
        </row>
        <row r="64">
          <cell r="B64">
            <v>2</v>
          </cell>
          <cell r="C64" t="str">
            <v>2014 "Owners Plan" updated with 2014 debt refinancing</v>
          </cell>
          <cell r="I64">
            <v>0.81030020439307315</v>
          </cell>
          <cell r="J64">
            <v>0.81287699474123598</v>
          </cell>
          <cell r="K64">
            <v>0.77843282344035236</v>
          </cell>
          <cell r="L64">
            <v>0.75758515034659391</v>
          </cell>
          <cell r="M64">
            <v>0.73815741842951443</v>
          </cell>
          <cell r="N64">
            <v>0.73730124086674931</v>
          </cell>
          <cell r="O64">
            <v>0.74863551445096543</v>
          </cell>
          <cell r="P64">
            <v>0.75580870814885293</v>
          </cell>
          <cell r="Q64">
            <v>0.76572520634303254</v>
          </cell>
          <cell r="R64">
            <v>0.77117553854060972</v>
          </cell>
          <cell r="S64">
            <v>0.76734496686922682</v>
          </cell>
          <cell r="T64">
            <v>0.76312000187843254</v>
          </cell>
          <cell r="U64">
            <v>0.75876125338858502</v>
          </cell>
          <cell r="V64">
            <v>0.75205897254813292</v>
          </cell>
          <cell r="W64">
            <v>0.74276383385645295</v>
          </cell>
          <cell r="X64">
            <v>0.73336405515406333</v>
          </cell>
          <cell r="Y64">
            <v>0.72404435454568072</v>
          </cell>
          <cell r="Z64">
            <v>0.71323182204550062</v>
          </cell>
          <cell r="AA64">
            <v>0.69894361328003407</v>
          </cell>
          <cell r="AB64">
            <v>0.68838628092746645</v>
          </cell>
        </row>
        <row r="65">
          <cell r="B65">
            <v>3</v>
          </cell>
          <cell r="C65" t="str">
            <v>Case 2 updated with RBA Rates forecast</v>
          </cell>
          <cell r="I65">
            <v>0.81030020439307315</v>
          </cell>
          <cell r="J65">
            <v>0.81287699474123598</v>
          </cell>
          <cell r="K65">
            <v>0.77843282344035236</v>
          </cell>
          <cell r="L65">
            <v>0.75758515034659391</v>
          </cell>
          <cell r="M65">
            <v>0.73794607359485342</v>
          </cell>
          <cell r="N65">
            <v>0.73673889094997869</v>
          </cell>
          <cell r="O65">
            <v>0.74771924403784651</v>
          </cell>
          <cell r="P65">
            <v>0.75426967750071061</v>
          </cell>
          <cell r="Q65">
            <v>0.76354634388101572</v>
          </cell>
          <cell r="R65">
            <v>0.76835982454516771</v>
          </cell>
          <cell r="S65">
            <v>0.76388431396937573</v>
          </cell>
          <cell r="T65">
            <v>0.75900679900286427</v>
          </cell>
          <cell r="U65">
            <v>0.75402066682052216</v>
          </cell>
          <cell r="V65">
            <v>0.74670851700691854</v>
          </cell>
          <cell r="W65">
            <v>0.73681234643978732</v>
          </cell>
          <cell r="X65">
            <v>0.72679889201690728</v>
          </cell>
          <cell r="Y65">
            <v>0.71686046235608747</v>
          </cell>
          <cell r="Z65">
            <v>0.70544462396538099</v>
          </cell>
          <cell r="AA65">
            <v>0.69059490641184196</v>
          </cell>
          <cell r="AB65">
            <v>0.67940117788481702</v>
          </cell>
        </row>
        <row r="66">
          <cell r="B66">
            <v>4</v>
          </cell>
          <cell r="C66" t="str">
            <v>Case 2 updated with Bloomberg Rates forecast</v>
          </cell>
          <cell r="I66">
            <v>0.81030020439307315</v>
          </cell>
          <cell r="J66">
            <v>0.81287699474123598</v>
          </cell>
          <cell r="K66">
            <v>0.77843282344035236</v>
          </cell>
          <cell r="L66">
            <v>0.75758515034659391</v>
          </cell>
          <cell r="M66">
            <v>0.73960484494638279</v>
          </cell>
          <cell r="N66">
            <v>0.7416424543209299</v>
          </cell>
          <cell r="O66">
            <v>0.7550000397635197</v>
          </cell>
          <cell r="P66">
            <v>0.76275918806849408</v>
          </cell>
          <cell r="Q66">
            <v>0.7728076984902108</v>
          </cell>
          <cell r="R66">
            <v>0.77753674438990728</v>
          </cell>
          <cell r="S66">
            <v>0.77293761907364045</v>
          </cell>
          <cell r="T66">
            <v>0.76790429217604717</v>
          </cell>
          <cell r="U66">
            <v>0.76215698679954169</v>
          </cell>
          <cell r="V66">
            <v>0.75420176479390988</v>
          </cell>
          <cell r="W66">
            <v>0.74365666835018607</v>
          </cell>
          <cell r="X66">
            <v>0.73297715724487911</v>
          </cell>
          <cell r="Y66">
            <v>0.7224830891785553</v>
          </cell>
          <cell r="Z66">
            <v>0.71066934486743938</v>
          </cell>
          <cell r="AA66">
            <v>0.69560759621797974</v>
          </cell>
          <cell r="AB66">
            <v>0.68434725971808408</v>
          </cell>
        </row>
        <row r="67">
          <cell r="B67">
            <v>5</v>
          </cell>
          <cell r="C67" t="str">
            <v>Case 3 updated with Transitional Benefit</v>
          </cell>
          <cell r="I67">
            <v>0.81030020439307315</v>
          </cell>
          <cell r="J67">
            <v>0.81287699474123598</v>
          </cell>
          <cell r="K67">
            <v>0.77843282344035236</v>
          </cell>
          <cell r="L67">
            <v>0.75758515034659391</v>
          </cell>
          <cell r="M67">
            <v>0.73589665214171196</v>
          </cell>
          <cell r="N67">
            <v>0.73103991237695365</v>
          </cell>
          <cell r="O67">
            <v>0.73927858162676807</v>
          </cell>
          <cell r="P67">
            <v>0.74373758221305708</v>
          </cell>
          <cell r="Q67">
            <v>0.75142665556297661</v>
          </cell>
          <cell r="R67">
            <v>0.75507035086055474</v>
          </cell>
          <cell r="S67">
            <v>0.74972274855813881</v>
          </cell>
          <cell r="T67">
            <v>0.74408760311640521</v>
          </cell>
          <cell r="U67">
            <v>0.73869026129055637</v>
          </cell>
          <cell r="V67">
            <v>0.73089902289799147</v>
          </cell>
          <cell r="W67">
            <v>0.72055040102144408</v>
          </cell>
          <cell r="X67">
            <v>0.71008455308525253</v>
          </cell>
          <cell r="Y67">
            <v>0.69959383865313252</v>
          </cell>
          <cell r="Z67">
            <v>0.68751832278473013</v>
          </cell>
          <cell r="AA67">
            <v>0.67192236382946746</v>
          </cell>
          <cell r="AB67">
            <v>0.65972833067577641</v>
          </cell>
        </row>
        <row r="68">
          <cell r="B68">
            <v>6</v>
          </cell>
          <cell r="C68" t="str">
            <v>Case 3 updated with Transitional Benefit</v>
          </cell>
          <cell r="I68">
            <v>0.81030020439307315</v>
          </cell>
          <cell r="J68">
            <v>0.81287699474123598</v>
          </cell>
          <cell r="K68">
            <v>0.77843282344035236</v>
          </cell>
          <cell r="L68">
            <v>0.75758515034659391</v>
          </cell>
          <cell r="M68">
            <v>0.73756209009058293</v>
          </cell>
          <cell r="N68">
            <v>0.73597435700295166</v>
          </cell>
          <cell r="O68">
            <v>0.74661753925081686</v>
          </cell>
          <cell r="P68">
            <v>0.7523618053332658</v>
          </cell>
          <cell r="Q68">
            <v>0.76089637633042995</v>
          </cell>
          <cell r="R68">
            <v>0.76453898494347605</v>
          </cell>
          <cell r="S68">
            <v>0.75915868275115517</v>
          </cell>
          <cell r="T68">
            <v>0.75346746754513172</v>
          </cell>
          <cell r="U68">
            <v>0.74741742086309826</v>
          </cell>
          <cell r="V68">
            <v>0.7390991540867059</v>
          </cell>
          <cell r="W68">
            <v>0.72822158027187578</v>
          </cell>
          <cell r="X68">
            <v>0.71721457869510152</v>
          </cell>
          <cell r="Y68">
            <v>0.70630432970997081</v>
          </cell>
          <cell r="Z68">
            <v>0.69398047248627137</v>
          </cell>
          <cell r="AA68">
            <v>0.6783358228801798</v>
          </cell>
          <cell r="AB68">
            <v>0.66626762122537964</v>
          </cell>
        </row>
        <row r="69">
          <cell r="B69">
            <v>7</v>
          </cell>
          <cell r="C69" t="str">
            <v>Case 2 updated with 4.23% RfR (Proposal Margin)</v>
          </cell>
          <cell r="I69">
            <v>0.81030020439307315</v>
          </cell>
          <cell r="J69">
            <v>0.81287699474123598</v>
          </cell>
          <cell r="K69">
            <v>0.77843282344035236</v>
          </cell>
          <cell r="L69">
            <v>0.75758515034659391</v>
          </cell>
          <cell r="M69">
            <v>0.73751048181294354</v>
          </cell>
          <cell r="N69">
            <v>0.73534818408244962</v>
          </cell>
          <cell r="O69">
            <v>0.74523019244615951</v>
          </cell>
          <cell r="P69">
            <v>0.75063402742750418</v>
          </cell>
          <cell r="Q69">
            <v>0.75876703556157654</v>
          </cell>
          <cell r="R69">
            <v>0.76276410548708673</v>
          </cell>
          <cell r="S69">
            <v>0.75797790197194814</v>
          </cell>
          <cell r="T69">
            <v>0.75285961147428215</v>
          </cell>
          <cell r="U69">
            <v>0.7477450604856698</v>
          </cell>
          <cell r="V69">
            <v>0.74027261101498132</v>
          </cell>
          <cell r="W69">
            <v>0.73021658277768964</v>
          </cell>
          <cell r="X69">
            <v>0.72003259699147482</v>
          </cell>
          <cell r="Y69">
            <v>0.70988029424556265</v>
          </cell>
          <cell r="Z69">
            <v>0.69820661142577456</v>
          </cell>
          <cell r="AA69">
            <v>0.68306318964241686</v>
          </cell>
          <cell r="AB69">
            <v>0.67145971766264179</v>
          </cell>
        </row>
        <row r="70">
          <cell r="B70">
            <v>8</v>
          </cell>
          <cell r="C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B71">
            <v>9</v>
          </cell>
          <cell r="C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B72">
            <v>10</v>
          </cell>
          <cell r="C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B73">
            <v>11</v>
          </cell>
          <cell r="C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B74">
            <v>12</v>
          </cell>
          <cell r="C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B75">
            <v>13</v>
          </cell>
          <cell r="C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row>
        <row r="76">
          <cell r="B76">
            <v>14</v>
          </cell>
          <cell r="C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B77">
            <v>15</v>
          </cell>
          <cell r="C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B78">
            <v>16</v>
          </cell>
          <cell r="C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B79">
            <v>17</v>
          </cell>
          <cell r="C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B80">
            <v>18</v>
          </cell>
          <cell r="C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B81">
            <v>19</v>
          </cell>
          <cell r="C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B82">
            <v>20</v>
          </cell>
          <cell r="C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row>
        <row r="85">
          <cell r="B85">
            <v>1</v>
          </cell>
          <cell r="C85" t="str">
            <v xml:space="preserve">2014 "Owners Plan" </v>
          </cell>
          <cell r="I85">
            <v>0.15682884510436981</v>
          </cell>
          <cell r="J85">
            <v>0.17739967442512056</v>
          </cell>
          <cell r="K85">
            <v>0.17322761319151833</v>
          </cell>
          <cell r="L85">
            <v>0.17521100656766206</v>
          </cell>
          <cell r="M85">
            <v>0.16335641040431859</v>
          </cell>
          <cell r="N85">
            <v>0.15427555862104089</v>
          </cell>
          <cell r="O85">
            <v>0.14955051937173272</v>
          </cell>
          <cell r="P85">
            <v>0.14190164110826295</v>
          </cell>
          <cell r="Q85">
            <v>0.1378497789974924</v>
          </cell>
          <cell r="R85">
            <v>0.13917725869225403</v>
          </cell>
          <cell r="S85">
            <v>0.14297448755387729</v>
          </cell>
          <cell r="T85">
            <v>0.14519184997761114</v>
          </cell>
          <cell r="U85">
            <v>0.14999210444065733</v>
          </cell>
          <cell r="V85">
            <v>0.156458627785482</v>
          </cell>
          <cell r="W85">
            <v>0.1559323654794566</v>
          </cell>
          <cell r="X85">
            <v>0.15586991985052825</v>
          </cell>
          <cell r="Y85">
            <v>0.16334797697484185</v>
          </cell>
          <cell r="Z85">
            <v>0.17256929986652211</v>
          </cell>
          <cell r="AA85">
            <v>0.1846084452171371</v>
          </cell>
          <cell r="AB85">
            <v>0.19502548980551543</v>
          </cell>
        </row>
        <row r="86">
          <cell r="B86">
            <v>2</v>
          </cell>
          <cell r="C86" t="str">
            <v>2014 "Owners Plan" updated with 2014 debt refinancing</v>
          </cell>
          <cell r="I86">
            <v>0.15682884510436981</v>
          </cell>
          <cell r="J86">
            <v>0.17739967442512056</v>
          </cell>
          <cell r="K86">
            <v>0.17322761319151833</v>
          </cell>
          <cell r="L86">
            <v>0.1710281594421672</v>
          </cell>
          <cell r="M86">
            <v>0.15826464070275731</v>
          </cell>
          <cell r="N86">
            <v>0.1535698175649847</v>
          </cell>
          <cell r="O86">
            <v>0.15046887012685409</v>
          </cell>
          <cell r="P86">
            <v>0.1429280198917528</v>
          </cell>
          <cell r="Q86">
            <v>0.13897758838779278</v>
          </cell>
          <cell r="R86">
            <v>0.14041520825490242</v>
          </cell>
          <cell r="S86">
            <v>0.14434055434058291</v>
          </cell>
          <cell r="T86">
            <v>0.14631359102374342</v>
          </cell>
          <cell r="U86">
            <v>0.1509270209979624</v>
          </cell>
          <cell r="V86">
            <v>0.15746058980775202</v>
          </cell>
          <cell r="W86">
            <v>0.1569764970678344</v>
          </cell>
          <cell r="X86">
            <v>0.15696054767863124</v>
          </cell>
          <cell r="Y86">
            <v>0.16452863210511914</v>
          </cell>
          <cell r="Z86">
            <v>0.17386339344487939</v>
          </cell>
          <cell r="AA86">
            <v>0.1860521469804452</v>
          </cell>
          <cell r="AB86">
            <v>0.19663331483429305</v>
          </cell>
        </row>
        <row r="87">
          <cell r="B87">
            <v>3</v>
          </cell>
          <cell r="C87" t="str">
            <v>Case 2 updated with RBA Rates forecast</v>
          </cell>
          <cell r="I87">
            <v>0.15682884510436981</v>
          </cell>
          <cell r="J87">
            <v>0.17739967442512056</v>
          </cell>
          <cell r="K87">
            <v>0.17322761319151833</v>
          </cell>
          <cell r="L87">
            <v>0.1710281594421672</v>
          </cell>
          <cell r="M87">
            <v>0.1582937281254857</v>
          </cell>
          <cell r="N87">
            <v>0.15393406972561627</v>
          </cell>
          <cell r="O87">
            <v>0.15123564871044007</v>
          </cell>
          <cell r="P87">
            <v>0.14415851696378321</v>
          </cell>
          <cell r="Q87">
            <v>0.1403603269562112</v>
          </cell>
          <cell r="R87">
            <v>0.14194600121232262</v>
          </cell>
          <cell r="S87">
            <v>0.14605662309309764</v>
          </cell>
          <cell r="T87">
            <v>0.14819748323706103</v>
          </cell>
          <cell r="U87">
            <v>0.15294644621595466</v>
          </cell>
          <cell r="V87">
            <v>0.15964566722192322</v>
          </cell>
          <cell r="W87">
            <v>0.15937302871126691</v>
          </cell>
          <cell r="X87">
            <v>0.15957546221586638</v>
          </cell>
          <cell r="Y87">
            <v>0.16736018241556569</v>
          </cell>
          <cell r="Z87">
            <v>0.17693189048788069</v>
          </cell>
          <cell r="AA87">
            <v>0.18939036002638035</v>
          </cell>
          <cell r="AB87">
            <v>0.20032135684848584</v>
          </cell>
        </row>
        <row r="88">
          <cell r="B88">
            <v>4</v>
          </cell>
          <cell r="C88" t="str">
            <v>Case 2 updated with Bloomberg Rates forecast</v>
          </cell>
          <cell r="I88">
            <v>0.15682884510436981</v>
          </cell>
          <cell r="J88">
            <v>0.17739967442512056</v>
          </cell>
          <cell r="K88">
            <v>0.17322761319151833</v>
          </cell>
          <cell r="L88">
            <v>0.1710281594421672</v>
          </cell>
          <cell r="M88">
            <v>0.1554106244622849</v>
          </cell>
          <cell r="N88">
            <v>0.14825801259510588</v>
          </cell>
          <cell r="O88">
            <v>0.14654205544225291</v>
          </cell>
          <cell r="P88">
            <v>0.14072057531039164</v>
          </cell>
          <cell r="Q88">
            <v>0.13739787205231407</v>
          </cell>
          <cell r="R88">
            <v>0.14000951616844706</v>
          </cell>
          <cell r="S88">
            <v>0.14414806208343781</v>
          </cell>
          <cell r="T88">
            <v>0.14639978811679158</v>
          </cell>
          <cell r="U88">
            <v>0.15205030692478849</v>
          </cell>
          <cell r="V88">
            <v>0.15872633843690573</v>
          </cell>
          <cell r="W88">
            <v>0.15864622489094796</v>
          </cell>
          <cell r="X88">
            <v>0.15903124226777923</v>
          </cell>
          <cell r="Y88">
            <v>0.16677100636116063</v>
          </cell>
          <cell r="Z88">
            <v>0.1762172998900485</v>
          </cell>
          <cell r="AA88">
            <v>0.18842899615680353</v>
          </cell>
          <cell r="AB88">
            <v>0.19919359561815034</v>
          </cell>
        </row>
        <row r="89">
          <cell r="B89">
            <v>5</v>
          </cell>
          <cell r="C89" t="str">
            <v>Case 3 updated with Transitional Benefit</v>
          </cell>
          <cell r="I89">
            <v>0.15682884510436981</v>
          </cell>
          <cell r="J89">
            <v>0.17739967442512056</v>
          </cell>
          <cell r="K89">
            <v>0.17322761319151833</v>
          </cell>
          <cell r="L89">
            <v>0.1710281594421672</v>
          </cell>
          <cell r="M89">
            <v>0.16122078247722874</v>
          </cell>
          <cell r="N89">
            <v>0.15996597150600561</v>
          </cell>
          <cell r="O89">
            <v>0.15694996513814399</v>
          </cell>
          <cell r="P89">
            <v>0.14945554125298219</v>
          </cell>
          <cell r="Q89">
            <v>0.14527805738167385</v>
          </cell>
          <cell r="R89">
            <v>0.14665381478202438</v>
          </cell>
          <cell r="S89">
            <v>0.15071019602908761</v>
          </cell>
          <cell r="T89">
            <v>0.15287431690031675</v>
          </cell>
          <cell r="U89">
            <v>0.15732826409453698</v>
          </cell>
          <cell r="V89">
            <v>0.16433891691978633</v>
          </cell>
          <cell r="W89">
            <v>0.16426170319735861</v>
          </cell>
          <cell r="X89">
            <v>0.16468031379754347</v>
          </cell>
          <cell r="Y89">
            <v>0.17288604118116382</v>
          </cell>
          <cell r="Z89">
            <v>0.18299008654050788</v>
          </cell>
          <cell r="AA89">
            <v>0.19615060236969303</v>
          </cell>
          <cell r="AB89">
            <v>0.2078626230880751</v>
          </cell>
        </row>
        <row r="90">
          <cell r="B90">
            <v>6</v>
          </cell>
          <cell r="C90" t="str">
            <v>Case 3 updated with Transitional Benefit</v>
          </cell>
          <cell r="I90">
            <v>0.15682884510436981</v>
          </cell>
          <cell r="J90">
            <v>0.17739967442512056</v>
          </cell>
          <cell r="K90">
            <v>0.17322761319151833</v>
          </cell>
          <cell r="L90">
            <v>0.1710281594421672</v>
          </cell>
          <cell r="M90">
            <v>0.15832091648981492</v>
          </cell>
          <cell r="N90">
            <v>0.15419442968743627</v>
          </cell>
          <cell r="O90">
            <v>0.15211410525660227</v>
          </cell>
          <cell r="P90">
            <v>0.14579006631717925</v>
          </cell>
          <cell r="Q90">
            <v>0.14207293612905392</v>
          </cell>
          <cell r="R90">
            <v>0.14445559400698568</v>
          </cell>
          <cell r="S90">
            <v>0.14850516350440296</v>
          </cell>
          <cell r="T90">
            <v>0.15074444888798502</v>
          </cell>
          <cell r="U90">
            <v>0.15608222805644667</v>
          </cell>
          <cell r="V90">
            <v>0.16302416401197672</v>
          </cell>
          <cell r="W90">
            <v>0.16310062554383317</v>
          </cell>
          <cell r="X90">
            <v>0.16365949014755116</v>
          </cell>
          <cell r="Y90">
            <v>0.1717558594500127</v>
          </cell>
          <cell r="Z90">
            <v>0.18165292262871285</v>
          </cell>
          <cell r="AA90">
            <v>0.19445871121674857</v>
          </cell>
          <cell r="AB90">
            <v>0.20587941481502989</v>
          </cell>
        </row>
        <row r="91">
          <cell r="B91">
            <v>7</v>
          </cell>
          <cell r="C91" t="str">
            <v>Case 2 updated with 4.23% RfR (Proposal Margin)</v>
          </cell>
          <cell r="I91">
            <v>0.15682884510436981</v>
          </cell>
          <cell r="J91">
            <v>0.17739967442512056</v>
          </cell>
          <cell r="K91">
            <v>0.17322761319151833</v>
          </cell>
          <cell r="L91">
            <v>0.1710281594421672</v>
          </cell>
          <cell r="M91">
            <v>0.15905140741170193</v>
          </cell>
          <cell r="N91">
            <v>0.15558599646014293</v>
          </cell>
          <cell r="O91">
            <v>0.15321563070896441</v>
          </cell>
          <cell r="P91">
            <v>0.14643747679118552</v>
          </cell>
          <cell r="Q91">
            <v>0.14285460245555293</v>
          </cell>
          <cell r="R91">
            <v>0.14410768002797208</v>
          </cell>
          <cell r="S91">
            <v>0.14775509915839086</v>
          </cell>
          <cell r="T91">
            <v>0.14999989221145538</v>
          </cell>
          <cell r="U91">
            <v>0.15465425553750245</v>
          </cell>
          <cell r="V91">
            <v>0.16147649927684407</v>
          </cell>
          <cell r="W91">
            <v>0.1612885698510696</v>
          </cell>
          <cell r="X91">
            <v>0.16158629278713513</v>
          </cell>
          <cell r="Y91">
            <v>0.16953576007650809</v>
          </cell>
          <cell r="Z91">
            <v>0.17931602535998353</v>
          </cell>
          <cell r="AA91">
            <v>0.19205016367498792</v>
          </cell>
          <cell r="AB91">
            <v>0.20330860875660947</v>
          </cell>
        </row>
        <row r="92">
          <cell r="B92">
            <v>8</v>
          </cell>
          <cell r="C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B93">
            <v>9</v>
          </cell>
          <cell r="C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B94">
            <v>10</v>
          </cell>
          <cell r="C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row>
        <row r="95">
          <cell r="B95">
            <v>11</v>
          </cell>
          <cell r="C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B96">
            <v>12</v>
          </cell>
          <cell r="C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B97">
            <v>13</v>
          </cell>
          <cell r="C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B98">
            <v>14</v>
          </cell>
          <cell r="C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B99">
            <v>15</v>
          </cell>
          <cell r="C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B100">
            <v>16</v>
          </cell>
          <cell r="C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B101">
            <v>17</v>
          </cell>
          <cell r="C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B102">
            <v>18</v>
          </cell>
          <cell r="C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B103">
            <v>19</v>
          </cell>
          <cell r="C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B104">
            <v>20</v>
          </cell>
          <cell r="C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7">
          <cell r="B107">
            <v>1</v>
          </cell>
          <cell r="C107" t="str">
            <v xml:space="preserve">2014 "Owners Plan" </v>
          </cell>
          <cell r="I107">
            <v>3.1747068940325156</v>
          </cell>
          <cell r="J107">
            <v>3.4699274995415608</v>
          </cell>
          <cell r="K107">
            <v>3.4867067911859224</v>
          </cell>
          <cell r="L107">
            <v>3.5011182363528595</v>
          </cell>
          <cell r="M107">
            <v>3.5043402861957551</v>
          </cell>
          <cell r="N107">
            <v>3.5278286511455135</v>
          </cell>
          <cell r="O107">
            <v>3.440401662751158</v>
          </cell>
          <cell r="P107">
            <v>3.2086138763976395</v>
          </cell>
          <cell r="Q107">
            <v>3.1163196202212893</v>
          </cell>
          <cell r="R107">
            <v>3.1229216519349037</v>
          </cell>
          <cell r="S107">
            <v>3.1831983000948112</v>
          </cell>
          <cell r="T107">
            <v>3.2166495691444661</v>
          </cell>
          <cell r="U107">
            <v>3.2849881789655324</v>
          </cell>
          <cell r="V107">
            <v>3.3833895297313505</v>
          </cell>
          <cell r="W107">
            <v>3.3748413378718545</v>
          </cell>
          <cell r="X107">
            <v>3.3732042117366934</v>
          </cell>
          <cell r="Y107">
            <v>3.4868859865868971</v>
          </cell>
          <cell r="Z107">
            <v>3.6274389467377133</v>
          </cell>
          <cell r="AA107">
            <v>3.8111537750665434</v>
          </cell>
          <cell r="AB107">
            <v>3.9695805655586827</v>
          </cell>
        </row>
        <row r="108">
          <cell r="B108">
            <v>2</v>
          </cell>
          <cell r="C108" t="str">
            <v>2014 "Owners Plan" updated with 2014 debt refinancing</v>
          </cell>
          <cell r="I108">
            <v>3.1747068940325156</v>
          </cell>
          <cell r="J108">
            <v>3.4699274995415608</v>
          </cell>
          <cell r="K108">
            <v>3.4867067911859224</v>
          </cell>
          <cell r="L108">
            <v>3.4971600736074806</v>
          </cell>
          <cell r="M108">
            <v>3.4804439980909079</v>
          </cell>
          <cell r="N108">
            <v>3.5588462040611124</v>
          </cell>
          <cell r="O108">
            <v>3.4876837651028918</v>
          </cell>
          <cell r="P108">
            <v>3.2507896965809397</v>
          </cell>
          <cell r="Q108">
            <v>3.1569595555457135</v>
          </cell>
          <cell r="R108">
            <v>3.1637798622375435</v>
          </cell>
          <cell r="S108">
            <v>3.225667514971696</v>
          </cell>
          <cell r="T108">
            <v>3.2429397181817023</v>
          </cell>
          <cell r="U108">
            <v>3.2993100898416361</v>
          </cell>
          <cell r="V108">
            <v>3.3987384427116512</v>
          </cell>
          <cell r="W108">
            <v>3.3908301111487891</v>
          </cell>
          <cell r="X108">
            <v>3.3898967996892915</v>
          </cell>
          <cell r="Y108">
            <v>3.5049556713463148</v>
          </cell>
          <cell r="Z108">
            <v>3.6472486213352244</v>
          </cell>
          <cell r="AA108">
            <v>3.8332607037944184</v>
          </cell>
          <cell r="AB108">
            <v>3.99415374877288</v>
          </cell>
        </row>
        <row r="109">
          <cell r="B109">
            <v>3</v>
          </cell>
          <cell r="C109" t="str">
            <v>Case 2 updated with RBA Rates forecast</v>
          </cell>
          <cell r="I109">
            <v>3.1747068940325156</v>
          </cell>
          <cell r="J109">
            <v>3.4699274995415608</v>
          </cell>
          <cell r="K109">
            <v>3.4867067911859224</v>
          </cell>
          <cell r="L109">
            <v>3.4971600736074806</v>
          </cell>
          <cell r="M109">
            <v>3.5361479381692638</v>
          </cell>
          <cell r="N109">
            <v>3.6996126064361352</v>
          </cell>
          <cell r="O109">
            <v>3.6422162248416656</v>
          </cell>
          <cell r="P109">
            <v>3.4031428187326465</v>
          </cell>
          <cell r="Q109">
            <v>3.3019727022658665</v>
          </cell>
          <cell r="R109">
            <v>3.3087369311586818</v>
          </cell>
          <cell r="S109">
            <v>3.3772067326905844</v>
          </cell>
          <cell r="T109">
            <v>3.3969734501850959</v>
          </cell>
          <cell r="U109">
            <v>3.4559054371729814</v>
          </cell>
          <cell r="V109">
            <v>3.5634065596357396</v>
          </cell>
          <cell r="W109">
            <v>3.5584727264928282</v>
          </cell>
          <cell r="X109">
            <v>3.5609901896975322</v>
          </cell>
          <cell r="Y109">
            <v>3.6857727432436524</v>
          </cell>
          <cell r="Z109">
            <v>3.8396033603979207</v>
          </cell>
          <cell r="AA109">
            <v>4.0400543355112548</v>
          </cell>
          <cell r="AB109">
            <v>4.2151247248130783</v>
          </cell>
        </row>
        <row r="110">
          <cell r="B110">
            <v>4</v>
          </cell>
          <cell r="C110" t="str">
            <v>Case 2 updated with Bloomberg Rates forecast</v>
          </cell>
          <cell r="I110">
            <v>3.1747068940325156</v>
          </cell>
          <cell r="J110">
            <v>3.4699274995415608</v>
          </cell>
          <cell r="K110">
            <v>3.4867067911859224</v>
          </cell>
          <cell r="L110">
            <v>3.4971600736074806</v>
          </cell>
          <cell r="M110">
            <v>3.4906034011179474</v>
          </cell>
          <cell r="N110">
            <v>3.6220741141740205</v>
          </cell>
          <cell r="O110">
            <v>3.6580430977267477</v>
          </cell>
          <cell r="P110">
            <v>3.4972266040921358</v>
          </cell>
          <cell r="Q110">
            <v>3.4209589463108387</v>
          </cell>
          <cell r="R110">
            <v>3.4915161610859125</v>
          </cell>
          <cell r="S110">
            <v>3.5695215695567453</v>
          </cell>
          <cell r="T110">
            <v>3.5990585870668714</v>
          </cell>
          <cell r="U110">
            <v>3.7221100218242378</v>
          </cell>
          <cell r="V110">
            <v>3.8416373856310986</v>
          </cell>
          <cell r="W110">
            <v>3.8396098461223636</v>
          </cell>
          <cell r="X110">
            <v>3.8456985404643365</v>
          </cell>
          <cell r="Y110">
            <v>3.984078828799281</v>
          </cell>
          <cell r="Z110">
            <v>4.1534112018270752</v>
          </cell>
          <cell r="AA110">
            <v>4.3725434524584923</v>
          </cell>
          <cell r="AB110">
            <v>4.5646882977188898</v>
          </cell>
        </row>
        <row r="111">
          <cell r="B111">
            <v>5</v>
          </cell>
          <cell r="C111" t="str">
            <v>Case 3 updated with Transitional Benefit</v>
          </cell>
          <cell r="I111">
            <v>3.1747068940325156</v>
          </cell>
          <cell r="J111">
            <v>3.4699274995415608</v>
          </cell>
          <cell r="K111">
            <v>3.4867067911859224</v>
          </cell>
          <cell r="L111">
            <v>3.4971600736074806</v>
          </cell>
          <cell r="M111">
            <v>3.6965728434372447</v>
          </cell>
          <cell r="N111">
            <v>4.0701864339862048</v>
          </cell>
          <cell r="O111">
            <v>3.9321329019797497</v>
          </cell>
          <cell r="P111">
            <v>3.6085424952742544</v>
          </cell>
          <cell r="Q111">
            <v>3.4583936588396895</v>
          </cell>
          <cell r="R111">
            <v>3.436451706104068</v>
          </cell>
          <cell r="S111">
            <v>3.4887337609538012</v>
          </cell>
          <cell r="T111">
            <v>3.4970393987974027</v>
          </cell>
          <cell r="U111">
            <v>3.5266535476220788</v>
          </cell>
          <cell r="V111">
            <v>3.6391848258597279</v>
          </cell>
          <cell r="W111">
            <v>3.6373768093048984</v>
          </cell>
          <cell r="X111">
            <v>3.6433430651188954</v>
          </cell>
          <cell r="Y111">
            <v>3.774915142419208</v>
          </cell>
          <cell r="Z111">
            <v>3.9373552933177822</v>
          </cell>
          <cell r="AA111">
            <v>4.149052895407717</v>
          </cell>
          <cell r="AB111">
            <v>4.3366124889245157</v>
          </cell>
        </row>
        <row r="112">
          <cell r="B112">
            <v>6</v>
          </cell>
          <cell r="C112" t="str">
            <v>Case 3 updated with Transitional Benefit</v>
          </cell>
          <cell r="I112">
            <v>3.1747068940325156</v>
          </cell>
          <cell r="J112">
            <v>3.4699274995415608</v>
          </cell>
          <cell r="K112">
            <v>3.4867067911859224</v>
          </cell>
          <cell r="L112">
            <v>3.4971600736074806</v>
          </cell>
          <cell r="M112">
            <v>3.6482782301446641</v>
          </cell>
          <cell r="N112">
            <v>3.9837928837441505</v>
          </cell>
          <cell r="O112">
            <v>3.9554139472126812</v>
          </cell>
          <cell r="P112">
            <v>3.7127257394602338</v>
          </cell>
          <cell r="Q112">
            <v>3.5864535738035976</v>
          </cell>
          <cell r="R112">
            <v>3.6293644349260088</v>
          </cell>
          <cell r="S112">
            <v>3.6880206285756403</v>
          </cell>
          <cell r="T112">
            <v>3.7039537139047463</v>
          </cell>
          <cell r="U112">
            <v>3.7946569078493559</v>
          </cell>
          <cell r="V112">
            <v>3.9189738598983017</v>
          </cell>
          <cell r="W112">
            <v>3.9197346736652565</v>
          </cell>
          <cell r="X112">
            <v>3.9289098257685278</v>
          </cell>
          <cell r="Y112">
            <v>4.0737010063271715</v>
          </cell>
          <cell r="Z112">
            <v>4.2511616092913611</v>
          </cell>
          <cell r="AA112">
            <v>4.4808776366867784</v>
          </cell>
          <cell r="AB112">
            <v>4.684715513930759</v>
          </cell>
        </row>
        <row r="113">
          <cell r="B113">
            <v>7</v>
          </cell>
          <cell r="C113" t="str">
            <v>Case 2 updated with 4.23% RfR (Proposal Margin)</v>
          </cell>
          <cell r="I113">
            <v>3.1747068940325156</v>
          </cell>
          <cell r="J113">
            <v>3.4699274995415608</v>
          </cell>
          <cell r="K113">
            <v>3.4867067911859224</v>
          </cell>
          <cell r="L113">
            <v>3.4971600736074806</v>
          </cell>
          <cell r="M113">
            <v>3.5482059016192578</v>
          </cell>
          <cell r="N113">
            <v>3.7294047831714816</v>
          </cell>
          <cell r="O113">
            <v>3.6807214098982777</v>
          </cell>
          <cell r="P113">
            <v>3.4463474970966805</v>
          </cell>
          <cell r="Q113">
            <v>3.3459809385204276</v>
          </cell>
          <cell r="R113">
            <v>3.3510397237987917</v>
          </cell>
          <cell r="S113">
            <v>3.4118638496078448</v>
          </cell>
          <cell r="T113">
            <v>3.4330110543499539</v>
          </cell>
          <cell r="U113">
            <v>3.4822724613480505</v>
          </cell>
          <cell r="V113">
            <v>3.5917386966566869</v>
          </cell>
          <cell r="W113">
            <v>3.5881890572294863</v>
          </cell>
          <cell r="X113">
            <v>3.5922524775150304</v>
          </cell>
          <cell r="Y113">
            <v>3.7196573977119769</v>
          </cell>
          <cell r="Z113">
            <v>3.8768068838576029</v>
          </cell>
          <cell r="AA113">
            <v>4.081629640741931</v>
          </cell>
          <cell r="AB113">
            <v>4.2621089208949501</v>
          </cell>
        </row>
        <row r="114">
          <cell r="B114">
            <v>8</v>
          </cell>
          <cell r="C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row>
        <row r="115">
          <cell r="B115">
            <v>9</v>
          </cell>
          <cell r="C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row>
        <row r="116">
          <cell r="B116">
            <v>10</v>
          </cell>
          <cell r="C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row>
        <row r="117">
          <cell r="B117">
            <v>11</v>
          </cell>
          <cell r="C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row>
        <row r="118">
          <cell r="B118">
            <v>12</v>
          </cell>
          <cell r="C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row>
        <row r="119">
          <cell r="B119">
            <v>13</v>
          </cell>
          <cell r="C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row>
        <row r="120">
          <cell r="B120">
            <v>14</v>
          </cell>
          <cell r="C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row>
        <row r="121">
          <cell r="B121">
            <v>15</v>
          </cell>
          <cell r="C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row>
        <row r="122">
          <cell r="B122">
            <v>16</v>
          </cell>
          <cell r="C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row>
        <row r="123">
          <cell r="B123">
            <v>17</v>
          </cell>
          <cell r="C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row>
        <row r="124">
          <cell r="B124">
            <v>18</v>
          </cell>
          <cell r="C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row>
        <row r="125">
          <cell r="B125">
            <v>19</v>
          </cell>
          <cell r="C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row>
        <row r="126">
          <cell r="B126">
            <v>20</v>
          </cell>
          <cell r="C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row>
        <row r="129">
          <cell r="B129" t="str">
            <v>1</v>
          </cell>
        </row>
        <row r="130">
          <cell r="B130" t="str">
            <v>2</v>
          </cell>
        </row>
        <row r="131">
          <cell r="B131" t="str">
            <v>3</v>
          </cell>
        </row>
        <row r="132">
          <cell r="B132" t="str">
            <v>4</v>
          </cell>
        </row>
        <row r="133">
          <cell r="B133" t="str">
            <v>5</v>
          </cell>
        </row>
        <row r="134">
          <cell r="B134" t="str">
            <v>6</v>
          </cell>
        </row>
        <row r="135">
          <cell r="B135" t="str">
            <v>7</v>
          </cell>
        </row>
        <row r="136">
          <cell r="B136" t="str">
            <v>8</v>
          </cell>
        </row>
        <row r="139">
          <cell r="B139">
            <v>1</v>
          </cell>
          <cell r="C139" t="str">
            <v xml:space="preserve">2014 "Owners Plan" </v>
          </cell>
          <cell r="I139">
            <v>353.82780205420954</v>
          </cell>
          <cell r="J139">
            <v>406.54609822349204</v>
          </cell>
          <cell r="K139">
            <v>365.89486940404623</v>
          </cell>
          <cell r="L139">
            <v>367.76257712336616</v>
          </cell>
          <cell r="M139">
            <v>365.93950255672496</v>
          </cell>
          <cell r="N139">
            <v>458.07402640000424</v>
          </cell>
          <cell r="O139">
            <v>458.0740264000043</v>
          </cell>
          <cell r="P139">
            <v>458.07402640000424</v>
          </cell>
          <cell r="Q139">
            <v>458.0740264000043</v>
          </cell>
          <cell r="R139">
            <v>458.07402640000424</v>
          </cell>
          <cell r="S139">
            <v>458.77839369091811</v>
          </cell>
          <cell r="T139">
            <v>458.77839369091811</v>
          </cell>
          <cell r="U139">
            <v>458.77839369091811</v>
          </cell>
          <cell r="V139">
            <v>458.77839369091805</v>
          </cell>
          <cell r="W139">
            <v>458.77839369091811</v>
          </cell>
          <cell r="X139">
            <v>2290.3701320000214</v>
          </cell>
        </row>
        <row r="140">
          <cell r="B140">
            <v>2</v>
          </cell>
          <cell r="C140" t="str">
            <v>2014 "Owners Plan" updated with 2014 debt refinancing</v>
          </cell>
          <cell r="I140">
            <v>353.82780205420954</v>
          </cell>
          <cell r="J140">
            <v>406.54609822349204</v>
          </cell>
          <cell r="K140">
            <v>365.89486940404623</v>
          </cell>
          <cell r="L140">
            <v>367.76257712336616</v>
          </cell>
          <cell r="M140">
            <v>365.93950255672496</v>
          </cell>
          <cell r="N140">
            <v>458.07402640000424</v>
          </cell>
          <cell r="O140">
            <v>458.0740264000043</v>
          </cell>
          <cell r="P140">
            <v>458.07402640000424</v>
          </cell>
          <cell r="Q140">
            <v>458.0740264000043</v>
          </cell>
          <cell r="R140">
            <v>458.07402640000424</v>
          </cell>
          <cell r="S140">
            <v>458.77839369091811</v>
          </cell>
          <cell r="T140">
            <v>458.77839369091811</v>
          </cell>
          <cell r="U140">
            <v>458.77839369091811</v>
          </cell>
          <cell r="V140">
            <v>458.77839369091805</v>
          </cell>
          <cell r="W140">
            <v>458.77839369091811</v>
          </cell>
          <cell r="X140">
            <v>2290.3701320000214</v>
          </cell>
        </row>
        <row r="141">
          <cell r="B141">
            <v>3</v>
          </cell>
          <cell r="C141" t="str">
            <v>Case 2 updated with RBA Rates forecast</v>
          </cell>
          <cell r="I141">
            <v>353.82780205420954</v>
          </cell>
          <cell r="J141">
            <v>406.54609822349204</v>
          </cell>
          <cell r="K141">
            <v>365.89486940404623</v>
          </cell>
          <cell r="L141">
            <v>367.76257712336616</v>
          </cell>
          <cell r="M141">
            <v>365.93950255672496</v>
          </cell>
          <cell r="N141">
            <v>458.07402640000424</v>
          </cell>
          <cell r="O141">
            <v>458.0740264000043</v>
          </cell>
          <cell r="P141">
            <v>458.07402640000424</v>
          </cell>
          <cell r="Q141">
            <v>458.0740264000043</v>
          </cell>
          <cell r="R141">
            <v>458.07402640000424</v>
          </cell>
          <cell r="S141">
            <v>458.77839369091811</v>
          </cell>
          <cell r="T141">
            <v>458.77839369091811</v>
          </cell>
          <cell r="U141">
            <v>458.77839369091811</v>
          </cell>
          <cell r="V141">
            <v>458.77839369091805</v>
          </cell>
          <cell r="W141">
            <v>458.77839369091811</v>
          </cell>
          <cell r="X141">
            <v>2290.3701320000214</v>
          </cell>
        </row>
        <row r="142">
          <cell r="B142">
            <v>4</v>
          </cell>
          <cell r="C142" t="str">
            <v>Case 2 updated with Bloomberg Rates forecast</v>
          </cell>
          <cell r="I142">
            <v>353.82780205420954</v>
          </cell>
          <cell r="J142">
            <v>406.54609822349204</v>
          </cell>
          <cell r="K142">
            <v>365.89486940404623</v>
          </cell>
          <cell r="L142">
            <v>367.76257712336616</v>
          </cell>
          <cell r="M142">
            <v>365.93950255672496</v>
          </cell>
          <cell r="N142">
            <v>458.07402640000424</v>
          </cell>
          <cell r="O142">
            <v>458.0740264000043</v>
          </cell>
          <cell r="P142">
            <v>458.07402640000424</v>
          </cell>
          <cell r="Q142">
            <v>458.0740264000043</v>
          </cell>
          <cell r="R142">
            <v>458.07402640000424</v>
          </cell>
          <cell r="S142">
            <v>458.77839369091811</v>
          </cell>
          <cell r="T142">
            <v>458.77839369091811</v>
          </cell>
          <cell r="U142">
            <v>458.77839369091811</v>
          </cell>
          <cell r="V142">
            <v>458.77839369091805</v>
          </cell>
          <cell r="W142">
            <v>458.77839369091811</v>
          </cell>
          <cell r="X142">
            <v>2290.3701320000214</v>
          </cell>
        </row>
        <row r="143">
          <cell r="B143">
            <v>5</v>
          </cell>
          <cell r="C143" t="str">
            <v>Case 3 updated with Transitional Benefit</v>
          </cell>
          <cell r="I143">
            <v>353.82780205420954</v>
          </cell>
          <cell r="J143">
            <v>406.54609822349204</v>
          </cell>
          <cell r="K143">
            <v>365.89486940404623</v>
          </cell>
          <cell r="L143">
            <v>367.76257712336616</v>
          </cell>
          <cell r="M143">
            <v>365.93950255672496</v>
          </cell>
          <cell r="N143">
            <v>458.07402640000424</v>
          </cell>
          <cell r="O143">
            <v>458.0740264000043</v>
          </cell>
          <cell r="P143">
            <v>458.07402640000424</v>
          </cell>
          <cell r="Q143">
            <v>458.0740264000043</v>
          </cell>
          <cell r="R143">
            <v>458.07402640000424</v>
          </cell>
          <cell r="S143">
            <v>458.77839369091811</v>
          </cell>
          <cell r="T143">
            <v>458.77839369091811</v>
          </cell>
          <cell r="U143">
            <v>458.77839369091811</v>
          </cell>
          <cell r="V143">
            <v>458.77839369091805</v>
          </cell>
          <cell r="W143">
            <v>458.77839369091811</v>
          </cell>
          <cell r="X143">
            <v>2290.3701320000214</v>
          </cell>
        </row>
        <row r="144">
          <cell r="B144">
            <v>6</v>
          </cell>
          <cell r="C144" t="str">
            <v>Case 3 updated with Transitional Benefit</v>
          </cell>
          <cell r="I144">
            <v>353.82780205420954</v>
          </cell>
          <cell r="J144">
            <v>406.54609822349204</v>
          </cell>
          <cell r="K144">
            <v>365.89486940404623</v>
          </cell>
          <cell r="L144">
            <v>367.76257712336616</v>
          </cell>
          <cell r="M144">
            <v>365.93950255672496</v>
          </cell>
          <cell r="N144">
            <v>458.07402640000424</v>
          </cell>
          <cell r="O144">
            <v>458.0740264000043</v>
          </cell>
          <cell r="P144">
            <v>458.07402640000424</v>
          </cell>
          <cell r="Q144">
            <v>458.0740264000043</v>
          </cell>
          <cell r="R144">
            <v>458.07402640000424</v>
          </cell>
          <cell r="S144">
            <v>458.77839369091811</v>
          </cell>
          <cell r="T144">
            <v>458.77839369091811</v>
          </cell>
          <cell r="U144">
            <v>458.77839369091811</v>
          </cell>
          <cell r="V144">
            <v>458.77839369091805</v>
          </cell>
          <cell r="W144">
            <v>458.77839369091811</v>
          </cell>
          <cell r="X144">
            <v>2290.3701320000214</v>
          </cell>
        </row>
        <row r="145">
          <cell r="B145">
            <v>7</v>
          </cell>
          <cell r="C145" t="str">
            <v>Case 2 updated with 4.23% RfR (Proposal Margin)</v>
          </cell>
          <cell r="I145">
            <v>353.82780205420954</v>
          </cell>
          <cell r="J145">
            <v>406.54609822349204</v>
          </cell>
          <cell r="K145">
            <v>365.89486940404623</v>
          </cell>
          <cell r="L145">
            <v>367.76257712336616</v>
          </cell>
          <cell r="M145">
            <v>365.93950255672496</v>
          </cell>
          <cell r="N145">
            <v>458.07402640000424</v>
          </cell>
          <cell r="O145">
            <v>458.0740264000043</v>
          </cell>
          <cell r="P145">
            <v>458.07402640000424</v>
          </cell>
          <cell r="Q145">
            <v>458.0740264000043</v>
          </cell>
          <cell r="R145">
            <v>458.07402640000424</v>
          </cell>
          <cell r="S145">
            <v>458.77839369091811</v>
          </cell>
          <cell r="T145">
            <v>458.77839369091811</v>
          </cell>
          <cell r="U145">
            <v>458.77839369091811</v>
          </cell>
          <cell r="V145">
            <v>458.77839369091805</v>
          </cell>
          <cell r="W145">
            <v>458.77839369091811</v>
          </cell>
          <cell r="X145">
            <v>2290.3701320000214</v>
          </cell>
        </row>
        <row r="146">
          <cell r="B146">
            <v>8</v>
          </cell>
          <cell r="C146">
            <v>0</v>
          </cell>
          <cell r="I146">
            <v>353.82780205420954</v>
          </cell>
          <cell r="J146">
            <v>406.54609822349204</v>
          </cell>
          <cell r="K146">
            <v>365.89486940404623</v>
          </cell>
          <cell r="L146">
            <v>367.76257712336616</v>
          </cell>
          <cell r="M146">
            <v>365.93950255672496</v>
          </cell>
          <cell r="N146">
            <v>0</v>
          </cell>
          <cell r="O146">
            <v>0</v>
          </cell>
          <cell r="P146">
            <v>0</v>
          </cell>
          <cell r="Q146">
            <v>0</v>
          </cell>
          <cell r="R146">
            <v>0</v>
          </cell>
          <cell r="S146">
            <v>0</v>
          </cell>
          <cell r="T146">
            <v>0</v>
          </cell>
          <cell r="U146">
            <v>0</v>
          </cell>
          <cell r="V146">
            <v>0</v>
          </cell>
          <cell r="W146">
            <v>0</v>
          </cell>
          <cell r="X146">
            <v>0</v>
          </cell>
        </row>
        <row r="147">
          <cell r="B147">
            <v>9</v>
          </cell>
          <cell r="C147">
            <v>0</v>
          </cell>
          <cell r="I147">
            <v>353.82780205420954</v>
          </cell>
          <cell r="J147">
            <v>406.54609822349204</v>
          </cell>
          <cell r="K147">
            <v>365.89486940404623</v>
          </cell>
          <cell r="L147">
            <v>367.76257712336616</v>
          </cell>
          <cell r="M147">
            <v>365.93950255672496</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row>
        <row r="148">
          <cell r="B148">
            <v>10</v>
          </cell>
          <cell r="C148">
            <v>0</v>
          </cell>
          <cell r="I148">
            <v>353.82780205420954</v>
          </cell>
          <cell r="J148">
            <v>406.54609822349204</v>
          </cell>
          <cell r="K148">
            <v>365.89486940404623</v>
          </cell>
          <cell r="L148">
            <v>367.76257712336616</v>
          </cell>
          <cell r="M148">
            <v>365.93950255672496</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row>
        <row r="149">
          <cell r="B149">
            <v>11</v>
          </cell>
          <cell r="C149">
            <v>0</v>
          </cell>
          <cell r="I149">
            <v>353.82780205420954</v>
          </cell>
          <cell r="J149">
            <v>406.54609822349204</v>
          </cell>
          <cell r="K149">
            <v>365.89486940404623</v>
          </cell>
          <cell r="L149">
            <v>367.76257712336616</v>
          </cell>
          <cell r="M149">
            <v>365.93950255672496</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row>
        <row r="150">
          <cell r="B150">
            <v>12</v>
          </cell>
          <cell r="C150">
            <v>0</v>
          </cell>
          <cell r="I150">
            <v>353.82780205420954</v>
          </cell>
          <cell r="J150">
            <v>406.54609822349204</v>
          </cell>
          <cell r="K150">
            <v>365.89486940404623</v>
          </cell>
          <cell r="L150">
            <v>367.76257712336616</v>
          </cell>
          <cell r="M150">
            <v>365.93950255672496</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row>
        <row r="151">
          <cell r="B151">
            <v>13</v>
          </cell>
          <cell r="C151">
            <v>0</v>
          </cell>
          <cell r="I151">
            <v>353.82780205420954</v>
          </cell>
          <cell r="J151">
            <v>406.54609822349204</v>
          </cell>
          <cell r="K151">
            <v>365.89486940404623</v>
          </cell>
          <cell r="L151">
            <v>367.76257712336616</v>
          </cell>
          <cell r="M151">
            <v>365.93950255672496</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row>
        <row r="152">
          <cell r="B152">
            <v>14</v>
          </cell>
          <cell r="C152">
            <v>0</v>
          </cell>
          <cell r="I152">
            <v>353.82780205420954</v>
          </cell>
          <cell r="J152">
            <v>406.54609822349204</v>
          </cell>
          <cell r="K152">
            <v>365.89486940404623</v>
          </cell>
          <cell r="L152">
            <v>367.76257712336616</v>
          </cell>
          <cell r="M152">
            <v>365.93950255672496</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row>
        <row r="153">
          <cell r="B153">
            <v>15</v>
          </cell>
          <cell r="C153">
            <v>0</v>
          </cell>
          <cell r="I153">
            <v>353.82780205420954</v>
          </cell>
          <cell r="J153">
            <v>406.54609822349204</v>
          </cell>
          <cell r="K153">
            <v>365.89486940404623</v>
          </cell>
          <cell r="L153">
            <v>367.76257712336616</v>
          </cell>
          <cell r="M153">
            <v>365.93950255672496</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row>
        <row r="154">
          <cell r="B154">
            <v>16</v>
          </cell>
          <cell r="C154">
            <v>0</v>
          </cell>
          <cell r="I154">
            <v>353.82780205420954</v>
          </cell>
          <cell r="J154">
            <v>406.54609822349204</v>
          </cell>
          <cell r="K154">
            <v>365.89486940404623</v>
          </cell>
          <cell r="L154">
            <v>367.76257712336616</v>
          </cell>
          <cell r="M154">
            <v>365.93950255672496</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row>
        <row r="155">
          <cell r="B155">
            <v>17</v>
          </cell>
          <cell r="C155">
            <v>0</v>
          </cell>
          <cell r="I155">
            <v>353.82780205420954</v>
          </cell>
          <cell r="J155">
            <v>406.54609822349204</v>
          </cell>
          <cell r="K155">
            <v>365.89486940404623</v>
          </cell>
          <cell r="L155">
            <v>367.76257712336616</v>
          </cell>
          <cell r="M155">
            <v>365.93950255672496</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row>
        <row r="156">
          <cell r="B156">
            <v>18</v>
          </cell>
          <cell r="C156">
            <v>0</v>
          </cell>
          <cell r="I156">
            <v>353.82780205420954</v>
          </cell>
          <cell r="J156">
            <v>406.54609822349204</v>
          </cell>
          <cell r="K156">
            <v>365.89486940404623</v>
          </cell>
          <cell r="L156">
            <v>367.76257712336616</v>
          </cell>
          <cell r="M156">
            <v>365.93950255672496</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row>
        <row r="157">
          <cell r="B157">
            <v>19</v>
          </cell>
          <cell r="C157">
            <v>0</v>
          </cell>
          <cell r="I157">
            <v>353.82780205420954</v>
          </cell>
          <cell r="J157">
            <v>406.54609822349204</v>
          </cell>
          <cell r="K157">
            <v>365.89486940404623</v>
          </cell>
          <cell r="L157">
            <v>367.76257712336616</v>
          </cell>
          <cell r="M157">
            <v>365.93950255672496</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row>
        <row r="158">
          <cell r="B158">
            <v>20</v>
          </cell>
          <cell r="C158">
            <v>0</v>
          </cell>
          <cell r="I158">
            <v>353.82780205420954</v>
          </cell>
          <cell r="J158">
            <v>406.54609822349204</v>
          </cell>
          <cell r="K158">
            <v>365.89486940404623</v>
          </cell>
          <cell r="L158">
            <v>367.76257712336616</v>
          </cell>
          <cell r="M158">
            <v>365.93950255672496</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row>
        <row r="161">
          <cell r="B161">
            <v>1</v>
          </cell>
          <cell r="C161" t="str">
            <v xml:space="preserve">2014 "Owners Plan" </v>
          </cell>
          <cell r="I161">
            <v>223.74311300322631</v>
          </cell>
          <cell r="J161">
            <v>223.30251868275499</v>
          </cell>
          <cell r="K161">
            <v>229.16166470962176</v>
          </cell>
          <cell r="L161">
            <v>238.48285060498981</v>
          </cell>
          <cell r="M161">
            <v>243.35940850626108</v>
          </cell>
          <cell r="N161">
            <v>261.49980237105723</v>
          </cell>
          <cell r="O161">
            <v>264.18779171034748</v>
          </cell>
          <cell r="P161">
            <v>275.80275547459127</v>
          </cell>
          <cell r="Q161">
            <v>284.61003365571867</v>
          </cell>
          <cell r="R161">
            <v>291.0338228477446</v>
          </cell>
          <cell r="S161">
            <v>290.59144172404075</v>
          </cell>
          <cell r="T161">
            <v>290.69539890120416</v>
          </cell>
          <cell r="U161">
            <v>290.78455015098973</v>
          </cell>
          <cell r="V161">
            <v>290.85889547339758</v>
          </cell>
          <cell r="W161">
            <v>290.91843486842754</v>
          </cell>
          <cell r="X161">
            <v>1377.1342060594595</v>
          </cell>
        </row>
        <row r="162">
          <cell r="B162">
            <v>2</v>
          </cell>
          <cell r="C162" t="str">
            <v>2014 "Owners Plan" updated with 2014 debt refinancing</v>
          </cell>
          <cell r="I162">
            <v>223.74311300322631</v>
          </cell>
          <cell r="J162">
            <v>223.30251868275499</v>
          </cell>
          <cell r="K162">
            <v>229.16166470962176</v>
          </cell>
          <cell r="L162">
            <v>238.48285060498981</v>
          </cell>
          <cell r="M162">
            <v>243.35940850626108</v>
          </cell>
          <cell r="N162">
            <v>261.49980237105723</v>
          </cell>
          <cell r="O162">
            <v>264.18779171034748</v>
          </cell>
          <cell r="P162">
            <v>275.80275547459127</v>
          </cell>
          <cell r="Q162">
            <v>284.61003365571867</v>
          </cell>
          <cell r="R162">
            <v>291.0338228477446</v>
          </cell>
          <cell r="S162">
            <v>290.59144172404075</v>
          </cell>
          <cell r="T162">
            <v>290.69539890120416</v>
          </cell>
          <cell r="U162">
            <v>290.78455015098973</v>
          </cell>
          <cell r="V162">
            <v>290.85889547339758</v>
          </cell>
          <cell r="W162">
            <v>290.91843486842754</v>
          </cell>
          <cell r="X162">
            <v>1377.1342060594595</v>
          </cell>
        </row>
        <row r="163">
          <cell r="B163">
            <v>3</v>
          </cell>
          <cell r="C163" t="str">
            <v>Case 2 updated with RBA Rates forecast</v>
          </cell>
          <cell r="I163">
            <v>223.74311300322631</v>
          </cell>
          <cell r="J163">
            <v>223.30251868275499</v>
          </cell>
          <cell r="K163">
            <v>229.16166470962176</v>
          </cell>
          <cell r="L163">
            <v>238.48285060498981</v>
          </cell>
          <cell r="M163">
            <v>243.35940850626108</v>
          </cell>
          <cell r="N163">
            <v>261.49980237105723</v>
          </cell>
          <cell r="O163">
            <v>264.18753358126929</v>
          </cell>
          <cell r="P163">
            <v>275.80225319606012</v>
          </cell>
          <cell r="Q163">
            <v>284.60930120735975</v>
          </cell>
          <cell r="R163">
            <v>291.03287420918309</v>
          </cell>
          <cell r="S163">
            <v>290.59045846698513</v>
          </cell>
          <cell r="T163">
            <v>290.69420651376794</v>
          </cell>
          <cell r="U163">
            <v>290.78316261279815</v>
          </cell>
          <cell r="V163">
            <v>290.85732676407576</v>
          </cell>
          <cell r="W163">
            <v>290.91669896760072</v>
          </cell>
          <cell r="X163">
            <v>1377.1317645649294</v>
          </cell>
        </row>
        <row r="164">
          <cell r="B164">
            <v>4</v>
          </cell>
          <cell r="C164" t="str">
            <v>Case 2 updated with Bloomberg Rates forecast</v>
          </cell>
          <cell r="I164">
            <v>223.74311300322631</v>
          </cell>
          <cell r="J164">
            <v>223.30251868275499</v>
          </cell>
          <cell r="K164">
            <v>229.16166470962176</v>
          </cell>
          <cell r="L164">
            <v>238.48285060498981</v>
          </cell>
          <cell r="M164">
            <v>243.35940850626108</v>
          </cell>
          <cell r="N164">
            <v>261.49980237105723</v>
          </cell>
          <cell r="O164">
            <v>264.18703941898127</v>
          </cell>
          <cell r="P164">
            <v>275.80129163407764</v>
          </cell>
          <cell r="Q164">
            <v>284.60789900827609</v>
          </cell>
          <cell r="R164">
            <v>291.03105813559165</v>
          </cell>
          <cell r="S164">
            <v>290.588576119751</v>
          </cell>
          <cell r="T164">
            <v>290.69192380734881</v>
          </cell>
          <cell r="U164">
            <v>290.78050630978748</v>
          </cell>
          <cell r="V164">
            <v>290.85432362706695</v>
          </cell>
          <cell r="W164">
            <v>290.91337575918726</v>
          </cell>
          <cell r="X164">
            <v>1377.1270905679837</v>
          </cell>
        </row>
        <row r="165">
          <cell r="B165">
            <v>5</v>
          </cell>
          <cell r="C165" t="str">
            <v>Case 3 updated with Transitional Benefit</v>
          </cell>
          <cell r="I165">
            <v>223.74311300322631</v>
          </cell>
          <cell r="J165">
            <v>223.30251868275499</v>
          </cell>
          <cell r="K165">
            <v>229.16166470962176</v>
          </cell>
          <cell r="L165">
            <v>238.48285060498981</v>
          </cell>
          <cell r="M165">
            <v>243.35940850626108</v>
          </cell>
          <cell r="N165">
            <v>261.49980237105723</v>
          </cell>
          <cell r="O165">
            <v>264.18753358126929</v>
          </cell>
          <cell r="P165">
            <v>275.80225319606012</v>
          </cell>
          <cell r="Q165">
            <v>284.60930120735975</v>
          </cell>
          <cell r="R165">
            <v>291.03287420918309</v>
          </cell>
          <cell r="S165">
            <v>290.59045846698513</v>
          </cell>
          <cell r="T165">
            <v>290.69420651376794</v>
          </cell>
          <cell r="U165">
            <v>290.78316261279815</v>
          </cell>
          <cell r="V165">
            <v>290.85732676407576</v>
          </cell>
          <cell r="W165">
            <v>290.91669896760072</v>
          </cell>
          <cell r="X165">
            <v>1377.1317645649294</v>
          </cell>
        </row>
        <row r="166">
          <cell r="B166">
            <v>6</v>
          </cell>
          <cell r="C166" t="str">
            <v>Case 3 updated with Transitional Benefit</v>
          </cell>
          <cell r="I166">
            <v>223.74311300322631</v>
          </cell>
          <cell r="J166">
            <v>223.30251868275499</v>
          </cell>
          <cell r="K166">
            <v>229.16166470962176</v>
          </cell>
          <cell r="L166">
            <v>238.48285060498981</v>
          </cell>
          <cell r="M166">
            <v>243.35940850626108</v>
          </cell>
          <cell r="N166">
            <v>261.49980237105723</v>
          </cell>
          <cell r="O166">
            <v>264.18703941898127</v>
          </cell>
          <cell r="P166">
            <v>275.80129163407764</v>
          </cell>
          <cell r="Q166">
            <v>284.60789900827609</v>
          </cell>
          <cell r="R166">
            <v>291.03105813559165</v>
          </cell>
          <cell r="S166">
            <v>290.588576119751</v>
          </cell>
          <cell r="T166">
            <v>290.69192380734881</v>
          </cell>
          <cell r="U166">
            <v>290.78050630978748</v>
          </cell>
          <cell r="V166">
            <v>290.85432362706695</v>
          </cell>
          <cell r="W166">
            <v>290.91337575918726</v>
          </cell>
          <cell r="X166">
            <v>1377.1270905679837</v>
          </cell>
        </row>
        <row r="167">
          <cell r="B167">
            <v>7</v>
          </cell>
          <cell r="C167" t="str">
            <v>Case 2 updated with 4.23% RfR (Proposal Margin)</v>
          </cell>
          <cell r="I167">
            <v>223.74311300322631</v>
          </cell>
          <cell r="J167">
            <v>223.30251868275499</v>
          </cell>
          <cell r="K167">
            <v>229.16166470962176</v>
          </cell>
          <cell r="L167">
            <v>238.48285060498981</v>
          </cell>
          <cell r="M167">
            <v>243.35940850626108</v>
          </cell>
          <cell r="N167">
            <v>261.49980237105723</v>
          </cell>
          <cell r="O167">
            <v>264.18766267628814</v>
          </cell>
          <cell r="P167">
            <v>275.80250439463458</v>
          </cell>
          <cell r="Q167">
            <v>284.60966751802653</v>
          </cell>
          <cell r="R167">
            <v>291.03334864047872</v>
          </cell>
          <cell r="S167">
            <v>290.59095021161568</v>
          </cell>
          <cell r="T167">
            <v>290.69467375326383</v>
          </cell>
          <cell r="U167">
            <v>290.78360534715955</v>
          </cell>
          <cell r="V167">
            <v>290.85774499330262</v>
          </cell>
          <cell r="W167">
            <v>290.91709269169303</v>
          </cell>
          <cell r="X167">
            <v>1377.132985600485</v>
          </cell>
        </row>
        <row r="168">
          <cell r="B168">
            <v>8</v>
          </cell>
          <cell r="C168">
            <v>0</v>
          </cell>
          <cell r="I168">
            <v>223.74311300322631</v>
          </cell>
          <cell r="J168">
            <v>223.30251868275499</v>
          </cell>
          <cell r="K168">
            <v>229.16166470962176</v>
          </cell>
          <cell r="L168">
            <v>238.48285060498981</v>
          </cell>
          <cell r="M168">
            <v>243.35940850626108</v>
          </cell>
          <cell r="N168">
            <v>0</v>
          </cell>
          <cell r="O168">
            <v>0</v>
          </cell>
          <cell r="P168">
            <v>0</v>
          </cell>
          <cell r="Q168">
            <v>0</v>
          </cell>
          <cell r="R168">
            <v>0</v>
          </cell>
          <cell r="S168">
            <v>0</v>
          </cell>
          <cell r="T168">
            <v>0</v>
          </cell>
          <cell r="U168">
            <v>0</v>
          </cell>
          <cell r="V168">
            <v>0</v>
          </cell>
          <cell r="W168">
            <v>0</v>
          </cell>
          <cell r="X168">
            <v>0</v>
          </cell>
        </row>
        <row r="169">
          <cell r="B169">
            <v>9</v>
          </cell>
          <cell r="C169">
            <v>0</v>
          </cell>
          <cell r="I169">
            <v>223.74311300322631</v>
          </cell>
          <cell r="J169">
            <v>223.30251868275499</v>
          </cell>
          <cell r="K169">
            <v>229.16166470962176</v>
          </cell>
          <cell r="L169">
            <v>238.48285060498981</v>
          </cell>
          <cell r="M169">
            <v>243.35940850626108</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row>
        <row r="170">
          <cell r="B170">
            <v>10</v>
          </cell>
          <cell r="C170">
            <v>0</v>
          </cell>
          <cell r="I170">
            <v>223.74311300322631</v>
          </cell>
          <cell r="J170">
            <v>223.30251868275499</v>
          </cell>
          <cell r="K170">
            <v>229.16166470962176</v>
          </cell>
          <cell r="L170">
            <v>238.48285060498981</v>
          </cell>
          <cell r="M170">
            <v>243.35940850626108</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row>
        <row r="171">
          <cell r="B171">
            <v>11</v>
          </cell>
          <cell r="C171">
            <v>0</v>
          </cell>
          <cell r="I171">
            <v>223.74311300322631</v>
          </cell>
          <cell r="J171">
            <v>223.30251868275499</v>
          </cell>
          <cell r="K171">
            <v>229.16166470962176</v>
          </cell>
          <cell r="L171">
            <v>238.48285060498981</v>
          </cell>
          <cell r="M171">
            <v>243.35940850626108</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row>
        <row r="172">
          <cell r="B172">
            <v>12</v>
          </cell>
          <cell r="C172">
            <v>0</v>
          </cell>
          <cell r="I172">
            <v>223.74311300322631</v>
          </cell>
          <cell r="J172">
            <v>223.30251868275499</v>
          </cell>
          <cell r="K172">
            <v>229.16166470962176</v>
          </cell>
          <cell r="L172">
            <v>238.48285060498981</v>
          </cell>
          <cell r="M172">
            <v>243.35940850626108</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row>
        <row r="173">
          <cell r="B173">
            <v>13</v>
          </cell>
          <cell r="C173">
            <v>0</v>
          </cell>
          <cell r="I173">
            <v>223.74311300322631</v>
          </cell>
          <cell r="J173">
            <v>223.30251868275499</v>
          </cell>
          <cell r="K173">
            <v>229.16166470962176</v>
          </cell>
          <cell r="L173">
            <v>238.48285060498981</v>
          </cell>
          <cell r="M173">
            <v>243.35940850626108</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row>
        <row r="174">
          <cell r="B174">
            <v>14</v>
          </cell>
          <cell r="C174">
            <v>0</v>
          </cell>
          <cell r="I174">
            <v>223.74311300322631</v>
          </cell>
          <cell r="J174">
            <v>223.30251868275499</v>
          </cell>
          <cell r="K174">
            <v>229.16166470962176</v>
          </cell>
          <cell r="L174">
            <v>238.48285060498981</v>
          </cell>
          <cell r="M174">
            <v>243.35940850626108</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row>
        <row r="175">
          <cell r="B175">
            <v>15</v>
          </cell>
          <cell r="C175">
            <v>0</v>
          </cell>
          <cell r="I175">
            <v>223.74311300322631</v>
          </cell>
          <cell r="J175">
            <v>223.30251868275499</v>
          </cell>
          <cell r="K175">
            <v>229.16166470962176</v>
          </cell>
          <cell r="L175">
            <v>238.48285060498981</v>
          </cell>
          <cell r="M175">
            <v>243.35940850626108</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row>
        <row r="176">
          <cell r="B176">
            <v>16</v>
          </cell>
          <cell r="C176">
            <v>0</v>
          </cell>
          <cell r="I176">
            <v>223.74311300322631</v>
          </cell>
          <cell r="J176">
            <v>223.30251868275499</v>
          </cell>
          <cell r="K176">
            <v>229.16166470962176</v>
          </cell>
          <cell r="L176">
            <v>238.48285060498981</v>
          </cell>
          <cell r="M176">
            <v>243.35940850626108</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row>
        <row r="177">
          <cell r="B177">
            <v>17</v>
          </cell>
          <cell r="C177">
            <v>0</v>
          </cell>
          <cell r="I177">
            <v>223.74311300322631</v>
          </cell>
          <cell r="J177">
            <v>223.30251868275499</v>
          </cell>
          <cell r="K177">
            <v>229.16166470962176</v>
          </cell>
          <cell r="L177">
            <v>238.48285060498981</v>
          </cell>
          <cell r="M177">
            <v>243.35940850626108</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row>
        <row r="178">
          <cell r="B178">
            <v>18</v>
          </cell>
          <cell r="C178">
            <v>0</v>
          </cell>
          <cell r="I178">
            <v>223.74311300322631</v>
          </cell>
          <cell r="J178">
            <v>223.30251868275499</v>
          </cell>
          <cell r="K178">
            <v>229.16166470962176</v>
          </cell>
          <cell r="L178">
            <v>238.48285060498981</v>
          </cell>
          <cell r="M178">
            <v>243.35940850626108</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row>
        <row r="179">
          <cell r="B179">
            <v>19</v>
          </cell>
          <cell r="C179">
            <v>0</v>
          </cell>
          <cell r="I179">
            <v>223.74311300322631</v>
          </cell>
          <cell r="J179">
            <v>223.30251868275499</v>
          </cell>
          <cell r="K179">
            <v>229.16166470962176</v>
          </cell>
          <cell r="L179">
            <v>238.48285060498981</v>
          </cell>
          <cell r="M179">
            <v>243.35940850626108</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row>
        <row r="180">
          <cell r="B180">
            <v>20</v>
          </cell>
          <cell r="C180">
            <v>0</v>
          </cell>
          <cell r="I180">
            <v>223.74311300322631</v>
          </cell>
          <cell r="J180">
            <v>223.30251868275499</v>
          </cell>
          <cell r="K180">
            <v>229.16166470962176</v>
          </cell>
          <cell r="L180">
            <v>238.48285060498981</v>
          </cell>
          <cell r="M180">
            <v>243.35940850626108</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row>
        <row r="183">
          <cell r="B183">
            <v>1</v>
          </cell>
          <cell r="C183" t="str">
            <v xml:space="preserve">2014 "Owners Plan" </v>
          </cell>
          <cell r="I183">
            <v>696.89898238991668</v>
          </cell>
          <cell r="J183">
            <v>805.94440074303327</v>
          </cell>
          <cell r="K183">
            <v>825.74342081824261</v>
          </cell>
          <cell r="L183">
            <v>873.25972876446042</v>
          </cell>
          <cell r="M183">
            <v>879.21686932774537</v>
          </cell>
          <cell r="N183">
            <v>829.20662436455166</v>
          </cell>
          <cell r="O183">
            <v>846.37641013689006</v>
          </cell>
          <cell r="P183">
            <v>863.91594602250211</v>
          </cell>
          <cell r="Q183">
            <v>881.8338129715562</v>
          </cell>
          <cell r="R183">
            <v>900.13881692087841</v>
          </cell>
          <cell r="S183">
            <v>944.4669392686925</v>
          </cell>
          <cell r="T183">
            <v>968.07861275040966</v>
          </cell>
          <cell r="U183">
            <v>992.28057806916979</v>
          </cell>
          <cell r="V183">
            <v>1017.0875925208989</v>
          </cell>
          <cell r="W183">
            <v>1042.5147823339212</v>
          </cell>
          <cell r="X183">
            <v>0</v>
          </cell>
          <cell r="Y183">
            <v>0</v>
          </cell>
          <cell r="Z183">
            <v>0</v>
          </cell>
          <cell r="AA183">
            <v>0</v>
          </cell>
          <cell r="AB183">
            <v>0</v>
          </cell>
        </row>
        <row r="184">
          <cell r="B184">
            <v>2</v>
          </cell>
          <cell r="C184" t="str">
            <v>2014 "Owners Plan" updated with 2014 debt refinancing</v>
          </cell>
          <cell r="I184">
            <v>696.89898238991668</v>
          </cell>
          <cell r="J184">
            <v>805.94440074303327</v>
          </cell>
          <cell r="K184">
            <v>825.74342081824261</v>
          </cell>
          <cell r="L184">
            <v>873.25972876446042</v>
          </cell>
          <cell r="M184">
            <v>879.21686932774537</v>
          </cell>
          <cell r="N184">
            <v>829.20662436455098</v>
          </cell>
          <cell r="O184">
            <v>846.37641013688938</v>
          </cell>
          <cell r="P184">
            <v>863.91594602250132</v>
          </cell>
          <cell r="Q184">
            <v>881.8338129715554</v>
          </cell>
          <cell r="R184">
            <v>900.1388169208775</v>
          </cell>
          <cell r="S184">
            <v>944.46693926869227</v>
          </cell>
          <cell r="T184">
            <v>968.07861275040943</v>
          </cell>
          <cell r="U184">
            <v>992.28057806916968</v>
          </cell>
          <cell r="V184">
            <v>1017.0875925208987</v>
          </cell>
          <cell r="W184">
            <v>1042.5147823339212</v>
          </cell>
          <cell r="X184">
            <v>0</v>
          </cell>
          <cell r="Y184">
            <v>0</v>
          </cell>
          <cell r="Z184">
            <v>0</v>
          </cell>
          <cell r="AA184">
            <v>0</v>
          </cell>
          <cell r="AB184">
            <v>0</v>
          </cell>
        </row>
        <row r="185">
          <cell r="B185">
            <v>3</v>
          </cell>
          <cell r="C185" t="str">
            <v>Case 2 updated with RBA Rates forecast</v>
          </cell>
          <cell r="I185">
            <v>696.89898238991668</v>
          </cell>
          <cell r="J185">
            <v>805.94440074303327</v>
          </cell>
          <cell r="K185">
            <v>825.74342081824261</v>
          </cell>
          <cell r="L185">
            <v>873.25972876446042</v>
          </cell>
          <cell r="M185">
            <v>879.21686932774537</v>
          </cell>
          <cell r="N185">
            <v>820.82437731371556</v>
          </cell>
          <cell r="O185">
            <v>837.82156553503103</v>
          </cell>
          <cell r="P185">
            <v>855.18482905114956</v>
          </cell>
          <cell r="Q185">
            <v>872.92266528683456</v>
          </cell>
          <cell r="R185">
            <v>891.04379453169281</v>
          </cell>
          <cell r="S185">
            <v>935.09061348244131</v>
          </cell>
          <cell r="T185">
            <v>958.4678788195024</v>
          </cell>
          <cell r="U185">
            <v>982.42957578998971</v>
          </cell>
          <cell r="V185">
            <v>1006.9903151847394</v>
          </cell>
          <cell r="W185">
            <v>1032.1650730643578</v>
          </cell>
          <cell r="X185">
            <v>0</v>
          </cell>
          <cell r="Y185">
            <v>0</v>
          </cell>
          <cell r="Z185">
            <v>0</v>
          </cell>
          <cell r="AA185">
            <v>0</v>
          </cell>
          <cell r="AB185">
            <v>0</v>
          </cell>
        </row>
        <row r="186">
          <cell r="B186">
            <v>4</v>
          </cell>
          <cell r="C186" t="str">
            <v>Case 2 updated with Bloomberg Rates forecast</v>
          </cell>
          <cell r="I186">
            <v>696.89898238991668</v>
          </cell>
          <cell r="J186">
            <v>805.94440074303327</v>
          </cell>
          <cell r="K186">
            <v>825.74342081824261</v>
          </cell>
          <cell r="L186">
            <v>873.25972876446042</v>
          </cell>
          <cell r="M186">
            <v>879.21686932774537</v>
          </cell>
          <cell r="N186">
            <v>804.80253518152358</v>
          </cell>
          <cell r="O186">
            <v>821.4698190853918</v>
          </cell>
          <cell r="P186">
            <v>838.49615416134793</v>
          </cell>
          <cell r="Q186">
            <v>855.88987818006467</v>
          </cell>
          <cell r="R186">
            <v>873.65954772125258</v>
          </cell>
          <cell r="S186">
            <v>917.17963276416754</v>
          </cell>
          <cell r="T186">
            <v>940.10912358327153</v>
          </cell>
          <cell r="U186">
            <v>963.61185167285328</v>
          </cell>
          <cell r="V186">
            <v>987.70214796467451</v>
          </cell>
          <cell r="W186">
            <v>1012.3947016637911</v>
          </cell>
          <cell r="X186">
            <v>0</v>
          </cell>
          <cell r="Y186">
            <v>0</v>
          </cell>
          <cell r="Z186">
            <v>0</v>
          </cell>
          <cell r="AA186">
            <v>0</v>
          </cell>
          <cell r="AB186">
            <v>0</v>
          </cell>
        </row>
        <row r="187">
          <cell r="B187">
            <v>5</v>
          </cell>
          <cell r="C187" t="str">
            <v>Case 3 updated with Transitional Benefit</v>
          </cell>
          <cell r="I187">
            <v>696.89898238991668</v>
          </cell>
          <cell r="J187">
            <v>805.94440074303327</v>
          </cell>
          <cell r="K187">
            <v>825.74342081824261</v>
          </cell>
          <cell r="L187">
            <v>873.25972876446042</v>
          </cell>
          <cell r="M187">
            <v>879.21686932774537</v>
          </cell>
          <cell r="N187">
            <v>820.82437731371556</v>
          </cell>
          <cell r="O187">
            <v>837.82156553503103</v>
          </cell>
          <cell r="P187">
            <v>855.18482905114956</v>
          </cell>
          <cell r="Q187">
            <v>872.92266528683456</v>
          </cell>
          <cell r="R187">
            <v>891.04379453169281</v>
          </cell>
          <cell r="S187">
            <v>935.09061348244131</v>
          </cell>
          <cell r="T187">
            <v>958.4678788195024</v>
          </cell>
          <cell r="U187">
            <v>982.42957578998971</v>
          </cell>
          <cell r="V187">
            <v>1006.9903151847394</v>
          </cell>
          <cell r="W187">
            <v>1032.1650730643578</v>
          </cell>
          <cell r="X187">
            <v>0</v>
          </cell>
          <cell r="Y187">
            <v>0</v>
          </cell>
          <cell r="Z187">
            <v>0</v>
          </cell>
          <cell r="AA187">
            <v>0</v>
          </cell>
          <cell r="AB187">
            <v>0</v>
          </cell>
        </row>
        <row r="188">
          <cell r="B188">
            <v>6</v>
          </cell>
          <cell r="C188" t="str">
            <v>Case 3 updated with Transitional Benefit</v>
          </cell>
          <cell r="I188">
            <v>696.89898238991668</v>
          </cell>
          <cell r="J188">
            <v>805.94440074303327</v>
          </cell>
          <cell r="K188">
            <v>825.74342081824261</v>
          </cell>
          <cell r="L188">
            <v>873.25972876446042</v>
          </cell>
          <cell r="M188">
            <v>879.21686932774537</v>
          </cell>
          <cell r="N188">
            <v>804.80253518152347</v>
          </cell>
          <cell r="O188">
            <v>821.46981908539169</v>
          </cell>
          <cell r="P188">
            <v>838.49615416134782</v>
          </cell>
          <cell r="Q188">
            <v>855.88987818006456</v>
          </cell>
          <cell r="R188">
            <v>873.65954772125247</v>
          </cell>
          <cell r="S188">
            <v>917.17963276416776</v>
          </cell>
          <cell r="T188">
            <v>940.10912358327164</v>
          </cell>
          <cell r="U188">
            <v>963.61185167285339</v>
          </cell>
          <cell r="V188">
            <v>987.70214796467474</v>
          </cell>
          <cell r="W188">
            <v>1012.3947016637914</v>
          </cell>
          <cell r="X188">
            <v>0</v>
          </cell>
          <cell r="Y188">
            <v>0</v>
          </cell>
          <cell r="Z188">
            <v>0</v>
          </cell>
          <cell r="AA188">
            <v>0</v>
          </cell>
          <cell r="AB188">
            <v>0</v>
          </cell>
        </row>
        <row r="189">
          <cell r="B189">
            <v>7</v>
          </cell>
          <cell r="C189" t="str">
            <v>Case 2 updated with 4.23% RfR (Proposal Margin)</v>
          </cell>
          <cell r="I189">
            <v>696.89898238991668</v>
          </cell>
          <cell r="J189">
            <v>805.94440074303327</v>
          </cell>
          <cell r="K189">
            <v>825.74342081824261</v>
          </cell>
          <cell r="L189">
            <v>873.25972876446042</v>
          </cell>
          <cell r="M189">
            <v>879.21686932774537</v>
          </cell>
          <cell r="N189">
            <v>825.01536572153566</v>
          </cell>
          <cell r="O189">
            <v>842.09884998377868</v>
          </cell>
          <cell r="P189">
            <v>859.55024689391803</v>
          </cell>
          <cell r="Q189">
            <v>877.37809563823134</v>
          </cell>
          <cell r="R189">
            <v>895.59115932872021</v>
          </cell>
          <cell r="S189">
            <v>935.06188140423217</v>
          </cell>
          <cell r="T189">
            <v>958.43842843933771</v>
          </cell>
          <cell r="U189">
            <v>982.3993891503211</v>
          </cell>
          <cell r="V189">
            <v>1006.9593738790791</v>
          </cell>
          <cell r="W189">
            <v>1032.1333582260561</v>
          </cell>
          <cell r="X189">
            <v>0</v>
          </cell>
          <cell r="Y189">
            <v>0</v>
          </cell>
          <cell r="Z189">
            <v>0</v>
          </cell>
          <cell r="AA189">
            <v>0</v>
          </cell>
          <cell r="AB189">
            <v>0</v>
          </cell>
        </row>
        <row r="190">
          <cell r="B190">
            <v>8</v>
          </cell>
          <cell r="C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row>
        <row r="191">
          <cell r="B191">
            <v>9</v>
          </cell>
          <cell r="C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row>
        <row r="192">
          <cell r="B192">
            <v>10</v>
          </cell>
          <cell r="C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row>
        <row r="193">
          <cell r="B193">
            <v>11</v>
          </cell>
          <cell r="C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row>
        <row r="194">
          <cell r="B194">
            <v>12</v>
          </cell>
          <cell r="C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row>
        <row r="195">
          <cell r="B195">
            <v>13</v>
          </cell>
          <cell r="C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row>
        <row r="196">
          <cell r="B196">
            <v>14</v>
          </cell>
          <cell r="C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row>
        <row r="197">
          <cell r="B197">
            <v>15</v>
          </cell>
          <cell r="C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row>
        <row r="198">
          <cell r="B198">
            <v>16</v>
          </cell>
          <cell r="C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row>
        <row r="199">
          <cell r="B199">
            <v>17</v>
          </cell>
          <cell r="C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row>
        <row r="200">
          <cell r="B200">
            <v>18</v>
          </cell>
          <cell r="C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row>
        <row r="201">
          <cell r="B201">
            <v>19</v>
          </cell>
          <cell r="C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row>
        <row r="202">
          <cell r="B202">
            <v>20</v>
          </cell>
          <cell r="C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row>
        <row r="205">
          <cell r="B205">
            <v>1</v>
          </cell>
          <cell r="C205" t="str">
            <v xml:space="preserve">2014 "Owners Plan" </v>
          </cell>
          <cell r="I205">
            <v>636.82567038836362</v>
          </cell>
          <cell r="J205">
            <v>748.1075228824966</v>
          </cell>
          <cell r="K205">
            <v>785.6478513011732</v>
          </cell>
          <cell r="L205">
            <v>851.79450718343787</v>
          </cell>
          <cell r="M205">
            <v>879.21686932774537</v>
          </cell>
          <cell r="N205">
            <v>849.93678997366533</v>
          </cell>
          <cell r="O205">
            <v>889.22421590006991</v>
          </cell>
          <cell r="P205">
            <v>930.34298305963841</v>
          </cell>
          <cell r="Q205">
            <v>973.37953014699872</v>
          </cell>
          <cell r="R205">
            <v>1018.4244502059321</v>
          </cell>
          <cell r="S205">
            <v>1095.292093189576</v>
          </cell>
          <cell r="T205">
            <v>1150.741255407298</v>
          </cell>
          <cell r="U205">
            <v>1208.9975314622923</v>
          </cell>
          <cell r="V205">
            <v>1270.2030314925705</v>
          </cell>
          <cell r="W205">
            <v>1334.5070599618816</v>
          </cell>
          <cell r="X205">
            <v>0</v>
          </cell>
          <cell r="Y205">
            <v>0</v>
          </cell>
          <cell r="Z205">
            <v>0</v>
          </cell>
          <cell r="AA205">
            <v>0</v>
          </cell>
          <cell r="AB205">
            <v>0</v>
          </cell>
        </row>
        <row r="206">
          <cell r="B206">
            <v>2</v>
          </cell>
          <cell r="C206" t="str">
            <v>2014 "Owners Plan" updated with 2014 debt refinancing</v>
          </cell>
          <cell r="I206">
            <v>636.82567038836362</v>
          </cell>
          <cell r="J206">
            <v>748.1075228824966</v>
          </cell>
          <cell r="K206">
            <v>785.6478513011732</v>
          </cell>
          <cell r="L206">
            <v>851.79450718343787</v>
          </cell>
          <cell r="M206">
            <v>879.21686932774537</v>
          </cell>
          <cell r="N206">
            <v>849.93678997366453</v>
          </cell>
          <cell r="O206">
            <v>889.22421590006911</v>
          </cell>
          <cell r="P206">
            <v>930.34298305963762</v>
          </cell>
          <cell r="Q206">
            <v>973.37953014699781</v>
          </cell>
          <cell r="R206">
            <v>1018.4244502059312</v>
          </cell>
          <cell r="S206">
            <v>1095.2920931895758</v>
          </cell>
          <cell r="T206">
            <v>1150.7412554072978</v>
          </cell>
          <cell r="U206">
            <v>1208.997531462292</v>
          </cell>
          <cell r="V206">
            <v>1270.2030314925703</v>
          </cell>
          <cell r="W206">
            <v>1334.5070599618814</v>
          </cell>
          <cell r="X206">
            <v>0</v>
          </cell>
          <cell r="Y206">
            <v>0</v>
          </cell>
          <cell r="Z206">
            <v>0</v>
          </cell>
          <cell r="AA206">
            <v>0</v>
          </cell>
          <cell r="AB206">
            <v>0</v>
          </cell>
        </row>
        <row r="207">
          <cell r="B207">
            <v>3</v>
          </cell>
          <cell r="C207" t="str">
            <v>Case 2 updated with RBA Rates forecast</v>
          </cell>
          <cell r="I207">
            <v>636.82567038836362</v>
          </cell>
          <cell r="J207">
            <v>748.1075228824966</v>
          </cell>
          <cell r="K207">
            <v>785.6478513011732</v>
          </cell>
          <cell r="L207">
            <v>851.79450718343787</v>
          </cell>
          <cell r="M207">
            <v>879.21686932774537</v>
          </cell>
          <cell r="N207">
            <v>841.34498674655822</v>
          </cell>
          <cell r="O207">
            <v>880.23628229024177</v>
          </cell>
          <cell r="P207">
            <v>920.94052504741046</v>
          </cell>
          <cell r="Q207">
            <v>963.54329046233977</v>
          </cell>
          <cell r="R207">
            <v>1008.1342671783834</v>
          </cell>
          <cell r="S207">
            <v>1084.4184298882408</v>
          </cell>
          <cell r="T207">
            <v>1139.3171129013328</v>
          </cell>
          <cell r="U207">
            <v>1196.9950417419625</v>
          </cell>
          <cell r="V207">
            <v>1257.5929157301491</v>
          </cell>
          <cell r="W207">
            <v>1321.2585570889878</v>
          </cell>
          <cell r="X207">
            <v>0</v>
          </cell>
          <cell r="Y207">
            <v>0</v>
          </cell>
          <cell r="Z207">
            <v>0</v>
          </cell>
          <cell r="AA207">
            <v>0</v>
          </cell>
          <cell r="AB207">
            <v>0</v>
          </cell>
        </row>
        <row r="208">
          <cell r="B208">
            <v>4</v>
          </cell>
          <cell r="C208" t="str">
            <v>Case 2 updated with Bloomberg Rates forecast</v>
          </cell>
          <cell r="I208">
            <v>636.82567038836362</v>
          </cell>
          <cell r="J208">
            <v>748.1075228824966</v>
          </cell>
          <cell r="K208">
            <v>785.6478513011732</v>
          </cell>
          <cell r="L208">
            <v>851.79450718343787</v>
          </cell>
          <cell r="M208">
            <v>879.21686932774537</v>
          </cell>
          <cell r="N208">
            <v>824.92259856106148</v>
          </cell>
          <cell r="O208">
            <v>863.0567286765895</v>
          </cell>
          <cell r="P208">
            <v>902.96864751491023</v>
          </cell>
          <cell r="Q208">
            <v>944.74228049061594</v>
          </cell>
          <cell r="R208">
            <v>988.46558756213369</v>
          </cell>
          <cell r="S208">
            <v>1063.6471834355207</v>
          </cell>
          <cell r="T208">
            <v>1117.4943220969435</v>
          </cell>
          <cell r="U208">
            <v>1174.0674721531011</v>
          </cell>
          <cell r="V208">
            <v>1233.5046379308517</v>
          </cell>
          <cell r="W208">
            <v>1295.9508102261007</v>
          </cell>
          <cell r="X208">
            <v>0</v>
          </cell>
          <cell r="Y208">
            <v>0</v>
          </cell>
          <cell r="Z208">
            <v>0</v>
          </cell>
          <cell r="AA208">
            <v>0</v>
          </cell>
          <cell r="AB208">
            <v>0</v>
          </cell>
        </row>
        <row r="209">
          <cell r="B209">
            <v>5</v>
          </cell>
          <cell r="C209" t="str">
            <v>Case 3 updated with Transitional Benefit</v>
          </cell>
          <cell r="I209">
            <v>636.82567038836362</v>
          </cell>
          <cell r="J209">
            <v>748.1075228824966</v>
          </cell>
          <cell r="K209">
            <v>785.6478513011732</v>
          </cell>
          <cell r="L209">
            <v>851.79450718343787</v>
          </cell>
          <cell r="M209">
            <v>879.21686932774537</v>
          </cell>
          <cell r="N209">
            <v>841.34498674655822</v>
          </cell>
          <cell r="O209">
            <v>880.23628229024177</v>
          </cell>
          <cell r="P209">
            <v>920.94052504741046</v>
          </cell>
          <cell r="Q209">
            <v>963.54329046233977</v>
          </cell>
          <cell r="R209">
            <v>1008.1342671783834</v>
          </cell>
          <cell r="S209">
            <v>1084.4184298882408</v>
          </cell>
          <cell r="T209">
            <v>1139.3171129013328</v>
          </cell>
          <cell r="U209">
            <v>1196.9950417419625</v>
          </cell>
          <cell r="V209">
            <v>1257.5929157301491</v>
          </cell>
          <cell r="W209">
            <v>1321.2585570889878</v>
          </cell>
          <cell r="X209">
            <v>0</v>
          </cell>
          <cell r="Y209">
            <v>0</v>
          </cell>
          <cell r="Z209">
            <v>0</v>
          </cell>
          <cell r="AA209">
            <v>0</v>
          </cell>
          <cell r="AB209">
            <v>0</v>
          </cell>
        </row>
        <row r="210">
          <cell r="B210">
            <v>6</v>
          </cell>
          <cell r="C210" t="str">
            <v>Case 3 updated with Transitional Benefit</v>
          </cell>
          <cell r="I210">
            <v>636.82567038836362</v>
          </cell>
          <cell r="J210">
            <v>748.1075228824966</v>
          </cell>
          <cell r="K210">
            <v>785.6478513011732</v>
          </cell>
          <cell r="L210">
            <v>851.79450718343787</v>
          </cell>
          <cell r="M210">
            <v>879.21686932774537</v>
          </cell>
          <cell r="N210">
            <v>824.92259856106136</v>
          </cell>
          <cell r="O210">
            <v>863.05672867658939</v>
          </cell>
          <cell r="P210">
            <v>902.96864751491012</v>
          </cell>
          <cell r="Q210">
            <v>944.74228049061583</v>
          </cell>
          <cell r="R210">
            <v>988.46558756213358</v>
          </cell>
          <cell r="S210">
            <v>1063.6471834355209</v>
          </cell>
          <cell r="T210">
            <v>1117.4943220969437</v>
          </cell>
          <cell r="U210">
            <v>1174.0674721531013</v>
          </cell>
          <cell r="V210">
            <v>1233.5046379308519</v>
          </cell>
          <cell r="W210">
            <v>1295.9508102261009</v>
          </cell>
          <cell r="X210">
            <v>0</v>
          </cell>
          <cell r="Y210">
            <v>0</v>
          </cell>
          <cell r="Z210">
            <v>0</v>
          </cell>
          <cell r="AA210">
            <v>0</v>
          </cell>
          <cell r="AB210">
            <v>0</v>
          </cell>
        </row>
        <row r="211">
          <cell r="B211">
            <v>7</v>
          </cell>
          <cell r="C211" t="str">
            <v>Case 2 updated with 4.23% RfR (Proposal Margin)</v>
          </cell>
          <cell r="I211">
            <v>636.82567038836362</v>
          </cell>
          <cell r="J211">
            <v>748.1075228824966</v>
          </cell>
          <cell r="K211">
            <v>785.6478513011732</v>
          </cell>
          <cell r="L211">
            <v>851.79450718343787</v>
          </cell>
          <cell r="M211">
            <v>879.21686932774537</v>
          </cell>
          <cell r="N211">
            <v>845.64074986457388</v>
          </cell>
          <cell r="O211">
            <v>884.73010426420728</v>
          </cell>
          <cell r="P211">
            <v>925.64160259649555</v>
          </cell>
          <cell r="Q211">
            <v>968.46125191749343</v>
          </cell>
          <cell r="R211">
            <v>1013.2791930567499</v>
          </cell>
          <cell r="S211">
            <v>1084.38510948625</v>
          </cell>
          <cell r="T211">
            <v>1139.282105653991</v>
          </cell>
          <cell r="U211">
            <v>1196.9582622527241</v>
          </cell>
          <cell r="V211">
            <v>1257.5542742792682</v>
          </cell>
          <cell r="W211">
            <v>1321.217959414656</v>
          </cell>
          <cell r="X211">
            <v>0</v>
          </cell>
          <cell r="Y211">
            <v>0</v>
          </cell>
          <cell r="Z211">
            <v>0</v>
          </cell>
          <cell r="AA211">
            <v>0</v>
          </cell>
          <cell r="AB211">
            <v>0</v>
          </cell>
        </row>
        <row r="212">
          <cell r="B212">
            <v>8</v>
          </cell>
          <cell r="C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row>
        <row r="213">
          <cell r="B213">
            <v>9</v>
          </cell>
          <cell r="C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row>
        <row r="214">
          <cell r="B214">
            <v>10</v>
          </cell>
          <cell r="C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row>
        <row r="215">
          <cell r="B215">
            <v>11</v>
          </cell>
          <cell r="C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row>
        <row r="216">
          <cell r="B216">
            <v>12</v>
          </cell>
          <cell r="C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row>
        <row r="217">
          <cell r="B217">
            <v>13</v>
          </cell>
          <cell r="C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row>
        <row r="218">
          <cell r="B218">
            <v>14</v>
          </cell>
          <cell r="C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row>
        <row r="219">
          <cell r="B219">
            <v>15</v>
          </cell>
          <cell r="C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row>
        <row r="220">
          <cell r="B220">
            <v>16</v>
          </cell>
          <cell r="C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row>
        <row r="221">
          <cell r="B221">
            <v>17</v>
          </cell>
          <cell r="C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row>
        <row r="222">
          <cell r="B222">
            <v>18</v>
          </cell>
          <cell r="C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row>
        <row r="223">
          <cell r="B223">
            <v>19</v>
          </cell>
          <cell r="C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row>
        <row r="224">
          <cell r="B224">
            <v>20</v>
          </cell>
          <cell r="C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row>
        <row r="227">
          <cell r="B227">
            <v>1</v>
          </cell>
          <cell r="C227" t="str">
            <v xml:space="preserve">2014 "Owners Plan" </v>
          </cell>
          <cell r="I227">
            <v>228.51049999999998</v>
          </cell>
          <cell r="J227">
            <v>241.50200000000001</v>
          </cell>
          <cell r="K227">
            <v>250.113</v>
          </cell>
          <cell r="L227">
            <v>245.113</v>
          </cell>
          <cell r="M227">
            <v>251.24082499999997</v>
          </cell>
          <cell r="N227">
            <v>257.52184562499997</v>
          </cell>
          <cell r="O227">
            <v>263.95989176562495</v>
          </cell>
          <cell r="P227">
            <v>270.55888905976553</v>
          </cell>
          <cell r="Q227">
            <v>277.32286128625964</v>
          </cell>
          <cell r="R227">
            <v>284.25593281841611</v>
          </cell>
          <cell r="S227">
            <v>291.36233113887647</v>
          </cell>
          <cell r="T227">
            <v>298.64638941734836</v>
          </cell>
          <cell r="U227">
            <v>306.11254915278204</v>
          </cell>
          <cell r="V227">
            <v>313.76536288160162</v>
          </cell>
          <cell r="W227">
            <v>321.60949695364155</v>
          </cell>
        </row>
        <row r="228">
          <cell r="B228">
            <v>2</v>
          </cell>
          <cell r="C228" t="str">
            <v>2014 "Owners Plan" updated with 2014 debt refinancing</v>
          </cell>
          <cell r="I228">
            <v>228.51049999999998</v>
          </cell>
          <cell r="J228">
            <v>241.50200000000001</v>
          </cell>
          <cell r="K228">
            <v>250.113</v>
          </cell>
          <cell r="L228">
            <v>245.113</v>
          </cell>
          <cell r="M228">
            <v>251.24082499999997</v>
          </cell>
          <cell r="N228">
            <v>257.52184562499997</v>
          </cell>
          <cell r="O228">
            <v>263.95989176562495</v>
          </cell>
          <cell r="P228">
            <v>270.55888905976553</v>
          </cell>
          <cell r="Q228">
            <v>277.32286128625964</v>
          </cell>
          <cell r="R228">
            <v>284.25593281841611</v>
          </cell>
          <cell r="S228">
            <v>291.36233113887647</v>
          </cell>
          <cell r="T228">
            <v>298.64638941734836</v>
          </cell>
          <cell r="U228">
            <v>306.11254915278204</v>
          </cell>
          <cell r="V228">
            <v>313.76536288160162</v>
          </cell>
          <cell r="W228">
            <v>321.60949695364155</v>
          </cell>
        </row>
        <row r="229">
          <cell r="B229">
            <v>3</v>
          </cell>
          <cell r="C229" t="str">
            <v>Case 2 updated with RBA Rates forecast</v>
          </cell>
          <cell r="I229">
            <v>228.51049999999998</v>
          </cell>
          <cell r="J229">
            <v>241.50200000000001</v>
          </cell>
          <cell r="K229">
            <v>250.113</v>
          </cell>
          <cell r="L229">
            <v>245.113</v>
          </cell>
          <cell r="M229">
            <v>251.24082499999997</v>
          </cell>
          <cell r="N229">
            <v>257.52184562499997</v>
          </cell>
          <cell r="O229">
            <v>263.95989176562495</v>
          </cell>
          <cell r="P229">
            <v>270.55888905976553</v>
          </cell>
          <cell r="Q229">
            <v>277.32286128625964</v>
          </cell>
          <cell r="R229">
            <v>284.25593281841611</v>
          </cell>
          <cell r="S229">
            <v>291.36233113887647</v>
          </cell>
          <cell r="T229">
            <v>298.64638941734836</v>
          </cell>
          <cell r="U229">
            <v>306.11254915278204</v>
          </cell>
          <cell r="V229">
            <v>313.76536288160162</v>
          </cell>
          <cell r="W229">
            <v>321.60949695364155</v>
          </cell>
        </row>
        <row r="230">
          <cell r="B230">
            <v>4</v>
          </cell>
          <cell r="C230" t="str">
            <v>Case 2 updated with Bloomberg Rates forecast</v>
          </cell>
          <cell r="I230">
            <v>228.51049999999998</v>
          </cell>
          <cell r="J230">
            <v>241.50200000000001</v>
          </cell>
          <cell r="K230">
            <v>250.113</v>
          </cell>
          <cell r="L230">
            <v>245.113</v>
          </cell>
          <cell r="M230">
            <v>251.24082499999997</v>
          </cell>
          <cell r="N230">
            <v>257.52184562499997</v>
          </cell>
          <cell r="O230">
            <v>263.95989176562495</v>
          </cell>
          <cell r="P230">
            <v>270.55888905976553</v>
          </cell>
          <cell r="Q230">
            <v>277.32286128625964</v>
          </cell>
          <cell r="R230">
            <v>284.25593281841611</v>
          </cell>
          <cell r="S230">
            <v>291.36233113887647</v>
          </cell>
          <cell r="T230">
            <v>298.64638941734836</v>
          </cell>
          <cell r="U230">
            <v>306.11254915278204</v>
          </cell>
          <cell r="V230">
            <v>313.76536288160162</v>
          </cell>
          <cell r="W230">
            <v>321.60949695364155</v>
          </cell>
        </row>
        <row r="231">
          <cell r="B231">
            <v>5</v>
          </cell>
          <cell r="C231" t="str">
            <v>Case 3 updated with Transitional Benefit</v>
          </cell>
          <cell r="I231">
            <v>228.51049999999998</v>
          </cell>
          <cell r="J231">
            <v>241.50200000000001</v>
          </cell>
          <cell r="K231">
            <v>250.113</v>
          </cell>
          <cell r="L231">
            <v>245.113</v>
          </cell>
          <cell r="M231">
            <v>251.24082499999997</v>
          </cell>
          <cell r="N231">
            <v>257.52184562499997</v>
          </cell>
          <cell r="O231">
            <v>263.95989176562495</v>
          </cell>
          <cell r="P231">
            <v>270.55888905976553</v>
          </cell>
          <cell r="Q231">
            <v>277.32286128625964</v>
          </cell>
          <cell r="R231">
            <v>284.25593281841611</v>
          </cell>
          <cell r="S231">
            <v>291.36233113887647</v>
          </cell>
          <cell r="T231">
            <v>298.64638941734836</v>
          </cell>
          <cell r="U231">
            <v>306.11254915278204</v>
          </cell>
          <cell r="V231">
            <v>313.76536288160162</v>
          </cell>
          <cell r="W231">
            <v>321.60949695364155</v>
          </cell>
        </row>
        <row r="232">
          <cell r="B232">
            <v>6</v>
          </cell>
          <cell r="C232" t="str">
            <v>Case 3 updated with Transitional Benefit</v>
          </cell>
          <cell r="I232">
            <v>228.51049999999998</v>
          </cell>
          <cell r="J232">
            <v>241.50200000000001</v>
          </cell>
          <cell r="K232">
            <v>250.113</v>
          </cell>
          <cell r="L232">
            <v>245.113</v>
          </cell>
          <cell r="M232">
            <v>251.24082499999997</v>
          </cell>
          <cell r="N232">
            <v>257.52184562499997</v>
          </cell>
          <cell r="O232">
            <v>263.95989176562495</v>
          </cell>
          <cell r="P232">
            <v>270.55888905976553</v>
          </cell>
          <cell r="Q232">
            <v>277.32286128625964</v>
          </cell>
          <cell r="R232">
            <v>284.25593281841611</v>
          </cell>
          <cell r="S232">
            <v>291.36233113887647</v>
          </cell>
          <cell r="T232">
            <v>298.64638941734836</v>
          </cell>
          <cell r="U232">
            <v>306.11254915278204</v>
          </cell>
          <cell r="V232">
            <v>313.76536288160162</v>
          </cell>
          <cell r="W232">
            <v>321.60949695364155</v>
          </cell>
        </row>
        <row r="233">
          <cell r="B233">
            <v>7</v>
          </cell>
          <cell r="C233" t="str">
            <v>Case 2 updated with 4.23% RfR (Proposal Margin)</v>
          </cell>
          <cell r="I233">
            <v>228.51049999999998</v>
          </cell>
          <cell r="J233">
            <v>241.50200000000001</v>
          </cell>
          <cell r="K233">
            <v>250.113</v>
          </cell>
          <cell r="L233">
            <v>245.113</v>
          </cell>
          <cell r="M233">
            <v>251.24082499999997</v>
          </cell>
          <cell r="N233">
            <v>257.52184562499997</v>
          </cell>
          <cell r="O233">
            <v>263.95989176562495</v>
          </cell>
          <cell r="P233">
            <v>270.55888905976553</v>
          </cell>
          <cell r="Q233">
            <v>277.32286128625964</v>
          </cell>
          <cell r="R233">
            <v>284.25593281841611</v>
          </cell>
          <cell r="S233">
            <v>291.36233113887647</v>
          </cell>
          <cell r="T233">
            <v>298.64638941734836</v>
          </cell>
          <cell r="U233">
            <v>306.11254915278204</v>
          </cell>
          <cell r="V233">
            <v>313.76536288160162</v>
          </cell>
          <cell r="W233">
            <v>321.60949695364155</v>
          </cell>
        </row>
        <row r="234">
          <cell r="B234">
            <v>8</v>
          </cell>
          <cell r="C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row>
        <row r="235">
          <cell r="B235">
            <v>9</v>
          </cell>
          <cell r="C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row>
        <row r="236">
          <cell r="B236">
            <v>10</v>
          </cell>
          <cell r="C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row>
        <row r="237">
          <cell r="B237">
            <v>11</v>
          </cell>
          <cell r="C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row>
        <row r="238">
          <cell r="B238">
            <v>12</v>
          </cell>
          <cell r="C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row>
        <row r="239">
          <cell r="B239">
            <v>13</v>
          </cell>
          <cell r="C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row>
        <row r="240">
          <cell r="B240">
            <v>14</v>
          </cell>
          <cell r="C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row>
        <row r="241">
          <cell r="B241">
            <v>15</v>
          </cell>
          <cell r="C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row>
        <row r="242">
          <cell r="B242">
            <v>16</v>
          </cell>
          <cell r="C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row>
        <row r="243">
          <cell r="B243">
            <v>17</v>
          </cell>
          <cell r="C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row>
        <row r="244">
          <cell r="B244">
            <v>18</v>
          </cell>
          <cell r="C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row>
        <row r="245">
          <cell r="B245">
            <v>19</v>
          </cell>
          <cell r="C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row>
        <row r="246">
          <cell r="B246">
            <v>20</v>
          </cell>
          <cell r="C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
          <cell r="A1" t="str">
            <v>Ck1</v>
          </cell>
        </row>
      </sheetData>
      <sheetData sheetId="87"/>
      <sheetData sheetId="88">
        <row r="21">
          <cell r="D21" t="str">
            <v>2010-11</v>
          </cell>
        </row>
        <row r="22">
          <cell r="D22" t="str">
            <v>2015-16</v>
          </cell>
        </row>
        <row r="23">
          <cell r="D23" t="str">
            <v>2020-21</v>
          </cell>
        </row>
        <row r="24">
          <cell r="D24" t="str">
            <v>2025-26</v>
          </cell>
        </row>
        <row r="25">
          <cell r="D25" t="str">
            <v>2030-31</v>
          </cell>
        </row>
        <row r="33">
          <cell r="C33" t="str">
            <v>$'M June 2015</v>
          </cell>
        </row>
      </sheetData>
      <sheetData sheetId="8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1"/>
      <sheetName val="Gen_Ass_SC"/>
      <sheetName val="I-1"/>
      <sheetName val="I-2 DA"/>
      <sheetName val="I-3 Allocated"/>
      <sheetName val="Data_SC"/>
      <sheetName val="I-4 History"/>
      <sheetName val="I-5 Future DA"/>
      <sheetName val="I-6 Future A"/>
      <sheetName val="Scen_Ass_SC"/>
      <sheetName val="I-7 Escalations"/>
      <sheetName val="Workings_SC"/>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24"/>
      <sheetName val="A-25"/>
      <sheetName val="A-26"/>
      <sheetName val="A-27"/>
      <sheetName val="A-28"/>
      <sheetName val="A-29"/>
      <sheetName val="A-30"/>
      <sheetName val="A-31"/>
      <sheetName val="A-32"/>
      <sheetName val="A-33"/>
      <sheetName val="A-34"/>
      <sheetName val="A-35"/>
      <sheetName val="A-36"/>
      <sheetName val="A-37"/>
      <sheetName val="A-38"/>
      <sheetName val="A-39"/>
      <sheetName val="A-40"/>
      <sheetName val="A-41"/>
      <sheetName val="DA-1"/>
      <sheetName val="DA-2"/>
      <sheetName val="DA-3"/>
      <sheetName val="DA-4"/>
      <sheetName val="DA-5"/>
      <sheetName val="DA-6"/>
      <sheetName val="DA-7"/>
      <sheetName val="DA-8"/>
      <sheetName val="DA-9"/>
      <sheetName val="DA-10"/>
      <sheetName val="DA-11"/>
      <sheetName val="DA-12"/>
      <sheetName val="DA-13"/>
      <sheetName val="DA-14"/>
      <sheetName val="DA-15"/>
      <sheetName val="DA-16"/>
      <sheetName val="DA-17"/>
      <sheetName val="DA-18"/>
      <sheetName val="DA-19"/>
      <sheetName val="DA-20"/>
      <sheetName val="DA-21"/>
      <sheetName val="DA-22"/>
      <sheetName val="DA-23"/>
      <sheetName val="DA-24"/>
      <sheetName val="Reports_SC"/>
      <sheetName val="R1 Opex Detail"/>
      <sheetName val="R2"/>
      <sheetName val="R3"/>
      <sheetName val="R4 Variations"/>
      <sheetName val="R5 Escalations"/>
      <sheetName val="R6 Escalations"/>
      <sheetName val="R7"/>
      <sheetName val="Reports $2020_SC"/>
      <sheetName val="R2 ($2020)"/>
      <sheetName val="R3 ($2020)"/>
      <sheetName val="R4 Variations ($2020)"/>
      <sheetName val="R6 Escalations ($2020)"/>
      <sheetName val="R7 ($2020)"/>
      <sheetName val="Export"/>
      <sheetName val="E1"/>
      <sheetName val="E2"/>
      <sheetName val="Reference"/>
      <sheetName val="Ref-1"/>
      <sheetName val="Ref-2"/>
      <sheetName val="HelpText"/>
      <sheetName val="Crosschecks"/>
      <sheetName val="CK1"/>
    </sheetNames>
    <sheetDataSet>
      <sheetData sheetId="0">
        <row r="40">
          <cell r="D40" t="str">
            <v>Submission Operating Expenditure Model</v>
          </cell>
        </row>
      </sheetData>
      <sheetData sheetId="1"/>
      <sheetData sheetId="2"/>
      <sheetData sheetId="3"/>
      <sheetData sheetId="4">
        <row r="6">
          <cell r="B6" t="str">
            <v>Operating Expenditure</v>
          </cell>
        </row>
        <row r="7">
          <cell r="B7" t="str">
            <v>DA-1</v>
          </cell>
          <cell r="C7" t="str">
            <v>Distribution Licence Fee</v>
          </cell>
        </row>
        <row r="8">
          <cell r="B8" t="str">
            <v>DA-2</v>
          </cell>
          <cell r="C8" t="str">
            <v>Network Access, Monitoring and Control</v>
          </cell>
        </row>
        <row r="9">
          <cell r="B9" t="str">
            <v>DA-3</v>
          </cell>
          <cell r="C9" t="str">
            <v>Customer Service</v>
          </cell>
        </row>
        <row r="10">
          <cell r="B10" t="str">
            <v>DA-4</v>
          </cell>
          <cell r="C10" t="str">
            <v>Standards Development and Maintenance</v>
          </cell>
        </row>
        <row r="11">
          <cell r="B11" t="str">
            <v>DA-5</v>
          </cell>
          <cell r="C11" t="str">
            <v>Strategic Asset Management</v>
          </cell>
        </row>
        <row r="12">
          <cell r="B12" t="str">
            <v>DA-6</v>
          </cell>
          <cell r="C12" t="str">
            <v>Operational Asset Management</v>
          </cell>
        </row>
        <row r="13">
          <cell r="B13" t="str">
            <v>DA-7</v>
          </cell>
          <cell r="C13" t="str">
            <v>Maintenance of Asset Information</v>
          </cell>
        </row>
        <row r="14">
          <cell r="B14" t="str">
            <v>DA-8</v>
          </cell>
          <cell r="C14" t="str">
            <v>Network Telephony</v>
          </cell>
        </row>
        <row r="15">
          <cell r="B15" t="str">
            <v>DA-9</v>
          </cell>
          <cell r="C15" t="str">
            <v>Regulatory Compliance</v>
          </cell>
        </row>
        <row r="16">
          <cell r="B16" t="str">
            <v>DA-10</v>
          </cell>
          <cell r="C16" t="str">
            <v>Outage Management System</v>
          </cell>
        </row>
        <row r="17">
          <cell r="B17" t="str">
            <v>DA-11</v>
          </cell>
          <cell r="C17" t="str">
            <v>Asset Assessment (Inspections)</v>
          </cell>
        </row>
        <row r="18">
          <cell r="B18" t="str">
            <v>DA-12</v>
          </cell>
          <cell r="C18" t="str">
            <v>Asset Maintenance</v>
          </cell>
        </row>
        <row r="19">
          <cell r="B19" t="str">
            <v>DA-13</v>
          </cell>
          <cell r="C19" t="str">
            <v>Substation Property Maintenance</v>
          </cell>
        </row>
        <row r="20">
          <cell r="B20" t="str">
            <v>DA-14</v>
          </cell>
          <cell r="C20" t="str">
            <v>Vegetation Management</v>
          </cell>
        </row>
        <row r="21">
          <cell r="B21" t="str">
            <v>DA-15</v>
          </cell>
          <cell r="C21" t="str">
            <v>Emergency Response</v>
          </cell>
        </row>
        <row r="22">
          <cell r="B22" t="str">
            <v>DA-16</v>
          </cell>
          <cell r="C22" t="str">
            <v>Guaranteed Service Level Payments</v>
          </cell>
        </row>
        <row r="23">
          <cell r="B23" t="str">
            <v>DA-17</v>
          </cell>
          <cell r="C23" t="str">
            <v>Network Insurance</v>
          </cell>
        </row>
        <row r="24">
          <cell r="B24" t="str">
            <v>DA-18</v>
          </cell>
          <cell r="C24" t="str">
            <v>Call Centre Charges</v>
          </cell>
        </row>
        <row r="25">
          <cell r="B25" t="str">
            <v>DA-19</v>
          </cell>
          <cell r="C25" t="str">
            <v>Full Retail Contestability</v>
          </cell>
        </row>
        <row r="26">
          <cell r="B26" t="str">
            <v>DA-20</v>
          </cell>
          <cell r="C26" t="str">
            <v>N/A</v>
          </cell>
        </row>
        <row r="27">
          <cell r="B27" t="str">
            <v>DA-21</v>
          </cell>
          <cell r="C27" t="str">
            <v>N/A</v>
          </cell>
        </row>
        <row r="28">
          <cell r="B28" t="str">
            <v>DA-22</v>
          </cell>
          <cell r="C28" t="str">
            <v>N/A</v>
          </cell>
        </row>
        <row r="29">
          <cell r="B29" t="str">
            <v>DA-23</v>
          </cell>
          <cell r="C29" t="str">
            <v>N/A</v>
          </cell>
        </row>
        <row r="30">
          <cell r="B30" t="str">
            <v>DA-24</v>
          </cell>
          <cell r="C30" t="str">
            <v>N/A</v>
          </cell>
        </row>
      </sheetData>
      <sheetData sheetId="5">
        <row r="4">
          <cell r="B4" t="str">
            <v>Expenditure Template</v>
          </cell>
          <cell r="C4" t="str">
            <v>Cost</v>
          </cell>
          <cell r="D4" t="str">
            <v>Sign-Off</v>
          </cell>
        </row>
        <row r="5">
          <cell r="B5" t="str">
            <v>A-1</v>
          </cell>
          <cell r="C5" t="str">
            <v>CEO</v>
          </cell>
          <cell r="D5" t="str">
            <v>Steven Hatsisopanidis</v>
          </cell>
        </row>
        <row r="6">
          <cell r="B6" t="str">
            <v>A-2</v>
          </cell>
          <cell r="C6" t="str">
            <v xml:space="preserve">Strategic Planning  </v>
          </cell>
          <cell r="D6" t="str">
            <v>Wayne Lissner</v>
          </cell>
        </row>
        <row r="7">
          <cell r="B7" t="str">
            <v>A-3</v>
          </cell>
          <cell r="C7" t="str">
            <v>Communications</v>
          </cell>
          <cell r="D7" t="str">
            <v>Wayne Lissner</v>
          </cell>
        </row>
        <row r="8">
          <cell r="B8" t="str">
            <v>A-4</v>
          </cell>
          <cell r="C8" t="str">
            <v>Audit Services</v>
          </cell>
          <cell r="D8" t="str">
            <v>Steven Hatsisopanidis</v>
          </cell>
        </row>
        <row r="9">
          <cell r="B9" t="str">
            <v>A-5</v>
          </cell>
          <cell r="C9" t="str">
            <v xml:space="preserve">Risk &amp; Insurance – Shared Insurance Premiums </v>
          </cell>
          <cell r="D9" t="str">
            <v>Patrick Makinson</v>
          </cell>
        </row>
        <row r="10">
          <cell r="B10" t="str">
            <v>A-6</v>
          </cell>
          <cell r="C10" t="str">
            <v>Risk &amp; Insurance – Support Costs</v>
          </cell>
          <cell r="D10" t="str">
            <v>Patrick Makinson</v>
          </cell>
        </row>
        <row r="11">
          <cell r="B11" t="str">
            <v>A-7</v>
          </cell>
          <cell r="C11" t="str">
            <v>Company Secretary</v>
          </cell>
          <cell r="D11" t="str">
            <v>Patrick Makinson</v>
          </cell>
        </row>
        <row r="12">
          <cell r="B12" t="str">
            <v>A-8</v>
          </cell>
          <cell r="C12" t="str">
            <v>CFO</v>
          </cell>
          <cell r="D12" t="str">
            <v>Darren Smith</v>
          </cell>
        </row>
        <row r="13">
          <cell r="B13" t="str">
            <v>A-9</v>
          </cell>
          <cell r="C13" t="str">
            <v>Accounts Receivable – Asset Damage</v>
          </cell>
          <cell r="D13" t="str">
            <v>Darren Smith</v>
          </cell>
        </row>
        <row r="14">
          <cell r="B14" t="str">
            <v>A-10</v>
          </cell>
          <cell r="C14" t="str">
            <v>Taxation – Specific Allocation</v>
          </cell>
          <cell r="D14" t="str">
            <v>Darren Smith</v>
          </cell>
        </row>
        <row r="15">
          <cell r="B15" t="str">
            <v>A-11</v>
          </cell>
          <cell r="C15" t="str">
            <v>Corporate Finance</v>
          </cell>
          <cell r="D15" t="str">
            <v>Darren Smith</v>
          </cell>
        </row>
        <row r="16">
          <cell r="B16" t="str">
            <v>A-12</v>
          </cell>
          <cell r="C16" t="str">
            <v>Operational Finance</v>
          </cell>
          <cell r="D16" t="str">
            <v>Darren Smith</v>
          </cell>
        </row>
        <row r="17">
          <cell r="B17" t="str">
            <v>A-13</v>
          </cell>
          <cell r="C17" t="str">
            <v>Regulatory Finance</v>
          </cell>
          <cell r="D17" t="str">
            <v>Darren Smith</v>
          </cell>
        </row>
        <row r="18">
          <cell r="B18" t="str">
            <v>A-14</v>
          </cell>
          <cell r="C18" t="str">
            <v>Accounts Payable</v>
          </cell>
          <cell r="D18" t="str">
            <v>Darren Smith</v>
          </cell>
        </row>
        <row r="19">
          <cell r="B19" t="str">
            <v>A-15</v>
          </cell>
          <cell r="C19" t="str">
            <v>Payroll</v>
          </cell>
          <cell r="D19" t="str">
            <v>John Fleetwood</v>
          </cell>
        </row>
        <row r="20">
          <cell r="B20" t="str">
            <v>A-16</v>
          </cell>
          <cell r="C20" t="str">
            <v>Purchasing and Contracts</v>
          </cell>
          <cell r="D20" t="str">
            <v>Charlie Hollis</v>
          </cell>
        </row>
        <row r="21">
          <cell r="B21" t="str">
            <v>A-17</v>
          </cell>
          <cell r="C21" t="str">
            <v>Finance - Adjustments</v>
          </cell>
          <cell r="D21" t="str">
            <v>Darren Smith</v>
          </cell>
        </row>
        <row r="22">
          <cell r="B22" t="str">
            <v>A-18</v>
          </cell>
          <cell r="C22" t="str">
            <v>Information Technology</v>
          </cell>
          <cell r="D22" t="str">
            <v>Chris Ford</v>
          </cell>
        </row>
        <row r="23">
          <cell r="B23" t="str">
            <v>A-19</v>
          </cell>
          <cell r="C23" t="str">
            <v>General Manager - Corporate Services</v>
          </cell>
          <cell r="D23" t="str">
            <v>Wayne Lissner</v>
          </cell>
        </row>
        <row r="24">
          <cell r="B24" t="str">
            <v>A-20</v>
          </cell>
          <cell r="C24" t="str">
            <v>Regulation</v>
          </cell>
          <cell r="D24" t="str">
            <v>Wayne Lissner</v>
          </cell>
        </row>
        <row r="25">
          <cell r="B25" t="str">
            <v>A-21</v>
          </cell>
          <cell r="C25" t="str">
            <v>Real Estate &amp; Easements – DLC Land Tax</v>
          </cell>
          <cell r="D25" t="str">
            <v>Nathan Warbuton</v>
          </cell>
        </row>
        <row r="26">
          <cell r="B26" t="str">
            <v>A-22</v>
          </cell>
          <cell r="C26" t="str">
            <v>Real Estate &amp; Easements – Office and Depots</v>
          </cell>
          <cell r="D26" t="str">
            <v>Nathan Warbuton</v>
          </cell>
        </row>
        <row r="27">
          <cell r="B27" t="str">
            <v>A-23</v>
          </cell>
          <cell r="C27" t="str">
            <v>Legal Services</v>
          </cell>
          <cell r="D27" t="str">
            <v>Damien Harby</v>
          </cell>
        </row>
        <row r="28">
          <cell r="B28" t="str">
            <v>A-24</v>
          </cell>
          <cell r="C28" t="str">
            <v>General Manager - People and Culture</v>
          </cell>
          <cell r="D28" t="str">
            <v>Wayne Lissner</v>
          </cell>
        </row>
        <row r="29">
          <cell r="B29" t="str">
            <v>A-25</v>
          </cell>
          <cell r="C29" t="str">
            <v>Employee Relations</v>
          </cell>
          <cell r="D29" t="str">
            <v>John Fleetwood</v>
          </cell>
        </row>
        <row r="30">
          <cell r="B30" t="str">
            <v>A-26</v>
          </cell>
          <cell r="C30" t="str">
            <v>Workforce Development</v>
          </cell>
          <cell r="D30" t="str">
            <v>David Syme</v>
          </cell>
        </row>
        <row r="31">
          <cell r="B31" t="str">
            <v>A-27</v>
          </cell>
          <cell r="C31" t="str">
            <v>Training Centre - Apprentice</v>
          </cell>
          <cell r="D31" t="str">
            <v>David Syme</v>
          </cell>
        </row>
        <row r="32">
          <cell r="B32" t="str">
            <v>A-28</v>
          </cell>
          <cell r="C32" t="str">
            <v>Training Centre - Management/Admin</v>
          </cell>
          <cell r="D32" t="str">
            <v>David Syme</v>
          </cell>
        </row>
        <row r="33">
          <cell r="B33" t="str">
            <v>A-29</v>
          </cell>
          <cell r="C33" t="str">
            <v>Training Centre - Electrical/Poleline</v>
          </cell>
          <cell r="D33" t="str">
            <v>David Syme</v>
          </cell>
        </row>
        <row r="34">
          <cell r="B34" t="str">
            <v>A-30</v>
          </cell>
          <cell r="C34" t="str">
            <v>OHS</v>
          </cell>
          <cell r="D34" t="str">
            <v>George Karlis</v>
          </cell>
        </row>
        <row r="35">
          <cell r="B35" t="str">
            <v>A-31</v>
          </cell>
          <cell r="C35" t="str">
            <v>Environment</v>
          </cell>
          <cell r="D35" t="str">
            <v>Tim McCullough</v>
          </cell>
        </row>
        <row r="36">
          <cell r="B36" t="str">
            <v>A-32</v>
          </cell>
          <cell r="C36" t="str">
            <v>Property – Offices and Depots</v>
          </cell>
          <cell r="D36" t="str">
            <v>Peter Chapple</v>
          </cell>
        </row>
        <row r="37">
          <cell r="B37" t="str">
            <v>A-33</v>
          </cell>
          <cell r="C37" t="str">
            <v xml:space="preserve">Printing </v>
          </cell>
          <cell r="D37" t="str">
            <v>Peter Chapple</v>
          </cell>
        </row>
        <row r="38">
          <cell r="B38" t="str">
            <v>A-34</v>
          </cell>
          <cell r="C38" t="str">
            <v>General Manager - Customer Relations</v>
          </cell>
          <cell r="D38" t="str">
            <v>Sean Kelly</v>
          </cell>
        </row>
        <row r="39">
          <cell r="B39" t="str">
            <v>A-35</v>
          </cell>
          <cell r="C39" t="str">
            <v>Customer Relations (excl. Call Centre)</v>
          </cell>
          <cell r="D39" t="str">
            <v>Paul Erwin</v>
          </cell>
        </row>
        <row r="40">
          <cell r="B40" t="str">
            <v>A-36</v>
          </cell>
          <cell r="C40" t="str">
            <v>Business Improvement and Planning</v>
          </cell>
          <cell r="D40" t="str">
            <v>Dana Rankine</v>
          </cell>
        </row>
        <row r="41">
          <cell r="B41" t="str">
            <v>A-37</v>
          </cell>
          <cell r="C41" t="str">
            <v>Works Coordination (Connection Services)</v>
          </cell>
          <cell r="D41" t="str">
            <v>David Stobbe</v>
          </cell>
        </row>
        <row r="42">
          <cell r="B42" t="str">
            <v>A-38</v>
          </cell>
          <cell r="C42" t="str">
            <v>Employee Bonuses</v>
          </cell>
          <cell r="D42" t="str">
            <v>John Fleetwood</v>
          </cell>
        </row>
        <row r="43">
          <cell r="B43" t="str">
            <v>A-39</v>
          </cell>
          <cell r="C43" t="str">
            <v>Voluntary Separation Packages (VSP’s)</v>
          </cell>
          <cell r="D43" t="str">
            <v>John Fleetwood</v>
          </cell>
        </row>
        <row r="44">
          <cell r="B44" t="str">
            <v>A-40</v>
          </cell>
          <cell r="C44" t="str">
            <v>Superannuation</v>
          </cell>
          <cell r="D44" t="str">
            <v>Patrick Makinson</v>
          </cell>
        </row>
        <row r="45">
          <cell r="B45" t="str">
            <v>A-41</v>
          </cell>
          <cell r="C45" t="str">
            <v>Self Insurance</v>
          </cell>
          <cell r="D45" t="str">
            <v>Patrick Makinson</v>
          </cell>
        </row>
      </sheetData>
      <sheetData sheetId="6"/>
      <sheetData sheetId="7">
        <row r="5">
          <cell r="L5" t="str">
            <v>0</v>
          </cell>
        </row>
      </sheetData>
      <sheetData sheetId="8">
        <row r="4">
          <cell r="D4" t="str">
            <v>2018/19</v>
          </cell>
        </row>
      </sheetData>
      <sheetData sheetId="9">
        <row r="4">
          <cell r="D4" t="str">
            <v>2018/19</v>
          </cell>
        </row>
      </sheetData>
      <sheetData sheetId="10"/>
      <sheetData sheetId="11">
        <row r="11">
          <cell r="B11" t="str">
            <v>Labour</v>
          </cell>
          <cell r="E11">
            <v>6.0000000000000001E-3</v>
          </cell>
          <cell r="F11">
            <v>6.0000000000000001E-3</v>
          </cell>
          <cell r="G11">
            <v>6.0000000000000001E-3</v>
          </cell>
          <cell r="H11">
            <v>6.0000000000000001E-3</v>
          </cell>
          <cell r="I11">
            <v>6.0000000000000001E-3</v>
          </cell>
          <cell r="K11" t="str">
            <v>General escalation for all labour costs</v>
          </cell>
          <cell r="L11" t="str">
            <v>Cumulative</v>
          </cell>
        </row>
        <row r="12">
          <cell r="B12" t="str">
            <v>Materials</v>
          </cell>
          <cell r="E12">
            <v>0</v>
          </cell>
          <cell r="F12">
            <v>0</v>
          </cell>
          <cell r="G12">
            <v>0</v>
          </cell>
          <cell r="H12">
            <v>0</v>
          </cell>
          <cell r="I12">
            <v>0</v>
          </cell>
          <cell r="K12" t="str">
            <v>General escalation for all materials costs</v>
          </cell>
          <cell r="L12" t="str">
            <v>Cumulative</v>
          </cell>
        </row>
        <row r="13">
          <cell r="B13" t="str">
            <v>Services-construction</v>
          </cell>
          <cell r="E13">
            <v>6.0000000000000001E-3</v>
          </cell>
          <cell r="F13">
            <v>6.0000000000000001E-3</v>
          </cell>
          <cell r="G13">
            <v>6.0000000000000001E-3</v>
          </cell>
          <cell r="H13">
            <v>6.0000000000000001E-3</v>
          </cell>
          <cell r="I13">
            <v>6.0000000000000001E-3</v>
          </cell>
          <cell r="K13" t="str">
            <v>General escalation for services construction costs</v>
          </cell>
          <cell r="L13" t="str">
            <v>Cumulative</v>
          </cell>
        </row>
        <row r="14">
          <cell r="B14" t="str">
            <v>Services-general</v>
          </cell>
          <cell r="E14">
            <v>0</v>
          </cell>
          <cell r="F14">
            <v>0</v>
          </cell>
          <cell r="G14">
            <v>0</v>
          </cell>
          <cell r="H14">
            <v>0</v>
          </cell>
          <cell r="I14">
            <v>0</v>
          </cell>
          <cell r="K14" t="str">
            <v>General escalation for general services costs</v>
          </cell>
          <cell r="L14" t="str">
            <v>Cumulative</v>
          </cell>
        </row>
        <row r="15">
          <cell r="B15" t="str">
            <v>Materials - Land</v>
          </cell>
          <cell r="E15">
            <v>0</v>
          </cell>
          <cell r="F15">
            <v>0</v>
          </cell>
          <cell r="G15">
            <v>0</v>
          </cell>
          <cell r="H15">
            <v>0</v>
          </cell>
          <cell r="I15">
            <v>0</v>
          </cell>
          <cell r="K15" t="str">
            <v>General escalation for Land Value Related costs</v>
          </cell>
          <cell r="L15" t="str">
            <v>Cumulative</v>
          </cell>
        </row>
        <row r="24">
          <cell r="B24" t="str">
            <v>Output Growth</v>
          </cell>
          <cell r="E24">
            <v>5.0000000000000001E-3</v>
          </cell>
          <cell r="F24">
            <v>5.0000000000000001E-3</v>
          </cell>
          <cell r="G24">
            <v>5.0000000000000001E-3</v>
          </cell>
          <cell r="H24">
            <v>5.0000000000000001E-3</v>
          </cell>
          <cell r="I24">
            <v>5.0000000000000001E-3</v>
          </cell>
          <cell r="L24" t="str">
            <v>Cumulative</v>
          </cell>
        </row>
        <row r="25">
          <cell r="B25" t="str">
            <v>Productivity Growth</v>
          </cell>
          <cell r="E25">
            <v>0</v>
          </cell>
          <cell r="F25">
            <v>0</v>
          </cell>
          <cell r="G25">
            <v>0</v>
          </cell>
          <cell r="H25">
            <v>0</v>
          </cell>
          <cell r="I25">
            <v>0</v>
          </cell>
          <cell r="L25" t="str">
            <v>Cumulative</v>
          </cell>
        </row>
        <row r="26">
          <cell r="L26" t="str">
            <v>Cumulative</v>
          </cell>
        </row>
        <row r="27">
          <cell r="L27" t="str">
            <v>Cumulative</v>
          </cell>
        </row>
        <row r="28">
          <cell r="L28" t="str">
            <v>Cumulative</v>
          </cell>
        </row>
        <row r="29">
          <cell r="L29" t="str">
            <v>Cumulative</v>
          </cell>
        </row>
        <row r="30">
          <cell r="L30" t="str">
            <v>Cumulative</v>
          </cell>
        </row>
        <row r="31">
          <cell r="L31" t="str">
            <v>Cumulative</v>
          </cell>
        </row>
        <row r="32">
          <cell r="L32" t="str">
            <v>Cumulative</v>
          </cell>
        </row>
        <row r="33">
          <cell r="L33" t="str">
            <v>Cumulative</v>
          </cell>
        </row>
        <row r="34">
          <cell r="L34" t="str">
            <v>Cumulative</v>
          </cell>
        </row>
        <row r="35">
          <cell r="L35" t="str">
            <v>Cumulative</v>
          </cell>
        </row>
        <row r="36">
          <cell r="L36" t="str">
            <v>Cumulative</v>
          </cell>
        </row>
        <row r="37">
          <cell r="L37" t="str">
            <v>Cumulative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ow r="26">
          <cell r="A26" t="str">
            <v>Labour</v>
          </cell>
        </row>
        <row r="27">
          <cell r="A27" t="str">
            <v>Materials</v>
          </cell>
        </row>
        <row r="28">
          <cell r="A28" t="str">
            <v>Contracts</v>
          </cell>
        </row>
        <row r="29">
          <cell r="A29" t="str">
            <v>Services Other</v>
          </cell>
        </row>
        <row r="30">
          <cell r="A30" t="str">
            <v>Business Overheads</v>
          </cell>
        </row>
        <row r="31">
          <cell r="A31" t="str">
            <v>Other</v>
          </cell>
        </row>
        <row r="39">
          <cell r="G39" t="str">
            <v>2010/11</v>
          </cell>
          <cell r="H39" t="str">
            <v>2011/12</v>
          </cell>
          <cell r="I39" t="str">
            <v>2012/13</v>
          </cell>
          <cell r="J39" t="str">
            <v>2013/14</v>
          </cell>
          <cell r="K39" t="str">
            <v>2014/15</v>
          </cell>
          <cell r="L39" t="str">
            <v>2015/16</v>
          </cell>
          <cell r="M39" t="str">
            <v>2016/17</v>
          </cell>
          <cell r="N39" t="str">
            <v>2017/18</v>
          </cell>
          <cell r="O39" t="str">
            <v>2018/19</v>
          </cell>
          <cell r="P39" t="str">
            <v>2019/20</v>
          </cell>
          <cell r="Q39" t="str">
            <v>2020/21</v>
          </cell>
          <cell r="R39" t="str">
            <v>2021/22</v>
          </cell>
          <cell r="S39" t="str">
            <v>2022/23</v>
          </cell>
          <cell r="T39" t="str">
            <v>2023/24</v>
          </cell>
          <cell r="U39" t="str">
            <v>2024/25</v>
          </cell>
        </row>
        <row r="45">
          <cell r="B45" t="str">
            <v>($M) 2017/18 dollars</v>
          </cell>
        </row>
        <row r="46">
          <cell r="B46" t="str">
            <v>$'M Real 2017/18</v>
          </cell>
        </row>
        <row r="47">
          <cell r="B47" t="str">
            <v>$'M June 2020</v>
          </cell>
        </row>
      </sheetData>
      <sheetData sheetId="97"/>
      <sheetData sheetId="98">
        <row r="3">
          <cell r="A3" t="str">
            <v>Help Text</v>
          </cell>
        </row>
      </sheetData>
      <sheetData sheetId="99"/>
      <sheetData sheetId="10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1"/>
      <sheetName val="Gen_Ass_SSC"/>
      <sheetName val="I-1-CPI"/>
      <sheetName val="I-2 DA"/>
      <sheetName val="I3"/>
      <sheetName val="Data_SSC"/>
      <sheetName val="I-4 History"/>
      <sheetName val="I-5 Future"/>
      <sheetName val="Scen_Ass_SSC"/>
      <sheetName val="I-6 Escalations"/>
      <sheetName val="Workings_SC"/>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Reports_SC"/>
      <sheetName val="R1 Capex Detail"/>
      <sheetName val="R2 No Esc"/>
      <sheetName val="R3"/>
      <sheetName val="R4 Variations"/>
      <sheetName val="R5 Escalations"/>
      <sheetName val="R6 Escalations"/>
      <sheetName val="R7"/>
      <sheetName val="R8"/>
      <sheetName val="R9"/>
      <sheetName val="Reports $2010_SC"/>
      <sheetName val="R6 ($2010)"/>
      <sheetName val="R9 ($2010)"/>
      <sheetName val="Export"/>
      <sheetName val="E1"/>
      <sheetName val="E2"/>
      <sheetName val="E3"/>
      <sheetName val="E4"/>
      <sheetName val="Charts_SC"/>
      <sheetName val="C1 Data"/>
      <sheetName val="C2"/>
      <sheetName val="Reference"/>
      <sheetName val="Ref-1"/>
      <sheetName val="Ref-2 Names"/>
      <sheetName val="Crosschecks"/>
      <sheetName val="CK1"/>
    </sheetNames>
    <sheetDataSet>
      <sheetData sheetId="0"/>
      <sheetData sheetId="1"/>
      <sheetData sheetId="2"/>
      <sheetData sheetId="3"/>
      <sheetData sheetId="4"/>
      <sheetData sheetId="5"/>
      <sheetData sheetId="6"/>
      <sheetData sheetId="7">
        <row r="4">
          <cell r="L4" t="str">
            <v>2007/08</v>
          </cell>
        </row>
      </sheetData>
      <sheetData sheetId="8">
        <row r="4">
          <cell r="D4" t="str">
            <v>2008/09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
      <sheetName val="Overview_SSC"/>
      <sheetName val="Model_Overview_MS"/>
      <sheetName val="Sheet1"/>
      <sheetName val="Diagrams_SSC"/>
    </sheetNames>
    <sheetDataSet>
      <sheetData sheetId="0" refreshError="1">
        <row r="4">
          <cell r="C4" t="str">
            <v>RAB Rollforward Model</v>
          </cell>
        </row>
      </sheetData>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Kelly Bernhardt" id="{C340E5BF-DB64-4B1B-87C9-2D9A93E748D2}" userId="Kelly Bernhardt"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5" dT="2019-10-14T05:46:45.02" personId="{C340E5BF-DB64-4B1B-87C9-2D9A93E748D2}" id="{EA18DA38-5FB6-4E2E-B8F6-A4A4EB21E311}">
    <text>5-year average 2013/14 to 2017/18</text>
  </threadedComment>
  <threadedComment ref="V5" dT="2019-10-14T05:47:06.76" personId="{C340E5BF-DB64-4B1B-87C9-2D9A93E748D2}" id="{ED3C96CE-80C5-479F-975C-A276E7D718ED}">
    <text>10-year average 2008/09 to 2017/18</text>
  </threadedComment>
  <threadedComment ref="W5" dT="2019-10-14T05:47:31.60" personId="{C340E5BF-DB64-4B1B-87C9-2D9A93E748D2}" id="{8A669F69-4953-401A-82F9-E8A6E87BF557}">
    <text>10-year average 2009/10 to 2018/19</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cosa.sa.gov.au/industry/electricity/regulatory-reporting/regulatory-performance-report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cosa.sa.gov.au/industry/electricity/regulatory-reporting/regulatory-performance-repor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ADB44-1685-4C59-AE10-A873EB05AE83}">
  <sheetPr>
    <tabColor theme="3"/>
  </sheetPr>
  <dimension ref="A1:AP133"/>
  <sheetViews>
    <sheetView showGridLines="0" tabSelected="1" workbookViewId="0">
      <selection activeCell="C24" sqref="C24"/>
    </sheetView>
  </sheetViews>
  <sheetFormatPr defaultRowHeight="15" x14ac:dyDescent="0.25"/>
  <cols>
    <col min="1" max="2" width="3.140625" customWidth="1"/>
    <col min="3" max="3" width="30.5703125" customWidth="1"/>
    <col min="4" max="4" width="21.28515625" customWidth="1"/>
    <col min="5" max="5" width="20.140625" customWidth="1"/>
    <col min="6" max="6" width="18.140625" customWidth="1"/>
    <col min="7" max="7" width="18.7109375" customWidth="1"/>
    <col min="8" max="8" width="16" customWidth="1"/>
    <col min="9" max="9" width="14.42578125" customWidth="1"/>
    <col min="10" max="10" width="13" customWidth="1"/>
    <col min="11" max="11" width="32.28515625" customWidth="1"/>
  </cols>
  <sheetData>
    <row r="1" spans="1:42" ht="22.5" customHeight="1" x14ac:dyDescent="0.25">
      <c r="A1" s="26" t="s">
        <v>25</v>
      </c>
      <c r="B1" s="26"/>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3" spans="1:42" s="28" customFormat="1" x14ac:dyDescent="0.25">
      <c r="A3" s="28" t="s">
        <v>26</v>
      </c>
    </row>
    <row r="5" spans="1:42" s="29" customFormat="1" ht="18.75" x14ac:dyDescent="0.3">
      <c r="C5" s="30" t="s">
        <v>27</v>
      </c>
    </row>
    <row r="6" spans="1:42" x14ac:dyDescent="0.25">
      <c r="C6" s="31"/>
      <c r="D6" s="32"/>
      <c r="E6" s="32"/>
      <c r="F6" s="32"/>
      <c r="G6" s="32"/>
      <c r="H6" s="32"/>
      <c r="I6" s="33"/>
    </row>
    <row r="7" spans="1:42" s="34" customFormat="1" ht="54.75" customHeight="1" x14ac:dyDescent="0.25">
      <c r="C7" s="34" t="s">
        <v>28</v>
      </c>
      <c r="D7" s="175" t="s">
        <v>191</v>
      </c>
      <c r="E7" s="175"/>
      <c r="F7" s="175"/>
      <c r="G7" s="175"/>
      <c r="H7" s="175"/>
      <c r="I7" s="175"/>
      <c r="J7" s="175"/>
      <c r="K7" s="175"/>
    </row>
    <row r="8" spans="1:42" s="34" customFormat="1" ht="15.75" customHeight="1" x14ac:dyDescent="0.25">
      <c r="C8" s="34" t="s">
        <v>29</v>
      </c>
      <c r="D8" s="175" t="s">
        <v>30</v>
      </c>
      <c r="E8" s="175"/>
      <c r="F8" s="175"/>
      <c r="G8" s="175"/>
      <c r="H8" s="175"/>
      <c r="I8" s="175"/>
    </row>
    <row r="9" spans="1:42" s="34" customFormat="1" ht="15.75" customHeight="1" x14ac:dyDescent="0.25">
      <c r="C9" s="34" t="s">
        <v>31</v>
      </c>
      <c r="D9" s="175" t="s">
        <v>32</v>
      </c>
      <c r="E9" s="175"/>
      <c r="F9" s="175"/>
      <c r="G9" s="175"/>
      <c r="H9" s="175"/>
      <c r="I9" s="175"/>
    </row>
    <row r="10" spans="1:42" s="34" customFormat="1" ht="15.75" customHeight="1" x14ac:dyDescent="0.25">
      <c r="C10" s="34" t="s">
        <v>33</v>
      </c>
      <c r="D10" s="175" t="s">
        <v>34</v>
      </c>
      <c r="E10" s="175"/>
      <c r="F10" s="175"/>
      <c r="G10" s="175"/>
      <c r="H10" s="175"/>
      <c r="I10" s="175"/>
    </row>
    <row r="11" spans="1:42" s="34" customFormat="1" ht="15.75" customHeight="1" x14ac:dyDescent="0.25">
      <c r="C11" s="34" t="s">
        <v>35</v>
      </c>
      <c r="D11" s="175" t="s">
        <v>36</v>
      </c>
      <c r="E11" s="175"/>
      <c r="F11" s="175"/>
      <c r="G11" s="175"/>
      <c r="H11" s="175"/>
      <c r="I11" s="175"/>
    </row>
    <row r="12" spans="1:42" x14ac:dyDescent="0.25">
      <c r="C12" s="35"/>
    </row>
    <row r="13" spans="1:42" s="28" customFormat="1" x14ac:dyDescent="0.25">
      <c r="A13" s="28" t="s">
        <v>75</v>
      </c>
    </row>
    <row r="14" spans="1:42" s="2" customFormat="1" ht="12.75" x14ac:dyDescent="0.2"/>
    <row r="15" spans="1:42" s="2" customFormat="1" ht="12.75" x14ac:dyDescent="0.2">
      <c r="B15" s="41" t="s">
        <v>37</v>
      </c>
    </row>
    <row r="16" spans="1:42" s="2" customFormat="1" ht="12.75" x14ac:dyDescent="0.2"/>
    <row r="17" spans="2:11" s="2" customFormat="1" ht="12.75" x14ac:dyDescent="0.2">
      <c r="B17" s="2" t="s">
        <v>38</v>
      </c>
      <c r="C17" s="2" t="s">
        <v>39</v>
      </c>
    </row>
    <row r="18" spans="2:11" s="2" customFormat="1" ht="12.75" x14ac:dyDescent="0.2">
      <c r="C18" s="2" t="s">
        <v>40</v>
      </c>
    </row>
    <row r="19" spans="2:11" s="2" customFormat="1" x14ac:dyDescent="0.25">
      <c r="C19" s="36" t="s">
        <v>41</v>
      </c>
    </row>
    <row r="20" spans="2:11" s="2" customFormat="1" ht="12.75" x14ac:dyDescent="0.2"/>
    <row r="21" spans="2:11" s="2" customFormat="1" ht="12.75" x14ac:dyDescent="0.2">
      <c r="B21" s="2" t="s">
        <v>42</v>
      </c>
      <c r="C21" s="2" t="s">
        <v>43</v>
      </c>
    </row>
    <row r="22" spans="2:11" s="2" customFormat="1" ht="40.5" customHeight="1" x14ac:dyDescent="0.2">
      <c r="C22" s="176" t="s">
        <v>44</v>
      </c>
      <c r="D22" s="176"/>
      <c r="E22" s="176"/>
      <c r="F22" s="176"/>
      <c r="G22" s="176"/>
      <c r="H22" s="176"/>
      <c r="I22" s="176"/>
      <c r="J22" s="176"/>
    </row>
    <row r="23" spans="2:11" s="2" customFormat="1" ht="12.75" x14ac:dyDescent="0.2">
      <c r="C23" s="2" t="s">
        <v>195</v>
      </c>
    </row>
    <row r="24" spans="2:11" s="2" customFormat="1" ht="12.75" x14ac:dyDescent="0.2"/>
    <row r="25" spans="2:11" s="2" customFormat="1" ht="12.75" x14ac:dyDescent="0.2">
      <c r="B25" s="2" t="s">
        <v>45</v>
      </c>
      <c r="C25" s="2" t="s">
        <v>46</v>
      </c>
    </row>
    <row r="26" spans="2:11" s="2" customFormat="1" ht="12.75" x14ac:dyDescent="0.2">
      <c r="C26" s="2" t="s">
        <v>47</v>
      </c>
    </row>
    <row r="27" spans="2:11" s="2" customFormat="1" ht="12.75" x14ac:dyDescent="0.2">
      <c r="C27" s="2" t="s">
        <v>48</v>
      </c>
    </row>
    <row r="28" spans="2:11" s="2" customFormat="1" ht="12.75" x14ac:dyDescent="0.2"/>
    <row r="29" spans="2:11" s="2" customFormat="1" ht="12.75" x14ac:dyDescent="0.2">
      <c r="B29" s="2" t="s">
        <v>49</v>
      </c>
      <c r="C29" s="2" t="s">
        <v>141</v>
      </c>
    </row>
    <row r="30" spans="2:11" s="2" customFormat="1" ht="84.75" customHeight="1" x14ac:dyDescent="0.2">
      <c r="C30" s="174" t="s">
        <v>50</v>
      </c>
      <c r="D30" s="174"/>
      <c r="E30" s="174"/>
      <c r="F30" s="174"/>
      <c r="G30" s="174"/>
      <c r="H30" s="174"/>
      <c r="I30" s="174"/>
      <c r="J30" s="174"/>
      <c r="K30" s="174"/>
    </row>
    <row r="31" spans="2:11" s="2" customFormat="1" ht="12.75" x14ac:dyDescent="0.2"/>
    <row r="32" spans="2:11" s="2" customFormat="1" ht="12.75" x14ac:dyDescent="0.2">
      <c r="B32" s="2" t="s">
        <v>52</v>
      </c>
      <c r="C32" s="2" t="s">
        <v>142</v>
      </c>
    </row>
    <row r="33" spans="2:3" s="2" customFormat="1" ht="12.75" x14ac:dyDescent="0.2">
      <c r="C33" s="2" t="s">
        <v>51</v>
      </c>
    </row>
    <row r="34" spans="2:3" s="2" customFormat="1" ht="12.75" x14ac:dyDescent="0.2"/>
    <row r="35" spans="2:3" s="2" customFormat="1" ht="12.75" x14ac:dyDescent="0.2">
      <c r="B35" s="2" t="s">
        <v>180</v>
      </c>
      <c r="C35" s="2" t="s">
        <v>188</v>
      </c>
    </row>
    <row r="36" spans="2:3" s="2" customFormat="1" ht="12.75" x14ac:dyDescent="0.2">
      <c r="C36" s="2" t="s">
        <v>189</v>
      </c>
    </row>
    <row r="37" spans="2:3" s="2" customFormat="1" ht="12.75" x14ac:dyDescent="0.2">
      <c r="C37" s="95" t="s">
        <v>192</v>
      </c>
    </row>
    <row r="38" spans="2:3" s="2" customFormat="1" ht="12.75" x14ac:dyDescent="0.2">
      <c r="C38" s="2" t="s">
        <v>185</v>
      </c>
    </row>
    <row r="39" spans="2:3" s="2" customFormat="1" ht="12.75" x14ac:dyDescent="0.2">
      <c r="C39" s="95" t="s">
        <v>193</v>
      </c>
    </row>
    <row r="40" spans="2:3" s="2" customFormat="1" ht="12.75" x14ac:dyDescent="0.2">
      <c r="C40" s="95" t="s">
        <v>194</v>
      </c>
    </row>
    <row r="41" spans="2:3" s="2" customFormat="1" ht="12.75" x14ac:dyDescent="0.2"/>
    <row r="42" spans="2:3" s="2" customFormat="1" ht="12.75" x14ac:dyDescent="0.2"/>
    <row r="43" spans="2:3" s="2" customFormat="1" ht="12.75" x14ac:dyDescent="0.2"/>
    <row r="44" spans="2:3" s="2" customFormat="1" ht="12.75" x14ac:dyDescent="0.2"/>
    <row r="45" spans="2:3" s="2" customFormat="1" ht="12.75" x14ac:dyDescent="0.2"/>
    <row r="46" spans="2:3" s="2" customFormat="1" ht="12.75" x14ac:dyDescent="0.2"/>
    <row r="47" spans="2:3" s="2" customFormat="1" ht="12.75" x14ac:dyDescent="0.2"/>
    <row r="48" spans="2:3" s="2" customFormat="1" ht="12.75" x14ac:dyDescent="0.2"/>
    <row r="49" s="2" customFormat="1" ht="12.75" x14ac:dyDescent="0.2"/>
    <row r="50" s="2" customFormat="1" ht="12.75" x14ac:dyDescent="0.2"/>
    <row r="51" s="2" customFormat="1" ht="12.75" x14ac:dyDescent="0.2"/>
    <row r="52" s="2" customFormat="1" ht="12.75" x14ac:dyDescent="0.2"/>
    <row r="53" s="2" customFormat="1" ht="12.75" x14ac:dyDescent="0.2"/>
    <row r="54" s="2" customFormat="1" ht="12.75" x14ac:dyDescent="0.2"/>
    <row r="55" s="2" customFormat="1" ht="12.75" x14ac:dyDescent="0.2"/>
    <row r="56" s="2" customFormat="1" ht="12.75" x14ac:dyDescent="0.2"/>
    <row r="57" s="2" customFormat="1" ht="12.75" x14ac:dyDescent="0.2"/>
    <row r="58" s="2" customFormat="1" ht="12.75" x14ac:dyDescent="0.2"/>
    <row r="59" s="2" customFormat="1" ht="12.75" x14ac:dyDescent="0.2"/>
    <row r="60" s="2" customFormat="1" ht="12.75" x14ac:dyDescent="0.2"/>
    <row r="61" s="2" customFormat="1" ht="12.75" x14ac:dyDescent="0.2"/>
    <row r="62" s="2" customFormat="1" ht="12.75" x14ac:dyDescent="0.2"/>
    <row r="63" s="2" customFormat="1" ht="12.75" x14ac:dyDescent="0.2"/>
    <row r="64" s="2" customFormat="1" ht="12.75" x14ac:dyDescent="0.2"/>
    <row r="65" s="2" customFormat="1" ht="12.75" x14ac:dyDescent="0.2"/>
    <row r="66" s="2" customFormat="1" ht="12.75" x14ac:dyDescent="0.2"/>
    <row r="67" s="2" customFormat="1" ht="12.75" x14ac:dyDescent="0.2"/>
    <row r="68" s="2" customFormat="1" ht="12.75" x14ac:dyDescent="0.2"/>
    <row r="69" s="2" customFormat="1" ht="12.75" x14ac:dyDescent="0.2"/>
    <row r="70" s="2" customFormat="1" ht="12.75" x14ac:dyDescent="0.2"/>
    <row r="71" s="2" customFormat="1" ht="12.75" x14ac:dyDescent="0.2"/>
    <row r="72" s="2" customFormat="1" ht="12.75" x14ac:dyDescent="0.2"/>
    <row r="73" s="2" customFormat="1" ht="12.75" x14ac:dyDescent="0.2"/>
    <row r="74" s="2" customFormat="1" ht="12.75" x14ac:dyDescent="0.2"/>
    <row r="75" s="2" customFormat="1" ht="12.75" x14ac:dyDescent="0.2"/>
    <row r="76" s="2" customFormat="1" ht="12.75" x14ac:dyDescent="0.2"/>
    <row r="77" s="2" customFormat="1" ht="12.75" x14ac:dyDescent="0.2"/>
    <row r="78" s="2" customFormat="1" ht="12.75" x14ac:dyDescent="0.2"/>
    <row r="79" s="2" customFormat="1" ht="12.75" x14ac:dyDescent="0.2"/>
    <row r="80" s="2" customFormat="1" ht="12.75" x14ac:dyDescent="0.2"/>
    <row r="81" s="2" customFormat="1" ht="12.75" x14ac:dyDescent="0.2"/>
    <row r="82" s="2" customFormat="1" ht="12.75" x14ac:dyDescent="0.2"/>
    <row r="83" s="2" customFormat="1" ht="12.75" x14ac:dyDescent="0.2"/>
    <row r="84" s="2" customFormat="1" ht="12.75" x14ac:dyDescent="0.2"/>
    <row r="85" s="2" customFormat="1" ht="12.75" x14ac:dyDescent="0.2"/>
    <row r="86" s="2" customFormat="1" ht="12.75" x14ac:dyDescent="0.2"/>
    <row r="87" s="2" customFormat="1" ht="12.75" x14ac:dyDescent="0.2"/>
    <row r="88" s="2" customFormat="1" ht="12.75" x14ac:dyDescent="0.2"/>
    <row r="89" s="2" customFormat="1" ht="12.75" x14ac:dyDescent="0.2"/>
    <row r="90" s="2" customFormat="1" ht="12.75" x14ac:dyDescent="0.2"/>
    <row r="91" s="2" customFormat="1" ht="12.75" x14ac:dyDescent="0.2"/>
    <row r="92" s="2" customFormat="1" ht="12.75" x14ac:dyDescent="0.2"/>
    <row r="93" s="2" customFormat="1" ht="12.75" x14ac:dyDescent="0.2"/>
    <row r="94" s="2" customFormat="1" ht="12.75" x14ac:dyDescent="0.2"/>
    <row r="95" s="2" customFormat="1" ht="12.75" x14ac:dyDescent="0.2"/>
    <row r="96" s="2" customFormat="1" ht="12.75" x14ac:dyDescent="0.2"/>
    <row r="97" s="2" customFormat="1" ht="12.75" x14ac:dyDescent="0.2"/>
    <row r="98" s="2" customFormat="1" ht="12.75" x14ac:dyDescent="0.2"/>
    <row r="99" s="2" customFormat="1" ht="12.75" x14ac:dyDescent="0.2"/>
    <row r="100" s="2" customFormat="1" ht="12.75" x14ac:dyDescent="0.2"/>
    <row r="101" s="2" customFormat="1" ht="12.75" x14ac:dyDescent="0.2"/>
    <row r="102" s="2" customFormat="1" ht="12.75" x14ac:dyDescent="0.2"/>
    <row r="103" s="2" customFormat="1" ht="12.75" x14ac:dyDescent="0.2"/>
    <row r="104" s="2" customFormat="1" ht="12.75" x14ac:dyDescent="0.2"/>
    <row r="105" s="2" customFormat="1" ht="12.75" x14ac:dyDescent="0.2"/>
    <row r="106" s="2" customFormat="1" ht="12.75" x14ac:dyDescent="0.2"/>
    <row r="107" s="2" customFormat="1" ht="12.75" x14ac:dyDescent="0.2"/>
    <row r="108" s="2" customFormat="1" ht="12.75" x14ac:dyDescent="0.2"/>
    <row r="109" s="2" customFormat="1" ht="12.75" x14ac:dyDescent="0.2"/>
    <row r="110" s="2" customFormat="1" ht="12.75" x14ac:dyDescent="0.2"/>
    <row r="111" s="2" customFormat="1" ht="12.75" x14ac:dyDescent="0.2"/>
    <row r="112" s="2" customFormat="1" ht="12.75" x14ac:dyDescent="0.2"/>
    <row r="113" s="2" customFormat="1" ht="12.75" x14ac:dyDescent="0.2"/>
    <row r="114" s="2" customFormat="1" ht="12.75" x14ac:dyDescent="0.2"/>
    <row r="115" s="2" customFormat="1" ht="12.75" x14ac:dyDescent="0.2"/>
    <row r="116" s="2" customFormat="1" ht="12.75" x14ac:dyDescent="0.2"/>
    <row r="117" s="2" customFormat="1" ht="12.75" x14ac:dyDescent="0.2"/>
    <row r="118" s="2" customFormat="1" ht="12.75" x14ac:dyDescent="0.2"/>
    <row r="119" s="2" customFormat="1" ht="12.75" x14ac:dyDescent="0.2"/>
    <row r="120" s="2" customFormat="1" ht="12.75" x14ac:dyDescent="0.2"/>
    <row r="121" s="2" customFormat="1" ht="12.75" x14ac:dyDescent="0.2"/>
    <row r="122" s="2" customFormat="1" ht="12.75" x14ac:dyDescent="0.2"/>
    <row r="123" s="2" customFormat="1" ht="12.75" x14ac:dyDescent="0.2"/>
    <row r="124" s="2" customFormat="1" ht="12.75" x14ac:dyDescent="0.2"/>
    <row r="125" s="2" customFormat="1" ht="12.75" x14ac:dyDescent="0.2"/>
    <row r="126" s="2" customFormat="1" ht="12.75" x14ac:dyDescent="0.2"/>
    <row r="127" s="2" customFormat="1" ht="12.75" x14ac:dyDescent="0.2"/>
    <row r="128" s="2" customFormat="1" ht="12.75" x14ac:dyDescent="0.2"/>
    <row r="129" s="2" customFormat="1" ht="12.75" x14ac:dyDescent="0.2"/>
    <row r="130" s="2" customFormat="1" ht="12.75" x14ac:dyDescent="0.2"/>
    <row r="131" s="2" customFormat="1" ht="12.75" x14ac:dyDescent="0.2"/>
    <row r="132" s="2" customFormat="1" ht="12.75" x14ac:dyDescent="0.2"/>
    <row r="133" s="2" customFormat="1" ht="12.75" x14ac:dyDescent="0.2"/>
  </sheetData>
  <mergeCells count="7">
    <mergeCell ref="C30:K30"/>
    <mergeCell ref="D7:K7"/>
    <mergeCell ref="D8:I8"/>
    <mergeCell ref="D9:I9"/>
    <mergeCell ref="D10:I10"/>
    <mergeCell ref="D11:I11"/>
    <mergeCell ref="C22:J22"/>
  </mergeCells>
  <hyperlinks>
    <hyperlink ref="C19" r:id="rId1" xr:uid="{8A30D4E0-33FC-4438-82FC-6CE90178C8D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737A-F2D8-40E7-97DD-5C326B2CF060}">
  <dimension ref="A1:AP93"/>
  <sheetViews>
    <sheetView showGridLines="0" zoomScale="90" zoomScaleNormal="90" workbookViewId="0">
      <selection activeCell="J21" sqref="J21"/>
    </sheetView>
  </sheetViews>
  <sheetFormatPr defaultRowHeight="15" x14ac:dyDescent="0.25"/>
  <cols>
    <col min="1" max="1" width="3.140625" customWidth="1"/>
    <col min="2" max="2" width="87.85546875" customWidth="1"/>
    <col min="3" max="18" width="12" customWidth="1"/>
    <col min="20" max="20" width="10.85546875" bestFit="1" customWidth="1"/>
  </cols>
  <sheetData>
    <row r="1" spans="1:42" ht="22.5" customHeight="1" x14ac:dyDescent="0.25">
      <c r="A1" s="26"/>
      <c r="B1" s="26" t="s">
        <v>143</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3" spans="1:42" ht="15.75" x14ac:dyDescent="0.25">
      <c r="B3" s="103" t="s">
        <v>97</v>
      </c>
    </row>
    <row r="5" spans="1:42" s="104" customFormat="1" x14ac:dyDescent="0.25">
      <c r="B5" s="105" t="s">
        <v>98</v>
      </c>
    </row>
    <row r="6" spans="1:42" s="104" customFormat="1" x14ac:dyDescent="0.25">
      <c r="B6" s="106" t="s">
        <v>99</v>
      </c>
    </row>
    <row r="8" spans="1:42" s="104" customFormat="1" ht="15.75" x14ac:dyDescent="0.25">
      <c r="A8"/>
      <c r="B8" s="107" t="s">
        <v>100</v>
      </c>
    </row>
    <row r="9" spans="1:42" s="104" customFormat="1" x14ac:dyDescent="0.25">
      <c r="A9"/>
    </row>
    <row r="10" spans="1:42" s="104" customFormat="1" x14ac:dyDescent="0.25">
      <c r="A10"/>
      <c r="B10" s="108" t="s">
        <v>101</v>
      </c>
      <c r="C10" s="108" t="s">
        <v>102</v>
      </c>
      <c r="D10" s="108" t="s">
        <v>103</v>
      </c>
      <c r="E10" s="108" t="s">
        <v>104</v>
      </c>
      <c r="F10" s="108" t="s">
        <v>2</v>
      </c>
      <c r="G10" s="108" t="s">
        <v>3</v>
      </c>
      <c r="H10" s="108" t="s">
        <v>4</v>
      </c>
      <c r="I10" s="108" t="s">
        <v>5</v>
      </c>
      <c r="J10" s="108" t="s">
        <v>6</v>
      </c>
      <c r="K10" s="108" t="s">
        <v>7</v>
      </c>
      <c r="L10" s="108" t="s">
        <v>8</v>
      </c>
      <c r="M10" s="108" t="s">
        <v>9</v>
      </c>
      <c r="N10" s="108" t="s">
        <v>10</v>
      </c>
      <c r="O10" s="108" t="s">
        <v>11</v>
      </c>
      <c r="P10" s="108" t="s">
        <v>20</v>
      </c>
    </row>
    <row r="11" spans="1:42" s="104" customFormat="1" x14ac:dyDescent="0.25">
      <c r="A11"/>
      <c r="B11" s="109" t="s">
        <v>105</v>
      </c>
      <c r="C11" s="110">
        <v>23408</v>
      </c>
      <c r="D11" s="110">
        <v>22972</v>
      </c>
      <c r="E11" s="110">
        <v>26813</v>
      </c>
      <c r="F11" s="110">
        <v>30340</v>
      </c>
      <c r="G11" s="110">
        <v>32995</v>
      </c>
      <c r="H11" s="110">
        <v>53338</v>
      </c>
      <c r="I11" s="110">
        <v>84111</v>
      </c>
      <c r="J11" s="110">
        <v>52077</v>
      </c>
      <c r="K11" s="110">
        <v>45931</v>
      </c>
      <c r="L11" s="110">
        <v>31973</v>
      </c>
      <c r="M11" s="110">
        <v>30214</v>
      </c>
      <c r="N11" s="110">
        <v>32369</v>
      </c>
      <c r="O11" s="111">
        <v>29729</v>
      </c>
      <c r="P11" s="111">
        <v>20666</v>
      </c>
      <c r="Q11" s="112"/>
    </row>
    <row r="12" spans="1:42" s="104" customFormat="1" x14ac:dyDescent="0.25">
      <c r="A12"/>
      <c r="B12" s="109" t="s">
        <v>106</v>
      </c>
      <c r="C12" s="113">
        <v>14</v>
      </c>
      <c r="D12" s="113">
        <v>12</v>
      </c>
      <c r="E12" s="113">
        <v>13</v>
      </c>
      <c r="F12" s="113">
        <v>13</v>
      </c>
      <c r="G12" s="113">
        <v>2</v>
      </c>
      <c r="H12" s="113">
        <v>3</v>
      </c>
      <c r="I12" s="113">
        <v>0</v>
      </c>
      <c r="J12" s="113">
        <v>0</v>
      </c>
      <c r="K12" s="113">
        <v>1</v>
      </c>
      <c r="L12" s="113">
        <v>0</v>
      </c>
      <c r="M12" s="113">
        <v>2</v>
      </c>
      <c r="N12" s="113">
        <v>1</v>
      </c>
      <c r="O12" s="114">
        <v>2</v>
      </c>
      <c r="P12" s="114">
        <v>1</v>
      </c>
      <c r="Q12" s="112"/>
    </row>
    <row r="13" spans="1:42" s="104" customFormat="1" x14ac:dyDescent="0.25">
      <c r="A13"/>
      <c r="B13" s="109" t="s">
        <v>107</v>
      </c>
      <c r="C13" s="115">
        <v>0.999</v>
      </c>
      <c r="D13" s="115">
        <v>0.99950000000000006</v>
      </c>
      <c r="E13" s="115">
        <v>0.99950000000000006</v>
      </c>
      <c r="F13" s="115">
        <v>0.99960000000000004</v>
      </c>
      <c r="G13" s="115">
        <v>0.99990000000000001</v>
      </c>
      <c r="H13" s="115">
        <v>0.99990000000000001</v>
      </c>
      <c r="I13" s="116">
        <v>1</v>
      </c>
      <c r="J13" s="116">
        <v>1</v>
      </c>
      <c r="K13" s="115">
        <v>0.99990000000000001</v>
      </c>
      <c r="L13" s="116">
        <v>1</v>
      </c>
      <c r="M13" s="115">
        <v>0.99990000000000001</v>
      </c>
      <c r="N13" s="115">
        <v>0.99990000000000001</v>
      </c>
      <c r="O13" s="117">
        <v>0.99990000000000001</v>
      </c>
      <c r="P13" s="117">
        <v>0.99990000000000001</v>
      </c>
      <c r="Q13" s="112"/>
    </row>
    <row r="14" spans="1:42" s="104" customFormat="1" x14ac:dyDescent="0.25">
      <c r="A14"/>
      <c r="B14" s="109" t="s">
        <v>108</v>
      </c>
      <c r="C14" s="118">
        <v>280</v>
      </c>
      <c r="D14" s="118">
        <v>240</v>
      </c>
      <c r="E14" s="118">
        <v>260</v>
      </c>
      <c r="F14" s="118">
        <v>260</v>
      </c>
      <c r="G14" s="118">
        <v>40</v>
      </c>
      <c r="H14" s="118">
        <v>90</v>
      </c>
      <c r="I14" s="119">
        <v>0</v>
      </c>
      <c r="J14" s="119">
        <v>0</v>
      </c>
      <c r="K14" s="119">
        <v>25</v>
      </c>
      <c r="L14" s="119">
        <v>0</v>
      </c>
      <c r="M14" s="119">
        <v>50</v>
      </c>
      <c r="N14" s="119">
        <v>25</v>
      </c>
      <c r="O14" s="120">
        <v>50</v>
      </c>
      <c r="P14" s="120">
        <v>25</v>
      </c>
      <c r="Q14" s="112"/>
    </row>
    <row r="15" spans="1:42" x14ac:dyDescent="0.25">
      <c r="Q15" s="112"/>
    </row>
    <row r="16" spans="1:42" s="104" customFormat="1" ht="15.75" x14ac:dyDescent="0.25">
      <c r="A16"/>
      <c r="B16" s="107" t="s">
        <v>109</v>
      </c>
      <c r="Q16" s="112"/>
    </row>
    <row r="17" spans="1:24" s="104" customFormat="1" x14ac:dyDescent="0.25">
      <c r="A17"/>
      <c r="Q17" s="112"/>
    </row>
    <row r="18" spans="1:24" s="104" customFormat="1" x14ac:dyDescent="0.25">
      <c r="A18"/>
      <c r="B18" s="108" t="s">
        <v>101</v>
      </c>
      <c r="C18" s="108" t="s">
        <v>102</v>
      </c>
      <c r="D18" s="108" t="s">
        <v>103</v>
      </c>
      <c r="E18" s="108" t="s">
        <v>104</v>
      </c>
      <c r="F18" s="108" t="s">
        <v>2</v>
      </c>
      <c r="G18" s="108" t="s">
        <v>3</v>
      </c>
      <c r="H18" s="108" t="s">
        <v>4</v>
      </c>
      <c r="I18" s="108" t="s">
        <v>5</v>
      </c>
      <c r="J18" s="108" t="s">
        <v>6</v>
      </c>
      <c r="K18" s="108" t="s">
        <v>7</v>
      </c>
      <c r="L18" s="108" t="s">
        <v>8</v>
      </c>
      <c r="M18" s="108" t="s">
        <v>9</v>
      </c>
      <c r="N18" s="108" t="s">
        <v>10</v>
      </c>
      <c r="O18" s="108" t="s">
        <v>11</v>
      </c>
      <c r="P18" s="108" t="s">
        <v>20</v>
      </c>
      <c r="Q18" s="112"/>
    </row>
    <row r="19" spans="1:24" s="104" customFormat="1" x14ac:dyDescent="0.25">
      <c r="A19"/>
      <c r="B19" s="109" t="s">
        <v>110</v>
      </c>
      <c r="C19" s="121">
        <v>13423</v>
      </c>
      <c r="D19" s="121">
        <v>13052</v>
      </c>
      <c r="E19" s="121">
        <v>13033</v>
      </c>
      <c r="F19" s="121">
        <v>14933</v>
      </c>
      <c r="G19" s="121">
        <v>13853</v>
      </c>
      <c r="H19" s="121">
        <v>14187</v>
      </c>
      <c r="I19" s="110">
        <v>11585</v>
      </c>
      <c r="J19" s="110">
        <v>9480</v>
      </c>
      <c r="K19" s="110">
        <v>10721</v>
      </c>
      <c r="L19" s="110">
        <v>11901</v>
      </c>
      <c r="M19" s="110">
        <v>11620</v>
      </c>
      <c r="N19" s="110">
        <v>11805</v>
      </c>
      <c r="O19" s="111">
        <v>11789</v>
      </c>
      <c r="P19" s="111">
        <v>10016</v>
      </c>
      <c r="Q19" s="112"/>
    </row>
    <row r="20" spans="1:24" s="104" customFormat="1" x14ac:dyDescent="0.25">
      <c r="A20"/>
      <c r="B20" s="109" t="s">
        <v>111</v>
      </c>
      <c r="C20" s="122">
        <v>179</v>
      </c>
      <c r="D20" s="122">
        <v>67</v>
      </c>
      <c r="E20" s="122">
        <v>172</v>
      </c>
      <c r="F20" s="122">
        <v>87</v>
      </c>
      <c r="G20" s="122">
        <v>88</v>
      </c>
      <c r="H20" s="122">
        <v>82</v>
      </c>
      <c r="I20" s="122">
        <v>77</v>
      </c>
      <c r="J20" s="122">
        <v>65</v>
      </c>
      <c r="K20" s="122">
        <v>121</v>
      </c>
      <c r="L20" s="122">
        <v>141</v>
      </c>
      <c r="M20" s="122">
        <v>192</v>
      </c>
      <c r="N20" s="122">
        <v>238</v>
      </c>
      <c r="O20" s="123">
        <v>215</v>
      </c>
      <c r="P20" s="123">
        <v>229</v>
      </c>
      <c r="Q20" s="112"/>
    </row>
    <row r="21" spans="1:24" s="104" customFormat="1" x14ac:dyDescent="0.25">
      <c r="A21"/>
      <c r="B21" s="109" t="s">
        <v>112</v>
      </c>
      <c r="C21" s="124">
        <f t="shared" ref="C21:J21" si="0">(C19-C20)/C19</f>
        <v>0.98666468002681962</v>
      </c>
      <c r="D21" s="124">
        <f t="shared" si="0"/>
        <v>0.99486668709776283</v>
      </c>
      <c r="E21" s="124">
        <f t="shared" si="0"/>
        <v>0.98680273152766051</v>
      </c>
      <c r="F21" s="124">
        <f t="shared" si="0"/>
        <v>0.99417397709770305</v>
      </c>
      <c r="G21" s="124">
        <f t="shared" si="0"/>
        <v>0.99364758536057174</v>
      </c>
      <c r="H21" s="124">
        <f t="shared" si="0"/>
        <v>0.99422006061887647</v>
      </c>
      <c r="I21" s="124">
        <f t="shared" si="0"/>
        <v>0.99335347432024168</v>
      </c>
      <c r="J21" s="124">
        <f t="shared" si="0"/>
        <v>0.99314345991561181</v>
      </c>
      <c r="K21" s="124">
        <f>(K19-K20)/K19</f>
        <v>0.9887137393899823</v>
      </c>
      <c r="L21" s="124">
        <f>(L19-L20)/L19</f>
        <v>0.98815225611293167</v>
      </c>
      <c r="M21" s="124">
        <f>(M19-M20)/M19</f>
        <v>0.9834767641996558</v>
      </c>
      <c r="N21" s="124">
        <f>(N19-N20)/N19</f>
        <v>0.97983905124947057</v>
      </c>
      <c r="O21" s="125">
        <v>0.98</v>
      </c>
      <c r="P21" s="125">
        <v>0.97699999999999998</v>
      </c>
      <c r="Q21" s="112"/>
    </row>
    <row r="22" spans="1:24" s="104" customFormat="1" ht="30" x14ac:dyDescent="0.25">
      <c r="A22"/>
      <c r="B22" s="109" t="s">
        <v>113</v>
      </c>
      <c r="C22" s="126">
        <v>16000</v>
      </c>
      <c r="D22" s="126">
        <v>15150</v>
      </c>
      <c r="E22" s="126">
        <v>41100</v>
      </c>
      <c r="F22" s="126">
        <v>17950</v>
      </c>
      <c r="G22" s="126">
        <v>17150</v>
      </c>
      <c r="H22" s="126">
        <v>18480</v>
      </c>
      <c r="I22" s="119">
        <v>19860</v>
      </c>
      <c r="J22" s="119">
        <v>14560</v>
      </c>
      <c r="K22" s="119">
        <v>30840</v>
      </c>
      <c r="L22" s="119">
        <v>37620</v>
      </c>
      <c r="M22" s="119">
        <v>52620</v>
      </c>
      <c r="N22" s="119">
        <v>71930</v>
      </c>
      <c r="O22" s="120">
        <v>60975</v>
      </c>
      <c r="P22" s="120">
        <v>64610</v>
      </c>
      <c r="Q22" s="112"/>
    </row>
    <row r="23" spans="1:24" x14ac:dyDescent="0.25">
      <c r="Q23" s="112"/>
      <c r="R23" s="104"/>
      <c r="S23" s="104"/>
      <c r="T23" s="104"/>
      <c r="U23" s="104"/>
      <c r="V23" s="104"/>
      <c r="W23" s="104"/>
      <c r="X23" s="104"/>
    </row>
    <row r="24" spans="1:24" ht="15.75" x14ac:dyDescent="0.25">
      <c r="B24" s="107" t="s">
        <v>114</v>
      </c>
      <c r="C24" s="104"/>
      <c r="D24" s="104"/>
      <c r="E24" s="104"/>
      <c r="F24" s="104"/>
      <c r="G24" s="104"/>
      <c r="H24" s="104"/>
      <c r="I24" s="104"/>
      <c r="J24" s="104"/>
      <c r="K24" s="104"/>
      <c r="L24" s="104"/>
      <c r="M24" s="104"/>
      <c r="N24" s="104"/>
      <c r="O24" s="104"/>
      <c r="P24" s="104"/>
      <c r="Q24" s="112"/>
      <c r="R24" s="104"/>
      <c r="S24" s="104"/>
      <c r="T24" s="104"/>
      <c r="U24" s="104"/>
      <c r="V24" s="104"/>
      <c r="W24" s="104"/>
      <c r="X24" s="104"/>
    </row>
    <row r="25" spans="1:24" x14ac:dyDescent="0.25">
      <c r="B25" s="104"/>
      <c r="C25" s="104"/>
      <c r="D25" s="104"/>
      <c r="E25" s="104"/>
      <c r="F25" s="104"/>
      <c r="G25" s="104"/>
      <c r="H25" s="104"/>
      <c r="I25" s="104"/>
      <c r="J25" s="104"/>
      <c r="K25" s="104"/>
      <c r="L25" s="104"/>
      <c r="M25" s="104"/>
      <c r="N25" s="104"/>
      <c r="O25" s="104"/>
      <c r="P25" s="104"/>
      <c r="Q25" s="112"/>
      <c r="R25" s="104"/>
      <c r="S25" s="104"/>
      <c r="T25" s="104"/>
      <c r="U25" s="104"/>
      <c r="V25" s="104"/>
      <c r="W25" s="104"/>
      <c r="X25" s="104"/>
    </row>
    <row r="26" spans="1:24" x14ac:dyDescent="0.25">
      <c r="B26" s="108" t="s">
        <v>101</v>
      </c>
      <c r="C26" s="108" t="s">
        <v>102</v>
      </c>
      <c r="D26" s="108" t="s">
        <v>103</v>
      </c>
      <c r="E26" s="108" t="s">
        <v>104</v>
      </c>
      <c r="F26" s="108" t="s">
        <v>2</v>
      </c>
      <c r="G26" s="108" t="s">
        <v>3</v>
      </c>
      <c r="H26" s="108" t="s">
        <v>4</v>
      </c>
      <c r="I26" s="108" t="s">
        <v>5</v>
      </c>
      <c r="J26" s="108" t="s">
        <v>6</v>
      </c>
      <c r="K26" s="108" t="s">
        <v>7</v>
      </c>
      <c r="L26" s="108" t="s">
        <v>8</v>
      </c>
      <c r="M26" s="108" t="s">
        <v>9</v>
      </c>
      <c r="N26" s="108" t="s">
        <v>10</v>
      </c>
      <c r="O26" s="108" t="s">
        <v>11</v>
      </c>
      <c r="P26" s="108" t="s">
        <v>20</v>
      </c>
      <c r="Q26" s="112"/>
      <c r="R26" s="104"/>
      <c r="S26" s="104"/>
      <c r="T26" s="104"/>
      <c r="U26" s="104"/>
      <c r="V26" s="104"/>
      <c r="W26" s="104"/>
      <c r="X26" s="104"/>
    </row>
    <row r="27" spans="1:24" x14ac:dyDescent="0.25">
      <c r="B27" s="109" t="s">
        <v>115</v>
      </c>
      <c r="C27" s="110">
        <v>29320</v>
      </c>
      <c r="D27" s="110">
        <v>31829</v>
      </c>
      <c r="E27" s="110">
        <v>31450</v>
      </c>
      <c r="F27" s="110">
        <v>24268</v>
      </c>
      <c r="G27" s="110">
        <v>31439</v>
      </c>
      <c r="H27" s="110">
        <v>25090</v>
      </c>
      <c r="I27" s="110">
        <v>25735</v>
      </c>
      <c r="J27" s="110">
        <v>22669</v>
      </c>
      <c r="K27" s="110">
        <v>25648</v>
      </c>
      <c r="L27" s="110">
        <v>26782</v>
      </c>
      <c r="M27" s="110">
        <v>27486</v>
      </c>
      <c r="N27" s="110">
        <v>35181</v>
      </c>
      <c r="O27" s="111">
        <v>26589</v>
      </c>
      <c r="P27" s="111">
        <v>26044</v>
      </c>
      <c r="Q27" s="112"/>
      <c r="R27" s="104"/>
      <c r="S27" s="104"/>
      <c r="T27" s="104"/>
      <c r="U27" s="104"/>
      <c r="V27" s="104"/>
      <c r="W27" s="104"/>
      <c r="X27" s="104"/>
    </row>
    <row r="28" spans="1:24" x14ac:dyDescent="0.25">
      <c r="B28" s="109" t="s">
        <v>116</v>
      </c>
      <c r="C28" s="110">
        <v>1895</v>
      </c>
      <c r="D28" s="113">
        <v>841</v>
      </c>
      <c r="E28" s="113">
        <v>609</v>
      </c>
      <c r="F28" s="113">
        <v>315</v>
      </c>
      <c r="G28" s="113">
        <v>1159</v>
      </c>
      <c r="H28" s="113">
        <v>1763</v>
      </c>
      <c r="I28" s="113">
        <v>1055</v>
      </c>
      <c r="J28" s="113">
        <v>1361</v>
      </c>
      <c r="K28" s="113">
        <v>906</v>
      </c>
      <c r="L28" s="113">
        <v>1795</v>
      </c>
      <c r="M28" s="113">
        <v>1126</v>
      </c>
      <c r="N28" s="113">
        <v>3726</v>
      </c>
      <c r="O28" s="114">
        <v>1022</v>
      </c>
      <c r="P28" s="114">
        <v>1403</v>
      </c>
      <c r="Q28" s="112"/>
      <c r="R28" s="104"/>
      <c r="S28" s="104"/>
      <c r="T28" s="104"/>
      <c r="U28" s="104"/>
      <c r="V28" s="104"/>
      <c r="W28" s="104"/>
      <c r="X28" s="104"/>
    </row>
    <row r="29" spans="1:24" x14ac:dyDescent="0.25">
      <c r="B29" s="109" t="s">
        <v>117</v>
      </c>
      <c r="C29" s="127">
        <f t="shared" ref="C29:I29" si="1">(C27-C28)/C27</f>
        <v>0.93536834924965895</v>
      </c>
      <c r="D29" s="127">
        <f t="shared" si="1"/>
        <v>0.97357755505985111</v>
      </c>
      <c r="E29" s="127">
        <f t="shared" si="1"/>
        <v>0.98063593004769478</v>
      </c>
      <c r="F29" s="127">
        <f t="shared" si="1"/>
        <v>0.98701994395912318</v>
      </c>
      <c r="G29" s="127">
        <f t="shared" si="1"/>
        <v>0.96313495976335128</v>
      </c>
      <c r="H29" s="127">
        <f t="shared" si="1"/>
        <v>0.92973296133917893</v>
      </c>
      <c r="I29" s="127">
        <f t="shared" si="1"/>
        <v>0.9590052457742374</v>
      </c>
      <c r="J29" s="127">
        <f>(J27-J28)/J27</f>
        <v>0.93996206272883676</v>
      </c>
      <c r="K29" s="127">
        <f>(K27-K28)/K27</f>
        <v>0.96467560823456022</v>
      </c>
      <c r="L29" s="127">
        <f>(L27-L28)/L27</f>
        <v>0.93297737286237026</v>
      </c>
      <c r="M29" s="127">
        <f>(M27-M28)/M27</f>
        <v>0.95903368987848359</v>
      </c>
      <c r="N29" s="127">
        <v>0.89</v>
      </c>
      <c r="O29" s="128">
        <v>0.96</v>
      </c>
      <c r="P29" s="128">
        <v>0.95</v>
      </c>
      <c r="Q29" s="112"/>
      <c r="R29" s="104"/>
      <c r="S29" s="104"/>
      <c r="T29" s="104"/>
      <c r="U29" s="104"/>
      <c r="V29" s="104"/>
      <c r="W29" s="104"/>
      <c r="X29" s="104"/>
    </row>
    <row r="30" spans="1:24" x14ac:dyDescent="0.25">
      <c r="B30" s="109" t="s">
        <v>118</v>
      </c>
      <c r="C30" s="113">
        <v>3.5</v>
      </c>
      <c r="D30" s="113">
        <v>2.2999999999999998</v>
      </c>
      <c r="E30" s="113">
        <v>3</v>
      </c>
      <c r="F30" s="113">
        <v>2</v>
      </c>
      <c r="G30" s="113">
        <v>2.5</v>
      </c>
      <c r="H30" s="113">
        <v>3.4</v>
      </c>
      <c r="I30" s="113">
        <v>3.4</v>
      </c>
      <c r="J30" s="113">
        <v>2.6</v>
      </c>
      <c r="K30" s="129">
        <v>3.66</v>
      </c>
      <c r="L30" s="129">
        <v>4.83</v>
      </c>
      <c r="M30" s="129" t="s">
        <v>119</v>
      </c>
      <c r="N30" s="129" t="s">
        <v>119</v>
      </c>
      <c r="O30" s="130" t="s">
        <v>119</v>
      </c>
      <c r="P30" s="130" t="s">
        <v>119</v>
      </c>
      <c r="Q30" s="112"/>
      <c r="R30" s="104"/>
      <c r="S30" s="104"/>
      <c r="T30" s="104"/>
      <c r="U30" s="104"/>
      <c r="V30" s="104"/>
      <c r="W30" s="104"/>
      <c r="X30" s="104"/>
    </row>
    <row r="31" spans="1:24" x14ac:dyDescent="0.25">
      <c r="B31" s="109" t="s">
        <v>120</v>
      </c>
      <c r="C31" s="118">
        <v>142760</v>
      </c>
      <c r="D31" s="118">
        <v>31620</v>
      </c>
      <c r="E31" s="118">
        <v>31080</v>
      </c>
      <c r="F31" s="118">
        <v>15420</v>
      </c>
      <c r="G31" s="118">
        <v>28260</v>
      </c>
      <c r="H31" s="118">
        <v>72565</v>
      </c>
      <c r="I31" s="118">
        <v>43725</v>
      </c>
      <c r="J31" s="118">
        <v>73830</v>
      </c>
      <c r="K31" s="118">
        <v>71975</v>
      </c>
      <c r="L31" s="118">
        <v>255400</v>
      </c>
      <c r="M31" s="118">
        <v>190650</v>
      </c>
      <c r="N31" s="118">
        <v>442600</v>
      </c>
      <c r="O31" s="131">
        <v>154585</v>
      </c>
      <c r="P31" s="131">
        <v>149435</v>
      </c>
      <c r="Q31" s="112"/>
      <c r="R31" s="104"/>
      <c r="S31" s="104"/>
      <c r="T31" s="104"/>
      <c r="U31" s="104"/>
      <c r="V31" s="104"/>
      <c r="W31" s="104"/>
      <c r="X31" s="104"/>
    </row>
    <row r="32" spans="1:24" x14ac:dyDescent="0.25">
      <c r="Q32" s="112"/>
      <c r="R32" s="104"/>
      <c r="S32" s="104"/>
      <c r="T32" s="104"/>
      <c r="U32" s="104"/>
      <c r="V32" s="104"/>
      <c r="W32" s="104"/>
      <c r="X32" s="104"/>
    </row>
    <row r="33" spans="2:24" ht="15.75" x14ac:dyDescent="0.25">
      <c r="B33" s="107" t="s">
        <v>121</v>
      </c>
      <c r="C33" s="104"/>
      <c r="D33" s="104"/>
      <c r="E33" s="104"/>
      <c r="F33" s="104"/>
      <c r="G33" s="104"/>
      <c r="H33" s="104"/>
      <c r="I33" s="104"/>
      <c r="J33" s="104"/>
      <c r="K33" s="104"/>
      <c r="L33" s="104"/>
      <c r="M33" s="104"/>
      <c r="N33" s="104"/>
      <c r="O33" s="104"/>
      <c r="P33" s="104"/>
      <c r="Q33" s="112"/>
      <c r="R33" s="104"/>
      <c r="S33" s="104"/>
      <c r="T33" s="104"/>
      <c r="U33" s="104"/>
      <c r="V33" s="104"/>
      <c r="W33" s="104"/>
      <c r="X33" s="104"/>
    </row>
    <row r="34" spans="2:24" x14ac:dyDescent="0.25">
      <c r="B34" s="104"/>
      <c r="C34" s="104"/>
      <c r="D34" s="104"/>
      <c r="E34" s="104"/>
      <c r="F34" s="104"/>
      <c r="G34" s="104"/>
      <c r="H34" s="104"/>
      <c r="I34" s="104"/>
      <c r="J34" s="104"/>
      <c r="K34" s="104"/>
      <c r="L34" s="104"/>
      <c r="M34" s="104"/>
      <c r="N34" s="104"/>
      <c r="O34" s="104"/>
      <c r="P34" s="104"/>
      <c r="Q34" s="112"/>
      <c r="R34" s="104"/>
      <c r="S34" s="104"/>
      <c r="T34" s="104"/>
      <c r="U34" s="104"/>
      <c r="V34" s="104"/>
      <c r="W34" s="104"/>
      <c r="X34" s="104"/>
    </row>
    <row r="35" spans="2:24" x14ac:dyDescent="0.25">
      <c r="B35" s="108" t="s">
        <v>101</v>
      </c>
      <c r="C35" s="108" t="s">
        <v>102</v>
      </c>
      <c r="D35" s="108" t="s">
        <v>103</v>
      </c>
      <c r="E35" s="108" t="s">
        <v>104</v>
      </c>
      <c r="F35" s="108" t="s">
        <v>2</v>
      </c>
      <c r="G35" s="108" t="s">
        <v>3</v>
      </c>
      <c r="H35" s="108" t="s">
        <v>4</v>
      </c>
      <c r="I35" s="108" t="s">
        <v>5</v>
      </c>
      <c r="J35" s="108" t="s">
        <v>6</v>
      </c>
      <c r="K35" s="108" t="s">
        <v>7</v>
      </c>
      <c r="L35" s="108" t="s">
        <v>8</v>
      </c>
      <c r="M35" s="108" t="s">
        <v>9</v>
      </c>
      <c r="N35" s="108" t="s">
        <v>10</v>
      </c>
      <c r="O35" s="108" t="s">
        <v>11</v>
      </c>
      <c r="P35" s="108" t="s">
        <v>20</v>
      </c>
      <c r="Q35" s="112"/>
      <c r="R35" s="104"/>
      <c r="S35" s="104"/>
      <c r="T35" s="104"/>
      <c r="U35" s="104"/>
      <c r="V35" s="104"/>
      <c r="W35" s="104"/>
      <c r="X35" s="104"/>
    </row>
    <row r="36" spans="2:24" x14ac:dyDescent="0.25">
      <c r="B36" s="132" t="s">
        <v>115</v>
      </c>
      <c r="C36" s="110">
        <v>7088</v>
      </c>
      <c r="D36" s="110">
        <v>6220</v>
      </c>
      <c r="E36" s="110">
        <v>5455</v>
      </c>
      <c r="F36" s="110">
        <v>4213</v>
      </c>
      <c r="G36" s="110">
        <v>5453</v>
      </c>
      <c r="H36" s="110">
        <v>3947</v>
      </c>
      <c r="I36" s="110">
        <v>3696</v>
      </c>
      <c r="J36" s="110">
        <v>3441</v>
      </c>
      <c r="K36" s="110">
        <v>3657</v>
      </c>
      <c r="L36" s="110">
        <v>3867</v>
      </c>
      <c r="M36" s="110">
        <v>4149</v>
      </c>
      <c r="N36" s="110">
        <v>5212</v>
      </c>
      <c r="O36" s="111">
        <v>4356</v>
      </c>
      <c r="P36" s="111">
        <v>4147</v>
      </c>
      <c r="Q36" s="112"/>
      <c r="R36" s="104"/>
      <c r="S36" s="104"/>
      <c r="T36" s="104"/>
      <c r="U36" s="104"/>
      <c r="V36" s="104"/>
      <c r="W36" s="104"/>
      <c r="X36" s="104"/>
    </row>
    <row r="37" spans="2:24" x14ac:dyDescent="0.25">
      <c r="B37" s="132" t="s">
        <v>122</v>
      </c>
      <c r="C37" s="113">
        <v>100</v>
      </c>
      <c r="D37" s="113">
        <v>159</v>
      </c>
      <c r="E37" s="113">
        <v>37</v>
      </c>
      <c r="F37" s="113">
        <v>25</v>
      </c>
      <c r="G37" s="113">
        <v>79</v>
      </c>
      <c r="H37" s="113">
        <v>159</v>
      </c>
      <c r="I37" s="113">
        <v>60</v>
      </c>
      <c r="J37" s="113">
        <v>67</v>
      </c>
      <c r="K37" s="113">
        <v>26</v>
      </c>
      <c r="L37" s="113">
        <v>27</v>
      </c>
      <c r="M37" s="113">
        <v>12</v>
      </c>
      <c r="N37" s="113">
        <v>53</v>
      </c>
      <c r="O37" s="114">
        <v>23</v>
      </c>
      <c r="P37" s="114">
        <v>52</v>
      </c>
      <c r="Q37" s="112"/>
      <c r="R37" s="104"/>
      <c r="S37" s="104"/>
      <c r="T37" s="104"/>
      <c r="U37" s="104"/>
      <c r="V37" s="104"/>
      <c r="W37" s="104"/>
      <c r="X37" s="104"/>
    </row>
    <row r="38" spans="2:24" x14ac:dyDescent="0.25">
      <c r="B38" s="132" t="s">
        <v>123</v>
      </c>
      <c r="C38" s="127">
        <f t="shared" ref="C38:M38" si="2">(C36-C37)/C36</f>
        <v>0.98589164785553052</v>
      </c>
      <c r="D38" s="127">
        <f t="shared" si="2"/>
        <v>0.9744372990353698</v>
      </c>
      <c r="E38" s="127">
        <f t="shared" si="2"/>
        <v>0.9932172318973419</v>
      </c>
      <c r="F38" s="127">
        <f t="shared" si="2"/>
        <v>0.99406598623308806</v>
      </c>
      <c r="G38" s="127">
        <f t="shared" si="2"/>
        <v>0.98551256189253622</v>
      </c>
      <c r="H38" s="127">
        <f t="shared" si="2"/>
        <v>0.95971624018241708</v>
      </c>
      <c r="I38" s="127">
        <f t="shared" si="2"/>
        <v>0.98376623376623373</v>
      </c>
      <c r="J38" s="127">
        <f t="shared" si="2"/>
        <v>0.98052891601278702</v>
      </c>
      <c r="K38" s="127">
        <f t="shared" si="2"/>
        <v>0.99289034727919057</v>
      </c>
      <c r="L38" s="127">
        <f t="shared" si="2"/>
        <v>0.99301784328937159</v>
      </c>
      <c r="M38" s="127">
        <f t="shared" si="2"/>
        <v>0.99710773680404918</v>
      </c>
      <c r="N38" s="127">
        <v>0.99</v>
      </c>
      <c r="O38" s="128">
        <v>0.99</v>
      </c>
      <c r="P38" s="128">
        <v>0.99</v>
      </c>
      <c r="Q38" s="112"/>
      <c r="R38" s="104"/>
      <c r="S38" s="104"/>
      <c r="T38" s="104"/>
      <c r="U38" s="104"/>
      <c r="V38" s="104"/>
      <c r="W38" s="104"/>
      <c r="X38" s="104"/>
    </row>
    <row r="39" spans="2:24" x14ac:dyDescent="0.25">
      <c r="B39" s="132" t="s">
        <v>118</v>
      </c>
      <c r="C39" s="113">
        <v>4</v>
      </c>
      <c r="D39" s="113">
        <v>4</v>
      </c>
      <c r="E39" s="113">
        <v>3</v>
      </c>
      <c r="F39" s="113">
        <v>3.5</v>
      </c>
      <c r="G39" s="113">
        <v>4</v>
      </c>
      <c r="H39" s="113">
        <v>4</v>
      </c>
      <c r="I39" s="113">
        <v>4.5</v>
      </c>
      <c r="J39" s="113">
        <v>3.25</v>
      </c>
      <c r="K39" s="113">
        <v>3.1</v>
      </c>
      <c r="L39" s="113" t="s">
        <v>119</v>
      </c>
      <c r="M39" s="113" t="s">
        <v>119</v>
      </c>
      <c r="N39" s="113" t="s">
        <v>119</v>
      </c>
      <c r="O39" s="113" t="s">
        <v>119</v>
      </c>
      <c r="P39" s="113" t="s">
        <v>119</v>
      </c>
      <c r="Q39" s="112"/>
      <c r="R39" s="104"/>
      <c r="S39" s="104"/>
      <c r="T39" s="104"/>
      <c r="U39" s="104"/>
      <c r="V39" s="104"/>
      <c r="W39" s="104"/>
      <c r="X39" s="104"/>
    </row>
    <row r="40" spans="2:24" x14ac:dyDescent="0.25">
      <c r="B40" s="132" t="s">
        <v>124</v>
      </c>
      <c r="C40" s="118">
        <v>2780</v>
      </c>
      <c r="D40" s="118">
        <v>2840</v>
      </c>
      <c r="E40" s="118">
        <v>1040</v>
      </c>
      <c r="F40" s="118">
        <v>600</v>
      </c>
      <c r="G40" s="118">
        <v>1460</v>
      </c>
      <c r="H40" s="118">
        <v>2890</v>
      </c>
      <c r="I40" s="118">
        <v>1250</v>
      </c>
      <c r="J40" s="118">
        <v>1625</v>
      </c>
      <c r="K40" s="118">
        <v>800</v>
      </c>
      <c r="L40" s="118">
        <v>1575</v>
      </c>
      <c r="M40" s="118">
        <v>425</v>
      </c>
      <c r="N40" s="118">
        <v>2150</v>
      </c>
      <c r="O40" s="131">
        <v>1950</v>
      </c>
      <c r="P40" s="131">
        <v>2950</v>
      </c>
      <c r="Q40" s="112"/>
      <c r="R40" s="104"/>
      <c r="S40" s="104"/>
      <c r="T40" s="104"/>
      <c r="U40" s="104"/>
      <c r="V40" s="104"/>
      <c r="W40" s="104"/>
      <c r="X40" s="104"/>
    </row>
    <row r="41" spans="2:24" x14ac:dyDescent="0.25">
      <c r="Q41" s="112"/>
      <c r="R41" s="104"/>
      <c r="S41" s="104"/>
      <c r="T41" s="104"/>
      <c r="U41" s="104"/>
      <c r="V41" s="104"/>
      <c r="W41" s="104"/>
      <c r="X41" s="104"/>
    </row>
    <row r="42" spans="2:24" ht="15.75" x14ac:dyDescent="0.25">
      <c r="B42" s="133" t="s">
        <v>125</v>
      </c>
      <c r="Q42" s="112"/>
      <c r="R42" s="104"/>
      <c r="S42" s="104"/>
      <c r="T42" s="104"/>
      <c r="U42" s="104"/>
      <c r="V42" s="104"/>
      <c r="W42" s="104"/>
      <c r="X42" s="104"/>
    </row>
    <row r="43" spans="2:24" x14ac:dyDescent="0.25">
      <c r="Q43" s="112"/>
      <c r="R43" s="104"/>
      <c r="S43" s="104"/>
      <c r="T43" s="104"/>
      <c r="U43" s="104"/>
      <c r="V43" s="104"/>
      <c r="W43" s="104"/>
      <c r="X43" s="104"/>
    </row>
    <row r="44" spans="2:24" x14ac:dyDescent="0.25">
      <c r="B44" s="134" t="s">
        <v>1</v>
      </c>
      <c r="C44" s="108" t="s">
        <v>102</v>
      </c>
      <c r="D44" s="108" t="s">
        <v>103</v>
      </c>
      <c r="E44" s="108" t="s">
        <v>104</v>
      </c>
      <c r="F44" s="108" t="s">
        <v>2</v>
      </c>
      <c r="G44" s="108" t="s">
        <v>3</v>
      </c>
      <c r="H44" s="108" t="s">
        <v>4</v>
      </c>
      <c r="I44" s="108" t="s">
        <v>5</v>
      </c>
      <c r="J44" s="108" t="s">
        <v>6</v>
      </c>
      <c r="K44" s="108" t="s">
        <v>7</v>
      </c>
      <c r="L44" s="108" t="s">
        <v>8</v>
      </c>
      <c r="M44" s="108" t="s">
        <v>9</v>
      </c>
      <c r="N44" s="108" t="s">
        <v>10</v>
      </c>
      <c r="O44" s="108" t="s">
        <v>11</v>
      </c>
      <c r="P44" s="108" t="s">
        <v>20</v>
      </c>
      <c r="Q44" s="112"/>
      <c r="R44" s="104"/>
      <c r="S44" s="104"/>
      <c r="T44" s="104"/>
      <c r="U44" s="104"/>
      <c r="V44" s="104"/>
      <c r="W44" s="104"/>
      <c r="X44" s="104"/>
    </row>
    <row r="45" spans="2:24" x14ac:dyDescent="0.25">
      <c r="B45" s="135" t="s">
        <v>126</v>
      </c>
      <c r="C45" s="110">
        <v>3549</v>
      </c>
      <c r="D45" s="110">
        <v>1041</v>
      </c>
      <c r="E45" s="110">
        <v>559</v>
      </c>
      <c r="F45" s="110">
        <v>911</v>
      </c>
      <c r="G45" s="110">
        <v>2288</v>
      </c>
      <c r="H45" s="110">
        <v>2653</v>
      </c>
      <c r="I45" s="110">
        <v>1164</v>
      </c>
      <c r="J45" s="110">
        <v>1142</v>
      </c>
      <c r="K45" s="110">
        <v>3258</v>
      </c>
      <c r="L45" s="110">
        <v>779</v>
      </c>
      <c r="M45" s="110">
        <v>395</v>
      </c>
      <c r="N45" s="110">
        <v>3194</v>
      </c>
      <c r="O45" s="111">
        <v>525</v>
      </c>
      <c r="P45" s="111">
        <v>290</v>
      </c>
      <c r="Q45" s="112"/>
      <c r="R45" s="104"/>
      <c r="S45" s="104"/>
      <c r="T45" s="104"/>
      <c r="U45" s="104"/>
      <c r="V45" s="104"/>
      <c r="W45" s="104"/>
      <c r="X45" s="104"/>
    </row>
    <row r="46" spans="2:24" x14ac:dyDescent="0.25">
      <c r="B46" s="136" t="s">
        <v>13</v>
      </c>
      <c r="C46" s="119">
        <v>283920</v>
      </c>
      <c r="D46" s="119">
        <v>83280</v>
      </c>
      <c r="E46" s="119">
        <v>44720</v>
      </c>
      <c r="F46" s="119">
        <v>72880</v>
      </c>
      <c r="G46" s="119">
        <v>183040</v>
      </c>
      <c r="H46" s="119">
        <v>238770</v>
      </c>
      <c r="I46" s="119">
        <v>104760</v>
      </c>
      <c r="J46" s="119">
        <v>102780</v>
      </c>
      <c r="K46" s="119">
        <v>293220</v>
      </c>
      <c r="L46" s="119">
        <v>70110</v>
      </c>
      <c r="M46" s="119">
        <v>39500</v>
      </c>
      <c r="N46" s="119">
        <v>319400</v>
      </c>
      <c r="O46" s="120">
        <v>52500</v>
      </c>
      <c r="P46" s="120">
        <v>29000</v>
      </c>
      <c r="Q46" s="112"/>
      <c r="R46" s="104"/>
      <c r="S46" s="104"/>
      <c r="T46" s="104"/>
      <c r="U46" s="104"/>
      <c r="V46" s="104"/>
      <c r="W46" s="104"/>
      <c r="X46" s="104"/>
    </row>
    <row r="47" spans="2:24" x14ac:dyDescent="0.25">
      <c r="B47" s="135" t="s">
        <v>127</v>
      </c>
      <c r="C47" s="110">
        <v>827</v>
      </c>
      <c r="D47" s="110">
        <v>426</v>
      </c>
      <c r="E47" s="110">
        <v>215</v>
      </c>
      <c r="F47" s="110">
        <v>179</v>
      </c>
      <c r="G47" s="110">
        <v>1269</v>
      </c>
      <c r="H47" s="110">
        <v>402</v>
      </c>
      <c r="I47" s="110">
        <v>883</v>
      </c>
      <c r="J47" s="110">
        <v>23</v>
      </c>
      <c r="K47" s="110">
        <v>368</v>
      </c>
      <c r="L47" s="110">
        <v>58</v>
      </c>
      <c r="M47" s="110">
        <v>74</v>
      </c>
      <c r="N47" s="110">
        <v>724</v>
      </c>
      <c r="O47" s="111">
        <v>19</v>
      </c>
      <c r="P47" s="111">
        <v>37</v>
      </c>
      <c r="Q47" s="112"/>
      <c r="R47" s="104"/>
      <c r="S47" s="104"/>
      <c r="T47" s="104"/>
      <c r="U47" s="104"/>
      <c r="V47" s="104"/>
      <c r="W47" s="104"/>
      <c r="X47" s="104"/>
    </row>
    <row r="48" spans="2:24" x14ac:dyDescent="0.25">
      <c r="B48" s="136" t="s">
        <v>13</v>
      </c>
      <c r="C48" s="119">
        <v>99240</v>
      </c>
      <c r="D48" s="119">
        <v>51120</v>
      </c>
      <c r="E48" s="119">
        <v>25800</v>
      </c>
      <c r="F48" s="119">
        <v>21480</v>
      </c>
      <c r="G48" s="119">
        <v>127520</v>
      </c>
      <c r="H48" s="119">
        <v>56280</v>
      </c>
      <c r="I48" s="119">
        <v>123620</v>
      </c>
      <c r="J48" s="119">
        <v>3220</v>
      </c>
      <c r="K48" s="119">
        <v>51520</v>
      </c>
      <c r="L48" s="119">
        <v>8120</v>
      </c>
      <c r="M48" s="119">
        <v>11100</v>
      </c>
      <c r="N48" s="119">
        <v>108600</v>
      </c>
      <c r="O48" s="120">
        <v>2850</v>
      </c>
      <c r="P48" s="120">
        <v>5550</v>
      </c>
      <c r="Q48" s="112"/>
      <c r="R48" s="104"/>
      <c r="S48" s="104"/>
      <c r="T48" s="104"/>
      <c r="U48" s="104"/>
      <c r="V48" s="104"/>
      <c r="W48" s="104"/>
      <c r="X48" s="104"/>
    </row>
    <row r="49" spans="2:24" x14ac:dyDescent="0.25">
      <c r="B49" s="135" t="s">
        <v>128</v>
      </c>
      <c r="C49" s="110">
        <v>70</v>
      </c>
      <c r="D49" s="110">
        <v>63</v>
      </c>
      <c r="E49" s="110">
        <v>2</v>
      </c>
      <c r="F49" s="110">
        <v>0</v>
      </c>
      <c r="G49" s="110">
        <v>405</v>
      </c>
      <c r="H49" s="110">
        <v>62</v>
      </c>
      <c r="I49" s="110">
        <v>0</v>
      </c>
      <c r="J49" s="110">
        <v>0</v>
      </c>
      <c r="K49" s="110">
        <v>3</v>
      </c>
      <c r="L49" s="110">
        <v>12</v>
      </c>
      <c r="M49" s="110">
        <v>0</v>
      </c>
      <c r="N49" s="110">
        <v>14</v>
      </c>
      <c r="O49" s="111">
        <v>0</v>
      </c>
      <c r="P49" s="111">
        <v>0</v>
      </c>
      <c r="Q49" s="112"/>
      <c r="R49" s="104"/>
      <c r="S49" s="104"/>
      <c r="T49" s="104"/>
      <c r="U49" s="104"/>
      <c r="V49" s="104"/>
      <c r="W49" s="104"/>
      <c r="X49" s="104"/>
    </row>
    <row r="50" spans="2:24" x14ac:dyDescent="0.25">
      <c r="B50" s="136" t="s">
        <v>13</v>
      </c>
      <c r="C50" s="119">
        <v>11200</v>
      </c>
      <c r="D50" s="119">
        <v>10080</v>
      </c>
      <c r="E50" s="119">
        <v>320</v>
      </c>
      <c r="F50" s="119">
        <v>0</v>
      </c>
      <c r="G50" s="119">
        <v>64240</v>
      </c>
      <c r="H50" s="119">
        <v>11470</v>
      </c>
      <c r="I50" s="119">
        <v>0</v>
      </c>
      <c r="J50" s="119">
        <v>0</v>
      </c>
      <c r="K50" s="119">
        <v>555</v>
      </c>
      <c r="L50" s="119">
        <v>2220</v>
      </c>
      <c r="M50" s="119">
        <v>0</v>
      </c>
      <c r="N50" s="119">
        <v>2800</v>
      </c>
      <c r="O50" s="120">
        <v>0</v>
      </c>
      <c r="P50" s="120">
        <v>0</v>
      </c>
      <c r="Q50" s="112"/>
      <c r="R50" s="104"/>
      <c r="S50" s="104"/>
      <c r="T50" s="104"/>
      <c r="U50" s="104"/>
      <c r="V50" s="104"/>
      <c r="W50" s="104"/>
      <c r="X50" s="104"/>
    </row>
    <row r="51" spans="2:24" x14ac:dyDescent="0.25">
      <c r="Q51" s="112"/>
      <c r="R51" s="104"/>
      <c r="S51" s="104"/>
      <c r="T51" s="104"/>
      <c r="U51" s="104"/>
      <c r="V51" s="104"/>
      <c r="W51" s="104"/>
      <c r="X51" s="104"/>
    </row>
    <row r="52" spans="2:24" ht="15.75" x14ac:dyDescent="0.25">
      <c r="B52" s="137" t="s">
        <v>0</v>
      </c>
      <c r="C52" s="138"/>
      <c r="D52" s="138"/>
      <c r="E52" s="138"/>
      <c r="F52" s="138"/>
      <c r="G52" s="138"/>
      <c r="H52" s="138"/>
      <c r="Q52" s="112"/>
    </row>
    <row r="53" spans="2:24" x14ac:dyDescent="0.25">
      <c r="C53" s="138"/>
      <c r="D53" s="138"/>
      <c r="E53" s="138"/>
      <c r="F53" s="138"/>
      <c r="G53" s="138"/>
      <c r="H53" s="138"/>
      <c r="Q53" s="112"/>
    </row>
    <row r="54" spans="2:24" x14ac:dyDescent="0.25">
      <c r="B54" s="139" t="s">
        <v>1</v>
      </c>
      <c r="C54" s="108" t="s">
        <v>102</v>
      </c>
      <c r="D54" s="108" t="s">
        <v>103</v>
      </c>
      <c r="E54" s="108" t="s">
        <v>104</v>
      </c>
      <c r="F54" s="108" t="s">
        <v>2</v>
      </c>
      <c r="G54" s="108" t="s">
        <v>3</v>
      </c>
      <c r="H54" s="108" t="s">
        <v>4</v>
      </c>
      <c r="I54" s="108" t="s">
        <v>5</v>
      </c>
      <c r="J54" s="108" t="s">
        <v>6</v>
      </c>
      <c r="K54" s="108" t="s">
        <v>7</v>
      </c>
      <c r="L54" s="108" t="s">
        <v>8</v>
      </c>
      <c r="M54" s="108" t="s">
        <v>9</v>
      </c>
      <c r="N54" s="108" t="s">
        <v>10</v>
      </c>
      <c r="O54" s="108" t="s">
        <v>11</v>
      </c>
      <c r="P54" s="108" t="s">
        <v>20</v>
      </c>
      <c r="Q54" s="112"/>
    </row>
    <row r="55" spans="2:24" x14ac:dyDescent="0.25">
      <c r="B55" s="140" t="s">
        <v>12</v>
      </c>
      <c r="C55" s="110">
        <v>2177</v>
      </c>
      <c r="D55" s="110">
        <v>2269</v>
      </c>
      <c r="E55" s="110">
        <v>1379</v>
      </c>
      <c r="F55" s="110">
        <v>1907</v>
      </c>
      <c r="G55" s="110">
        <v>3218</v>
      </c>
      <c r="H55" s="110">
        <v>9980</v>
      </c>
      <c r="I55" s="110">
        <v>2821</v>
      </c>
      <c r="J55" s="110">
        <v>6540</v>
      </c>
      <c r="K55" s="110">
        <v>15235</v>
      </c>
      <c r="L55" s="110">
        <v>3477</v>
      </c>
      <c r="M55" s="110">
        <v>2946</v>
      </c>
      <c r="N55" s="110">
        <v>33711</v>
      </c>
      <c r="O55" s="111">
        <f>515+341+939+1103</f>
        <v>2898</v>
      </c>
      <c r="P55" s="111">
        <v>10905</v>
      </c>
      <c r="Q55" s="112"/>
    </row>
    <row r="56" spans="2:24" x14ac:dyDescent="0.25">
      <c r="B56" s="141" t="s">
        <v>13</v>
      </c>
      <c r="C56" s="119">
        <v>174160</v>
      </c>
      <c r="D56" s="119">
        <v>181600</v>
      </c>
      <c r="E56" s="119">
        <v>110320</v>
      </c>
      <c r="F56" s="119">
        <v>152560</v>
      </c>
      <c r="G56" s="119">
        <v>257440</v>
      </c>
      <c r="H56" s="119">
        <v>888980</v>
      </c>
      <c r="I56" s="119">
        <v>253870</v>
      </c>
      <c r="J56" s="119">
        <v>588680</v>
      </c>
      <c r="K56" s="119">
        <v>1371150</v>
      </c>
      <c r="L56" s="119">
        <v>312930</v>
      </c>
      <c r="M56" s="119">
        <v>592501</v>
      </c>
      <c r="N56" s="119">
        <v>3371100</v>
      </c>
      <c r="O56" s="120">
        <f>51500+34100+93900+110300</f>
        <v>289800</v>
      </c>
      <c r="P56" s="120">
        <v>1090500</v>
      </c>
      <c r="Q56" s="112"/>
    </row>
    <row r="57" spans="2:24" x14ac:dyDescent="0.25">
      <c r="B57" s="140" t="s">
        <v>14</v>
      </c>
      <c r="C57" s="110">
        <v>1993</v>
      </c>
      <c r="D57" s="110">
        <v>896</v>
      </c>
      <c r="E57" s="110">
        <v>753</v>
      </c>
      <c r="F57" s="110">
        <v>1065</v>
      </c>
      <c r="G57" s="110">
        <v>3208</v>
      </c>
      <c r="H57" s="110">
        <v>7274</v>
      </c>
      <c r="I57" s="110">
        <v>2917</v>
      </c>
      <c r="J57" s="110">
        <v>2765</v>
      </c>
      <c r="K57" s="110">
        <v>9829</v>
      </c>
      <c r="L57" s="110">
        <v>2870</v>
      </c>
      <c r="M57" s="110">
        <v>3630</v>
      </c>
      <c r="N57" s="110">
        <v>25830</v>
      </c>
      <c r="O57" s="111">
        <f>102+517+943+649</f>
        <v>2211</v>
      </c>
      <c r="P57" s="111">
        <v>8888</v>
      </c>
      <c r="Q57" s="112"/>
    </row>
    <row r="58" spans="2:24" x14ac:dyDescent="0.25">
      <c r="B58" s="141" t="s">
        <v>13</v>
      </c>
      <c r="C58" s="119">
        <v>239160</v>
      </c>
      <c r="D58" s="119">
        <v>107520</v>
      </c>
      <c r="E58" s="119">
        <v>90360</v>
      </c>
      <c r="F58" s="119">
        <v>127800</v>
      </c>
      <c r="G58" s="119">
        <v>384960</v>
      </c>
      <c r="H58" s="119">
        <v>1017700</v>
      </c>
      <c r="I58" s="119">
        <v>408320</v>
      </c>
      <c r="J58" s="119">
        <v>387100</v>
      </c>
      <c r="K58" s="119">
        <v>1376060</v>
      </c>
      <c r="L58" s="119">
        <v>401800</v>
      </c>
      <c r="M58" s="119">
        <v>544500</v>
      </c>
      <c r="N58" s="119">
        <v>3874500</v>
      </c>
      <c r="O58" s="120">
        <f>15300+77550+141450+97350</f>
        <v>331650</v>
      </c>
      <c r="P58" s="120">
        <v>1333200</v>
      </c>
      <c r="Q58" s="112"/>
    </row>
    <row r="59" spans="2:24" x14ac:dyDescent="0.25">
      <c r="B59" s="140" t="s">
        <v>15</v>
      </c>
      <c r="C59" s="110">
        <v>6070</v>
      </c>
      <c r="D59" s="110">
        <v>1189</v>
      </c>
      <c r="E59" s="110">
        <v>444</v>
      </c>
      <c r="F59" s="110">
        <v>694</v>
      </c>
      <c r="G59" s="110">
        <v>1932</v>
      </c>
      <c r="H59" s="110">
        <v>8121</v>
      </c>
      <c r="I59" s="110">
        <v>3923</v>
      </c>
      <c r="J59" s="110">
        <v>6405</v>
      </c>
      <c r="K59" s="110">
        <v>14457</v>
      </c>
      <c r="L59" s="110">
        <v>3369</v>
      </c>
      <c r="M59" s="110">
        <v>3051</v>
      </c>
      <c r="N59" s="110">
        <v>30048</v>
      </c>
      <c r="O59" s="111">
        <f>151+205+591+170</f>
        <v>1117</v>
      </c>
      <c r="P59" s="111">
        <v>5197</v>
      </c>
      <c r="Q59" s="112"/>
    </row>
    <row r="60" spans="2:24" x14ac:dyDescent="0.25">
      <c r="B60" s="141" t="s">
        <v>13</v>
      </c>
      <c r="C60" s="119">
        <v>971200</v>
      </c>
      <c r="D60" s="119">
        <v>190240</v>
      </c>
      <c r="E60" s="119">
        <v>71040</v>
      </c>
      <c r="F60" s="119">
        <v>111040</v>
      </c>
      <c r="G60" s="119">
        <v>309120</v>
      </c>
      <c r="H60" s="119">
        <v>1502185</v>
      </c>
      <c r="I60" s="119">
        <v>725705</v>
      </c>
      <c r="J60" s="119">
        <v>1184925</v>
      </c>
      <c r="K60" s="119">
        <v>2674545</v>
      </c>
      <c r="L60" s="119">
        <v>623265</v>
      </c>
      <c r="M60" s="119">
        <v>610200</v>
      </c>
      <c r="N60" s="119">
        <v>6009600</v>
      </c>
      <c r="O60" s="120">
        <f>30200+41000+118200+34000</f>
        <v>223400</v>
      </c>
      <c r="P60" s="120">
        <v>1039400</v>
      </c>
      <c r="Q60" s="112"/>
    </row>
    <row r="61" spans="2:24" x14ac:dyDescent="0.25">
      <c r="B61" s="140" t="s">
        <v>16</v>
      </c>
      <c r="C61" s="110"/>
      <c r="D61" s="110">
        <v>292</v>
      </c>
      <c r="E61" s="110">
        <v>281</v>
      </c>
      <c r="F61" s="110">
        <v>123</v>
      </c>
      <c r="G61" s="110">
        <v>620</v>
      </c>
      <c r="H61" s="110">
        <v>8803</v>
      </c>
      <c r="I61" s="110">
        <v>2520</v>
      </c>
      <c r="J61" s="110">
        <v>2513</v>
      </c>
      <c r="K61" s="110">
        <v>9310</v>
      </c>
      <c r="L61" s="110">
        <v>2793</v>
      </c>
      <c r="M61" s="142"/>
      <c r="N61" s="142"/>
      <c r="O61" s="143"/>
      <c r="P61" s="143"/>
      <c r="Q61" s="112"/>
    </row>
    <row r="62" spans="2:24" x14ac:dyDescent="0.25">
      <c r="B62" s="144" t="s">
        <v>13</v>
      </c>
      <c r="C62" s="119"/>
      <c r="D62" s="119">
        <v>93440</v>
      </c>
      <c r="E62" s="119">
        <v>89920</v>
      </c>
      <c r="F62" s="119">
        <v>39360</v>
      </c>
      <c r="G62" s="119">
        <v>198400</v>
      </c>
      <c r="H62" s="119">
        <v>3253510</v>
      </c>
      <c r="I62" s="119">
        <v>932400</v>
      </c>
      <c r="J62" s="119">
        <v>930130</v>
      </c>
      <c r="K62" s="119">
        <v>3444700</v>
      </c>
      <c r="L62" s="119">
        <v>1033410</v>
      </c>
      <c r="M62" s="145"/>
      <c r="N62" s="145"/>
      <c r="O62" s="146"/>
      <c r="P62" s="146"/>
      <c r="Q62" s="112"/>
    </row>
    <row r="63" spans="2:24" x14ac:dyDescent="0.25">
      <c r="B63" s="140" t="s">
        <v>17</v>
      </c>
      <c r="C63" s="145"/>
      <c r="D63" s="145"/>
      <c r="E63" s="145"/>
      <c r="F63" s="145"/>
      <c r="G63" s="145"/>
      <c r="H63" s="145"/>
      <c r="I63" s="145"/>
      <c r="J63" s="145"/>
      <c r="K63" s="145"/>
      <c r="L63" s="145"/>
      <c r="M63" s="110">
        <v>1049</v>
      </c>
      <c r="N63" s="110">
        <v>23576</v>
      </c>
      <c r="O63" s="111">
        <f>128+44+230+58</f>
        <v>460</v>
      </c>
      <c r="P63" s="111">
        <v>1427</v>
      </c>
      <c r="Q63" s="112"/>
    </row>
    <row r="64" spans="2:24" x14ac:dyDescent="0.25">
      <c r="B64" s="144" t="s">
        <v>13</v>
      </c>
      <c r="C64" s="145"/>
      <c r="D64" s="145"/>
      <c r="E64" s="145"/>
      <c r="F64" s="145"/>
      <c r="G64" s="145"/>
      <c r="H64" s="145"/>
      <c r="I64" s="145"/>
      <c r="J64" s="145"/>
      <c r="K64" s="145"/>
      <c r="L64" s="145"/>
      <c r="M64" s="119">
        <v>424845</v>
      </c>
      <c r="N64" s="119">
        <v>9548280</v>
      </c>
      <c r="O64" s="120">
        <f>51840+17820+93150+23490</f>
        <v>186300</v>
      </c>
      <c r="P64" s="120">
        <v>577935</v>
      </c>
      <c r="Q64" s="112"/>
    </row>
    <row r="65" spans="2:17" x14ac:dyDescent="0.25">
      <c r="B65" s="140" t="s">
        <v>18</v>
      </c>
      <c r="C65" s="142"/>
      <c r="D65" s="142"/>
      <c r="E65" s="142"/>
      <c r="F65" s="142"/>
      <c r="G65" s="142"/>
      <c r="H65" s="142"/>
      <c r="I65" s="142"/>
      <c r="J65" s="142"/>
      <c r="K65" s="142"/>
      <c r="L65" s="142"/>
      <c r="M65" s="110">
        <v>52</v>
      </c>
      <c r="N65" s="110">
        <v>7744</v>
      </c>
      <c r="O65" s="111">
        <f>128+44+230+58</f>
        <v>460</v>
      </c>
      <c r="P65" s="111">
        <v>45</v>
      </c>
      <c r="Q65" s="112"/>
    </row>
    <row r="66" spans="2:17" x14ac:dyDescent="0.25">
      <c r="B66" s="144" t="s">
        <v>13</v>
      </c>
      <c r="C66" s="145"/>
      <c r="D66" s="145"/>
      <c r="E66" s="145"/>
      <c r="F66" s="145"/>
      <c r="G66" s="145"/>
      <c r="H66" s="145"/>
      <c r="I66" s="145"/>
      <c r="J66" s="145"/>
      <c r="K66" s="145"/>
      <c r="L66" s="145"/>
      <c r="M66" s="119">
        <v>31460</v>
      </c>
      <c r="N66" s="119">
        <v>4685120</v>
      </c>
      <c r="O66" s="120">
        <f>27830+4840+7260+1210</f>
        <v>41140</v>
      </c>
      <c r="P66" s="120">
        <v>27225</v>
      </c>
      <c r="Q66" s="112"/>
    </row>
    <row r="67" spans="2:17" x14ac:dyDescent="0.25">
      <c r="B67" s="147" t="s">
        <v>19</v>
      </c>
      <c r="C67" s="148">
        <v>1384520</v>
      </c>
      <c r="D67" s="148">
        <v>572800</v>
      </c>
      <c r="E67" s="148">
        <v>361640</v>
      </c>
      <c r="F67" s="148">
        <v>430760</v>
      </c>
      <c r="G67" s="148">
        <v>1149920</v>
      </c>
      <c r="H67" s="148">
        <v>6662375</v>
      </c>
      <c r="I67" s="148">
        <v>2320295</v>
      </c>
      <c r="J67" s="148">
        <v>3090835</v>
      </c>
      <c r="K67" s="148">
        <v>8866455</v>
      </c>
      <c r="L67" s="148">
        <v>2371405</v>
      </c>
      <c r="M67" s="119">
        <v>2203506</v>
      </c>
      <c r="N67" s="119">
        <v>27488600</v>
      </c>
      <c r="O67" s="119">
        <f>SUM(O56,O58,O60,O64,O66)</f>
        <v>1072290</v>
      </c>
      <c r="P67" s="119">
        <f>SUM(P56,P58,P60,P64,P66)</f>
        <v>4068260</v>
      </c>
      <c r="Q67" s="112"/>
    </row>
    <row r="68" spans="2:17" x14ac:dyDescent="0.25">
      <c r="Q68" s="112"/>
    </row>
    <row r="69" spans="2:17" x14ac:dyDescent="0.25">
      <c r="Q69" s="112"/>
    </row>
    <row r="70" spans="2:17" ht="15.75" x14ac:dyDescent="0.25">
      <c r="B70" s="149" t="s">
        <v>129</v>
      </c>
      <c r="Q70" s="112"/>
    </row>
    <row r="71" spans="2:17" x14ac:dyDescent="0.25">
      <c r="Q71" s="112"/>
    </row>
    <row r="72" spans="2:17" x14ac:dyDescent="0.25">
      <c r="B72" s="108" t="s">
        <v>130</v>
      </c>
      <c r="C72" s="108" t="s">
        <v>102</v>
      </c>
      <c r="D72" s="108" t="s">
        <v>103</v>
      </c>
      <c r="E72" s="108" t="s">
        <v>104</v>
      </c>
      <c r="F72" s="108" t="s">
        <v>2</v>
      </c>
      <c r="G72" s="108" t="s">
        <v>3</v>
      </c>
      <c r="H72" s="108" t="s">
        <v>4</v>
      </c>
      <c r="I72" s="108" t="s">
        <v>5</v>
      </c>
      <c r="J72" s="108" t="s">
        <v>6</v>
      </c>
      <c r="K72" s="108" t="s">
        <v>7</v>
      </c>
      <c r="L72" s="108" t="s">
        <v>8</v>
      </c>
      <c r="M72" s="108" t="s">
        <v>9</v>
      </c>
      <c r="N72" s="108" t="s">
        <v>10</v>
      </c>
      <c r="O72" s="108" t="s">
        <v>11</v>
      </c>
      <c r="P72" s="108" t="s">
        <v>20</v>
      </c>
      <c r="Q72" s="112"/>
    </row>
    <row r="73" spans="2:17" ht="30" customHeight="1" x14ac:dyDescent="0.25">
      <c r="B73" s="150" t="s">
        <v>131</v>
      </c>
      <c r="C73" s="118">
        <f t="shared" ref="C73:O73" si="3">C14</f>
        <v>280</v>
      </c>
      <c r="D73" s="118">
        <f t="shared" si="3"/>
        <v>240</v>
      </c>
      <c r="E73" s="118">
        <f t="shared" si="3"/>
        <v>260</v>
      </c>
      <c r="F73" s="118">
        <f t="shared" si="3"/>
        <v>260</v>
      </c>
      <c r="G73" s="118">
        <f t="shared" si="3"/>
        <v>40</v>
      </c>
      <c r="H73" s="118">
        <f t="shared" si="3"/>
        <v>90</v>
      </c>
      <c r="I73" s="118">
        <f t="shared" si="3"/>
        <v>0</v>
      </c>
      <c r="J73" s="118">
        <f t="shared" si="3"/>
        <v>0</v>
      </c>
      <c r="K73" s="118">
        <f t="shared" si="3"/>
        <v>25</v>
      </c>
      <c r="L73" s="118">
        <f t="shared" si="3"/>
        <v>0</v>
      </c>
      <c r="M73" s="118">
        <f t="shared" si="3"/>
        <v>50</v>
      </c>
      <c r="N73" s="118">
        <f t="shared" si="3"/>
        <v>25</v>
      </c>
      <c r="O73" s="118">
        <f t="shared" si="3"/>
        <v>50</v>
      </c>
      <c r="P73" s="118">
        <f t="shared" ref="P73" si="4">P14</f>
        <v>25</v>
      </c>
      <c r="Q73" s="112"/>
    </row>
    <row r="74" spans="2:17" ht="30" customHeight="1" x14ac:dyDescent="0.25">
      <c r="B74" s="150" t="s">
        <v>132</v>
      </c>
      <c r="C74" s="118">
        <f t="shared" ref="C74:O74" si="5">C22</f>
        <v>16000</v>
      </c>
      <c r="D74" s="118">
        <f t="shared" si="5"/>
        <v>15150</v>
      </c>
      <c r="E74" s="118">
        <f t="shared" si="5"/>
        <v>41100</v>
      </c>
      <c r="F74" s="118">
        <f t="shared" si="5"/>
        <v>17950</v>
      </c>
      <c r="G74" s="118">
        <f t="shared" si="5"/>
        <v>17150</v>
      </c>
      <c r="H74" s="118">
        <f t="shared" si="5"/>
        <v>18480</v>
      </c>
      <c r="I74" s="118">
        <f t="shared" si="5"/>
        <v>19860</v>
      </c>
      <c r="J74" s="118">
        <f t="shared" si="5"/>
        <v>14560</v>
      </c>
      <c r="K74" s="118">
        <f t="shared" si="5"/>
        <v>30840</v>
      </c>
      <c r="L74" s="118">
        <f t="shared" si="5"/>
        <v>37620</v>
      </c>
      <c r="M74" s="118">
        <f t="shared" si="5"/>
        <v>52620</v>
      </c>
      <c r="N74" s="118">
        <f t="shared" si="5"/>
        <v>71930</v>
      </c>
      <c r="O74" s="118">
        <f t="shared" si="5"/>
        <v>60975</v>
      </c>
      <c r="P74" s="118">
        <f t="shared" ref="P74" si="6">P22</f>
        <v>64610</v>
      </c>
      <c r="Q74" s="112"/>
    </row>
    <row r="75" spans="2:17" ht="30" customHeight="1" x14ac:dyDescent="0.25">
      <c r="B75" s="150" t="s">
        <v>133</v>
      </c>
      <c r="C75" s="118">
        <f t="shared" ref="C75:O75" si="7">C31</f>
        <v>142760</v>
      </c>
      <c r="D75" s="118">
        <f t="shared" si="7"/>
        <v>31620</v>
      </c>
      <c r="E75" s="118">
        <f t="shared" si="7"/>
        <v>31080</v>
      </c>
      <c r="F75" s="118">
        <f t="shared" si="7"/>
        <v>15420</v>
      </c>
      <c r="G75" s="118">
        <f t="shared" si="7"/>
        <v>28260</v>
      </c>
      <c r="H75" s="118">
        <f t="shared" si="7"/>
        <v>72565</v>
      </c>
      <c r="I75" s="118">
        <f t="shared" si="7"/>
        <v>43725</v>
      </c>
      <c r="J75" s="118">
        <f t="shared" si="7"/>
        <v>73830</v>
      </c>
      <c r="K75" s="118">
        <f t="shared" si="7"/>
        <v>71975</v>
      </c>
      <c r="L75" s="118">
        <f t="shared" si="7"/>
        <v>255400</v>
      </c>
      <c r="M75" s="118">
        <f t="shared" si="7"/>
        <v>190650</v>
      </c>
      <c r="N75" s="118">
        <f t="shared" si="7"/>
        <v>442600</v>
      </c>
      <c r="O75" s="118">
        <f t="shared" si="7"/>
        <v>154585</v>
      </c>
      <c r="P75" s="118">
        <f t="shared" ref="P75" si="8">P31</f>
        <v>149435</v>
      </c>
      <c r="Q75" s="112"/>
    </row>
    <row r="76" spans="2:17" ht="30" customHeight="1" x14ac:dyDescent="0.25">
      <c r="B76" s="150" t="s">
        <v>134</v>
      </c>
      <c r="C76" s="118">
        <f t="shared" ref="C76:O76" si="9">C40</f>
        <v>2780</v>
      </c>
      <c r="D76" s="118">
        <f t="shared" si="9"/>
        <v>2840</v>
      </c>
      <c r="E76" s="118">
        <f t="shared" si="9"/>
        <v>1040</v>
      </c>
      <c r="F76" s="118">
        <f t="shared" si="9"/>
        <v>600</v>
      </c>
      <c r="G76" s="118">
        <f t="shared" si="9"/>
        <v>1460</v>
      </c>
      <c r="H76" s="118">
        <f t="shared" si="9"/>
        <v>2890</v>
      </c>
      <c r="I76" s="118">
        <f t="shared" si="9"/>
        <v>1250</v>
      </c>
      <c r="J76" s="118">
        <f t="shared" si="9"/>
        <v>1625</v>
      </c>
      <c r="K76" s="118">
        <f t="shared" si="9"/>
        <v>800</v>
      </c>
      <c r="L76" s="118">
        <f t="shared" si="9"/>
        <v>1575</v>
      </c>
      <c r="M76" s="118">
        <f t="shared" si="9"/>
        <v>425</v>
      </c>
      <c r="N76" s="118">
        <f t="shared" si="9"/>
        <v>2150</v>
      </c>
      <c r="O76" s="118">
        <f t="shared" si="9"/>
        <v>1950</v>
      </c>
      <c r="P76" s="118">
        <f t="shared" ref="P76" si="10">P40</f>
        <v>2950</v>
      </c>
      <c r="Q76" s="112"/>
    </row>
    <row r="77" spans="2:17" ht="30" customHeight="1" x14ac:dyDescent="0.25">
      <c r="B77" s="151" t="s">
        <v>135</v>
      </c>
      <c r="C77" s="118">
        <f>C56</f>
        <v>174160</v>
      </c>
      <c r="D77" s="118">
        <f t="shared" ref="D77:O77" si="11">D56</f>
        <v>181600</v>
      </c>
      <c r="E77" s="118">
        <f t="shared" si="11"/>
        <v>110320</v>
      </c>
      <c r="F77" s="118">
        <f t="shared" si="11"/>
        <v>152560</v>
      </c>
      <c r="G77" s="118">
        <f t="shared" si="11"/>
        <v>257440</v>
      </c>
      <c r="H77" s="118">
        <f t="shared" si="11"/>
        <v>888980</v>
      </c>
      <c r="I77" s="118">
        <f t="shared" si="11"/>
        <v>253870</v>
      </c>
      <c r="J77" s="118">
        <f t="shared" si="11"/>
        <v>588680</v>
      </c>
      <c r="K77" s="118">
        <f t="shared" si="11"/>
        <v>1371150</v>
      </c>
      <c r="L77" s="118">
        <f t="shared" si="11"/>
        <v>312930</v>
      </c>
      <c r="M77" s="118">
        <f t="shared" si="11"/>
        <v>592501</v>
      </c>
      <c r="N77" s="118">
        <f t="shared" si="11"/>
        <v>3371100</v>
      </c>
      <c r="O77" s="118">
        <f t="shared" si="11"/>
        <v>289800</v>
      </c>
      <c r="P77" s="118">
        <f t="shared" ref="P77" si="12">P56</f>
        <v>1090500</v>
      </c>
      <c r="Q77" s="112"/>
    </row>
    <row r="78" spans="2:17" ht="30" customHeight="1" x14ac:dyDescent="0.25">
      <c r="B78" s="151" t="s">
        <v>136</v>
      </c>
      <c r="C78" s="118">
        <f>C58</f>
        <v>239160</v>
      </c>
      <c r="D78" s="118">
        <f t="shared" ref="D78:O78" si="13">D58</f>
        <v>107520</v>
      </c>
      <c r="E78" s="118">
        <f t="shared" si="13"/>
        <v>90360</v>
      </c>
      <c r="F78" s="118">
        <f t="shared" si="13"/>
        <v>127800</v>
      </c>
      <c r="G78" s="118">
        <f t="shared" si="13"/>
        <v>384960</v>
      </c>
      <c r="H78" s="118">
        <f t="shared" si="13"/>
        <v>1017700</v>
      </c>
      <c r="I78" s="118">
        <f t="shared" si="13"/>
        <v>408320</v>
      </c>
      <c r="J78" s="118">
        <f t="shared" si="13"/>
        <v>387100</v>
      </c>
      <c r="K78" s="118">
        <f t="shared" si="13"/>
        <v>1376060</v>
      </c>
      <c r="L78" s="118">
        <f t="shared" si="13"/>
        <v>401800</v>
      </c>
      <c r="M78" s="118">
        <f t="shared" si="13"/>
        <v>544500</v>
      </c>
      <c r="N78" s="118">
        <f t="shared" si="13"/>
        <v>3874500</v>
      </c>
      <c r="O78" s="118">
        <f t="shared" si="13"/>
        <v>331650</v>
      </c>
      <c r="P78" s="118">
        <f t="shared" ref="P78" si="14">P58</f>
        <v>1333200</v>
      </c>
      <c r="Q78" s="112"/>
    </row>
    <row r="79" spans="2:17" ht="30" customHeight="1" x14ac:dyDescent="0.25">
      <c r="B79" s="151" t="s">
        <v>137</v>
      </c>
      <c r="C79" s="118">
        <f>C60</f>
        <v>971200</v>
      </c>
      <c r="D79" s="118">
        <f t="shared" ref="D79:O79" si="15">D60</f>
        <v>190240</v>
      </c>
      <c r="E79" s="118">
        <f t="shared" si="15"/>
        <v>71040</v>
      </c>
      <c r="F79" s="118">
        <f t="shared" si="15"/>
        <v>111040</v>
      </c>
      <c r="G79" s="118">
        <f t="shared" si="15"/>
        <v>309120</v>
      </c>
      <c r="H79" s="118">
        <f t="shared" si="15"/>
        <v>1502185</v>
      </c>
      <c r="I79" s="118">
        <f t="shared" si="15"/>
        <v>725705</v>
      </c>
      <c r="J79" s="118">
        <f t="shared" si="15"/>
        <v>1184925</v>
      </c>
      <c r="K79" s="118">
        <f t="shared" si="15"/>
        <v>2674545</v>
      </c>
      <c r="L79" s="118">
        <f t="shared" si="15"/>
        <v>623265</v>
      </c>
      <c r="M79" s="118">
        <f t="shared" si="15"/>
        <v>610200</v>
      </c>
      <c r="N79" s="118">
        <f t="shared" si="15"/>
        <v>6009600</v>
      </c>
      <c r="O79" s="118">
        <f t="shared" si="15"/>
        <v>223400</v>
      </c>
      <c r="P79" s="118">
        <f t="shared" ref="P79" si="16">P60</f>
        <v>1039400</v>
      </c>
      <c r="Q79" s="112"/>
    </row>
    <row r="80" spans="2:17" ht="30" customHeight="1" x14ac:dyDescent="0.25">
      <c r="B80" s="151" t="s">
        <v>16</v>
      </c>
      <c r="C80" s="113" t="s">
        <v>71</v>
      </c>
      <c r="D80" s="118">
        <f t="shared" ref="D80:O80" si="17">SUM(D62,D64,D66)</f>
        <v>93440</v>
      </c>
      <c r="E80" s="118">
        <f t="shared" si="17"/>
        <v>89920</v>
      </c>
      <c r="F80" s="118">
        <f t="shared" si="17"/>
        <v>39360</v>
      </c>
      <c r="G80" s="118">
        <f t="shared" si="17"/>
        <v>198400</v>
      </c>
      <c r="H80" s="118">
        <f t="shared" si="17"/>
        <v>3253510</v>
      </c>
      <c r="I80" s="118">
        <f t="shared" si="17"/>
        <v>932400</v>
      </c>
      <c r="J80" s="118">
        <f t="shared" si="17"/>
        <v>930130</v>
      </c>
      <c r="K80" s="118">
        <f t="shared" si="17"/>
        <v>3444700</v>
      </c>
      <c r="L80" s="118">
        <f t="shared" si="17"/>
        <v>1033410</v>
      </c>
      <c r="M80" s="118">
        <f t="shared" si="17"/>
        <v>456305</v>
      </c>
      <c r="N80" s="118">
        <f t="shared" si="17"/>
        <v>14233400</v>
      </c>
      <c r="O80" s="118">
        <f t="shared" si="17"/>
        <v>227440</v>
      </c>
      <c r="P80" s="118">
        <f t="shared" ref="P80" si="18">SUM(P62,P64,P66)</f>
        <v>605160</v>
      </c>
      <c r="Q80" s="112"/>
    </row>
    <row r="81" spans="2:17" ht="30" customHeight="1" x14ac:dyDescent="0.25">
      <c r="B81" s="151" t="s">
        <v>138</v>
      </c>
      <c r="C81" s="118">
        <f>C46</f>
        <v>283920</v>
      </c>
      <c r="D81" s="118">
        <f t="shared" ref="D81:O81" si="19">D46</f>
        <v>83280</v>
      </c>
      <c r="E81" s="118">
        <f t="shared" si="19"/>
        <v>44720</v>
      </c>
      <c r="F81" s="118">
        <f t="shared" si="19"/>
        <v>72880</v>
      </c>
      <c r="G81" s="118">
        <f t="shared" si="19"/>
        <v>183040</v>
      </c>
      <c r="H81" s="118">
        <f t="shared" si="19"/>
        <v>238770</v>
      </c>
      <c r="I81" s="118">
        <f t="shared" si="19"/>
        <v>104760</v>
      </c>
      <c r="J81" s="118">
        <f t="shared" si="19"/>
        <v>102780</v>
      </c>
      <c r="K81" s="118">
        <f t="shared" si="19"/>
        <v>293220</v>
      </c>
      <c r="L81" s="118">
        <f t="shared" si="19"/>
        <v>70110</v>
      </c>
      <c r="M81" s="118">
        <f t="shared" si="19"/>
        <v>39500</v>
      </c>
      <c r="N81" s="118">
        <f t="shared" si="19"/>
        <v>319400</v>
      </c>
      <c r="O81" s="118">
        <f t="shared" si="19"/>
        <v>52500</v>
      </c>
      <c r="P81" s="118">
        <f t="shared" ref="P81" si="20">P46</f>
        <v>29000</v>
      </c>
      <c r="Q81" s="112"/>
    </row>
    <row r="82" spans="2:17" ht="30" customHeight="1" x14ac:dyDescent="0.25">
      <c r="B82" s="151" t="s">
        <v>139</v>
      </c>
      <c r="C82" s="118">
        <f>C48</f>
        <v>99240</v>
      </c>
      <c r="D82" s="118">
        <f t="shared" ref="D82:O82" si="21">D48</f>
        <v>51120</v>
      </c>
      <c r="E82" s="118">
        <f t="shared" si="21"/>
        <v>25800</v>
      </c>
      <c r="F82" s="118">
        <f t="shared" si="21"/>
        <v>21480</v>
      </c>
      <c r="G82" s="118">
        <f t="shared" si="21"/>
        <v>127520</v>
      </c>
      <c r="H82" s="118">
        <f t="shared" si="21"/>
        <v>56280</v>
      </c>
      <c r="I82" s="118">
        <f t="shared" si="21"/>
        <v>123620</v>
      </c>
      <c r="J82" s="118">
        <f t="shared" si="21"/>
        <v>3220</v>
      </c>
      <c r="K82" s="118">
        <f t="shared" si="21"/>
        <v>51520</v>
      </c>
      <c r="L82" s="118">
        <f t="shared" si="21"/>
        <v>8120</v>
      </c>
      <c r="M82" s="118">
        <f t="shared" si="21"/>
        <v>11100</v>
      </c>
      <c r="N82" s="118">
        <f t="shared" si="21"/>
        <v>108600</v>
      </c>
      <c r="O82" s="118">
        <f t="shared" si="21"/>
        <v>2850</v>
      </c>
      <c r="P82" s="118">
        <f t="shared" ref="P82" si="22">P48</f>
        <v>5550</v>
      </c>
      <c r="Q82" s="112"/>
    </row>
    <row r="83" spans="2:17" ht="30" customHeight="1" x14ac:dyDescent="0.25">
      <c r="B83" s="151" t="s">
        <v>140</v>
      </c>
      <c r="C83" s="118">
        <f>C50</f>
        <v>11200</v>
      </c>
      <c r="D83" s="118">
        <f t="shared" ref="D83:O83" si="23">D50</f>
        <v>10080</v>
      </c>
      <c r="E83" s="118">
        <f t="shared" si="23"/>
        <v>320</v>
      </c>
      <c r="F83" s="118">
        <f t="shared" si="23"/>
        <v>0</v>
      </c>
      <c r="G83" s="118">
        <f t="shared" si="23"/>
        <v>64240</v>
      </c>
      <c r="H83" s="118">
        <f t="shared" si="23"/>
        <v>11470</v>
      </c>
      <c r="I83" s="118">
        <f t="shared" si="23"/>
        <v>0</v>
      </c>
      <c r="J83" s="118">
        <f t="shared" si="23"/>
        <v>0</v>
      </c>
      <c r="K83" s="118">
        <f t="shared" si="23"/>
        <v>555</v>
      </c>
      <c r="L83" s="118">
        <f t="shared" si="23"/>
        <v>2220</v>
      </c>
      <c r="M83" s="118">
        <f t="shared" si="23"/>
        <v>0</v>
      </c>
      <c r="N83" s="118">
        <f t="shared" si="23"/>
        <v>2800</v>
      </c>
      <c r="O83" s="118">
        <f t="shared" si="23"/>
        <v>0</v>
      </c>
      <c r="P83" s="118">
        <f t="shared" ref="P83" si="24">P50</f>
        <v>0</v>
      </c>
      <c r="Q83" s="112"/>
    </row>
    <row r="84" spans="2:17" x14ac:dyDescent="0.25">
      <c r="B84" s="104"/>
      <c r="C84" s="152">
        <f t="shared" ref="C84:P84" si="25">SUM(C73:C83)</f>
        <v>1940700</v>
      </c>
      <c r="D84" s="152">
        <f t="shared" si="25"/>
        <v>767130</v>
      </c>
      <c r="E84" s="152">
        <f t="shared" si="25"/>
        <v>505960</v>
      </c>
      <c r="F84" s="152">
        <f t="shared" si="25"/>
        <v>559350</v>
      </c>
      <c r="G84" s="152">
        <f t="shared" si="25"/>
        <v>1571630</v>
      </c>
      <c r="H84" s="152">
        <f t="shared" si="25"/>
        <v>7062920</v>
      </c>
      <c r="I84" s="152">
        <f t="shared" si="25"/>
        <v>2613510</v>
      </c>
      <c r="J84" s="152">
        <f t="shared" si="25"/>
        <v>3286850</v>
      </c>
      <c r="K84" s="152">
        <f t="shared" si="25"/>
        <v>9315390</v>
      </c>
      <c r="L84" s="152">
        <f t="shared" si="25"/>
        <v>2746450</v>
      </c>
      <c r="M84" s="152">
        <f t="shared" si="25"/>
        <v>2497851</v>
      </c>
      <c r="N84" s="152">
        <f t="shared" si="25"/>
        <v>28436105</v>
      </c>
      <c r="O84" s="152">
        <f t="shared" si="25"/>
        <v>1345200</v>
      </c>
      <c r="P84" s="152">
        <f t="shared" si="25"/>
        <v>4319830</v>
      </c>
      <c r="Q84" s="112"/>
    </row>
    <row r="87" spans="2:17" x14ac:dyDescent="0.25">
      <c r="G87" s="153" t="s">
        <v>3</v>
      </c>
      <c r="H87" s="153" t="s">
        <v>4</v>
      </c>
      <c r="I87" s="153" t="s">
        <v>5</v>
      </c>
      <c r="J87" s="153" t="s">
        <v>6</v>
      </c>
      <c r="K87" s="153" t="s">
        <v>7</v>
      </c>
      <c r="L87" s="153" t="s">
        <v>8</v>
      </c>
      <c r="M87" s="153" t="s">
        <v>9</v>
      </c>
      <c r="N87" s="153" t="s">
        <v>10</v>
      </c>
      <c r="O87" s="153" t="s">
        <v>11</v>
      </c>
      <c r="P87" s="153" t="s">
        <v>20</v>
      </c>
    </row>
    <row r="88" spans="2:17" x14ac:dyDescent="0.25">
      <c r="B88" t="s">
        <v>28</v>
      </c>
      <c r="G88" s="154">
        <f t="shared" ref="G88:J88" si="26">SUM(G77:G80)/1000</f>
        <v>1149.92</v>
      </c>
      <c r="H88" s="154">
        <f t="shared" si="26"/>
        <v>6662.375</v>
      </c>
      <c r="I88" s="154">
        <f t="shared" si="26"/>
        <v>2320.2950000000001</v>
      </c>
      <c r="J88" s="154">
        <f t="shared" si="26"/>
        <v>3090.835</v>
      </c>
      <c r="K88" s="154">
        <f>SUM(K77:K80)/1000</f>
        <v>8866.4549999999999</v>
      </c>
      <c r="L88" s="154">
        <f t="shared" ref="L88:O88" si="27">SUM(L77:L80)/1000</f>
        <v>2371.4050000000002</v>
      </c>
      <c r="M88" s="154">
        <f t="shared" si="27"/>
        <v>2203.5059999999999</v>
      </c>
      <c r="N88" s="154">
        <f t="shared" si="27"/>
        <v>27488.6</v>
      </c>
      <c r="O88" s="154">
        <f t="shared" si="27"/>
        <v>1072.29</v>
      </c>
      <c r="P88" s="154">
        <f t="shared" ref="P88" si="28">SUM(P77:P80)/1000</f>
        <v>4068.26</v>
      </c>
    </row>
    <row r="89" spans="2:17" x14ac:dyDescent="0.25">
      <c r="B89" t="s">
        <v>29</v>
      </c>
      <c r="G89" s="154">
        <f t="shared" ref="G89:J89" si="29">SUM(G81:G83)/1000</f>
        <v>374.8</v>
      </c>
      <c r="H89" s="154">
        <f t="shared" si="29"/>
        <v>306.52</v>
      </c>
      <c r="I89" s="154">
        <f t="shared" si="29"/>
        <v>228.38</v>
      </c>
      <c r="J89" s="154">
        <f t="shared" si="29"/>
        <v>106</v>
      </c>
      <c r="K89" s="154">
        <f>SUM(K81:K83)/1000</f>
        <v>345.29500000000002</v>
      </c>
      <c r="L89" s="154">
        <f t="shared" ref="L89:O89" si="30">SUM(L81:L83)/1000</f>
        <v>80.45</v>
      </c>
      <c r="M89" s="154">
        <f t="shared" si="30"/>
        <v>50.6</v>
      </c>
      <c r="N89" s="154">
        <f t="shared" si="30"/>
        <v>430.8</v>
      </c>
      <c r="O89" s="154">
        <f t="shared" si="30"/>
        <v>55.35</v>
      </c>
      <c r="P89" s="154">
        <f t="shared" ref="P89" si="31">SUM(P81:P83)/1000</f>
        <v>34.549999999999997</v>
      </c>
    </row>
    <row r="90" spans="2:17" x14ac:dyDescent="0.25">
      <c r="B90" t="s">
        <v>31</v>
      </c>
      <c r="G90" s="154">
        <f t="shared" ref="G90:J90" si="32">G73/1000</f>
        <v>0.04</v>
      </c>
      <c r="H90" s="154">
        <f t="shared" si="32"/>
        <v>0.09</v>
      </c>
      <c r="I90" s="154">
        <f t="shared" si="32"/>
        <v>0</v>
      </c>
      <c r="J90" s="154">
        <f t="shared" si="32"/>
        <v>0</v>
      </c>
      <c r="K90" s="154">
        <f>K73/1000</f>
        <v>2.5000000000000001E-2</v>
      </c>
      <c r="L90" s="154">
        <f t="shared" ref="L90:O91" si="33">L73/1000</f>
        <v>0</v>
      </c>
      <c r="M90" s="154">
        <f t="shared" si="33"/>
        <v>0.05</v>
      </c>
      <c r="N90" s="154">
        <f t="shared" si="33"/>
        <v>2.5000000000000001E-2</v>
      </c>
      <c r="O90" s="154">
        <f t="shared" si="33"/>
        <v>0.05</v>
      </c>
      <c r="P90" s="154">
        <f t="shared" ref="P90" si="34">P73/1000</f>
        <v>2.5000000000000001E-2</v>
      </c>
    </row>
    <row r="91" spans="2:17" x14ac:dyDescent="0.25">
      <c r="B91" t="s">
        <v>69</v>
      </c>
      <c r="G91" s="154">
        <f t="shared" ref="G91:J91" si="35">G74/1000</f>
        <v>17.149999999999999</v>
      </c>
      <c r="H91" s="154">
        <f t="shared" si="35"/>
        <v>18.48</v>
      </c>
      <c r="I91" s="154">
        <f t="shared" si="35"/>
        <v>19.86</v>
      </c>
      <c r="J91" s="154">
        <f t="shared" si="35"/>
        <v>14.56</v>
      </c>
      <c r="K91" s="154">
        <f>K74/1000</f>
        <v>30.84</v>
      </c>
      <c r="L91" s="154">
        <f t="shared" si="33"/>
        <v>37.619999999999997</v>
      </c>
      <c r="M91" s="154">
        <f t="shared" si="33"/>
        <v>52.62</v>
      </c>
      <c r="N91" s="154">
        <f t="shared" si="33"/>
        <v>71.930000000000007</v>
      </c>
      <c r="O91" s="154">
        <f t="shared" si="33"/>
        <v>60.975000000000001</v>
      </c>
      <c r="P91" s="154">
        <f t="shared" ref="P91" si="36">P74/1000</f>
        <v>64.61</v>
      </c>
    </row>
    <row r="92" spans="2:17" x14ac:dyDescent="0.25">
      <c r="B92" t="s">
        <v>35</v>
      </c>
      <c r="G92" s="154">
        <f t="shared" ref="G92:J92" si="37">SUM(G75:G76)/1000</f>
        <v>29.72</v>
      </c>
      <c r="H92" s="154">
        <f t="shared" si="37"/>
        <v>75.454999999999998</v>
      </c>
      <c r="I92" s="154">
        <f t="shared" si="37"/>
        <v>44.975000000000001</v>
      </c>
      <c r="J92" s="154">
        <f t="shared" si="37"/>
        <v>75.454999999999998</v>
      </c>
      <c r="K92" s="154">
        <f>SUM(K75:K76)/1000</f>
        <v>72.775000000000006</v>
      </c>
      <c r="L92" s="154">
        <f t="shared" ref="L92:O92" si="38">SUM(L75:L76)/1000</f>
        <v>256.97500000000002</v>
      </c>
      <c r="M92" s="154">
        <f t="shared" si="38"/>
        <v>191.07499999999999</v>
      </c>
      <c r="N92" s="154">
        <f t="shared" si="38"/>
        <v>444.75</v>
      </c>
      <c r="O92" s="154">
        <f t="shared" si="38"/>
        <v>156.535</v>
      </c>
      <c r="P92" s="154">
        <f t="shared" ref="P92" si="39">SUM(P75:P76)/1000</f>
        <v>152.38499999999999</v>
      </c>
    </row>
    <row r="93" spans="2:17" ht="15.75" thickBot="1" x14ac:dyDescent="0.3">
      <c r="B93" s="48" t="s">
        <v>72</v>
      </c>
      <c r="G93" s="155">
        <f t="shared" ref="G93:J93" si="40">SUM(G88:G92)</f>
        <v>1571.63</v>
      </c>
      <c r="H93" s="155">
        <f t="shared" si="40"/>
        <v>7062.92</v>
      </c>
      <c r="I93" s="155">
        <f t="shared" si="40"/>
        <v>2613.5100000000002</v>
      </c>
      <c r="J93" s="155">
        <f t="shared" si="40"/>
        <v>3286.85</v>
      </c>
      <c r="K93" s="155">
        <f t="shared" ref="K93:P93" si="41">SUM(K88:K92)</f>
        <v>9315.39</v>
      </c>
      <c r="L93" s="155">
        <f t="shared" si="41"/>
        <v>2746.45</v>
      </c>
      <c r="M93" s="155">
        <f t="shared" si="41"/>
        <v>2497.8509999999997</v>
      </c>
      <c r="N93" s="155">
        <f t="shared" si="41"/>
        <v>28436.105</v>
      </c>
      <c r="O93" s="155">
        <f t="shared" si="41"/>
        <v>1345.1999999999998</v>
      </c>
      <c r="P93" s="155">
        <f t="shared" si="41"/>
        <v>4319.83</v>
      </c>
    </row>
  </sheetData>
  <hyperlinks>
    <hyperlink ref="B5" r:id="rId1" xr:uid="{3AE5370B-8D92-4ECE-A7A1-EE81C13B36CB}"/>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4FBD-BB29-4CA9-ADBF-0931068A0080}">
  <dimension ref="A1:AT147"/>
  <sheetViews>
    <sheetView showGridLines="0" zoomScale="90" zoomScaleNormal="90" workbookViewId="0">
      <pane ySplit="1" topLeftCell="A2" activePane="bottomLeft" state="frozenSplit"/>
      <selection pane="bottomLeft" activeCell="AE1" sqref="AE1"/>
    </sheetView>
  </sheetViews>
  <sheetFormatPr defaultRowHeight="12.75" x14ac:dyDescent="0.2"/>
  <cols>
    <col min="1" max="1" width="3.140625" style="2" customWidth="1"/>
    <col min="2" max="2" width="68" style="2" customWidth="1"/>
    <col min="3" max="3" width="13.5703125" style="2" customWidth="1"/>
    <col min="4" max="13" width="11.7109375" style="2" customWidth="1"/>
    <col min="14" max="14" width="11" style="2" customWidth="1"/>
    <col min="15" max="16384" width="9.140625" style="2"/>
  </cols>
  <sheetData>
    <row r="1" spans="1:41" customFormat="1" ht="22.5" customHeight="1" x14ac:dyDescent="0.25">
      <c r="A1" s="26" t="s">
        <v>146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row>
    <row r="2" spans="1:41" customFormat="1" ht="15" x14ac:dyDescent="0.25"/>
    <row r="3" spans="1:41" customFormat="1" ht="15" x14ac:dyDescent="0.25">
      <c r="B3" s="35" t="s">
        <v>85</v>
      </c>
    </row>
    <row r="4" spans="1:41" customFormat="1" ht="15" x14ac:dyDescent="0.25">
      <c r="B4" s="35"/>
    </row>
    <row r="5" spans="1:41" s="63" customFormat="1" ht="15.75" x14ac:dyDescent="0.25">
      <c r="A5" s="60"/>
      <c r="B5" s="61" t="s">
        <v>86</v>
      </c>
      <c r="C5" s="62"/>
      <c r="D5" s="62"/>
      <c r="E5" s="62"/>
      <c r="F5" s="62"/>
      <c r="G5" s="62"/>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row>
    <row r="7" spans="1:41" x14ac:dyDescent="0.2">
      <c r="B7" s="87" t="s">
        <v>87</v>
      </c>
    </row>
    <row r="8" spans="1:41" x14ac:dyDescent="0.2">
      <c r="C8" s="88" t="s">
        <v>3</v>
      </c>
      <c r="D8" s="88" t="s">
        <v>4</v>
      </c>
      <c r="E8" s="88" t="s">
        <v>5</v>
      </c>
      <c r="F8" s="88" t="s">
        <v>6</v>
      </c>
      <c r="G8" s="88" t="s">
        <v>7</v>
      </c>
      <c r="H8" s="88" t="s">
        <v>8</v>
      </c>
      <c r="I8" s="88" t="s">
        <v>9</v>
      </c>
      <c r="J8" s="88" t="s">
        <v>10</v>
      </c>
      <c r="K8" s="88" t="s">
        <v>11</v>
      </c>
      <c r="L8" s="88" t="s">
        <v>20</v>
      </c>
      <c r="N8" s="89"/>
    </row>
    <row r="9" spans="1:41" x14ac:dyDescent="0.2">
      <c r="B9" s="41" t="s">
        <v>88</v>
      </c>
      <c r="C9" s="90">
        <v>1297.7639999999999</v>
      </c>
      <c r="D9" s="90">
        <v>7052.2849999999999</v>
      </c>
      <c r="E9" s="90">
        <v>2996.58</v>
      </c>
      <c r="F9" s="90">
        <v>4762.8069999999998</v>
      </c>
      <c r="G9" s="90">
        <v>9923.9750000000004</v>
      </c>
      <c r="H9" s="90">
        <v>3713.6909999999998</v>
      </c>
      <c r="I9" s="90">
        <v>3389.55</v>
      </c>
      <c r="J9" s="90">
        <v>25515.380570000001</v>
      </c>
      <c r="K9" s="90">
        <v>1867.0830000000001</v>
      </c>
      <c r="L9" s="90">
        <v>4905.3612499999999</v>
      </c>
    </row>
    <row r="12" spans="1:41" x14ac:dyDescent="0.2">
      <c r="B12" s="91" t="s">
        <v>89</v>
      </c>
    </row>
    <row r="13" spans="1:41" x14ac:dyDescent="0.2">
      <c r="C13" s="88" t="s">
        <v>3</v>
      </c>
      <c r="D13" s="88" t="s">
        <v>4</v>
      </c>
      <c r="E13" s="88" t="s">
        <v>5</v>
      </c>
      <c r="F13" s="88" t="s">
        <v>6</v>
      </c>
      <c r="G13" s="88" t="s">
        <v>7</v>
      </c>
      <c r="H13" s="88" t="s">
        <v>8</v>
      </c>
      <c r="I13" s="88" t="s">
        <v>9</v>
      </c>
      <c r="J13" s="88" t="s">
        <v>10</v>
      </c>
      <c r="K13" s="88" t="s">
        <v>11</v>
      </c>
      <c r="L13" s="88" t="s">
        <v>20</v>
      </c>
    </row>
    <row r="14" spans="1:41" x14ac:dyDescent="0.2">
      <c r="B14" s="2" t="s">
        <v>28</v>
      </c>
      <c r="C14" s="90">
        <f>'ESCOSA Data'!G88</f>
        <v>1149.92</v>
      </c>
      <c r="D14" s="90">
        <f>'ESCOSA Data'!H88</f>
        <v>6662.375</v>
      </c>
      <c r="E14" s="90">
        <f>'ESCOSA Data'!I88</f>
        <v>2320.2950000000001</v>
      </c>
      <c r="F14" s="90">
        <f>'ESCOSA Data'!J88</f>
        <v>3090.835</v>
      </c>
      <c r="G14" s="90">
        <f>'ESCOSA Data'!K88</f>
        <v>8866.4549999999999</v>
      </c>
      <c r="H14" s="90">
        <f>'ESCOSA Data'!L88</f>
        <v>2371.4050000000002</v>
      </c>
      <c r="I14" s="90">
        <f>'ESCOSA Data'!M88</f>
        <v>2203.5059999999999</v>
      </c>
      <c r="J14" s="90">
        <f>'ESCOSA Data'!N88</f>
        <v>27488.6</v>
      </c>
      <c r="K14" s="90">
        <f>'ESCOSA Data'!O88</f>
        <v>1072.29</v>
      </c>
      <c r="L14" s="90">
        <f>'ESCOSA Data'!P88</f>
        <v>4068.26</v>
      </c>
    </row>
    <row r="15" spans="1:41" x14ac:dyDescent="0.2">
      <c r="B15" s="2" t="s">
        <v>29</v>
      </c>
      <c r="C15" s="90">
        <f>'ESCOSA Data'!G89</f>
        <v>374.8</v>
      </c>
      <c r="D15" s="90">
        <f>'ESCOSA Data'!H89</f>
        <v>306.52</v>
      </c>
      <c r="E15" s="90">
        <f>'ESCOSA Data'!I89</f>
        <v>228.38</v>
      </c>
      <c r="F15" s="90">
        <f>'ESCOSA Data'!J89</f>
        <v>106</v>
      </c>
      <c r="G15" s="90">
        <f>'ESCOSA Data'!K89</f>
        <v>345.29500000000002</v>
      </c>
      <c r="H15" s="90">
        <f>'ESCOSA Data'!L89</f>
        <v>80.45</v>
      </c>
      <c r="I15" s="90">
        <f>'ESCOSA Data'!M89</f>
        <v>50.6</v>
      </c>
      <c r="J15" s="90">
        <f>'ESCOSA Data'!N89</f>
        <v>430.8</v>
      </c>
      <c r="K15" s="90">
        <f>'ESCOSA Data'!O89</f>
        <v>55.35</v>
      </c>
      <c r="L15" s="90">
        <f>'ESCOSA Data'!P89</f>
        <v>34.549999999999997</v>
      </c>
    </row>
    <row r="16" spans="1:41" x14ac:dyDescent="0.2">
      <c r="B16" s="2" t="s">
        <v>31</v>
      </c>
      <c r="C16" s="90">
        <f>'ESCOSA Data'!G90</f>
        <v>0.04</v>
      </c>
      <c r="D16" s="90">
        <f>'ESCOSA Data'!H90</f>
        <v>0.09</v>
      </c>
      <c r="E16" s="90">
        <f>'ESCOSA Data'!I90</f>
        <v>0</v>
      </c>
      <c r="F16" s="90">
        <f>'ESCOSA Data'!J90</f>
        <v>0</v>
      </c>
      <c r="G16" s="90">
        <f>'ESCOSA Data'!K90</f>
        <v>2.5000000000000001E-2</v>
      </c>
      <c r="H16" s="90">
        <f>'ESCOSA Data'!L90</f>
        <v>0</v>
      </c>
      <c r="I16" s="90">
        <f>'ESCOSA Data'!M90</f>
        <v>0.05</v>
      </c>
      <c r="J16" s="90">
        <f>'ESCOSA Data'!N90</f>
        <v>2.5000000000000001E-2</v>
      </c>
      <c r="K16" s="90">
        <f>'ESCOSA Data'!O90</f>
        <v>0.05</v>
      </c>
      <c r="L16" s="90">
        <f>'ESCOSA Data'!P90</f>
        <v>2.5000000000000001E-2</v>
      </c>
    </row>
    <row r="17" spans="2:13" x14ac:dyDescent="0.2">
      <c r="B17" s="2" t="s">
        <v>69</v>
      </c>
      <c r="C17" s="90">
        <f>'ESCOSA Data'!G91</f>
        <v>17.149999999999999</v>
      </c>
      <c r="D17" s="90">
        <f>'ESCOSA Data'!H91</f>
        <v>18.48</v>
      </c>
      <c r="E17" s="90">
        <f>'ESCOSA Data'!I91</f>
        <v>19.86</v>
      </c>
      <c r="F17" s="90">
        <f>'ESCOSA Data'!J91</f>
        <v>14.56</v>
      </c>
      <c r="G17" s="90">
        <f>'ESCOSA Data'!K91</f>
        <v>30.84</v>
      </c>
      <c r="H17" s="90">
        <f>'ESCOSA Data'!L91</f>
        <v>37.619999999999997</v>
      </c>
      <c r="I17" s="90">
        <f>'ESCOSA Data'!M91</f>
        <v>52.62</v>
      </c>
      <c r="J17" s="90">
        <f>'ESCOSA Data'!N91</f>
        <v>71.930000000000007</v>
      </c>
      <c r="K17" s="90">
        <f>'ESCOSA Data'!O91</f>
        <v>60.975000000000001</v>
      </c>
      <c r="L17" s="90">
        <f>'ESCOSA Data'!P91</f>
        <v>64.61</v>
      </c>
    </row>
    <row r="18" spans="2:13" x14ac:dyDescent="0.2">
      <c r="B18" s="2" t="s">
        <v>35</v>
      </c>
      <c r="C18" s="90">
        <f>'ESCOSA Data'!G92</f>
        <v>29.72</v>
      </c>
      <c r="D18" s="90">
        <f>'ESCOSA Data'!H92</f>
        <v>75.454999999999998</v>
      </c>
      <c r="E18" s="90">
        <f>'ESCOSA Data'!I92</f>
        <v>44.975000000000001</v>
      </c>
      <c r="F18" s="90">
        <f>'ESCOSA Data'!J92</f>
        <v>75.454999999999998</v>
      </c>
      <c r="G18" s="90">
        <f>'ESCOSA Data'!K92</f>
        <v>72.775000000000006</v>
      </c>
      <c r="H18" s="90">
        <f>'ESCOSA Data'!L92</f>
        <v>256.97500000000002</v>
      </c>
      <c r="I18" s="90">
        <f>'ESCOSA Data'!M92</f>
        <v>191.07499999999999</v>
      </c>
      <c r="J18" s="90">
        <f>'ESCOSA Data'!N92</f>
        <v>444.75</v>
      </c>
      <c r="K18" s="90">
        <f>'ESCOSA Data'!O92</f>
        <v>156.535</v>
      </c>
      <c r="L18" s="90">
        <f>'ESCOSA Data'!P92</f>
        <v>152.38499999999999</v>
      </c>
    </row>
    <row r="19" spans="2:13" ht="13.5" thickBot="1" x14ac:dyDescent="0.25">
      <c r="B19" s="41" t="s">
        <v>72</v>
      </c>
      <c r="C19" s="92">
        <f t="shared" ref="C19:F19" si="0">SUM(C14:C18)</f>
        <v>1571.63</v>
      </c>
      <c r="D19" s="92">
        <f t="shared" si="0"/>
        <v>7062.92</v>
      </c>
      <c r="E19" s="92">
        <f t="shared" si="0"/>
        <v>2613.5100000000002</v>
      </c>
      <c r="F19" s="92">
        <f t="shared" si="0"/>
        <v>3286.85</v>
      </c>
      <c r="G19" s="92">
        <f t="shared" ref="G19:L19" si="1">SUM(G14:G18)</f>
        <v>9315.39</v>
      </c>
      <c r="H19" s="92">
        <f t="shared" si="1"/>
        <v>2746.45</v>
      </c>
      <c r="I19" s="92">
        <f t="shared" si="1"/>
        <v>2497.8509999999997</v>
      </c>
      <c r="J19" s="92">
        <f t="shared" si="1"/>
        <v>28436.105</v>
      </c>
      <c r="K19" s="92">
        <f t="shared" si="1"/>
        <v>1345.1999999999998</v>
      </c>
      <c r="L19" s="92">
        <f t="shared" si="1"/>
        <v>4319.83</v>
      </c>
    </row>
    <row r="21" spans="2:13" x14ac:dyDescent="0.2">
      <c r="B21" s="2" t="s">
        <v>148</v>
      </c>
      <c r="C21" s="93">
        <f t="shared" ref="C21:F21" si="2">C19-C9</f>
        <v>273.86600000000021</v>
      </c>
      <c r="D21" s="93">
        <f t="shared" si="2"/>
        <v>10.635000000000218</v>
      </c>
      <c r="E21" s="93">
        <f t="shared" si="2"/>
        <v>-383.06999999999971</v>
      </c>
      <c r="F21" s="93">
        <f t="shared" si="2"/>
        <v>-1475.9569999999999</v>
      </c>
      <c r="G21" s="93">
        <f t="shared" ref="G21:L21" si="3">G19-G9</f>
        <v>-608.58500000000095</v>
      </c>
      <c r="H21" s="93">
        <f t="shared" si="3"/>
        <v>-967.24099999999999</v>
      </c>
      <c r="I21" s="93">
        <f t="shared" si="3"/>
        <v>-891.69900000000052</v>
      </c>
      <c r="J21" s="93">
        <f t="shared" si="3"/>
        <v>2920.7244299999984</v>
      </c>
      <c r="K21" s="93">
        <f t="shared" si="3"/>
        <v>-521.88300000000027</v>
      </c>
      <c r="L21" s="93">
        <f t="shared" si="3"/>
        <v>-585.53125</v>
      </c>
      <c r="M21" s="94">
        <f>SUM(C21:L21)</f>
        <v>-2228.7408200000023</v>
      </c>
    </row>
    <row r="23" spans="2:13" x14ac:dyDescent="0.2">
      <c r="B23" s="41" t="s">
        <v>91</v>
      </c>
    </row>
    <row r="24" spans="2:13" x14ac:dyDescent="0.2">
      <c r="C24" s="88" t="s">
        <v>3</v>
      </c>
      <c r="D24" s="88" t="s">
        <v>4</v>
      </c>
      <c r="E24" s="88" t="s">
        <v>5</v>
      </c>
      <c r="F24" s="88" t="s">
        <v>6</v>
      </c>
      <c r="G24" s="88" t="s">
        <v>7</v>
      </c>
      <c r="H24" s="88" t="s">
        <v>8</v>
      </c>
      <c r="I24" s="88" t="s">
        <v>9</v>
      </c>
      <c r="J24" s="88" t="s">
        <v>10</v>
      </c>
      <c r="K24" s="88" t="s">
        <v>11</v>
      </c>
      <c r="L24" s="88" t="s">
        <v>20</v>
      </c>
    </row>
    <row r="25" spans="2:13" x14ac:dyDescent="0.2">
      <c r="B25" s="2" t="s">
        <v>28</v>
      </c>
      <c r="C25" s="93">
        <f t="shared" ref="C25:F25" si="4">C$9*(C14/C$19)</f>
        <v>949.53950922290858</v>
      </c>
      <c r="D25" s="93">
        <f t="shared" si="4"/>
        <v>6652.3431210993467</v>
      </c>
      <c r="E25" s="93">
        <f t="shared" si="4"/>
        <v>2660.3875979429959</v>
      </c>
      <c r="F25" s="93">
        <f t="shared" si="4"/>
        <v>4478.7716427111063</v>
      </c>
      <c r="G25" s="93">
        <f t="shared" ref="G25:K29" si="5">G$9*(G14/G$19)</f>
        <v>9445.7105669891444</v>
      </c>
      <c r="H25" s="93">
        <f t="shared" si="5"/>
        <v>3206.5631654881759</v>
      </c>
      <c r="I25" s="93">
        <f t="shared" si="5"/>
        <v>2990.1278187930347</v>
      </c>
      <c r="J25" s="93">
        <f t="shared" si="5"/>
        <v>24665.195544062804</v>
      </c>
      <c r="K25" s="93">
        <f t="shared" si="5"/>
        <v>1488.2949970785016</v>
      </c>
      <c r="L25" s="93">
        <f t="shared" ref="L25" si="6">L$9*(L14/L$19)</f>
        <v>4619.6922006016439</v>
      </c>
    </row>
    <row r="26" spans="2:13" x14ac:dyDescent="0.2">
      <c r="B26" s="2" t="s">
        <v>29</v>
      </c>
      <c r="C26" s="93">
        <f t="shared" ref="C26:F26" si="7">C$9*(C15/C$19)</f>
        <v>309.4888410121975</v>
      </c>
      <c r="D26" s="93">
        <f t="shared" si="7"/>
        <v>306.05845715369844</v>
      </c>
      <c r="E26" s="93">
        <f t="shared" si="7"/>
        <v>261.85434163251716</v>
      </c>
      <c r="F26" s="93">
        <f t="shared" si="7"/>
        <v>153.59920349270578</v>
      </c>
      <c r="G26" s="93">
        <f t="shared" si="5"/>
        <v>367.85351419801003</v>
      </c>
      <c r="H26" s="93">
        <f t="shared" si="5"/>
        <v>108.78277083143696</v>
      </c>
      <c r="I26" s="93">
        <f t="shared" si="5"/>
        <v>68.663515157629504</v>
      </c>
      <c r="J26" s="93">
        <f t="shared" si="5"/>
        <v>386.55174291823727</v>
      </c>
      <c r="K26" s="93">
        <f t="shared" si="5"/>
        <v>76.823553412132043</v>
      </c>
      <c r="L26" s="93">
        <f t="shared" ref="L26" si="8">L$9*(L15/L$19)</f>
        <v>39.233078891414706</v>
      </c>
    </row>
    <row r="27" spans="2:13" x14ac:dyDescent="0.2">
      <c r="B27" s="2" t="s">
        <v>31</v>
      </c>
      <c r="C27" s="93">
        <f t="shared" ref="C27:F27" si="9">C$9*(C16/C$19)</f>
        <v>3.3029758912721183E-2</v>
      </c>
      <c r="D27" s="93">
        <f t="shared" si="9"/>
        <v>8.9864482395383208E-2</v>
      </c>
      <c r="E27" s="93">
        <f t="shared" si="9"/>
        <v>0</v>
      </c>
      <c r="F27" s="93">
        <f t="shared" si="9"/>
        <v>0</v>
      </c>
      <c r="G27" s="93">
        <f t="shared" si="5"/>
        <v>2.6633278370524479E-2</v>
      </c>
      <c r="H27" s="93">
        <f t="shared" si="5"/>
        <v>0</v>
      </c>
      <c r="I27" s="93">
        <f t="shared" si="5"/>
        <v>6.7849323278290033E-2</v>
      </c>
      <c r="J27" s="93">
        <f t="shared" si="5"/>
        <v>2.2432204208347101E-2</v>
      </c>
      <c r="K27" s="93">
        <f t="shared" si="5"/>
        <v>6.9397970561998229E-2</v>
      </c>
      <c r="L27" s="93">
        <f t="shared" ref="L27" si="10">L$9*(L16/L$19)</f>
        <v>2.8388624378737126E-2</v>
      </c>
    </row>
    <row r="28" spans="2:13" x14ac:dyDescent="0.2">
      <c r="B28" s="2" t="s">
        <v>69</v>
      </c>
      <c r="C28" s="93">
        <f t="shared" ref="C28:F28" si="11">C$9*(C17/C$19)</f>
        <v>14.161509133829206</v>
      </c>
      <c r="D28" s="93">
        <f t="shared" si="11"/>
        <v>18.452173718518683</v>
      </c>
      <c r="E28" s="93">
        <f t="shared" si="11"/>
        <v>22.770939770653257</v>
      </c>
      <c r="F28" s="93">
        <f t="shared" si="11"/>
        <v>21.098154743903738</v>
      </c>
      <c r="G28" s="93">
        <f t="shared" si="5"/>
        <v>32.854812197878999</v>
      </c>
      <c r="H28" s="93">
        <f t="shared" si="5"/>
        <v>50.868960083016255</v>
      </c>
      <c r="I28" s="93">
        <f t="shared" si="5"/>
        <v>71.404627818072427</v>
      </c>
      <c r="J28" s="93">
        <f t="shared" si="5"/>
        <v>64.541937948256276</v>
      </c>
      <c r="K28" s="93">
        <f t="shared" si="5"/>
        <v>84.630825100356844</v>
      </c>
      <c r="L28" s="93">
        <f t="shared" ref="L28" si="12">L$9*(L17/L$19)</f>
        <v>73.367560844408231</v>
      </c>
    </row>
    <row r="29" spans="2:13" x14ac:dyDescent="0.2">
      <c r="B29" s="2" t="s">
        <v>35</v>
      </c>
      <c r="C29" s="93">
        <f t="shared" ref="C29:F29" si="13">C$9*(C18/C$19)</f>
        <v>24.541110872151837</v>
      </c>
      <c r="D29" s="93">
        <f t="shared" si="13"/>
        <v>75.341383546040447</v>
      </c>
      <c r="E29" s="93">
        <f t="shared" si="13"/>
        <v>51.567120653833342</v>
      </c>
      <c r="F29" s="93">
        <f t="shared" si="13"/>
        <v>109.3379990522841</v>
      </c>
      <c r="G29" s="93">
        <f t="shared" si="5"/>
        <v>77.529473336596766</v>
      </c>
      <c r="H29" s="93">
        <f t="shared" si="5"/>
        <v>347.47610359737115</v>
      </c>
      <c r="I29" s="93">
        <f t="shared" si="5"/>
        <v>259.28618890798532</v>
      </c>
      <c r="J29" s="93">
        <f t="shared" si="5"/>
        <v>399.06891286649488</v>
      </c>
      <c r="K29" s="93">
        <f t="shared" si="5"/>
        <v>217.26422643844785</v>
      </c>
      <c r="L29" s="93">
        <f t="shared" ref="L29" si="14">L$9*(L18/L$19)</f>
        <v>173.04002103815426</v>
      </c>
    </row>
    <row r="30" spans="2:13" ht="13.5" thickBot="1" x14ac:dyDescent="0.25">
      <c r="B30" s="41" t="s">
        <v>72</v>
      </c>
      <c r="C30" s="92">
        <f t="shared" ref="C30:F30" si="15">SUM(C25:C29)</f>
        <v>1297.7639999999999</v>
      </c>
      <c r="D30" s="92">
        <f t="shared" si="15"/>
        <v>7052.2849999999999</v>
      </c>
      <c r="E30" s="92">
        <f t="shared" si="15"/>
        <v>2996.5799999999995</v>
      </c>
      <c r="F30" s="92">
        <f t="shared" si="15"/>
        <v>4762.8070000000007</v>
      </c>
      <c r="G30" s="92">
        <f t="shared" ref="G30:L30" si="16">SUM(G25:G29)</f>
        <v>9923.9750000000004</v>
      </c>
      <c r="H30" s="92">
        <f t="shared" si="16"/>
        <v>3713.6910000000003</v>
      </c>
      <c r="I30" s="92">
        <f t="shared" si="16"/>
        <v>3389.5500000000006</v>
      </c>
      <c r="J30" s="92">
        <f t="shared" si="16"/>
        <v>25515.380570000001</v>
      </c>
      <c r="K30" s="92">
        <f t="shared" si="16"/>
        <v>1867.0830000000003</v>
      </c>
      <c r="L30" s="92">
        <f t="shared" si="16"/>
        <v>4905.3612499999999</v>
      </c>
    </row>
    <row r="32" spans="2:13" x14ac:dyDescent="0.2">
      <c r="B32" s="2" t="s">
        <v>90</v>
      </c>
      <c r="C32" s="93">
        <f t="shared" ref="C32:F32" si="17">C9-C30</f>
        <v>0</v>
      </c>
      <c r="D32" s="93">
        <f t="shared" si="17"/>
        <v>0</v>
      </c>
      <c r="E32" s="93">
        <f t="shared" si="17"/>
        <v>0</v>
      </c>
      <c r="F32" s="93">
        <f t="shared" si="17"/>
        <v>0</v>
      </c>
      <c r="G32" s="93">
        <f t="shared" ref="G32:L32" si="18">G9-G30</f>
        <v>0</v>
      </c>
      <c r="H32" s="93">
        <f t="shared" si="18"/>
        <v>0</v>
      </c>
      <c r="I32" s="93">
        <f t="shared" si="18"/>
        <v>0</v>
      </c>
      <c r="J32" s="93">
        <f t="shared" si="18"/>
        <v>0</v>
      </c>
      <c r="K32" s="93">
        <f t="shared" si="18"/>
        <v>0</v>
      </c>
      <c r="L32" s="93">
        <f t="shared" si="18"/>
        <v>0</v>
      </c>
    </row>
    <row r="36" spans="1:45" s="63" customFormat="1" ht="15.75" x14ac:dyDescent="0.25">
      <c r="A36" s="60"/>
      <c r="B36" s="61" t="s">
        <v>92</v>
      </c>
      <c r="C36" s="62"/>
      <c r="D36" s="62"/>
      <c r="E36" s="62"/>
      <c r="F36" s="62"/>
      <c r="G36" s="62"/>
      <c r="H36" s="62"/>
      <c r="I36" s="62"/>
      <c r="J36" s="62"/>
      <c r="K36" s="62"/>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row>
    <row r="38" spans="1:45" x14ac:dyDescent="0.2">
      <c r="B38" s="87" t="s">
        <v>93</v>
      </c>
    </row>
    <row r="39" spans="1:45" x14ac:dyDescent="0.2">
      <c r="B39" s="87"/>
      <c r="C39" s="88" t="s">
        <v>3</v>
      </c>
      <c r="D39" s="88" t="s">
        <v>4</v>
      </c>
      <c r="E39" s="88" t="s">
        <v>5</v>
      </c>
      <c r="F39" s="88" t="s">
        <v>6</v>
      </c>
      <c r="G39" s="88" t="s">
        <v>7</v>
      </c>
      <c r="H39" s="88" t="s">
        <v>8</v>
      </c>
      <c r="I39" s="88" t="s">
        <v>9</v>
      </c>
      <c r="J39" s="88" t="s">
        <v>10</v>
      </c>
      <c r="K39" s="88" t="s">
        <v>11</v>
      </c>
      <c r="L39" s="88" t="s">
        <v>20</v>
      </c>
    </row>
    <row r="40" spans="1:45" x14ac:dyDescent="0.2">
      <c r="B40" s="95" t="s">
        <v>94</v>
      </c>
      <c r="C40" s="96">
        <f>'CPI Escalations'!I12</f>
        <v>1.2442679659296028</v>
      </c>
      <c r="D40" s="96">
        <f>'CPI Escalations'!J12</f>
        <v>1.2093411458333332</v>
      </c>
      <c r="E40" s="96">
        <f>'CPI Escalations'!K12</f>
        <v>1.1703301411290323</v>
      </c>
      <c r="F40" s="96">
        <f>'CPI Escalations'!L12</f>
        <v>1.1563421314741036</v>
      </c>
      <c r="G40" s="96">
        <f>'CPI Escalations'!M12</f>
        <v>1.1293458171206225</v>
      </c>
      <c r="H40" s="96">
        <f>'CPI Escalations'!N12</f>
        <v>1.0962865911237016</v>
      </c>
      <c r="I40" s="96">
        <f>'CPI Escalations'!O12</f>
        <v>1.0799697674418605</v>
      </c>
      <c r="J40" s="96">
        <f>'CPI Escalations'!P12</f>
        <v>1.0690308471454881</v>
      </c>
      <c r="K40" s="96">
        <f>'CPI Escalations'!Q12</f>
        <v>1.0487511291779583</v>
      </c>
      <c r="L40" s="96">
        <f>'CPI Escalations'!R12</f>
        <v>1.0274048672566372</v>
      </c>
    </row>
    <row r="41" spans="1:45" x14ac:dyDescent="0.2">
      <c r="B41" s="87"/>
    </row>
    <row r="42" spans="1:45" x14ac:dyDescent="0.2">
      <c r="C42" s="88" t="s">
        <v>3</v>
      </c>
      <c r="D42" s="88" t="s">
        <v>4</v>
      </c>
      <c r="E42" s="88" t="s">
        <v>5</v>
      </c>
      <c r="F42" s="88" t="s">
        <v>6</v>
      </c>
      <c r="G42" s="88" t="s">
        <v>7</v>
      </c>
      <c r="H42" s="88" t="s">
        <v>8</v>
      </c>
      <c r="I42" s="88" t="s">
        <v>9</v>
      </c>
      <c r="J42" s="88" t="s">
        <v>10</v>
      </c>
      <c r="K42" s="88" t="s">
        <v>11</v>
      </c>
      <c r="L42" s="88" t="s">
        <v>20</v>
      </c>
      <c r="M42" s="88" t="s">
        <v>66</v>
      </c>
    </row>
    <row r="43" spans="1:45" x14ac:dyDescent="0.2">
      <c r="B43" s="41" t="s">
        <v>95</v>
      </c>
      <c r="C43" s="93">
        <f>C9*C$40</f>
        <v>1614.766172536665</v>
      </c>
      <c r="D43" s="93">
        <f t="shared" ref="D43:L43" si="19">D9*D$40</f>
        <v>8528.6184226432288</v>
      </c>
      <c r="E43" s="93">
        <f t="shared" si="19"/>
        <v>3506.9878943044355</v>
      </c>
      <c r="F43" s="93">
        <f t="shared" si="19"/>
        <v>5507.4343981797811</v>
      </c>
      <c r="G43" s="93">
        <f t="shared" si="19"/>
        <v>11207.599655459631</v>
      </c>
      <c r="H43" s="93">
        <f t="shared" si="19"/>
        <v>4071.2696468767704</v>
      </c>
      <c r="I43" s="93">
        <f t="shared" si="19"/>
        <v>3660.6115252325585</v>
      </c>
      <c r="J43" s="93">
        <f t="shared" si="19"/>
        <v>27276.728905986631</v>
      </c>
      <c r="K43" s="93">
        <f t="shared" si="19"/>
        <v>1958.1054045189701</v>
      </c>
      <c r="L43" s="93">
        <f t="shared" si="19"/>
        <v>5039.7920239021014</v>
      </c>
      <c r="M43" s="94">
        <f>AVERAGE(C43:L43)</f>
        <v>7237.1914049640782</v>
      </c>
    </row>
    <row r="46" spans="1:45" x14ac:dyDescent="0.2">
      <c r="B46" s="91" t="s">
        <v>59</v>
      </c>
    </row>
    <row r="47" spans="1:45" x14ac:dyDescent="0.2">
      <c r="C47" s="88" t="s">
        <v>3</v>
      </c>
      <c r="D47" s="88" t="s">
        <v>4</v>
      </c>
      <c r="E47" s="88" t="s">
        <v>5</v>
      </c>
      <c r="F47" s="88" t="s">
        <v>6</v>
      </c>
      <c r="G47" s="88" t="s">
        <v>7</v>
      </c>
      <c r="H47" s="88" t="s">
        <v>8</v>
      </c>
      <c r="I47" s="88" t="s">
        <v>9</v>
      </c>
      <c r="J47" s="88" t="s">
        <v>10</v>
      </c>
      <c r="K47" s="88" t="s">
        <v>11</v>
      </c>
      <c r="L47" s="88" t="s">
        <v>20</v>
      </c>
      <c r="M47" s="97" t="s">
        <v>66</v>
      </c>
    </row>
    <row r="48" spans="1:45" x14ac:dyDescent="0.2">
      <c r="B48" s="2" t="s">
        <v>28</v>
      </c>
      <c r="C48" s="93">
        <f t="shared" ref="C48:F48" si="20">C25*C$40</f>
        <v>1181.4815937105818</v>
      </c>
      <c r="D48" s="93">
        <f t="shared" si="20"/>
        <v>8044.9522525467755</v>
      </c>
      <c r="E48" s="93">
        <f t="shared" si="20"/>
        <v>3113.5317929585535</v>
      </c>
      <c r="F48" s="93">
        <f t="shared" si="20"/>
        <v>5178.9923477183329</v>
      </c>
      <c r="G48" s="93">
        <f t="shared" ref="G48:K52" si="21">G25*G$40</f>
        <v>10667.473718561254</v>
      </c>
      <c r="H48" s="93">
        <f t="shared" si="21"/>
        <v>3515.3122019158582</v>
      </c>
      <c r="I48" s="93">
        <f t="shared" si="21"/>
        <v>3229.247645083351</v>
      </c>
      <c r="J48" s="93">
        <f t="shared" si="21"/>
        <v>26367.854887478577</v>
      </c>
      <c r="K48" s="93">
        <f t="shared" si="21"/>
        <v>1560.8510587359847</v>
      </c>
      <c r="L48" s="93">
        <f t="shared" ref="L48" si="22">L25*L$40</f>
        <v>4746.2942521256537</v>
      </c>
      <c r="M48" s="98">
        <f>AVERAGE(C48:L48)</f>
        <v>6760.5991750834919</v>
      </c>
    </row>
    <row r="49" spans="2:13" x14ac:dyDescent="0.2">
      <c r="B49" s="2" t="s">
        <v>29</v>
      </c>
      <c r="C49" s="93">
        <f t="shared" ref="C49:F49" si="23">C26*C$40</f>
        <v>385.08705068415719</v>
      </c>
      <c r="D49" s="93">
        <f t="shared" si="23"/>
        <v>370.12908526623579</v>
      </c>
      <c r="E49" s="93">
        <f t="shared" si="23"/>
        <v>306.45602859803364</v>
      </c>
      <c r="F49" s="93">
        <f t="shared" si="23"/>
        <v>177.61323035947999</v>
      </c>
      <c r="G49" s="93">
        <f t="shared" si="21"/>
        <v>415.43382757264419</v>
      </c>
      <c r="H49" s="93">
        <f t="shared" si="21"/>
        <v>119.25709300778686</v>
      </c>
      <c r="I49" s="93">
        <f t="shared" si="21"/>
        <v>74.154520496525791</v>
      </c>
      <c r="J49" s="93">
        <f t="shared" si="21"/>
        <v>413.23573719744815</v>
      </c>
      <c r="K49" s="93">
        <f t="shared" si="21"/>
        <v>80.568788388436673</v>
      </c>
      <c r="L49" s="93">
        <f t="shared" ref="L49" si="24">L26*L$40</f>
        <v>40.308256210503103</v>
      </c>
      <c r="M49" s="98">
        <f>AVERAGE(G49:K49)</f>
        <v>220.52999333256835</v>
      </c>
    </row>
    <row r="50" spans="2:13" x14ac:dyDescent="0.2">
      <c r="B50" s="2" t="s">
        <v>31</v>
      </c>
      <c r="C50" s="93">
        <f t="shared" ref="C50:F50" si="25">C27*C$40</f>
        <v>4.1097870937476751E-2</v>
      </c>
      <c r="D50" s="93">
        <f t="shared" si="25"/>
        <v>0.10867681610975213</v>
      </c>
      <c r="E50" s="93">
        <f t="shared" si="25"/>
        <v>0</v>
      </c>
      <c r="F50" s="93">
        <f t="shared" si="25"/>
        <v>0</v>
      </c>
      <c r="G50" s="93">
        <f t="shared" si="21"/>
        <v>3.0078181523960971E-2</v>
      </c>
      <c r="H50" s="93">
        <f t="shared" si="21"/>
        <v>0</v>
      </c>
      <c r="I50" s="93">
        <f t="shared" si="21"/>
        <v>7.3275217881942495E-2</v>
      </c>
      <c r="J50" s="93">
        <f t="shared" si="21"/>
        <v>2.3980718268189885E-2</v>
      </c>
      <c r="K50" s="93">
        <f t="shared" si="21"/>
        <v>7.278119998955436E-2</v>
      </c>
      <c r="L50" s="93">
        <f t="shared" ref="L50" si="26">L27*L$40</f>
        <v>2.916661086143495E-2</v>
      </c>
      <c r="M50" s="98">
        <f>AVERAGE(G50:K50)</f>
        <v>4.0023063532729539E-2</v>
      </c>
    </row>
    <row r="51" spans="2:13" x14ac:dyDescent="0.2">
      <c r="B51" s="2" t="s">
        <v>69</v>
      </c>
      <c r="C51" s="93">
        <f t="shared" ref="C51:F51" si="27">C28*C$40</f>
        <v>17.620712164443155</v>
      </c>
      <c r="D51" s="93">
        <f t="shared" si="27"/>
        <v>22.314972907869102</v>
      </c>
      <c r="E51" s="93">
        <f t="shared" si="27"/>
        <v>26.649517155429322</v>
      </c>
      <c r="F51" s="93">
        <f t="shared" si="27"/>
        <v>24.396685226736118</v>
      </c>
      <c r="G51" s="93">
        <f t="shared" si="21"/>
        <v>37.104444727958253</v>
      </c>
      <c r="H51" s="93">
        <f t="shared" si="21"/>
        <v>55.766958843417541</v>
      </c>
      <c r="I51" s="93">
        <f t="shared" si="21"/>
        <v>77.114839298956284</v>
      </c>
      <c r="J51" s="93">
        <f t="shared" si="21"/>
        <v>68.997322601235936</v>
      </c>
      <c r="K51" s="93">
        <f t="shared" si="21"/>
        <v>88.756673387261543</v>
      </c>
      <c r="L51" s="93">
        <f t="shared" ref="L51" si="28">L28*L$40</f>
        <v>75.378189110292496</v>
      </c>
      <c r="M51" s="98">
        <f>AVERAGE(G51:K51)</f>
        <v>65.548047771765908</v>
      </c>
    </row>
    <row r="52" spans="2:13" x14ac:dyDescent="0.2">
      <c r="B52" s="2" t="s">
        <v>35</v>
      </c>
      <c r="C52" s="93">
        <f t="shared" ref="C52:F52" si="29">C29*C$40</f>
        <v>30.535718106545225</v>
      </c>
      <c r="D52" s="93">
        <f t="shared" si="29"/>
        <v>91.113435106237191</v>
      </c>
      <c r="E52" s="93">
        <f t="shared" si="29"/>
        <v>60.350555592418615</v>
      </c>
      <c r="F52" s="93">
        <f t="shared" si="29"/>
        <v>126.43213487523172</v>
      </c>
      <c r="G52" s="93">
        <f t="shared" si="21"/>
        <v>87.557586416250388</v>
      </c>
      <c r="H52" s="93">
        <f t="shared" si="21"/>
        <v>380.93339310970822</v>
      </c>
      <c r="I52" s="93">
        <f t="shared" si="21"/>
        <v>280.02124513584323</v>
      </c>
      <c r="J52" s="93">
        <f t="shared" si="21"/>
        <v>426.616977991098</v>
      </c>
      <c r="K52" s="93">
        <f t="shared" si="21"/>
        <v>227.85610280729782</v>
      </c>
      <c r="L52" s="93">
        <f t="shared" ref="L52" si="30">L29*L$40</f>
        <v>177.78215984479058</v>
      </c>
      <c r="M52" s="98">
        <f>AVERAGE(G52:K52)</f>
        <v>280.59706109203955</v>
      </c>
    </row>
    <row r="53" spans="2:13" ht="13.5" thickBot="1" x14ac:dyDescent="0.25">
      <c r="B53" s="41" t="s">
        <v>72</v>
      </c>
      <c r="C53" s="92">
        <f t="shared" ref="C53:F53" si="31">SUM(C48:C52)</f>
        <v>1614.7661725366647</v>
      </c>
      <c r="D53" s="92">
        <f t="shared" si="31"/>
        <v>8528.6184226432269</v>
      </c>
      <c r="E53" s="92">
        <f t="shared" si="31"/>
        <v>3506.987894304435</v>
      </c>
      <c r="F53" s="92">
        <f t="shared" si="31"/>
        <v>5507.4343981797811</v>
      </c>
      <c r="G53" s="92">
        <f t="shared" ref="G53:L53" si="32">SUM(G48:G52)</f>
        <v>11207.599655459631</v>
      </c>
      <c r="H53" s="92">
        <f t="shared" si="32"/>
        <v>4071.2696468767704</v>
      </c>
      <c r="I53" s="92">
        <f t="shared" si="32"/>
        <v>3660.6115252325585</v>
      </c>
      <c r="J53" s="92">
        <f t="shared" si="32"/>
        <v>27276.728905986631</v>
      </c>
      <c r="K53" s="92">
        <f t="shared" si="32"/>
        <v>1958.1054045189703</v>
      </c>
      <c r="L53" s="92">
        <f t="shared" si="32"/>
        <v>5039.7920239021014</v>
      </c>
      <c r="M53" s="99">
        <f>AVERAGE(C53:L53)</f>
        <v>7237.1914049640782</v>
      </c>
    </row>
    <row r="55" spans="2:13" x14ac:dyDescent="0.2">
      <c r="B55" s="2" t="s">
        <v>90</v>
      </c>
      <c r="C55" s="93">
        <f t="shared" ref="C55:L55" si="33">C53-C43</f>
        <v>0</v>
      </c>
      <c r="D55" s="93">
        <f t="shared" si="33"/>
        <v>0</v>
      </c>
      <c r="E55" s="93">
        <f t="shared" si="33"/>
        <v>0</v>
      </c>
      <c r="F55" s="93">
        <f t="shared" si="33"/>
        <v>0</v>
      </c>
      <c r="G55" s="93">
        <f t="shared" si="33"/>
        <v>0</v>
      </c>
      <c r="H55" s="93">
        <f t="shared" si="33"/>
        <v>0</v>
      </c>
      <c r="I55" s="93">
        <f t="shared" si="33"/>
        <v>0</v>
      </c>
      <c r="J55" s="93">
        <f t="shared" si="33"/>
        <v>0</v>
      </c>
      <c r="K55" s="93">
        <f t="shared" si="33"/>
        <v>0</v>
      </c>
      <c r="L55" s="93">
        <f t="shared" si="33"/>
        <v>0</v>
      </c>
      <c r="M55" s="93"/>
    </row>
    <row r="57" spans="2:13" ht="13.5" thickBot="1" x14ac:dyDescent="0.25"/>
    <row r="58" spans="2:13" s="100" customFormat="1" ht="15" x14ac:dyDescent="0.25"/>
    <row r="59" spans="2:13" s="29" customFormat="1" ht="15" x14ac:dyDescent="0.25">
      <c r="B59" s="87" t="s">
        <v>96</v>
      </c>
    </row>
    <row r="61" spans="2:13" ht="15" x14ac:dyDescent="0.2">
      <c r="B61" s="38" t="s">
        <v>0</v>
      </c>
      <c r="C61" s="25"/>
      <c r="D61" s="1"/>
      <c r="E61" s="1"/>
    </row>
    <row r="62" spans="2:13" x14ac:dyDescent="0.2">
      <c r="C62" s="1"/>
      <c r="D62" s="1"/>
    </row>
    <row r="63" spans="2:13" x14ac:dyDescent="0.2">
      <c r="B63" s="18" t="s">
        <v>1</v>
      </c>
      <c r="C63" s="19" t="s">
        <v>3</v>
      </c>
      <c r="D63" s="19" t="s">
        <v>4</v>
      </c>
      <c r="E63" s="19" t="s">
        <v>5</v>
      </c>
      <c r="F63" s="19" t="s">
        <v>6</v>
      </c>
      <c r="G63" s="19" t="s">
        <v>7</v>
      </c>
      <c r="H63" s="19" t="s">
        <v>8</v>
      </c>
      <c r="I63" s="19" t="s">
        <v>9</v>
      </c>
      <c r="J63" s="19" t="s">
        <v>10</v>
      </c>
      <c r="K63" s="19" t="s">
        <v>11</v>
      </c>
      <c r="L63" s="19" t="s">
        <v>20</v>
      </c>
    </row>
    <row r="64" spans="2:13" x14ac:dyDescent="0.2">
      <c r="B64" s="3" t="s">
        <v>12</v>
      </c>
      <c r="C64" s="4">
        <v>3218</v>
      </c>
      <c r="D64" s="4">
        <v>9980</v>
      </c>
      <c r="E64" s="4">
        <v>2821</v>
      </c>
      <c r="F64" s="4">
        <v>6540</v>
      </c>
      <c r="G64" s="4">
        <v>15235</v>
      </c>
      <c r="H64" s="4">
        <v>3477</v>
      </c>
      <c r="I64" s="4">
        <f>331+959+885+771</f>
        <v>2946</v>
      </c>
      <c r="J64" s="4">
        <v>33711</v>
      </c>
      <c r="K64" s="5">
        <f>515+341+939+1103</f>
        <v>2898</v>
      </c>
      <c r="L64" s="5">
        <f>'ESCOSA Data'!P55</f>
        <v>10905</v>
      </c>
    </row>
    <row r="65" spans="2:12" x14ac:dyDescent="0.2">
      <c r="B65" s="6" t="s">
        <v>13</v>
      </c>
      <c r="C65" s="7">
        <v>257440</v>
      </c>
      <c r="D65" s="7">
        <v>888980</v>
      </c>
      <c r="E65" s="7">
        <v>253870</v>
      </c>
      <c r="F65" s="7">
        <v>588680</v>
      </c>
      <c r="G65" s="7">
        <v>1371150</v>
      </c>
      <c r="H65" s="7">
        <v>312930</v>
      </c>
      <c r="I65" s="7">
        <f>33100+95900+88500+77100</f>
        <v>294600</v>
      </c>
      <c r="J65" s="7">
        <v>3371100</v>
      </c>
      <c r="K65" s="8">
        <f>51500+34100+93900+110300</f>
        <v>289800</v>
      </c>
      <c r="L65" s="8">
        <f>'ESCOSA Data'!P56</f>
        <v>1090500</v>
      </c>
    </row>
    <row r="66" spans="2:12" x14ac:dyDescent="0.2">
      <c r="B66" s="3" t="s">
        <v>14</v>
      </c>
      <c r="C66" s="4">
        <v>3208</v>
      </c>
      <c r="D66" s="4">
        <v>7274</v>
      </c>
      <c r="E66" s="4">
        <v>2917</v>
      </c>
      <c r="F66" s="4">
        <v>2765</v>
      </c>
      <c r="G66" s="4">
        <v>9829</v>
      </c>
      <c r="H66" s="4">
        <v>2870</v>
      </c>
      <c r="I66" s="4">
        <v>3630</v>
      </c>
      <c r="J66" s="4">
        <v>25830</v>
      </c>
      <c r="K66" s="5">
        <f>102+517+943+649</f>
        <v>2211</v>
      </c>
      <c r="L66" s="5">
        <f>'ESCOSA Data'!P57</f>
        <v>8888</v>
      </c>
    </row>
    <row r="67" spans="2:12" x14ac:dyDescent="0.2">
      <c r="B67" s="6" t="s">
        <v>13</v>
      </c>
      <c r="C67" s="7">
        <v>384960</v>
      </c>
      <c r="D67" s="7">
        <v>1017700</v>
      </c>
      <c r="E67" s="7">
        <v>408320</v>
      </c>
      <c r="F67" s="7">
        <v>387100</v>
      </c>
      <c r="G67" s="7">
        <v>1376060</v>
      </c>
      <c r="H67" s="7">
        <v>401800</v>
      </c>
      <c r="I67" s="7">
        <v>544500</v>
      </c>
      <c r="J67" s="7">
        <v>3874500</v>
      </c>
      <c r="K67" s="8">
        <f>15300+77550+141450+97350</f>
        <v>331650</v>
      </c>
      <c r="L67" s="8">
        <f>'ESCOSA Data'!P58</f>
        <v>1333200</v>
      </c>
    </row>
    <row r="68" spans="2:12" x14ac:dyDescent="0.2">
      <c r="B68" s="3" t="s">
        <v>15</v>
      </c>
      <c r="C68" s="4">
        <v>1932</v>
      </c>
      <c r="D68" s="4">
        <v>8121</v>
      </c>
      <c r="E68" s="4">
        <v>3923</v>
      </c>
      <c r="F68" s="4">
        <v>6405</v>
      </c>
      <c r="G68" s="4">
        <v>14457</v>
      </c>
      <c r="H68" s="4">
        <v>3369</v>
      </c>
      <c r="I68" s="4">
        <v>3051</v>
      </c>
      <c r="J68" s="4">
        <v>30048</v>
      </c>
      <c r="K68" s="5">
        <f>151+205+591+170</f>
        <v>1117</v>
      </c>
      <c r="L68" s="5">
        <f>'ESCOSA Data'!P59</f>
        <v>5197</v>
      </c>
    </row>
    <row r="69" spans="2:12" x14ac:dyDescent="0.2">
      <c r="B69" s="6" t="s">
        <v>13</v>
      </c>
      <c r="C69" s="7">
        <v>309120</v>
      </c>
      <c r="D69" s="7">
        <v>1502185</v>
      </c>
      <c r="E69" s="7">
        <v>725705</v>
      </c>
      <c r="F69" s="7">
        <v>1184925</v>
      </c>
      <c r="G69" s="7">
        <v>2674545</v>
      </c>
      <c r="H69" s="7">
        <v>623265</v>
      </c>
      <c r="I69" s="7">
        <v>610200</v>
      </c>
      <c r="J69" s="7">
        <v>6009600</v>
      </c>
      <c r="K69" s="8">
        <f>30200+41000+118200+34000</f>
        <v>223400</v>
      </c>
      <c r="L69" s="8">
        <f>'ESCOSA Data'!P60</f>
        <v>1039400</v>
      </c>
    </row>
    <row r="70" spans="2:12" x14ac:dyDescent="0.2">
      <c r="B70" s="3" t="s">
        <v>16</v>
      </c>
      <c r="C70" s="4">
        <v>620</v>
      </c>
      <c r="D70" s="4">
        <v>8803</v>
      </c>
      <c r="E70" s="4">
        <v>2520</v>
      </c>
      <c r="F70" s="4">
        <v>2513</v>
      </c>
      <c r="G70" s="4">
        <v>9310</v>
      </c>
      <c r="H70" s="4">
        <v>2793</v>
      </c>
      <c r="I70" s="9"/>
      <c r="J70" s="9"/>
      <c r="K70" s="10"/>
      <c r="L70" s="10"/>
    </row>
    <row r="71" spans="2:12" x14ac:dyDescent="0.2">
      <c r="B71" s="11" t="s">
        <v>13</v>
      </c>
      <c r="C71" s="7">
        <v>198400</v>
      </c>
      <c r="D71" s="7">
        <v>3253510</v>
      </c>
      <c r="E71" s="7">
        <v>932400</v>
      </c>
      <c r="F71" s="7">
        <v>930130</v>
      </c>
      <c r="G71" s="7">
        <v>3444700</v>
      </c>
      <c r="H71" s="7">
        <v>1033410</v>
      </c>
      <c r="I71" s="12"/>
      <c r="J71" s="12"/>
      <c r="K71" s="13"/>
      <c r="L71" s="13"/>
    </row>
    <row r="72" spans="2:12" x14ac:dyDescent="0.2">
      <c r="B72" s="3" t="s">
        <v>17</v>
      </c>
      <c r="C72" s="12"/>
      <c r="D72" s="12"/>
      <c r="E72" s="12"/>
      <c r="F72" s="12"/>
      <c r="G72" s="12"/>
      <c r="H72" s="12"/>
      <c r="I72" s="4">
        <v>1049</v>
      </c>
      <c r="J72" s="4">
        <v>23576</v>
      </c>
      <c r="K72" s="5">
        <f>128+44+230+58</f>
        <v>460</v>
      </c>
      <c r="L72" s="5">
        <f>'ESCOSA Data'!P63</f>
        <v>1427</v>
      </c>
    </row>
    <row r="73" spans="2:12" x14ac:dyDescent="0.2">
      <c r="B73" s="11" t="s">
        <v>13</v>
      </c>
      <c r="C73" s="12"/>
      <c r="D73" s="12"/>
      <c r="E73" s="12"/>
      <c r="F73" s="12"/>
      <c r="G73" s="12"/>
      <c r="H73" s="12"/>
      <c r="I73" s="7">
        <v>424845</v>
      </c>
      <c r="J73" s="7">
        <v>9548280</v>
      </c>
      <c r="K73" s="8">
        <f>51840+17820+93150+23490</f>
        <v>186300</v>
      </c>
      <c r="L73" s="8">
        <f>'ESCOSA Data'!P64</f>
        <v>577935</v>
      </c>
    </row>
    <row r="74" spans="2:12" x14ac:dyDescent="0.2">
      <c r="B74" s="3" t="s">
        <v>18</v>
      </c>
      <c r="C74" s="9"/>
      <c r="D74" s="9"/>
      <c r="E74" s="9"/>
      <c r="F74" s="9"/>
      <c r="G74" s="9"/>
      <c r="H74" s="9"/>
      <c r="I74" s="4">
        <v>52</v>
      </c>
      <c r="J74" s="4">
        <v>7744</v>
      </c>
      <c r="K74" s="5">
        <f>46+8+12+2</f>
        <v>68</v>
      </c>
      <c r="L74" s="5">
        <f>'ESCOSA Data'!P65</f>
        <v>45</v>
      </c>
    </row>
    <row r="75" spans="2:12" x14ac:dyDescent="0.2">
      <c r="B75" s="11" t="s">
        <v>13</v>
      </c>
      <c r="C75" s="12"/>
      <c r="D75" s="12"/>
      <c r="E75" s="12"/>
      <c r="F75" s="12"/>
      <c r="G75" s="12"/>
      <c r="H75" s="12"/>
      <c r="I75" s="7">
        <v>31460</v>
      </c>
      <c r="J75" s="7">
        <v>4685120</v>
      </c>
      <c r="K75" s="8">
        <f>27830+4840+7260+1210</f>
        <v>41140</v>
      </c>
      <c r="L75" s="8">
        <f>'ESCOSA Data'!P66</f>
        <v>27225</v>
      </c>
    </row>
    <row r="76" spans="2:12" x14ac:dyDescent="0.2">
      <c r="B76" s="20" t="s">
        <v>19</v>
      </c>
      <c r="C76" s="16">
        <v>1149920</v>
      </c>
      <c r="D76" s="16">
        <v>6662375</v>
      </c>
      <c r="E76" s="16">
        <v>2320295</v>
      </c>
      <c r="F76" s="16">
        <v>3090835</v>
      </c>
      <c r="G76" s="16">
        <v>8866455</v>
      </c>
      <c r="H76" s="16">
        <v>2371405</v>
      </c>
      <c r="I76" s="17">
        <v>2203506</v>
      </c>
      <c r="J76" s="17">
        <v>27488600</v>
      </c>
      <c r="K76" s="17">
        <f>SUM(K65,K67,K69,K73,K75)</f>
        <v>1072290</v>
      </c>
      <c r="L76" s="17">
        <f>'ESCOSA Data'!P67</f>
        <v>4068260</v>
      </c>
    </row>
    <row r="77" spans="2:12" x14ac:dyDescent="0.2">
      <c r="B77" s="21" t="s">
        <v>24</v>
      </c>
      <c r="C77" s="24">
        <f t="shared" ref="C77:K77" si="34">SUM(C64,C66,C68,C70,C72,C74)</f>
        <v>8978</v>
      </c>
      <c r="D77" s="24">
        <f t="shared" si="34"/>
        <v>34178</v>
      </c>
      <c r="E77" s="24">
        <f t="shared" si="34"/>
        <v>12181</v>
      </c>
      <c r="F77" s="24">
        <f t="shared" si="34"/>
        <v>18223</v>
      </c>
      <c r="G77" s="24">
        <f t="shared" si="34"/>
        <v>48831</v>
      </c>
      <c r="H77" s="24">
        <f t="shared" si="34"/>
        <v>12509</v>
      </c>
      <c r="I77" s="24">
        <f t="shared" si="34"/>
        <v>10728</v>
      </c>
      <c r="J77" s="24">
        <f t="shared" si="34"/>
        <v>120909</v>
      </c>
      <c r="K77" s="24">
        <f t="shared" si="34"/>
        <v>6754</v>
      </c>
      <c r="L77" s="24">
        <f>SUM(L64,L66,L68,L70,L72,L74)</f>
        <v>26462</v>
      </c>
    </row>
    <row r="78" spans="2:12" x14ac:dyDescent="0.2">
      <c r="B78" s="14" t="s">
        <v>21</v>
      </c>
      <c r="C78" s="15">
        <v>9545</v>
      </c>
      <c r="D78" s="15">
        <v>18497</v>
      </c>
      <c r="E78" s="15">
        <v>9667</v>
      </c>
      <c r="F78" s="15">
        <v>12719</v>
      </c>
      <c r="G78" s="15">
        <v>28190</v>
      </c>
      <c r="H78" s="15">
        <v>6724</v>
      </c>
      <c r="I78" s="15">
        <v>8039</v>
      </c>
      <c r="J78" s="15">
        <v>46164</v>
      </c>
      <c r="K78" s="15">
        <v>5369</v>
      </c>
      <c r="L78" s="15">
        <v>16213</v>
      </c>
    </row>
    <row r="79" spans="2:12" x14ac:dyDescent="0.2">
      <c r="B79" s="14" t="s">
        <v>22</v>
      </c>
      <c r="C79" s="15">
        <v>5295</v>
      </c>
      <c r="D79" s="15">
        <v>18138</v>
      </c>
      <c r="E79" s="15">
        <v>4052</v>
      </c>
      <c r="F79" s="15">
        <v>5009</v>
      </c>
      <c r="G79" s="15">
        <v>16938</v>
      </c>
      <c r="H79" s="15">
        <v>4382</v>
      </c>
      <c r="I79" s="15">
        <v>2572</v>
      </c>
      <c r="J79" s="15">
        <v>40445</v>
      </c>
      <c r="K79" s="15">
        <v>2347</v>
      </c>
      <c r="L79" s="15">
        <v>6375</v>
      </c>
    </row>
    <row r="80" spans="2:12" x14ac:dyDescent="0.2">
      <c r="B80" s="14" t="s">
        <v>23</v>
      </c>
      <c r="C80" s="15">
        <v>936</v>
      </c>
      <c r="D80" s="15">
        <v>2860</v>
      </c>
      <c r="E80" s="15">
        <v>359</v>
      </c>
      <c r="F80" s="15">
        <v>1253</v>
      </c>
      <c r="G80" s="15">
        <v>1199</v>
      </c>
      <c r="H80" s="15">
        <v>1409</v>
      </c>
      <c r="I80" s="15">
        <v>553</v>
      </c>
      <c r="J80" s="15">
        <v>17720</v>
      </c>
      <c r="K80" s="15">
        <v>188</v>
      </c>
      <c r="L80" s="15">
        <v>822</v>
      </c>
    </row>
    <row r="81" spans="2:12" x14ac:dyDescent="0.2">
      <c r="B81" s="23" t="s">
        <v>24</v>
      </c>
      <c r="C81" s="22">
        <f t="shared" ref="C81:K81" si="35">SUM(C78:C80)</f>
        <v>15776</v>
      </c>
      <c r="D81" s="22">
        <f t="shared" si="35"/>
        <v>39495</v>
      </c>
      <c r="E81" s="22">
        <f t="shared" si="35"/>
        <v>14078</v>
      </c>
      <c r="F81" s="22">
        <f t="shared" si="35"/>
        <v>18981</v>
      </c>
      <c r="G81" s="22">
        <f t="shared" si="35"/>
        <v>46327</v>
      </c>
      <c r="H81" s="22">
        <f t="shared" si="35"/>
        <v>12515</v>
      </c>
      <c r="I81" s="22">
        <f t="shared" si="35"/>
        <v>11164</v>
      </c>
      <c r="J81" s="22">
        <f t="shared" si="35"/>
        <v>104329</v>
      </c>
      <c r="K81" s="22">
        <f t="shared" si="35"/>
        <v>7904</v>
      </c>
      <c r="L81" s="22">
        <f>SUM(L78:L80)</f>
        <v>23410</v>
      </c>
    </row>
    <row r="83" spans="2:12" x14ac:dyDescent="0.2">
      <c r="B83" s="37" t="s">
        <v>53</v>
      </c>
    </row>
    <row r="84" spans="2:12" x14ac:dyDescent="0.2">
      <c r="B84" s="39" t="s">
        <v>55</v>
      </c>
    </row>
    <row r="85" spans="2:12" x14ac:dyDescent="0.2">
      <c r="B85" s="39" t="s">
        <v>54</v>
      </c>
    </row>
    <row r="87" spans="2:12" ht="18.75" x14ac:dyDescent="0.3">
      <c r="B87" s="30" t="s">
        <v>56</v>
      </c>
    </row>
    <row r="89" spans="2:12" ht="15" x14ac:dyDescent="0.25">
      <c r="B89" s="43" t="s">
        <v>61</v>
      </c>
    </row>
    <row r="90" spans="2:12" x14ac:dyDescent="0.2">
      <c r="C90" s="42" t="s">
        <v>58</v>
      </c>
      <c r="D90" s="42" t="s">
        <v>57</v>
      </c>
    </row>
    <row r="91" spans="2:12" x14ac:dyDescent="0.2">
      <c r="C91" s="2" t="s">
        <v>21</v>
      </c>
      <c r="D91" s="40">
        <v>100</v>
      </c>
    </row>
    <row r="92" spans="2:12" x14ac:dyDescent="0.2">
      <c r="C92" s="2" t="s">
        <v>22</v>
      </c>
      <c r="D92" s="40">
        <v>150</v>
      </c>
    </row>
    <row r="93" spans="2:12" x14ac:dyDescent="0.2">
      <c r="C93" s="2" t="s">
        <v>23</v>
      </c>
      <c r="D93" s="40">
        <v>300</v>
      </c>
    </row>
    <row r="95" spans="2:12" x14ac:dyDescent="0.2">
      <c r="B95" s="19" t="s">
        <v>1</v>
      </c>
      <c r="C95" s="19" t="s">
        <v>3</v>
      </c>
      <c r="D95" s="19" t="s">
        <v>4</v>
      </c>
      <c r="E95" s="19" t="s">
        <v>5</v>
      </c>
      <c r="F95" s="19" t="s">
        <v>6</v>
      </c>
      <c r="G95" s="19" t="s">
        <v>7</v>
      </c>
      <c r="H95" s="19" t="s">
        <v>8</v>
      </c>
      <c r="I95" s="19" t="s">
        <v>9</v>
      </c>
      <c r="J95" s="19" t="s">
        <v>10</v>
      </c>
      <c r="K95" s="19" t="s">
        <v>11</v>
      </c>
      <c r="L95" s="19" t="s">
        <v>20</v>
      </c>
    </row>
    <row r="96" spans="2:12" x14ac:dyDescent="0.2">
      <c r="B96" s="14" t="s">
        <v>21</v>
      </c>
      <c r="C96" s="45">
        <f>C78*$D$91</f>
        <v>954500</v>
      </c>
      <c r="D96" s="45">
        <f t="shared" ref="D96:L96" si="36">D78*$D$91</f>
        <v>1849700</v>
      </c>
      <c r="E96" s="45">
        <f t="shared" si="36"/>
        <v>966700</v>
      </c>
      <c r="F96" s="45">
        <f t="shared" si="36"/>
        <v>1271900</v>
      </c>
      <c r="G96" s="45">
        <f t="shared" si="36"/>
        <v>2819000</v>
      </c>
      <c r="H96" s="45">
        <f t="shared" si="36"/>
        <v>672400</v>
      </c>
      <c r="I96" s="45">
        <f t="shared" si="36"/>
        <v>803900</v>
      </c>
      <c r="J96" s="45">
        <f t="shared" si="36"/>
        <v>4616400</v>
      </c>
      <c r="K96" s="45">
        <f t="shared" si="36"/>
        <v>536900</v>
      </c>
      <c r="L96" s="45">
        <f t="shared" si="36"/>
        <v>1621300</v>
      </c>
    </row>
    <row r="97" spans="2:14" x14ac:dyDescent="0.2">
      <c r="B97" s="14" t="s">
        <v>22</v>
      </c>
      <c r="C97" s="45">
        <f t="shared" ref="C97:L97" si="37">C79*$D$92</f>
        <v>794250</v>
      </c>
      <c r="D97" s="45">
        <f t="shared" si="37"/>
        <v>2720700</v>
      </c>
      <c r="E97" s="45">
        <f t="shared" si="37"/>
        <v>607800</v>
      </c>
      <c r="F97" s="45">
        <f t="shared" si="37"/>
        <v>751350</v>
      </c>
      <c r="G97" s="45">
        <f t="shared" si="37"/>
        <v>2540700</v>
      </c>
      <c r="H97" s="45">
        <f t="shared" si="37"/>
        <v>657300</v>
      </c>
      <c r="I97" s="45">
        <f t="shared" si="37"/>
        <v>385800</v>
      </c>
      <c r="J97" s="45">
        <f t="shared" si="37"/>
        <v>6066750</v>
      </c>
      <c r="K97" s="45">
        <f t="shared" si="37"/>
        <v>352050</v>
      </c>
      <c r="L97" s="45">
        <f t="shared" si="37"/>
        <v>956250</v>
      </c>
    </row>
    <row r="98" spans="2:14" x14ac:dyDescent="0.2">
      <c r="B98" s="14" t="s">
        <v>23</v>
      </c>
      <c r="C98" s="45">
        <f t="shared" ref="C98:L98" si="38">C80*$D$93</f>
        <v>280800</v>
      </c>
      <c r="D98" s="45">
        <f t="shared" si="38"/>
        <v>858000</v>
      </c>
      <c r="E98" s="45">
        <f t="shared" si="38"/>
        <v>107700</v>
      </c>
      <c r="F98" s="45">
        <f t="shared" si="38"/>
        <v>375900</v>
      </c>
      <c r="G98" s="45">
        <f t="shared" si="38"/>
        <v>359700</v>
      </c>
      <c r="H98" s="45">
        <f t="shared" si="38"/>
        <v>422700</v>
      </c>
      <c r="I98" s="45">
        <f t="shared" si="38"/>
        <v>165900</v>
      </c>
      <c r="J98" s="45">
        <f t="shared" si="38"/>
        <v>5316000</v>
      </c>
      <c r="K98" s="45">
        <f t="shared" si="38"/>
        <v>56400</v>
      </c>
      <c r="L98" s="45">
        <f t="shared" si="38"/>
        <v>246600</v>
      </c>
    </row>
    <row r="99" spans="2:14" x14ac:dyDescent="0.2">
      <c r="B99" s="23" t="s">
        <v>65</v>
      </c>
      <c r="C99" s="46">
        <f t="shared" ref="C99:K99" si="39">SUM(C96:C98)</f>
        <v>2029550</v>
      </c>
      <c r="D99" s="46">
        <f t="shared" si="39"/>
        <v>5428400</v>
      </c>
      <c r="E99" s="46">
        <f t="shared" si="39"/>
        <v>1682200</v>
      </c>
      <c r="F99" s="46">
        <f t="shared" si="39"/>
        <v>2399150</v>
      </c>
      <c r="G99" s="46">
        <f t="shared" si="39"/>
        <v>5719400</v>
      </c>
      <c r="H99" s="46">
        <f t="shared" si="39"/>
        <v>1752400</v>
      </c>
      <c r="I99" s="46">
        <f t="shared" si="39"/>
        <v>1355600</v>
      </c>
      <c r="J99" s="46">
        <f t="shared" si="39"/>
        <v>15999150</v>
      </c>
      <c r="K99" s="46">
        <f t="shared" si="39"/>
        <v>945350</v>
      </c>
      <c r="L99" s="46">
        <f>SUM(L96:L98)</f>
        <v>2824150</v>
      </c>
    </row>
    <row r="101" spans="2:14" x14ac:dyDescent="0.2">
      <c r="B101" s="2" t="s">
        <v>60</v>
      </c>
      <c r="D101" s="44" t="s">
        <v>64</v>
      </c>
      <c r="E101" s="2" t="s">
        <v>62</v>
      </c>
      <c r="G101" s="47">
        <f>AVERAGE(G99:K99)</f>
        <v>5154380</v>
      </c>
    </row>
    <row r="102" spans="2:14" x14ac:dyDescent="0.2">
      <c r="B102" s="2" t="s">
        <v>84</v>
      </c>
      <c r="D102" s="44" t="s">
        <v>64</v>
      </c>
      <c r="E102" s="2" t="s">
        <v>63</v>
      </c>
      <c r="G102" s="47">
        <f>AVERAGE(C99:L99)</f>
        <v>4013535</v>
      </c>
    </row>
    <row r="103" spans="2:14" ht="13.5" thickBot="1" x14ac:dyDescent="0.25"/>
    <row r="104" spans="2:14" s="100" customFormat="1" ht="15" x14ac:dyDescent="0.25"/>
    <row r="105" spans="2:14" s="29" customFormat="1" ht="15" x14ac:dyDescent="0.25">
      <c r="B105" s="87" t="s">
        <v>186</v>
      </c>
      <c r="H105" s="156"/>
    </row>
    <row r="107" spans="2:14" ht="15" x14ac:dyDescent="0.25">
      <c r="B107" s="43" t="s">
        <v>59</v>
      </c>
    </row>
    <row r="108" spans="2:14" s="49" customFormat="1" x14ac:dyDescent="0.2"/>
    <row r="109" spans="2:14" s="49" customFormat="1" x14ac:dyDescent="0.2">
      <c r="C109" s="88" t="s">
        <v>3</v>
      </c>
      <c r="D109" s="88" t="s">
        <v>4</v>
      </c>
      <c r="E109" s="88" t="s">
        <v>5</v>
      </c>
      <c r="F109" s="88" t="s">
        <v>6</v>
      </c>
      <c r="G109" s="88" t="s">
        <v>7</v>
      </c>
      <c r="H109" s="88" t="s">
        <v>8</v>
      </c>
      <c r="I109" s="88" t="s">
        <v>9</v>
      </c>
      <c r="J109" s="88" t="s">
        <v>10</v>
      </c>
      <c r="K109" s="88" t="s">
        <v>11</v>
      </c>
      <c r="L109" s="88" t="s">
        <v>20</v>
      </c>
      <c r="M109" s="97" t="s">
        <v>66</v>
      </c>
      <c r="N109" s="50"/>
    </row>
    <row r="110" spans="2:14" s="49" customFormat="1" x14ac:dyDescent="0.2">
      <c r="B110" s="49" t="s">
        <v>28</v>
      </c>
      <c r="C110" s="51">
        <f t="shared" ref="C110:L110" si="40">C99/1000</f>
        <v>2029.55</v>
      </c>
      <c r="D110" s="51">
        <f t="shared" si="40"/>
        <v>5428.4</v>
      </c>
      <c r="E110" s="51">
        <f t="shared" si="40"/>
        <v>1682.2</v>
      </c>
      <c r="F110" s="51">
        <f t="shared" si="40"/>
        <v>2399.15</v>
      </c>
      <c r="G110" s="51">
        <f t="shared" si="40"/>
        <v>5719.4</v>
      </c>
      <c r="H110" s="51">
        <f t="shared" si="40"/>
        <v>1752.4</v>
      </c>
      <c r="I110" s="51">
        <f t="shared" si="40"/>
        <v>1355.6</v>
      </c>
      <c r="J110" s="51">
        <f t="shared" si="40"/>
        <v>15999.15</v>
      </c>
      <c r="K110" s="51">
        <f t="shared" si="40"/>
        <v>945.35</v>
      </c>
      <c r="L110" s="51">
        <f t="shared" si="40"/>
        <v>2824.15</v>
      </c>
      <c r="M110" s="52">
        <f>AVERAGE(C110:L110)</f>
        <v>4013.5349999999999</v>
      </c>
      <c r="N110" s="50" t="s">
        <v>67</v>
      </c>
    </row>
    <row r="111" spans="2:14" s="49" customFormat="1" x14ac:dyDescent="0.2">
      <c r="B111" s="49" t="s">
        <v>29</v>
      </c>
      <c r="C111" s="59">
        <f t="shared" ref="C111:L111" si="41">C49</f>
        <v>385.08705068415719</v>
      </c>
      <c r="D111" s="59">
        <f t="shared" si="41"/>
        <v>370.12908526623579</v>
      </c>
      <c r="E111" s="59">
        <f t="shared" si="41"/>
        <v>306.45602859803364</v>
      </c>
      <c r="F111" s="59">
        <f t="shared" si="41"/>
        <v>177.61323035947999</v>
      </c>
      <c r="G111" s="59">
        <f t="shared" si="41"/>
        <v>415.43382757264419</v>
      </c>
      <c r="H111" s="59">
        <f t="shared" si="41"/>
        <v>119.25709300778686</v>
      </c>
      <c r="I111" s="59">
        <f t="shared" si="41"/>
        <v>74.154520496525791</v>
      </c>
      <c r="J111" s="59">
        <f t="shared" si="41"/>
        <v>413.23573719744815</v>
      </c>
      <c r="K111" s="59">
        <f t="shared" si="41"/>
        <v>80.568788388436673</v>
      </c>
      <c r="L111" s="59">
        <f t="shared" si="41"/>
        <v>40.308256210503103</v>
      </c>
      <c r="M111" s="52">
        <f>AVERAGE(C111:L111)</f>
        <v>238.22436177812514</v>
      </c>
    </row>
    <row r="112" spans="2:14" s="49" customFormat="1" x14ac:dyDescent="0.2">
      <c r="B112" s="49" t="s">
        <v>31</v>
      </c>
      <c r="C112" s="53"/>
      <c r="D112" s="53"/>
      <c r="E112" s="53"/>
      <c r="F112" s="53"/>
      <c r="G112" s="53"/>
      <c r="H112" s="53"/>
      <c r="I112" s="53"/>
      <c r="J112" s="53"/>
      <c r="K112" s="53"/>
      <c r="L112" s="53"/>
      <c r="M112" s="54"/>
      <c r="N112" s="50" t="s">
        <v>68</v>
      </c>
    </row>
    <row r="113" spans="2:14" s="49" customFormat="1" x14ac:dyDescent="0.2">
      <c r="B113" s="49" t="s">
        <v>69</v>
      </c>
      <c r="C113" s="59">
        <f t="shared" ref="C113:L113" si="42">C51</f>
        <v>17.620712164443155</v>
      </c>
      <c r="D113" s="59">
        <f t="shared" si="42"/>
        <v>22.314972907869102</v>
      </c>
      <c r="E113" s="59">
        <f t="shared" si="42"/>
        <v>26.649517155429322</v>
      </c>
      <c r="F113" s="59">
        <f t="shared" si="42"/>
        <v>24.396685226736118</v>
      </c>
      <c r="G113" s="59">
        <f t="shared" si="42"/>
        <v>37.104444727958253</v>
      </c>
      <c r="H113" s="59">
        <f t="shared" si="42"/>
        <v>55.766958843417541</v>
      </c>
      <c r="I113" s="59">
        <f t="shared" si="42"/>
        <v>77.114839298956284</v>
      </c>
      <c r="J113" s="59">
        <f t="shared" si="42"/>
        <v>68.997322601235936</v>
      </c>
      <c r="K113" s="59">
        <f t="shared" si="42"/>
        <v>88.756673387261543</v>
      </c>
      <c r="L113" s="59">
        <f t="shared" si="42"/>
        <v>75.378189110292496</v>
      </c>
      <c r="M113" s="52">
        <f t="shared" ref="M113:M114" si="43">AVERAGE(C113:L113)</f>
        <v>49.410031542359981</v>
      </c>
    </row>
    <row r="114" spans="2:14" s="49" customFormat="1" x14ac:dyDescent="0.2">
      <c r="B114" s="49" t="s">
        <v>35</v>
      </c>
      <c r="C114" s="59">
        <f t="shared" ref="C114:L114" si="44">C52</f>
        <v>30.535718106545225</v>
      </c>
      <c r="D114" s="59">
        <f t="shared" si="44"/>
        <v>91.113435106237191</v>
      </c>
      <c r="E114" s="59">
        <f t="shared" si="44"/>
        <v>60.350555592418615</v>
      </c>
      <c r="F114" s="59">
        <f t="shared" si="44"/>
        <v>126.43213487523172</v>
      </c>
      <c r="G114" s="59">
        <f t="shared" si="44"/>
        <v>87.557586416250388</v>
      </c>
      <c r="H114" s="59">
        <f t="shared" si="44"/>
        <v>380.93339310970822</v>
      </c>
      <c r="I114" s="59">
        <f t="shared" si="44"/>
        <v>280.02124513584323</v>
      </c>
      <c r="J114" s="59">
        <f t="shared" si="44"/>
        <v>426.616977991098</v>
      </c>
      <c r="K114" s="59">
        <f t="shared" si="44"/>
        <v>227.85610280729782</v>
      </c>
      <c r="L114" s="59">
        <f t="shared" si="44"/>
        <v>177.78215984479058</v>
      </c>
      <c r="M114" s="52">
        <f t="shared" si="43"/>
        <v>188.91993089854208</v>
      </c>
      <c r="N114" s="50"/>
    </row>
    <row r="115" spans="2:14" s="49" customFormat="1" x14ac:dyDescent="0.2">
      <c r="B115" s="49" t="s">
        <v>70</v>
      </c>
      <c r="C115" s="53"/>
      <c r="D115" s="53"/>
      <c r="E115" s="53"/>
      <c r="F115" s="53"/>
      <c r="G115" s="53"/>
      <c r="H115" s="53"/>
      <c r="I115" s="53"/>
      <c r="J115" s="53"/>
      <c r="K115" s="53"/>
      <c r="L115" s="53"/>
      <c r="M115" s="54"/>
      <c r="N115" s="49" t="s">
        <v>71</v>
      </c>
    </row>
    <row r="116" spans="2:14" s="49" customFormat="1" ht="13.5" thickBot="1" x14ac:dyDescent="0.25">
      <c r="B116" s="55" t="s">
        <v>72</v>
      </c>
      <c r="C116" s="56">
        <f t="shared" ref="C116:F116" si="45">SUM(C110:C115)</f>
        <v>2462.7934809551457</v>
      </c>
      <c r="D116" s="56">
        <f t="shared" si="45"/>
        <v>5911.9574932803416</v>
      </c>
      <c r="E116" s="56">
        <f t="shared" si="45"/>
        <v>2075.6561013458813</v>
      </c>
      <c r="F116" s="56">
        <f t="shared" si="45"/>
        <v>2727.5920504614483</v>
      </c>
      <c r="G116" s="56">
        <f>SUM(G110:G115)</f>
        <v>6259.4958587168521</v>
      </c>
      <c r="H116" s="56">
        <f t="shared" ref="H116:K116" si="46">SUM(H110:H115)</f>
        <v>2308.3574449609127</v>
      </c>
      <c r="I116" s="56">
        <f t="shared" si="46"/>
        <v>1786.890604931325</v>
      </c>
      <c r="J116" s="56">
        <f t="shared" si="46"/>
        <v>16908.000037789785</v>
      </c>
      <c r="K116" s="56">
        <f t="shared" si="46"/>
        <v>1342.531564582996</v>
      </c>
      <c r="L116" s="56">
        <f t="shared" ref="L116" si="47">SUM(L110:L115)</f>
        <v>3117.6186051655864</v>
      </c>
      <c r="M116" s="57">
        <f>AVERAGE(C116:L116)</f>
        <v>4490.0893242190277</v>
      </c>
    </row>
    <row r="117" spans="2:14" s="49" customFormat="1" ht="13.5" thickBot="1" x14ac:dyDescent="0.25"/>
    <row r="118" spans="2:14" s="100" customFormat="1" ht="15" x14ac:dyDescent="0.25"/>
    <row r="119" spans="2:14" s="29" customFormat="1" ht="15" x14ac:dyDescent="0.25">
      <c r="B119" s="87" t="s">
        <v>187</v>
      </c>
      <c r="H119" s="156"/>
    </row>
    <row r="120" spans="2:14" s="49" customFormat="1" x14ac:dyDescent="0.2"/>
    <row r="121" spans="2:14" s="49" customFormat="1" x14ac:dyDescent="0.2">
      <c r="B121" s="55" t="s">
        <v>182</v>
      </c>
      <c r="C121" s="169" t="s">
        <v>3</v>
      </c>
      <c r="D121" s="169" t="s">
        <v>4</v>
      </c>
      <c r="E121" s="169" t="s">
        <v>5</v>
      </c>
      <c r="F121" s="169" t="s">
        <v>6</v>
      </c>
      <c r="G121" s="169" t="s">
        <v>7</v>
      </c>
      <c r="H121" s="169" t="s">
        <v>8</v>
      </c>
      <c r="I121" s="169" t="s">
        <v>9</v>
      </c>
      <c r="J121" s="169" t="s">
        <v>10</v>
      </c>
      <c r="K121" s="169" t="s">
        <v>11</v>
      </c>
      <c r="L121" s="169" t="s">
        <v>20</v>
      </c>
      <c r="M121" s="169"/>
    </row>
    <row r="122" spans="2:14" s="49" customFormat="1" x14ac:dyDescent="0.2">
      <c r="B122" s="49" t="s">
        <v>175</v>
      </c>
      <c r="C122" s="170">
        <f>'Revised Proposal'!H14</f>
        <v>4734</v>
      </c>
      <c r="D122" s="170">
        <f>'Revised Proposal'!I14</f>
        <v>4843</v>
      </c>
      <c r="E122" s="170">
        <f>'Revised Proposal'!J14</f>
        <v>4979</v>
      </c>
      <c r="F122" s="170">
        <f>'Revised Proposal'!K14</f>
        <v>5105</v>
      </c>
      <c r="G122" s="170">
        <f>'Revised Proposal'!L14</f>
        <v>5127.5</v>
      </c>
      <c r="H122" s="170">
        <f>'Revised Proposal'!M14</f>
        <v>5113.5</v>
      </c>
      <c r="I122" s="170">
        <f>'Revised Proposal'!N14</f>
        <v>5095</v>
      </c>
      <c r="J122" s="170">
        <f>'Revised Proposal'!O14</f>
        <v>5291.5</v>
      </c>
      <c r="K122" s="170">
        <f>'Revised Proposal'!P14</f>
        <v>5177</v>
      </c>
      <c r="L122" s="170">
        <f>'Revised Proposal'!Q14</f>
        <v>5151.5</v>
      </c>
    </row>
    <row r="123" spans="2:14" s="49" customFormat="1" x14ac:dyDescent="0.2">
      <c r="B123" s="49" t="s">
        <v>176</v>
      </c>
      <c r="C123" s="170">
        <f>'Revised Proposal'!H15</f>
        <v>561308</v>
      </c>
      <c r="D123" s="170">
        <f>'Revised Proposal'!I15</f>
        <v>580030</v>
      </c>
      <c r="E123" s="170">
        <f>'Revised Proposal'!J15</f>
        <v>581698</v>
      </c>
      <c r="F123" s="170">
        <f>'Revised Proposal'!K15</f>
        <v>583772</v>
      </c>
      <c r="G123" s="170">
        <f>'Revised Proposal'!L15</f>
        <v>590259.5</v>
      </c>
      <c r="H123" s="170">
        <f>'Revised Proposal'!M15</f>
        <v>591686.5</v>
      </c>
      <c r="I123" s="170">
        <f>'Revised Proposal'!N15</f>
        <v>594736</v>
      </c>
      <c r="J123" s="170">
        <f>'Revised Proposal'!O15</f>
        <v>608163.5</v>
      </c>
      <c r="K123" s="170">
        <f>'Revised Proposal'!P15</f>
        <v>620832</v>
      </c>
      <c r="L123" s="170">
        <f>'Revised Proposal'!Q15</f>
        <v>625518</v>
      </c>
    </row>
    <row r="124" spans="2:14" s="49" customFormat="1" x14ac:dyDescent="0.2">
      <c r="B124" s="49" t="s">
        <v>177</v>
      </c>
      <c r="C124" s="170">
        <f>'Revised Proposal'!H16</f>
        <v>114756</v>
      </c>
      <c r="D124" s="170">
        <f>'Revised Proposal'!I16</f>
        <v>108111</v>
      </c>
      <c r="E124" s="170">
        <f>'Revised Proposal'!J16</f>
        <v>120434</v>
      </c>
      <c r="F124" s="170">
        <f>'Revised Proposal'!K16</f>
        <v>120820</v>
      </c>
      <c r="G124" s="170">
        <f>'Revised Proposal'!L16</f>
        <v>117740.5</v>
      </c>
      <c r="H124" s="170">
        <f>'Revised Proposal'!M16</f>
        <v>118211.5</v>
      </c>
      <c r="I124" s="170">
        <f>'Revised Proposal'!N16</f>
        <v>120275</v>
      </c>
      <c r="J124" s="170">
        <f>'Revised Proposal'!O16</f>
        <v>123893.5</v>
      </c>
      <c r="K124" s="170">
        <f>'Revised Proposal'!P16</f>
        <v>125931.5</v>
      </c>
      <c r="L124" s="170">
        <f>'Revised Proposal'!Q16</f>
        <v>134225.5</v>
      </c>
    </row>
    <row r="125" spans="2:14" s="49" customFormat="1" x14ac:dyDescent="0.2">
      <c r="B125" s="49" t="s">
        <v>178</v>
      </c>
      <c r="C125" s="170">
        <f>'Revised Proposal'!H17</f>
        <v>146166</v>
      </c>
      <c r="D125" s="170">
        <f>'Revised Proposal'!I17</f>
        <v>143071</v>
      </c>
      <c r="E125" s="170">
        <f>'Revised Proposal'!J17</f>
        <v>137042</v>
      </c>
      <c r="F125" s="170">
        <f>'Revised Proposal'!K17</f>
        <v>138069</v>
      </c>
      <c r="G125" s="170">
        <f>'Revised Proposal'!L17</f>
        <v>138639</v>
      </c>
      <c r="H125" s="170">
        <f>'Revised Proposal'!M17</f>
        <v>138927.5</v>
      </c>
      <c r="I125" s="170">
        <f>'Revised Proposal'!N17</f>
        <v>138541</v>
      </c>
      <c r="J125" s="170">
        <f>'Revised Proposal'!O17</f>
        <v>140951.5</v>
      </c>
      <c r="K125" s="170">
        <f>'Revised Proposal'!P17</f>
        <v>142455.5</v>
      </c>
      <c r="L125" s="170">
        <f>'Revised Proposal'!Q17</f>
        <v>137017.5</v>
      </c>
    </row>
    <row r="126" spans="2:14" s="49" customFormat="1" ht="13.5" thickBot="1" x14ac:dyDescent="0.25">
      <c r="C126" s="171">
        <f>SUM(C122:C125)</f>
        <v>826964</v>
      </c>
      <c r="D126" s="171">
        <f t="shared" ref="D126:L126" si="48">SUM(D122:D125)</f>
        <v>836055</v>
      </c>
      <c r="E126" s="171">
        <f t="shared" si="48"/>
        <v>844153</v>
      </c>
      <c r="F126" s="171">
        <f t="shared" si="48"/>
        <v>847766</v>
      </c>
      <c r="G126" s="171">
        <f t="shared" si="48"/>
        <v>851766.5</v>
      </c>
      <c r="H126" s="171">
        <f t="shared" si="48"/>
        <v>853939</v>
      </c>
      <c r="I126" s="171">
        <f t="shared" si="48"/>
        <v>858647</v>
      </c>
      <c r="J126" s="171">
        <f t="shared" si="48"/>
        <v>878300</v>
      </c>
      <c r="K126" s="171">
        <f t="shared" si="48"/>
        <v>894396</v>
      </c>
      <c r="L126" s="171">
        <f t="shared" si="48"/>
        <v>901912.5</v>
      </c>
    </row>
    <row r="127" spans="2:14" s="49" customFormat="1" x14ac:dyDescent="0.2"/>
    <row r="128" spans="2:14" s="49" customFormat="1" x14ac:dyDescent="0.2">
      <c r="M128" s="97" t="s">
        <v>66</v>
      </c>
    </row>
    <row r="129" spans="1:46" s="49" customFormat="1" x14ac:dyDescent="0.2">
      <c r="B129" s="55" t="s">
        <v>181</v>
      </c>
      <c r="C129" s="172">
        <f>C116</f>
        <v>2462.7934809551457</v>
      </c>
      <c r="D129" s="172">
        <f t="shared" ref="D129:L129" si="49">D116</f>
        <v>5911.9574932803416</v>
      </c>
      <c r="E129" s="172">
        <f t="shared" si="49"/>
        <v>2075.6561013458813</v>
      </c>
      <c r="F129" s="172">
        <f t="shared" si="49"/>
        <v>2727.5920504614483</v>
      </c>
      <c r="G129" s="172">
        <f t="shared" si="49"/>
        <v>6259.4958587168521</v>
      </c>
      <c r="H129" s="172">
        <f t="shared" si="49"/>
        <v>2308.3574449609127</v>
      </c>
      <c r="I129" s="172">
        <f t="shared" si="49"/>
        <v>1786.890604931325</v>
      </c>
      <c r="J129" s="172">
        <f t="shared" si="49"/>
        <v>16908.000037789785</v>
      </c>
      <c r="K129" s="172">
        <f t="shared" si="49"/>
        <v>1342.531564582996</v>
      </c>
      <c r="L129" s="172">
        <f t="shared" si="49"/>
        <v>3117.6186051655864</v>
      </c>
      <c r="M129" s="173">
        <f>AVERAGE(C129:L129)</f>
        <v>4490.0893242190277</v>
      </c>
    </row>
    <row r="130" spans="1:46" s="49" customFormat="1" x14ac:dyDescent="0.2">
      <c r="B130" s="49" t="s">
        <v>183</v>
      </c>
      <c r="C130" s="59">
        <f>C129*$L$126/C126</f>
        <v>2685.9986957013339</v>
      </c>
      <c r="D130" s="59">
        <f t="shared" ref="D130:L130" si="50">D129*$L$126/D126</f>
        <v>6377.6526217272858</v>
      </c>
      <c r="E130" s="59">
        <f t="shared" si="50"/>
        <v>2217.678766177597</v>
      </c>
      <c r="F130" s="59">
        <f t="shared" si="50"/>
        <v>2901.8023431133252</v>
      </c>
      <c r="G130" s="59">
        <f t="shared" si="50"/>
        <v>6628.0107971785264</v>
      </c>
      <c r="H130" s="59">
        <f t="shared" si="50"/>
        <v>2438.0388225368665</v>
      </c>
      <c r="I130" s="59">
        <f t="shared" si="50"/>
        <v>1876.9284382524179</v>
      </c>
      <c r="J130" s="59">
        <f t="shared" si="50"/>
        <v>17362.560154939179</v>
      </c>
      <c r="K130" s="59">
        <f t="shared" si="50"/>
        <v>1353.8141938715753</v>
      </c>
      <c r="L130" s="59">
        <f t="shared" si="50"/>
        <v>3117.6186051655859</v>
      </c>
      <c r="M130" s="52">
        <f t="shared" ref="M130:M131" si="51">AVERAGE(C130:L130)</f>
        <v>4696.0103438663691</v>
      </c>
    </row>
    <row r="131" spans="1:46" s="49" customFormat="1" x14ac:dyDescent="0.2">
      <c r="B131" s="49" t="s">
        <v>184</v>
      </c>
      <c r="C131" s="59">
        <f>C129*SUM($L$124:$L$125)/SUM(C124:C125)</f>
        <v>2560.2114507581446</v>
      </c>
      <c r="D131" s="59">
        <f t="shared" ref="D131:L131" si="52">D129*SUM($L$124:$L$125)/SUM(D124:D125)</f>
        <v>6384.1242061526691</v>
      </c>
      <c r="E131" s="59">
        <f t="shared" si="52"/>
        <v>2186.639484446554</v>
      </c>
      <c r="F131" s="59">
        <f t="shared" si="52"/>
        <v>2857.7508142227539</v>
      </c>
      <c r="G131" s="59">
        <f t="shared" si="52"/>
        <v>6622.3876527020893</v>
      </c>
      <c r="H131" s="59">
        <f t="shared" si="52"/>
        <v>2434.9701851665163</v>
      </c>
      <c r="I131" s="59">
        <f t="shared" si="52"/>
        <v>1872.6878104653013</v>
      </c>
      <c r="J131" s="59">
        <f t="shared" si="52"/>
        <v>17316.455490004399</v>
      </c>
      <c r="K131" s="59">
        <f t="shared" si="52"/>
        <v>1356.8179128355159</v>
      </c>
      <c r="L131" s="59">
        <f t="shared" si="52"/>
        <v>3117.6186051655864</v>
      </c>
      <c r="M131" s="52">
        <f t="shared" si="51"/>
        <v>4670.9663611919532</v>
      </c>
    </row>
    <row r="132" spans="1:46" s="49" customFormat="1" x14ac:dyDescent="0.2"/>
    <row r="133" spans="1:46" s="49" customFormat="1" x14ac:dyDescent="0.2"/>
    <row r="134" spans="1:46" s="49" customFormat="1" x14ac:dyDescent="0.2"/>
    <row r="135" spans="1:46" s="63" customFormat="1" ht="15.75" x14ac:dyDescent="0.25">
      <c r="A135" s="60"/>
      <c r="B135" s="61" t="s">
        <v>144</v>
      </c>
      <c r="C135" s="62"/>
      <c r="D135" s="62"/>
      <c r="E135" s="62"/>
      <c r="F135" s="62"/>
      <c r="G135" s="62"/>
      <c r="H135" s="62"/>
      <c r="I135" s="62"/>
      <c r="J135" s="62"/>
      <c r="K135" s="62"/>
      <c r="L135" s="62"/>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row>
    <row r="136" spans="1:46" customFormat="1" ht="15" x14ac:dyDescent="0.25"/>
    <row r="137" spans="1:46" s="49" customFormat="1" x14ac:dyDescent="0.2">
      <c r="B137" s="58" t="s">
        <v>149</v>
      </c>
      <c r="C137" s="157">
        <f>L43</f>
        <v>5039.7920239021014</v>
      </c>
    </row>
    <row r="138" spans="1:46" s="49" customFormat="1" x14ac:dyDescent="0.2">
      <c r="B138" s="55" t="s">
        <v>145</v>
      </c>
      <c r="C138" s="157">
        <f>M131</f>
        <v>4670.9663611919532</v>
      </c>
    </row>
    <row r="139" spans="1:46" s="49" customFormat="1" ht="13.5" thickBot="1" x14ac:dyDescent="0.25">
      <c r="B139" s="58" t="s">
        <v>73</v>
      </c>
      <c r="C139" s="158">
        <f>C138-C137</f>
        <v>-368.82566271014821</v>
      </c>
      <c r="D139" s="59"/>
    </row>
    <row r="140" spans="1:46" s="49" customFormat="1" x14ac:dyDescent="0.2">
      <c r="D140" s="59"/>
    </row>
    <row r="141" spans="1:46" s="29" customFormat="1" ht="15" x14ac:dyDescent="0.25">
      <c r="B141" s="95" t="s">
        <v>94</v>
      </c>
      <c r="C141" s="96">
        <f>'CPI Escalations'!R12</f>
        <v>1.0274048672566372</v>
      </c>
      <c r="D141" s="59"/>
    </row>
    <row r="142" spans="1:46" s="29" customFormat="1" ht="15" x14ac:dyDescent="0.25">
      <c r="B142" s="87"/>
      <c r="D142" s="59"/>
    </row>
    <row r="143" spans="1:46" x14ac:dyDescent="0.2">
      <c r="B143" s="101" t="s">
        <v>147</v>
      </c>
      <c r="C143" s="102">
        <f>C139/C141</f>
        <v>-358.98765371336191</v>
      </c>
      <c r="D143" s="59"/>
    </row>
    <row r="144" spans="1:46" customFormat="1" ht="15" x14ac:dyDescent="0.25"/>
    <row r="145" customFormat="1" ht="15" x14ac:dyDescent="0.25"/>
    <row r="146" customFormat="1" ht="15" x14ac:dyDescent="0.25"/>
    <row r="147" customFormat="1" ht="15"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135B-9B1F-4315-B131-12C095C5B625}">
  <dimension ref="A1:AM26"/>
  <sheetViews>
    <sheetView showGridLines="0" zoomScale="90" zoomScaleNormal="90" workbookViewId="0">
      <selection activeCell="U29" sqref="U29"/>
    </sheetView>
  </sheetViews>
  <sheetFormatPr defaultRowHeight="15" x14ac:dyDescent="0.25"/>
  <cols>
    <col min="2" max="2" width="51.28515625" customWidth="1"/>
    <col min="3" max="3" width="11.42578125" customWidth="1"/>
    <col min="4" max="17" width="10.140625" customWidth="1"/>
    <col min="20" max="20" width="15.85546875" bestFit="1" customWidth="1"/>
    <col min="21" max="23" width="17.140625" customWidth="1"/>
  </cols>
  <sheetData>
    <row r="1" spans="1:39" ht="22.5" customHeight="1" x14ac:dyDescent="0.25">
      <c r="A1" s="26" t="s">
        <v>150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3" spans="1:39" s="138" customFormat="1" ht="45" x14ac:dyDescent="0.25">
      <c r="D3" s="162" t="s">
        <v>102</v>
      </c>
      <c r="E3" s="162" t="s">
        <v>103</v>
      </c>
      <c r="F3" s="162" t="s">
        <v>104</v>
      </c>
      <c r="G3" s="162" t="s">
        <v>2</v>
      </c>
      <c r="H3" s="162" t="s">
        <v>3</v>
      </c>
      <c r="I3" s="162" t="s">
        <v>4</v>
      </c>
      <c r="J3" s="162" t="s">
        <v>5</v>
      </c>
      <c r="K3" s="162" t="s">
        <v>6</v>
      </c>
      <c r="L3" s="162" t="s">
        <v>7</v>
      </c>
      <c r="M3" s="162" t="s">
        <v>8</v>
      </c>
      <c r="N3" s="162" t="s">
        <v>9</v>
      </c>
      <c r="O3" s="162" t="s">
        <v>10</v>
      </c>
      <c r="P3" s="162" t="s">
        <v>11</v>
      </c>
      <c r="Q3" s="162" t="s">
        <v>20</v>
      </c>
      <c r="T3" s="164" t="s">
        <v>158</v>
      </c>
      <c r="U3" s="161" t="s">
        <v>151</v>
      </c>
      <c r="V3" s="161" t="s">
        <v>153</v>
      </c>
      <c r="W3" s="161" t="s">
        <v>154</v>
      </c>
    </row>
    <row r="4" spans="1:39" x14ac:dyDescent="0.25">
      <c r="A4" t="s">
        <v>164</v>
      </c>
      <c r="B4" t="s">
        <v>160</v>
      </c>
      <c r="C4" t="s">
        <v>161</v>
      </c>
      <c r="D4" s="159">
        <f>'ESCOSA Data'!C84/1000</f>
        <v>1940.7</v>
      </c>
      <c r="E4" s="159">
        <f>'ESCOSA Data'!D84/1000</f>
        <v>767.13</v>
      </c>
      <c r="F4" s="159">
        <f>'ESCOSA Data'!E84/1000</f>
        <v>505.96</v>
      </c>
      <c r="G4" s="159">
        <f>'ESCOSA Data'!F84/1000</f>
        <v>559.35</v>
      </c>
      <c r="H4" s="159">
        <f>'ESCOSA Data'!G84/1000</f>
        <v>1571.63</v>
      </c>
      <c r="I4" s="159">
        <f>'ESCOSA Data'!H84/1000</f>
        <v>7062.92</v>
      </c>
      <c r="J4" s="159">
        <f>'ESCOSA Data'!I84/1000</f>
        <v>2613.5100000000002</v>
      </c>
      <c r="K4" s="159">
        <f>'ESCOSA Data'!J84/1000</f>
        <v>3286.85</v>
      </c>
      <c r="L4" s="159">
        <f>'ESCOSA Data'!K84/1000</f>
        <v>9315.39</v>
      </c>
      <c r="M4" s="159">
        <f>'ESCOSA Data'!L84/1000</f>
        <v>2746.45</v>
      </c>
      <c r="N4" s="159">
        <f>'ESCOSA Data'!M84/1000</f>
        <v>2497.8510000000001</v>
      </c>
      <c r="O4" s="159">
        <f>'ESCOSA Data'!N84/1000</f>
        <v>28436.105</v>
      </c>
      <c r="P4" s="159">
        <f>'ESCOSA Data'!O84/1000</f>
        <v>1345.2</v>
      </c>
      <c r="Q4" s="159">
        <f>'ESCOSA Data'!P84/1000</f>
        <v>4319.83</v>
      </c>
      <c r="T4" t="s">
        <v>152</v>
      </c>
      <c r="U4" s="159">
        <f>AVERAGE('Step Change - 10 Years'!G43:K43)</f>
        <v>9634.8630276149106</v>
      </c>
      <c r="V4" s="159">
        <f>U4</f>
        <v>9634.8630276149106</v>
      </c>
      <c r="W4" s="159">
        <f>'Step Change - 10 Years'!L43</f>
        <v>5039.7920239021014</v>
      </c>
    </row>
    <row r="5" spans="1:39" x14ac:dyDescent="0.25">
      <c r="A5" t="s">
        <v>164</v>
      </c>
      <c r="B5" t="s">
        <v>162</v>
      </c>
      <c r="C5" t="s">
        <v>163</v>
      </c>
      <c r="D5" s="159">
        <f>D4*'CPI Escalations'!E12</f>
        <v>2720.8921346027541</v>
      </c>
      <c r="E5" s="159">
        <f>E4*'CPI Escalations'!F12</f>
        <v>1044.3741956401209</v>
      </c>
      <c r="F5" s="159">
        <f>F4*'CPI Escalations'!G12</f>
        <v>672.43689004458543</v>
      </c>
      <c r="G5" s="159">
        <f>G4*'CPI Escalations'!H12</f>
        <v>713.14482032454157</v>
      </c>
      <c r="H5" s="159">
        <f>H4*'CPI Escalations'!I12</f>
        <v>1955.5288632939416</v>
      </c>
      <c r="I5" s="159">
        <f>I4*'CPI Escalations'!J12</f>
        <v>8541.4797657291656</v>
      </c>
      <c r="J5" s="159">
        <f>J4*'CPI Escalations'!K12</f>
        <v>3058.6695271421377</v>
      </c>
      <c r="K5" s="159">
        <f>K4*'CPI Escalations'!L12</f>
        <v>3800.7231348356572</v>
      </c>
      <c r="L5" s="159">
        <f>L4*'CPI Escalations'!M12</f>
        <v>10520.296731347275</v>
      </c>
      <c r="M5" s="159">
        <f>M4*'CPI Escalations'!N12</f>
        <v>3010.89630819169</v>
      </c>
      <c r="N5" s="159">
        <f>N4*'CPI Escalations'!O12</f>
        <v>2697.6035635744188</v>
      </c>
      <c r="O5" s="159">
        <f>O4*'CPI Escalations'!P12</f>
        <v>30399.073417668049</v>
      </c>
      <c r="P5" s="159">
        <f>P4*'CPI Escalations'!Q12</f>
        <v>1410.7800189701895</v>
      </c>
      <c r="Q5" s="159">
        <f>Q4*'CPI Escalations'!R12</f>
        <v>4438.2143677212389</v>
      </c>
      <c r="T5" t="s">
        <v>155</v>
      </c>
      <c r="U5" s="159">
        <v>-3977.6966989858984</v>
      </c>
      <c r="V5" s="159">
        <v>-4600</v>
      </c>
      <c r="W5" s="159">
        <f>AVERAGE('Step Change - 10 Years'!C139)</f>
        <v>-368.82566271014821</v>
      </c>
    </row>
    <row r="6" spans="1:39" ht="15.75" thickBot="1" x14ac:dyDescent="0.3">
      <c r="T6" t="s">
        <v>156</v>
      </c>
      <c r="U6" s="160">
        <f>AVERAGE('Step Change - 10 Years'!G116:K116)</f>
        <v>5721.0551021963738</v>
      </c>
      <c r="V6" s="160">
        <f>AVERAGE('Step Change - 10 Years'!H116:L116)</f>
        <v>5092.6796514861207</v>
      </c>
      <c r="W6" s="160">
        <f>SUM(W4:W5)</f>
        <v>4670.9663611919532</v>
      </c>
    </row>
    <row r="7" spans="1:39" x14ac:dyDescent="0.25">
      <c r="A7" t="s">
        <v>165</v>
      </c>
      <c r="B7" t="s">
        <v>160</v>
      </c>
      <c r="C7" t="s">
        <v>161</v>
      </c>
      <c r="D7" s="159">
        <v>2026.2840000000001</v>
      </c>
      <c r="E7" s="159">
        <v>493.25700000000001</v>
      </c>
      <c r="F7" s="159">
        <v>845.86800000000005</v>
      </c>
      <c r="G7" s="159">
        <v>543.59500000000003</v>
      </c>
      <c r="H7" s="159">
        <f>'Step Change - 10 Years'!C9</f>
        <v>1297.7639999999999</v>
      </c>
      <c r="I7" s="159">
        <f>'Step Change - 10 Years'!D9</f>
        <v>7052.2849999999999</v>
      </c>
      <c r="J7" s="159">
        <f>'Step Change - 10 Years'!E9</f>
        <v>2996.58</v>
      </c>
      <c r="K7" s="159">
        <f>'Step Change - 10 Years'!F9</f>
        <v>4762.8069999999998</v>
      </c>
      <c r="L7" s="159">
        <f>'Step Change - 10 Years'!G9</f>
        <v>9923.9750000000004</v>
      </c>
      <c r="M7" s="159">
        <f>'Step Change - 10 Years'!H9</f>
        <v>3713.6909999999998</v>
      </c>
      <c r="N7" s="159">
        <f>'Step Change - 10 Years'!I9</f>
        <v>3389.55</v>
      </c>
      <c r="O7" s="159">
        <f>'Step Change - 10 Years'!J9</f>
        <v>25515.380570000001</v>
      </c>
      <c r="P7" s="159">
        <f>'Step Change - 10 Years'!K9</f>
        <v>1867.0830000000001</v>
      </c>
      <c r="Q7" s="159">
        <f>'Step Change - 10 Years'!L9</f>
        <v>4905.3612499999999</v>
      </c>
    </row>
    <row r="8" spans="1:39" x14ac:dyDescent="0.25">
      <c r="A8" t="s">
        <v>165</v>
      </c>
      <c r="B8" t="s">
        <v>160</v>
      </c>
      <c r="C8" t="s">
        <v>163</v>
      </c>
      <c r="D8" s="159">
        <f>D7*'CPI Escalations'!E12</f>
        <v>2840.8822579849575</v>
      </c>
      <c r="E8" s="159">
        <f>E7*'CPI Escalations'!F12</f>
        <v>671.52227473682319</v>
      </c>
      <c r="F8" s="159">
        <f>F7*'CPI Escalations'!G12</f>
        <v>1124.1854045937098</v>
      </c>
      <c r="G8" s="159">
        <f>G7*'CPI Escalations'!H12</f>
        <v>693.05793975921904</v>
      </c>
      <c r="H8" s="159">
        <f>H7*'CPI Escalations'!I12</f>
        <v>1614.766172536665</v>
      </c>
      <c r="I8" s="159">
        <f>I7*'CPI Escalations'!J12</f>
        <v>8528.6184226432288</v>
      </c>
      <c r="J8" s="159">
        <f>J7*'CPI Escalations'!K12</f>
        <v>3506.9878943044355</v>
      </c>
      <c r="K8" s="159">
        <f>K7*'CPI Escalations'!L12</f>
        <v>5507.4343981797811</v>
      </c>
      <c r="L8" s="159">
        <f>L7*'CPI Escalations'!M12</f>
        <v>11207.599655459631</v>
      </c>
      <c r="M8" s="159">
        <f>M7*'CPI Escalations'!N12</f>
        <v>4071.2696468767704</v>
      </c>
      <c r="N8" s="159">
        <f>N7*'CPI Escalations'!O12</f>
        <v>3660.6115252325585</v>
      </c>
      <c r="O8" s="159">
        <f>O7*'CPI Escalations'!P12</f>
        <v>27276.728905986631</v>
      </c>
      <c r="P8" s="159">
        <f>P7*'CPI Escalations'!Q12</f>
        <v>1958.1054045189701</v>
      </c>
      <c r="Q8" s="159">
        <f>Q7*'CPI Escalations'!R12</f>
        <v>5039.7920239021014</v>
      </c>
      <c r="T8" s="164" t="s">
        <v>157</v>
      </c>
    </row>
    <row r="9" spans="1:39" x14ac:dyDescent="0.25">
      <c r="D9" s="159"/>
      <c r="E9" s="159"/>
      <c r="F9" s="159"/>
      <c r="G9" s="159"/>
      <c r="H9" s="159"/>
      <c r="I9" s="159"/>
      <c r="J9" s="159"/>
      <c r="K9" s="159"/>
      <c r="L9" s="159"/>
      <c r="M9" s="159"/>
      <c r="N9" s="159"/>
      <c r="O9" s="159"/>
      <c r="P9" s="159"/>
      <c r="Q9" s="159"/>
      <c r="T9" t="s">
        <v>152</v>
      </c>
      <c r="U9" s="159">
        <f t="shared" ref="U9:W10" si="0">U4*5</f>
        <v>48174.315138074555</v>
      </c>
      <c r="V9" s="159">
        <f t="shared" si="0"/>
        <v>48174.315138074555</v>
      </c>
      <c r="W9" s="159">
        <f t="shared" si="0"/>
        <v>25198.960119510506</v>
      </c>
    </row>
    <row r="10" spans="1:39" x14ac:dyDescent="0.25">
      <c r="B10" t="s">
        <v>170</v>
      </c>
      <c r="C10" t="s">
        <v>169</v>
      </c>
      <c r="D10" s="163">
        <v>2</v>
      </c>
      <c r="E10" s="163">
        <v>0</v>
      </c>
      <c r="F10" s="163">
        <v>1</v>
      </c>
      <c r="G10" s="163">
        <v>3</v>
      </c>
      <c r="H10" s="163">
        <v>2</v>
      </c>
      <c r="I10" s="163">
        <v>5</v>
      </c>
      <c r="J10" s="163">
        <v>2</v>
      </c>
      <c r="K10" s="163">
        <v>5</v>
      </c>
      <c r="L10" s="163">
        <v>7</v>
      </c>
      <c r="M10" s="163">
        <v>3</v>
      </c>
      <c r="N10" s="163">
        <v>1</v>
      </c>
      <c r="O10" s="163">
        <v>9</v>
      </c>
      <c r="P10" s="163">
        <v>0</v>
      </c>
      <c r="Q10" s="163">
        <v>4</v>
      </c>
      <c r="T10" t="s">
        <v>155</v>
      </c>
      <c r="U10" s="159">
        <f t="shared" si="0"/>
        <v>-19888.483494929493</v>
      </c>
      <c r="V10" s="159">
        <f t="shared" si="0"/>
        <v>-23000</v>
      </c>
      <c r="W10" s="159">
        <f t="shared" si="0"/>
        <v>-1844.128313550741</v>
      </c>
    </row>
    <row r="11" spans="1:39" ht="15.75" thickBot="1" x14ac:dyDescent="0.3">
      <c r="B11" t="s">
        <v>173</v>
      </c>
      <c r="C11" t="s">
        <v>169</v>
      </c>
      <c r="D11">
        <v>15.6</v>
      </c>
      <c r="E11">
        <v>0</v>
      </c>
      <c r="F11">
        <v>6.7</v>
      </c>
      <c r="G11">
        <v>27.5</v>
      </c>
      <c r="H11">
        <v>18.8</v>
      </c>
      <c r="I11">
        <v>138.5</v>
      </c>
      <c r="J11">
        <v>23</v>
      </c>
      <c r="K11">
        <v>57.9</v>
      </c>
      <c r="L11">
        <v>113.4</v>
      </c>
      <c r="M11">
        <v>28.2</v>
      </c>
      <c r="N11">
        <v>8.6999999999999993</v>
      </c>
      <c r="O11">
        <v>329.4</v>
      </c>
      <c r="P11">
        <v>0</v>
      </c>
      <c r="Q11">
        <v>49.6</v>
      </c>
      <c r="T11" t="s">
        <v>159</v>
      </c>
      <c r="U11" s="160">
        <f>SUM(U9:U10)</f>
        <v>28285.831643145062</v>
      </c>
      <c r="V11" s="160">
        <f>SUM(V9:V10)</f>
        <v>25174.315138074555</v>
      </c>
      <c r="W11" s="160">
        <f>SUM(W9:W10)</f>
        <v>23354.831805959766</v>
      </c>
    </row>
    <row r="12" spans="1:39" x14ac:dyDescent="0.25">
      <c r="U12" s="165"/>
      <c r="V12" s="165"/>
      <c r="W12" s="165"/>
    </row>
    <row r="13" spans="1:39" x14ac:dyDescent="0.25">
      <c r="B13" t="s">
        <v>174</v>
      </c>
      <c r="U13" s="165"/>
      <c r="V13" s="165"/>
      <c r="W13" s="165"/>
    </row>
    <row r="14" spans="1:39" x14ac:dyDescent="0.25">
      <c r="A14" t="s">
        <v>165</v>
      </c>
      <c r="B14" t="s">
        <v>175</v>
      </c>
      <c r="C14" t="s">
        <v>169</v>
      </c>
      <c r="D14" s="167">
        <v>3475</v>
      </c>
      <c r="E14" s="167">
        <v>3478</v>
      </c>
      <c r="F14" s="167">
        <v>4323</v>
      </c>
      <c r="G14" s="167">
        <v>4519</v>
      </c>
      <c r="H14" s="167">
        <v>4734</v>
      </c>
      <c r="I14" s="167">
        <v>4843</v>
      </c>
      <c r="J14" s="167">
        <v>4979</v>
      </c>
      <c r="K14" s="167">
        <v>5105</v>
      </c>
      <c r="L14" s="167">
        <v>5127.5</v>
      </c>
      <c r="M14" s="167">
        <v>5113.5</v>
      </c>
      <c r="N14" s="167">
        <v>5095</v>
      </c>
      <c r="O14" s="167">
        <v>5291.5</v>
      </c>
      <c r="P14" s="167">
        <v>5177</v>
      </c>
      <c r="Q14" s="167">
        <v>5151.5</v>
      </c>
      <c r="U14" s="165"/>
      <c r="V14" s="165"/>
      <c r="W14" s="165"/>
    </row>
    <row r="15" spans="1:39" x14ac:dyDescent="0.25">
      <c r="A15" t="s">
        <v>165</v>
      </c>
      <c r="B15" t="s">
        <v>176</v>
      </c>
      <c r="C15" t="s">
        <v>169</v>
      </c>
      <c r="D15" s="167">
        <v>534705</v>
      </c>
      <c r="E15" s="167">
        <v>535108</v>
      </c>
      <c r="F15" s="167">
        <v>544497</v>
      </c>
      <c r="G15" s="167">
        <v>555238</v>
      </c>
      <c r="H15" s="167">
        <v>561308</v>
      </c>
      <c r="I15" s="167">
        <v>580030</v>
      </c>
      <c r="J15" s="167">
        <v>581698</v>
      </c>
      <c r="K15" s="167">
        <v>583772</v>
      </c>
      <c r="L15" s="167">
        <v>590259.5</v>
      </c>
      <c r="M15" s="167">
        <v>591686.5</v>
      </c>
      <c r="N15" s="167">
        <v>594736</v>
      </c>
      <c r="O15" s="167">
        <v>608163.5</v>
      </c>
      <c r="P15" s="167">
        <v>620832</v>
      </c>
      <c r="Q15" s="167">
        <v>625518</v>
      </c>
      <c r="U15" s="165"/>
      <c r="V15" s="165"/>
      <c r="W15" s="165"/>
    </row>
    <row r="16" spans="1:39" x14ac:dyDescent="0.25">
      <c r="A16" t="s">
        <v>165</v>
      </c>
      <c r="B16" t="s">
        <v>177</v>
      </c>
      <c r="C16" t="s">
        <v>169</v>
      </c>
      <c r="D16" s="167">
        <v>104471</v>
      </c>
      <c r="E16" s="167">
        <v>104550</v>
      </c>
      <c r="F16" s="167">
        <v>101838</v>
      </c>
      <c r="G16" s="167">
        <v>112303</v>
      </c>
      <c r="H16" s="167">
        <v>114756</v>
      </c>
      <c r="I16" s="167">
        <v>108111</v>
      </c>
      <c r="J16" s="167">
        <v>120434</v>
      </c>
      <c r="K16" s="167">
        <v>120820</v>
      </c>
      <c r="L16" s="167">
        <v>117740.5</v>
      </c>
      <c r="M16" s="167">
        <v>118211.5</v>
      </c>
      <c r="N16" s="167">
        <v>120275</v>
      </c>
      <c r="O16" s="167">
        <v>123893.5</v>
      </c>
      <c r="P16" s="167">
        <v>125931.5</v>
      </c>
      <c r="Q16" s="167">
        <v>134225.5</v>
      </c>
      <c r="U16" s="165"/>
      <c r="V16" s="165"/>
      <c r="W16" s="165"/>
    </row>
    <row r="17" spans="1:23" x14ac:dyDescent="0.25">
      <c r="A17" t="s">
        <v>165</v>
      </c>
      <c r="B17" t="s">
        <v>178</v>
      </c>
      <c r="C17" t="s">
        <v>169</v>
      </c>
      <c r="D17" s="167">
        <v>136188</v>
      </c>
      <c r="E17" s="167">
        <v>136290</v>
      </c>
      <c r="F17" s="167">
        <v>130452</v>
      </c>
      <c r="G17" s="167">
        <v>142407</v>
      </c>
      <c r="H17" s="167">
        <v>146166</v>
      </c>
      <c r="I17" s="167">
        <v>143071</v>
      </c>
      <c r="J17" s="167">
        <v>137042</v>
      </c>
      <c r="K17" s="167">
        <v>138069</v>
      </c>
      <c r="L17" s="167">
        <v>138639</v>
      </c>
      <c r="M17" s="167">
        <v>138927.5</v>
      </c>
      <c r="N17" s="167">
        <v>138541</v>
      </c>
      <c r="O17" s="167">
        <v>140951.5</v>
      </c>
      <c r="P17" s="167">
        <v>142455.5</v>
      </c>
      <c r="Q17" s="167">
        <v>137017.5</v>
      </c>
      <c r="U17" s="165"/>
      <c r="V17" s="165"/>
      <c r="W17" s="165"/>
    </row>
    <row r="18" spans="1:23" ht="15.75" thickBot="1" x14ac:dyDescent="0.3">
      <c r="C18" t="s">
        <v>179</v>
      </c>
      <c r="D18" s="168">
        <f>SUM(D14:D17)</f>
        <v>778839</v>
      </c>
      <c r="E18" s="168">
        <f t="shared" ref="E18:Q18" si="1">SUM(E14:E17)</f>
        <v>779426</v>
      </c>
      <c r="F18" s="168">
        <f t="shared" si="1"/>
        <v>781110</v>
      </c>
      <c r="G18" s="168">
        <f t="shared" si="1"/>
        <v>814467</v>
      </c>
      <c r="H18" s="168">
        <f t="shared" si="1"/>
        <v>826964</v>
      </c>
      <c r="I18" s="168">
        <f t="shared" si="1"/>
        <v>836055</v>
      </c>
      <c r="J18" s="168">
        <f t="shared" si="1"/>
        <v>844153</v>
      </c>
      <c r="K18" s="168">
        <f t="shared" si="1"/>
        <v>847766</v>
      </c>
      <c r="L18" s="168">
        <f t="shared" si="1"/>
        <v>851766.5</v>
      </c>
      <c r="M18" s="168">
        <f t="shared" si="1"/>
        <v>853939</v>
      </c>
      <c r="N18" s="168">
        <f t="shared" si="1"/>
        <v>858647</v>
      </c>
      <c r="O18" s="168">
        <f t="shared" si="1"/>
        <v>878300</v>
      </c>
      <c r="P18" s="168">
        <f t="shared" si="1"/>
        <v>894396</v>
      </c>
      <c r="Q18" s="168">
        <f t="shared" si="1"/>
        <v>901912.5</v>
      </c>
      <c r="U18" s="165"/>
      <c r="V18" s="165"/>
      <c r="W18" s="165"/>
    </row>
    <row r="19" spans="1:23" x14ac:dyDescent="0.25">
      <c r="U19" s="165"/>
      <c r="V19" s="165"/>
      <c r="W19" s="165"/>
    </row>
    <row r="20" spans="1:23" x14ac:dyDescent="0.25">
      <c r="A20" t="s">
        <v>168</v>
      </c>
      <c r="B20" t="s">
        <v>190</v>
      </c>
      <c r="C20" t="s">
        <v>163</v>
      </c>
      <c r="G20" s="159"/>
      <c r="H20" s="159">
        <f>'Step Change - 10 Years'!C131</f>
        <v>2560.2114507581446</v>
      </c>
      <c r="I20" s="159">
        <f>'Step Change - 10 Years'!D131</f>
        <v>6384.1242061526691</v>
      </c>
      <c r="J20" s="159">
        <f>'Step Change - 10 Years'!E131</f>
        <v>2186.639484446554</v>
      </c>
      <c r="K20" s="159">
        <f>'Step Change - 10 Years'!F131</f>
        <v>2857.7508142227539</v>
      </c>
      <c r="L20" s="159">
        <f>'Step Change - 10 Years'!G131</f>
        <v>6622.3876527020893</v>
      </c>
      <c r="M20" s="159">
        <f>'Step Change - 10 Years'!H131</f>
        <v>2434.9701851665163</v>
      </c>
      <c r="N20" s="159">
        <f>'Step Change - 10 Years'!I131</f>
        <v>1872.6878104653013</v>
      </c>
      <c r="O20" s="159">
        <f>'Step Change - 10 Years'!J131</f>
        <v>17316.455490004399</v>
      </c>
      <c r="P20" s="159">
        <f>'Step Change - 10 Years'!K131</f>
        <v>1356.8179128355159</v>
      </c>
      <c r="Q20" s="159">
        <f>'Step Change - 10 Years'!L131</f>
        <v>3117.6186051655864</v>
      </c>
    </row>
    <row r="23" spans="1:23" x14ac:dyDescent="0.25">
      <c r="B23" t="s">
        <v>166</v>
      </c>
      <c r="H23" s="33">
        <f>$Q$8</f>
        <v>5039.7920239021014</v>
      </c>
      <c r="I23" s="33">
        <f t="shared" ref="I23:Q23" si="2">$Q$8</f>
        <v>5039.7920239021014</v>
      </c>
      <c r="J23" s="33">
        <f t="shared" si="2"/>
        <v>5039.7920239021014</v>
      </c>
      <c r="K23" s="33">
        <f t="shared" si="2"/>
        <v>5039.7920239021014</v>
      </c>
      <c r="L23" s="33">
        <f t="shared" si="2"/>
        <v>5039.7920239021014</v>
      </c>
      <c r="M23" s="33">
        <f t="shared" si="2"/>
        <v>5039.7920239021014</v>
      </c>
      <c r="N23" s="33">
        <f t="shared" si="2"/>
        <v>5039.7920239021014</v>
      </c>
      <c r="O23" s="33">
        <f t="shared" si="2"/>
        <v>5039.7920239021014</v>
      </c>
      <c r="P23" s="33">
        <f t="shared" si="2"/>
        <v>5039.7920239021014</v>
      </c>
      <c r="Q23" s="33">
        <f t="shared" si="2"/>
        <v>5039.7920239021014</v>
      </c>
    </row>
    <row r="24" spans="1:23" x14ac:dyDescent="0.25">
      <c r="B24" t="s">
        <v>167</v>
      </c>
      <c r="H24" s="33">
        <f>AVERAGE($H$20:$Q$20)</f>
        <v>4670.9663611919532</v>
      </c>
      <c r="I24" s="33">
        <f t="shared" ref="I24:Q24" si="3">AVERAGE($H$20:$Q$20)</f>
        <v>4670.9663611919532</v>
      </c>
      <c r="J24" s="33">
        <f t="shared" si="3"/>
        <v>4670.9663611919532</v>
      </c>
      <c r="K24" s="33">
        <f t="shared" si="3"/>
        <v>4670.9663611919532</v>
      </c>
      <c r="L24" s="33">
        <f t="shared" si="3"/>
        <v>4670.9663611919532</v>
      </c>
      <c r="M24" s="33">
        <f t="shared" si="3"/>
        <v>4670.9663611919532</v>
      </c>
      <c r="N24" s="33">
        <f t="shared" si="3"/>
        <v>4670.9663611919532</v>
      </c>
      <c r="O24" s="33">
        <f t="shared" si="3"/>
        <v>4670.9663611919532</v>
      </c>
      <c r="P24" s="33">
        <f t="shared" si="3"/>
        <v>4670.9663611919532</v>
      </c>
      <c r="Q24" s="33">
        <f t="shared" si="3"/>
        <v>4670.9663611919532</v>
      </c>
    </row>
    <row r="26" spans="1:23" ht="18.75" x14ac:dyDescent="0.3">
      <c r="B26" s="166" t="s">
        <v>171</v>
      </c>
    </row>
  </sheetData>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12BE-DEF7-4E50-B265-27BC5F6D9036}">
  <dimension ref="A1:W18"/>
  <sheetViews>
    <sheetView showGridLines="0" zoomScale="90" zoomScaleNormal="90" workbookViewId="0">
      <selection activeCell="E9" sqref="E9"/>
    </sheetView>
  </sheetViews>
  <sheetFormatPr defaultRowHeight="15" x14ac:dyDescent="0.25"/>
  <cols>
    <col min="1" max="1" width="2.5703125" customWidth="1"/>
    <col min="2" max="2" width="12" customWidth="1"/>
    <col min="3" max="3" width="8" customWidth="1"/>
    <col min="4" max="4" width="42.85546875" customWidth="1"/>
    <col min="5" max="9" width="10.140625" customWidth="1"/>
  </cols>
  <sheetData>
    <row r="1" spans="1:23" ht="23.25" x14ac:dyDescent="0.35">
      <c r="A1" s="64"/>
      <c r="B1" s="64" t="s">
        <v>172</v>
      </c>
      <c r="C1" s="64"/>
      <c r="D1" s="64"/>
      <c r="E1" s="64"/>
      <c r="F1" s="64"/>
      <c r="G1" s="64"/>
      <c r="H1" s="64"/>
      <c r="I1" s="64"/>
      <c r="J1" s="64"/>
      <c r="K1" s="64"/>
      <c r="L1" s="64"/>
      <c r="M1" s="64"/>
      <c r="N1" s="64"/>
      <c r="O1" s="64"/>
      <c r="P1" s="64"/>
      <c r="Q1" s="64"/>
      <c r="R1" s="64"/>
      <c r="S1" s="64"/>
      <c r="T1" s="64"/>
      <c r="U1" s="64"/>
      <c r="V1" s="64"/>
      <c r="W1" s="64"/>
    </row>
    <row r="2" spans="1:23" x14ac:dyDescent="0.25">
      <c r="A2" s="65"/>
      <c r="B2" s="66"/>
      <c r="C2" s="65"/>
      <c r="D2" s="65"/>
      <c r="E2" s="65"/>
      <c r="F2" s="65"/>
      <c r="G2" s="65"/>
      <c r="H2" s="65"/>
      <c r="I2" s="65"/>
      <c r="J2" s="65"/>
      <c r="K2" s="65"/>
      <c r="L2" s="65"/>
      <c r="M2" s="65"/>
      <c r="N2" s="65"/>
      <c r="O2" s="65"/>
      <c r="P2" s="65"/>
      <c r="Q2" s="65"/>
      <c r="R2" s="65"/>
      <c r="S2" s="65"/>
      <c r="T2" s="65"/>
      <c r="U2" s="65"/>
      <c r="V2" s="65"/>
      <c r="W2" s="65"/>
    </row>
    <row r="4" spans="1:23" ht="15.75" x14ac:dyDescent="0.25">
      <c r="B4" s="67" t="s">
        <v>76</v>
      </c>
      <c r="C4" s="68"/>
      <c r="D4" s="68"/>
      <c r="E4" s="68"/>
      <c r="F4" s="68"/>
      <c r="G4" s="68"/>
      <c r="H4" s="68"/>
      <c r="I4" s="68"/>
      <c r="J4" s="68"/>
      <c r="K4" s="68"/>
      <c r="L4" s="68"/>
      <c r="M4" s="68"/>
      <c r="N4" s="68"/>
      <c r="O4" s="68"/>
      <c r="P4" s="68"/>
      <c r="Q4" s="68"/>
      <c r="R4" s="68"/>
      <c r="S4" s="68"/>
      <c r="T4" s="68"/>
      <c r="U4" s="68"/>
      <c r="V4" s="68"/>
      <c r="W4" s="68"/>
    </row>
    <row r="5" spans="1:23" s="69" customFormat="1" ht="15.75" x14ac:dyDescent="0.25">
      <c r="B5" s="70"/>
      <c r="C5" s="71"/>
      <c r="D5" s="71"/>
      <c r="E5" s="71"/>
      <c r="F5" s="71"/>
      <c r="G5" s="71"/>
      <c r="H5" s="71"/>
      <c r="I5" s="71"/>
      <c r="J5" s="71"/>
      <c r="K5" s="71"/>
      <c r="L5" s="71"/>
      <c r="M5" s="71"/>
      <c r="N5" s="71"/>
      <c r="O5" s="71"/>
      <c r="P5" s="71"/>
      <c r="Q5" s="71"/>
      <c r="R5" s="71"/>
      <c r="S5" s="71"/>
      <c r="T5" s="71"/>
      <c r="U5" s="71"/>
      <c r="V5" s="71"/>
      <c r="W5" s="71"/>
    </row>
    <row r="6" spans="1:23" s="72" customFormat="1" x14ac:dyDescent="0.25">
      <c r="B6" s="73" t="s">
        <v>77</v>
      </c>
      <c r="C6" s="73"/>
      <c r="D6" s="73"/>
      <c r="E6" s="73"/>
      <c r="F6" s="73"/>
      <c r="G6" s="73"/>
      <c r="H6" s="73"/>
      <c r="I6" s="73"/>
      <c r="J6" s="73"/>
      <c r="K6" s="73"/>
      <c r="L6" s="73"/>
      <c r="M6" s="73"/>
      <c r="N6" s="73"/>
      <c r="O6" s="73"/>
      <c r="P6" s="73"/>
      <c r="Q6" s="73"/>
      <c r="R6" s="73"/>
      <c r="S6" s="73"/>
      <c r="T6" s="73"/>
      <c r="U6" s="73"/>
      <c r="V6" s="73"/>
      <c r="W6" s="73"/>
    </row>
    <row r="7" spans="1:23" s="74" customFormat="1" ht="15.75" x14ac:dyDescent="0.25">
      <c r="B7" s="75"/>
    </row>
    <row r="8" spans="1:23" s="74" customFormat="1" ht="15.75" x14ac:dyDescent="0.25">
      <c r="B8" s="75"/>
      <c r="E8" s="76">
        <v>2005</v>
      </c>
      <c r="F8" s="76">
        <v>2006</v>
      </c>
      <c r="G8" s="76">
        <v>2007</v>
      </c>
      <c r="H8" s="76">
        <v>2008</v>
      </c>
      <c r="I8" s="76">
        <v>2009</v>
      </c>
      <c r="J8" s="76">
        <v>2010</v>
      </c>
      <c r="K8" s="76">
        <v>2011</v>
      </c>
      <c r="L8" s="76">
        <v>2012</v>
      </c>
      <c r="M8" s="76">
        <v>2013</v>
      </c>
      <c r="N8" s="76">
        <v>2014</v>
      </c>
      <c r="O8" s="76">
        <v>2015</v>
      </c>
      <c r="P8" s="76">
        <v>2016</v>
      </c>
      <c r="Q8" s="76">
        <v>2017</v>
      </c>
      <c r="R8" s="76">
        <v>2018</v>
      </c>
      <c r="S8" s="76">
        <v>2019</v>
      </c>
    </row>
    <row r="9" spans="1:23" s="74" customFormat="1" x14ac:dyDescent="0.25">
      <c r="B9" s="77" t="s">
        <v>78</v>
      </c>
      <c r="D9" s="78" t="s">
        <v>79</v>
      </c>
      <c r="E9" s="79">
        <v>2.7986348122866822E-2</v>
      </c>
      <c r="F9" s="79">
        <v>3.253652058432932E-2</v>
      </c>
      <c r="G9" s="79">
        <v>2.9581993569131715E-2</v>
      </c>
      <c r="H9" s="79">
        <v>3.6851967520299844E-2</v>
      </c>
      <c r="I9" s="79">
        <v>2.108433734939763E-2</v>
      </c>
      <c r="J9" s="79">
        <v>2.6548672566371723E-2</v>
      </c>
      <c r="K9" s="79">
        <v>3.1034482758620641E-2</v>
      </c>
      <c r="L9" s="79">
        <v>2.2044088176352838E-2</v>
      </c>
      <c r="M9" s="79">
        <v>2.7450980392156765E-2</v>
      </c>
      <c r="N9" s="79">
        <v>1.7175572519083859E-2</v>
      </c>
      <c r="O9" s="79">
        <v>1.6885553470919357E-2</v>
      </c>
      <c r="P9" s="79">
        <v>1.4760147601476037E-2</v>
      </c>
      <c r="Q9" s="79">
        <v>1.9090909090909047E-2</v>
      </c>
      <c r="R9" s="79">
        <v>1.7841213202497874E-2</v>
      </c>
      <c r="S9" s="79">
        <v>1.7500000000000071E-2</v>
      </c>
    </row>
    <row r="10" spans="1:23" s="74" customFormat="1" x14ac:dyDescent="0.25">
      <c r="B10" s="77"/>
    </row>
    <row r="11" spans="1:23" s="74" customFormat="1" x14ac:dyDescent="0.25">
      <c r="B11" s="80"/>
      <c r="E11" s="76" t="s">
        <v>102</v>
      </c>
      <c r="F11" s="76" t="s">
        <v>103</v>
      </c>
      <c r="G11" s="76" t="s">
        <v>104</v>
      </c>
      <c r="H11" s="76" t="s">
        <v>2</v>
      </c>
      <c r="I11" s="76" t="s">
        <v>3</v>
      </c>
      <c r="J11" s="76" t="s">
        <v>4</v>
      </c>
      <c r="K11" s="76" t="s">
        <v>5</v>
      </c>
      <c r="L11" s="76" t="s">
        <v>6</v>
      </c>
      <c r="M11" s="76" t="s">
        <v>7</v>
      </c>
      <c r="N11" s="76" t="s">
        <v>8</v>
      </c>
      <c r="O11" s="76" t="s">
        <v>9</v>
      </c>
      <c r="P11" s="76" t="s">
        <v>10</v>
      </c>
      <c r="Q11" s="76" t="s">
        <v>11</v>
      </c>
      <c r="R11" s="76" t="s">
        <v>20</v>
      </c>
      <c r="S11" s="76" t="s">
        <v>74</v>
      </c>
    </row>
    <row r="12" spans="1:23" s="81" customFormat="1" x14ac:dyDescent="0.25">
      <c r="B12" s="82" t="s">
        <v>80</v>
      </c>
      <c r="D12" s="83" t="s">
        <v>81</v>
      </c>
      <c r="E12" s="84">
        <v>1.4020158368644067</v>
      </c>
      <c r="F12" s="84">
        <v>1.3614044498847926</v>
      </c>
      <c r="G12" s="84">
        <v>1.3290317219633676</v>
      </c>
      <c r="H12" s="84">
        <v>1.2749527493064119</v>
      </c>
      <c r="I12" s="84">
        <v>1.2442679659296028</v>
      </c>
      <c r="J12" s="84">
        <v>1.2093411458333332</v>
      </c>
      <c r="K12" s="84">
        <v>1.1703301411290323</v>
      </c>
      <c r="L12" s="84">
        <v>1.1563421314741036</v>
      </c>
      <c r="M12" s="84">
        <v>1.1293458171206225</v>
      </c>
      <c r="N12" s="84">
        <v>1.0962865911237016</v>
      </c>
      <c r="O12" s="84">
        <v>1.0799697674418605</v>
      </c>
      <c r="P12" s="84">
        <v>1.0690308471454881</v>
      </c>
      <c r="Q12" s="84">
        <v>1.0487511291779583</v>
      </c>
      <c r="R12" s="84">
        <v>1.0274048672566372</v>
      </c>
      <c r="S12" s="84">
        <v>1.011295731707317</v>
      </c>
    </row>
    <row r="13" spans="1:23" s="74" customFormat="1" x14ac:dyDescent="0.25">
      <c r="B13" s="77"/>
      <c r="O13" s="85"/>
      <c r="P13" s="85"/>
      <c r="Q13" s="85"/>
      <c r="R13" s="85"/>
      <c r="S13" s="85"/>
    </row>
    <row r="14" spans="1:23" s="74" customFormat="1" x14ac:dyDescent="0.25">
      <c r="B14" s="77"/>
      <c r="E14" s="76">
        <v>2005</v>
      </c>
      <c r="F14" s="76">
        <v>2006</v>
      </c>
      <c r="G14" s="76">
        <v>2007</v>
      </c>
      <c r="H14" s="76">
        <v>2008</v>
      </c>
      <c r="I14" s="76">
        <v>2009</v>
      </c>
      <c r="J14" s="76">
        <v>2010</v>
      </c>
      <c r="K14" s="76">
        <v>2011</v>
      </c>
      <c r="L14" s="76">
        <v>2012</v>
      </c>
      <c r="M14" s="76">
        <v>2013</v>
      </c>
      <c r="N14" s="76">
        <v>2014</v>
      </c>
      <c r="O14" s="86">
        <v>2015</v>
      </c>
      <c r="P14" s="86">
        <v>2016</v>
      </c>
      <c r="Q14" s="86">
        <v>2017</v>
      </c>
      <c r="R14" s="86">
        <v>2018</v>
      </c>
      <c r="S14" s="86">
        <v>2019</v>
      </c>
    </row>
    <row r="15" spans="1:23" s="74" customFormat="1" x14ac:dyDescent="0.25">
      <c r="B15" s="77" t="s">
        <v>82</v>
      </c>
      <c r="D15" s="83" t="s">
        <v>83</v>
      </c>
      <c r="E15" s="84">
        <v>1.4169060500383361</v>
      </c>
      <c r="F15" s="84">
        <v>1.3758633468114192</v>
      </c>
      <c r="G15" s="84">
        <v>1.3431468019322272</v>
      </c>
      <c r="H15" s="84">
        <v>1.2884934795354783</v>
      </c>
      <c r="I15" s="84">
        <v>1.2574828061411225</v>
      </c>
      <c r="J15" s="84">
        <v>1.2221850431617227</v>
      </c>
      <c r="K15" s="84">
        <v>1.182759719188764</v>
      </c>
      <c r="L15" s="84">
        <v>1.1643099854075463</v>
      </c>
      <c r="M15" s="84">
        <v>1.1358844486544324</v>
      </c>
      <c r="N15" s="84">
        <v>1.1035537717477597</v>
      </c>
      <c r="O15" s="84">
        <v>1.0890877110694184</v>
      </c>
      <c r="P15" s="84">
        <v>1.0710032287822877</v>
      </c>
      <c r="Q15" s="84">
        <v>1.0554250000000001</v>
      </c>
      <c r="R15" s="84">
        <v>1.0356534344335415</v>
      </c>
      <c r="S15" s="84">
        <v>1.0175000000000001</v>
      </c>
    </row>
    <row r="16" spans="1:23" s="74" customFormat="1" ht="15.75" x14ac:dyDescent="0.25">
      <c r="B16" s="75"/>
    </row>
    <row r="18" spans="2:2" x14ac:dyDescent="0.25">
      <c r="B18" s="48"/>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19FD446D96554E93733D7FAC024BF4" ma:contentTypeVersion="13" ma:contentTypeDescription="Create a new document." ma:contentTypeScope="" ma:versionID="6563aa90e939647651e3a1f1d9110eb6">
  <xsd:schema xmlns:xsd="http://www.w3.org/2001/XMLSchema" xmlns:xs="http://www.w3.org/2001/XMLSchema" xmlns:p="http://schemas.microsoft.com/office/2006/metadata/properties" xmlns:ns2="14d20574-58b9-414e-ad4d-49aba50cd5eb" xmlns:ns3="d866604c-23ed-4c44-9ea3-e161b33dcfd5" targetNamespace="http://schemas.microsoft.com/office/2006/metadata/properties" ma:root="true" ma:fieldsID="95011ec09040d28715bca3c509f13840" ns2:_="" ns3:_="">
    <xsd:import namespace="14d20574-58b9-414e-ad4d-49aba50cd5eb"/>
    <xsd:import namespace="d866604c-23ed-4c44-9ea3-e161b33dcfd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Description0" minOccurs="0"/>
                <xsd:element ref="ns3:Key_x0020_Document" minOccurs="0"/>
                <xsd:element ref="ns3:Event_x0020_Date"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d20574-58b9-414e-ad4d-49aba50cd5e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66604c-23ed-4c44-9ea3-e161b33dcfd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Description0" ma:index="12" nillable="true" ma:displayName="Description" ma:internalName="Description0">
      <xsd:simpleType>
        <xsd:restriction base="dms:Note">
          <xsd:maxLength value="255"/>
        </xsd:restriction>
      </xsd:simpleType>
    </xsd:element>
    <xsd:element name="Key_x0020_Document" ma:index="13" nillable="true" ma:displayName="Key Document" ma:default="0" ma:indexed="true" ma:internalName="Key_x0020_Document">
      <xsd:simpleType>
        <xsd:restriction base="dms:Boolean"/>
      </xsd:simpleType>
    </xsd:element>
    <xsd:element name="Event_x0020_Date" ma:index="14" nillable="true" ma:displayName="Event Date" ma:format="DateOnly" ma:internalName="Event_x0020_Date">
      <xsd:simpleType>
        <xsd:restriction base="dms:DateTim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vent_x0020_Date xmlns="d866604c-23ed-4c44-9ea3-e161b33dcfd5" xsi:nil="true"/>
    <Description0 xmlns="d866604c-23ed-4c44-9ea3-e161b33dcfd5" xsi:nil="true"/>
    <Key_x0020_Document xmlns="d866604c-23ed-4c44-9ea3-e161b33dcfd5">false</Key_x0020_Document>
  </documentManagement>
</p:properties>
</file>

<file path=customXml/itemProps1.xml><?xml version="1.0" encoding="utf-8"?>
<ds:datastoreItem xmlns:ds="http://schemas.openxmlformats.org/officeDocument/2006/customXml" ds:itemID="{60AD2470-3FEF-4B55-B6B4-94D185B48899}">
  <ds:schemaRefs>
    <ds:schemaRef ds:uri="http://schemas.microsoft.com/sharepoint/v3/contenttype/forms"/>
  </ds:schemaRefs>
</ds:datastoreItem>
</file>

<file path=customXml/itemProps2.xml><?xml version="1.0" encoding="utf-8"?>
<ds:datastoreItem xmlns:ds="http://schemas.openxmlformats.org/officeDocument/2006/customXml" ds:itemID="{5AB556B0-DC5E-4E6C-9341-CE515055D8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d20574-58b9-414e-ad4d-49aba50cd5eb"/>
    <ds:schemaRef ds:uri="d866604c-23ed-4c44-9ea3-e161b33dcf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00AD24-E6FC-4E5D-9279-05D455E8961E}">
  <ds:schemaRefs>
    <ds:schemaRef ds:uri="14d20574-58b9-414e-ad4d-49aba50cd5e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66604c-23ed-4c44-9ea3-e161b33dcf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Assumptions</vt:lpstr>
      <vt:lpstr>ESCOSA Data</vt:lpstr>
      <vt:lpstr>Step Change - 10 Years</vt:lpstr>
      <vt:lpstr>Revised Proposal</vt:lpstr>
      <vt:lpstr>CPI Escalations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Kelly Bernhardt</dc:creator>
  <cp:lastModifiedBy>Aurora Corpus</cp:lastModifiedBy>
  <cp:lastPrinted>2019-08-20T01:48:37Z</cp:lastPrinted>
  <dcterms:created xsi:type="dcterms:W3CDTF">2019-08-09T05:03:21Z</dcterms:created>
  <dcterms:modified xsi:type="dcterms:W3CDTF">2019-11-27T01:13:32Z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0x0101002A19FD446D96554E93733D7FAC024BF4</vt:lpwstr>
  </property>
</Properties>
</file>