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\\utilities\orgdata\Data\Network\Planning\Substation\66kV and 33kV Lines\Southern Rural (TSD-11) 66kV\Myponga - SQWH\2019-10 SM Review\"/>
    </mc:Choice>
  </mc:AlternateContent>
  <xr:revisionPtr revIDLastSave="0" documentId="8_{BD895982-71AD-4397-AE71-C22A80F9A191}" xr6:coauthVersionLast="45" xr6:coauthVersionMax="45" xr10:uidLastSave="{00000000-0000-0000-0000-000000000000}"/>
  <bookViews>
    <workbookView xWindow="-120" yWindow="-120" windowWidth="25440" windowHeight="15390" activeTab="8" xr2:uid="{00000000-000D-0000-FFFF-FFFF00000000}"/>
  </bookViews>
  <sheets>
    <sheet name="CONFIG" sheetId="12" r:id="rId1"/>
    <sheet name="INPUTS" sheetId="1" r:id="rId2"/>
    <sheet name="FORECASTS" sheetId="14" r:id="rId3"/>
    <sheet name="LDC" sheetId="8" r:id="rId4"/>
    <sheet name="BASE" sheetId="10" r:id="rId5"/>
    <sheet name="OPTION1" sheetId="5" r:id="rId6"/>
    <sheet name="OPTION2" sheetId="17" r:id="rId7"/>
    <sheet name="OPTION3" sheetId="18" r:id="rId8"/>
    <sheet name="SENSITIVITY" sheetId="13" r:id="rId9"/>
    <sheet name="CAPEXREG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9" l="1"/>
  <c r="J5" i="18" l="1"/>
  <c r="J6" i="18"/>
  <c r="J7" i="18"/>
  <c r="J8" i="18"/>
  <c r="J9" i="18"/>
  <c r="J10" i="18"/>
  <c r="J11" i="18"/>
  <c r="J12" i="18"/>
  <c r="J13" i="18"/>
  <c r="J14" i="18"/>
  <c r="J4" i="18"/>
  <c r="D30" i="18" l="1"/>
  <c r="C30" i="18"/>
  <c r="H29" i="18"/>
  <c r="AB29" i="18" s="1"/>
  <c r="H28" i="18"/>
  <c r="AC28" i="18" s="1"/>
  <c r="H27" i="18"/>
  <c r="AB27" i="18" s="1"/>
  <c r="H26" i="18"/>
  <c r="AC26" i="18" s="1"/>
  <c r="H25" i="18"/>
  <c r="H24" i="18"/>
  <c r="AC24" i="18" s="1"/>
  <c r="H23" i="18"/>
  <c r="H22" i="18"/>
  <c r="AB22" i="18" s="1"/>
  <c r="H21" i="18"/>
  <c r="AB21" i="18" s="1"/>
  <c r="H20" i="18"/>
  <c r="V20" i="18" s="1"/>
  <c r="H19" i="18"/>
  <c r="S19" i="18" s="1"/>
  <c r="H18" i="18"/>
  <c r="H17" i="18"/>
  <c r="H16" i="18"/>
  <c r="H15" i="18"/>
  <c r="H14" i="18"/>
  <c r="H13" i="18"/>
  <c r="M13" i="18" s="1"/>
  <c r="H12" i="18"/>
  <c r="H11" i="18"/>
  <c r="M11" i="18" s="1"/>
  <c r="H10" i="18"/>
  <c r="H9" i="18"/>
  <c r="H8" i="18"/>
  <c r="N8" i="18" s="1"/>
  <c r="N7" i="18"/>
  <c r="N6" i="18"/>
  <c r="E6" i="18"/>
  <c r="M5" i="18"/>
  <c r="B30" i="18"/>
  <c r="AH4" i="18"/>
  <c r="AG4" i="18"/>
  <c r="AF4" i="18"/>
  <c r="AD4" i="18"/>
  <c r="Y4" i="18"/>
  <c r="E4" i="18"/>
  <c r="AM3" i="18"/>
  <c r="AL3" i="18"/>
  <c r="L8" i="18" l="1"/>
  <c r="M22" i="18"/>
  <c r="M20" i="18"/>
  <c r="M26" i="18"/>
  <c r="M15" i="18"/>
  <c r="R26" i="18"/>
  <c r="AM4" i="18"/>
  <c r="L7" i="18"/>
  <c r="AB20" i="18"/>
  <c r="R22" i="18"/>
  <c r="W19" i="18"/>
  <c r="W24" i="18"/>
  <c r="M7" i="18"/>
  <c r="M17" i="18"/>
  <c r="M19" i="18"/>
  <c r="AB19" i="18"/>
  <c r="AG19" i="18" s="1"/>
  <c r="AB24" i="18"/>
  <c r="L6" i="18"/>
  <c r="L18" i="18"/>
  <c r="N19" i="18"/>
  <c r="AC19" i="18"/>
  <c r="W22" i="18"/>
  <c r="AG22" i="18" s="1"/>
  <c r="M24" i="18"/>
  <c r="W26" i="18"/>
  <c r="M28" i="18"/>
  <c r="M18" i="18"/>
  <c r="R24" i="18"/>
  <c r="AB26" i="18"/>
  <c r="R28" i="18"/>
  <c r="M4" i="18"/>
  <c r="AI4" i="18"/>
  <c r="N4" i="18"/>
  <c r="AL4" i="18"/>
  <c r="L5" i="18"/>
  <c r="M6" i="18"/>
  <c r="M8" i="18"/>
  <c r="O8" i="18" s="1"/>
  <c r="M10" i="18"/>
  <c r="L11" i="18"/>
  <c r="N11" i="18"/>
  <c r="M14" i="18"/>
  <c r="L9" i="18"/>
  <c r="N12" i="18"/>
  <c r="L12" i="18"/>
  <c r="L4" i="18"/>
  <c r="Q4" i="18" s="1"/>
  <c r="E5" i="18"/>
  <c r="E30" i="18" s="1"/>
  <c r="N5" i="18"/>
  <c r="M9" i="18"/>
  <c r="M12" i="18"/>
  <c r="L13" i="18"/>
  <c r="N13" i="18"/>
  <c r="N9" i="18"/>
  <c r="N10" i="18"/>
  <c r="L10" i="18"/>
  <c r="N14" i="18"/>
  <c r="L14" i="18"/>
  <c r="AA23" i="18"/>
  <c r="V23" i="18"/>
  <c r="Q23" i="18"/>
  <c r="L23" i="18"/>
  <c r="AC23" i="18"/>
  <c r="X23" i="18"/>
  <c r="S23" i="18"/>
  <c r="N23" i="18"/>
  <c r="AB25" i="18"/>
  <c r="W25" i="18"/>
  <c r="R25" i="18"/>
  <c r="M25" i="18"/>
  <c r="AA25" i="18"/>
  <c r="V25" i="18"/>
  <c r="Q25" i="18"/>
  <c r="L25" i="18"/>
  <c r="AC25" i="18"/>
  <c r="X25" i="18"/>
  <c r="S25" i="18"/>
  <c r="N25" i="18"/>
  <c r="N15" i="18"/>
  <c r="L16" i="18"/>
  <c r="N17" i="18"/>
  <c r="R21" i="18"/>
  <c r="M23" i="18"/>
  <c r="W23" i="18"/>
  <c r="M16" i="18"/>
  <c r="AC20" i="18"/>
  <c r="X20" i="18"/>
  <c r="S20" i="18"/>
  <c r="N20" i="18"/>
  <c r="AA20" i="18"/>
  <c r="Q20" i="18"/>
  <c r="W20" i="18"/>
  <c r="AA21" i="18"/>
  <c r="V21" i="18"/>
  <c r="Q21" i="18"/>
  <c r="L21" i="18"/>
  <c r="AC21" i="18"/>
  <c r="X21" i="18"/>
  <c r="S21" i="18"/>
  <c r="N21" i="18"/>
  <c r="L15" i="18"/>
  <c r="N16" i="18"/>
  <c r="L17" i="18"/>
  <c r="O17" i="18" s="1"/>
  <c r="N18" i="18"/>
  <c r="AA19" i="18"/>
  <c r="V19" i="18"/>
  <c r="Q19" i="18"/>
  <c r="L19" i="18"/>
  <c r="R19" i="18"/>
  <c r="X19" i="18"/>
  <c r="L20" i="18"/>
  <c r="R20" i="18"/>
  <c r="M21" i="18"/>
  <c r="W21" i="18"/>
  <c r="AG21" i="18" s="1"/>
  <c r="AC22" i="18"/>
  <c r="X22" i="18"/>
  <c r="S22" i="18"/>
  <c r="N22" i="18"/>
  <c r="AA22" i="18"/>
  <c r="V22" i="18"/>
  <c r="Q22" i="18"/>
  <c r="L22" i="18"/>
  <c r="R23" i="18"/>
  <c r="AB23" i="18"/>
  <c r="L24" i="18"/>
  <c r="Q24" i="18"/>
  <c r="V24" i="18"/>
  <c r="AA24" i="18"/>
  <c r="AD24" i="18" s="1"/>
  <c r="L26" i="18"/>
  <c r="Q26" i="18"/>
  <c r="V26" i="18"/>
  <c r="AA26" i="18"/>
  <c r="N27" i="18"/>
  <c r="S27" i="18"/>
  <c r="X27" i="18"/>
  <c r="AC27" i="18"/>
  <c r="L28" i="18"/>
  <c r="Q28" i="18"/>
  <c r="V28" i="18"/>
  <c r="AA28" i="18"/>
  <c r="N29" i="18"/>
  <c r="S29" i="18"/>
  <c r="X29" i="18"/>
  <c r="AC29" i="18"/>
  <c r="W28" i="18"/>
  <c r="AB28" i="18"/>
  <c r="N24" i="18"/>
  <c r="S24" i="18"/>
  <c r="X24" i="18"/>
  <c r="AH24" i="18" s="1"/>
  <c r="N26" i="18"/>
  <c r="S26" i="18"/>
  <c r="X26" i="18"/>
  <c r="AH26" i="18" s="1"/>
  <c r="L27" i="18"/>
  <c r="Q27" i="18"/>
  <c r="V27" i="18"/>
  <c r="AA27" i="18"/>
  <c r="AD27" i="18" s="1"/>
  <c r="N28" i="18"/>
  <c r="S28" i="18"/>
  <c r="X28" i="18"/>
  <c r="AH28" i="18" s="1"/>
  <c r="L29" i="18"/>
  <c r="Q29" i="18"/>
  <c r="V29" i="18"/>
  <c r="AA29" i="18"/>
  <c r="M27" i="18"/>
  <c r="R27" i="18"/>
  <c r="W27" i="18"/>
  <c r="AG27" i="18" s="1"/>
  <c r="M29" i="18"/>
  <c r="R29" i="18"/>
  <c r="W29" i="18"/>
  <c r="AG29" i="18" s="1"/>
  <c r="D24" i="13"/>
  <c r="D20" i="13"/>
  <c r="D16" i="13"/>
  <c r="AG24" i="18" l="1"/>
  <c r="AH19" i="18"/>
  <c r="AD26" i="18"/>
  <c r="O19" i="18"/>
  <c r="O22" i="18"/>
  <c r="AG20" i="18"/>
  <c r="O7" i="18"/>
  <c r="AD22" i="18"/>
  <c r="AD20" i="18"/>
  <c r="O18" i="18"/>
  <c r="AG26" i="18"/>
  <c r="T22" i="18"/>
  <c r="AD19" i="18"/>
  <c r="O20" i="18"/>
  <c r="O6" i="18"/>
  <c r="O10" i="18"/>
  <c r="AD28" i="18"/>
  <c r="AH22" i="18"/>
  <c r="AH21" i="18"/>
  <c r="O14" i="18"/>
  <c r="T27" i="18"/>
  <c r="O15" i="18"/>
  <c r="O29" i="18"/>
  <c r="AD29" i="18"/>
  <c r="T19" i="18"/>
  <c r="T24" i="18"/>
  <c r="AF19" i="18"/>
  <c r="Y19" i="18"/>
  <c r="AD21" i="18"/>
  <c r="AG23" i="18"/>
  <c r="T25" i="18"/>
  <c r="T23" i="18"/>
  <c r="O5" i="18"/>
  <c r="N30" i="18"/>
  <c r="AF29" i="18"/>
  <c r="Y29" i="18"/>
  <c r="T28" i="18"/>
  <c r="T26" i="18"/>
  <c r="T29" i="18"/>
  <c r="O27" i="18"/>
  <c r="AG28" i="18"/>
  <c r="O28" i="18"/>
  <c r="O26" i="18"/>
  <c r="O24" i="18"/>
  <c r="O21" i="18"/>
  <c r="AH25" i="18"/>
  <c r="AF25" i="18"/>
  <c r="Y25" i="18"/>
  <c r="AG25" i="18"/>
  <c r="AH23" i="18"/>
  <c r="AF23" i="18"/>
  <c r="Y23" i="18"/>
  <c r="L30" i="18"/>
  <c r="O4" i="18"/>
  <c r="Y20" i="18"/>
  <c r="AA5" i="18"/>
  <c r="AF22" i="18"/>
  <c r="Y22" i="18"/>
  <c r="T21" i="18"/>
  <c r="T20" i="18"/>
  <c r="AH20" i="18"/>
  <c r="O16" i="18"/>
  <c r="AD25" i="18"/>
  <c r="AD23" i="18"/>
  <c r="O13" i="18"/>
  <c r="O12" i="18"/>
  <c r="AF20" i="18"/>
  <c r="AF27" i="18"/>
  <c r="Y27" i="18"/>
  <c r="AH29" i="18"/>
  <c r="Y28" i="18"/>
  <c r="AF28" i="18"/>
  <c r="AH27" i="18"/>
  <c r="Y26" i="18"/>
  <c r="AF26" i="18"/>
  <c r="Y24" i="18"/>
  <c r="AF24" i="18"/>
  <c r="AF21" i="18"/>
  <c r="Y21" i="18"/>
  <c r="O25" i="18"/>
  <c r="O23" i="18"/>
  <c r="O9" i="18"/>
  <c r="O11" i="18"/>
  <c r="Q5" i="18"/>
  <c r="S4" i="18"/>
  <c r="M30" i="18"/>
  <c r="R4" i="18"/>
  <c r="D30" i="17"/>
  <c r="H29" i="17"/>
  <c r="U29" i="17" s="1"/>
  <c r="H28" i="17"/>
  <c r="Z28" i="17" s="1"/>
  <c r="H27" i="17"/>
  <c r="V27" i="17" s="1"/>
  <c r="H26" i="17"/>
  <c r="Z26" i="17" s="1"/>
  <c r="H25" i="17"/>
  <c r="U25" i="17" s="1"/>
  <c r="H24" i="17"/>
  <c r="Z24" i="17" s="1"/>
  <c r="H23" i="17"/>
  <c r="O23" i="17" s="1"/>
  <c r="H22" i="17"/>
  <c r="Z22" i="17" s="1"/>
  <c r="H21" i="17"/>
  <c r="V21" i="17" s="1"/>
  <c r="H20" i="17"/>
  <c r="Z20" i="17" s="1"/>
  <c r="H19" i="17"/>
  <c r="O19" i="17" s="1"/>
  <c r="H18" i="17"/>
  <c r="H17" i="17"/>
  <c r="H16" i="17"/>
  <c r="J16" i="17" s="1"/>
  <c r="H15" i="17"/>
  <c r="H14" i="17"/>
  <c r="H13" i="17"/>
  <c r="H12" i="17"/>
  <c r="H11" i="17"/>
  <c r="H10" i="17"/>
  <c r="H9" i="17"/>
  <c r="H8" i="17"/>
  <c r="E6" i="17"/>
  <c r="AF4" i="17"/>
  <c r="AE4" i="17"/>
  <c r="AD4" i="17"/>
  <c r="AB4" i="17"/>
  <c r="W4" i="17"/>
  <c r="AK3" i="17"/>
  <c r="AJ3" i="17"/>
  <c r="B33" i="9"/>
  <c r="C37" i="9"/>
  <c r="B5" i="17" s="1"/>
  <c r="C36" i="9"/>
  <c r="L22" i="17" l="1"/>
  <c r="T22" i="17"/>
  <c r="K26" i="17"/>
  <c r="J22" i="17"/>
  <c r="M22" i="17" s="1"/>
  <c r="AA26" i="17"/>
  <c r="K17" i="17"/>
  <c r="K21" i="17"/>
  <c r="Y21" i="17"/>
  <c r="P20" i="17"/>
  <c r="Y22" i="17"/>
  <c r="K27" i="17"/>
  <c r="L25" i="17"/>
  <c r="V25" i="17"/>
  <c r="B31" i="9"/>
  <c r="B36" i="9" s="1"/>
  <c r="L20" i="17"/>
  <c r="Q21" i="17"/>
  <c r="K22" i="17"/>
  <c r="U22" i="17"/>
  <c r="AE22" i="17" s="1"/>
  <c r="O25" i="17"/>
  <c r="Z25" i="17"/>
  <c r="AE25" i="17" s="1"/>
  <c r="T26" i="17"/>
  <c r="O27" i="17"/>
  <c r="Q25" i="17"/>
  <c r="AA25" i="17"/>
  <c r="Y19" i="17"/>
  <c r="Q22" i="17"/>
  <c r="AA22" i="17"/>
  <c r="J25" i="17"/>
  <c r="T25" i="17"/>
  <c r="P28" i="17"/>
  <c r="T4" i="18"/>
  <c r="AI28" i="18"/>
  <c r="AL28" i="18"/>
  <c r="AM28" i="18"/>
  <c r="AI27" i="18"/>
  <c r="AL27" i="18"/>
  <c r="AM27" i="18"/>
  <c r="AI22" i="18"/>
  <c r="AL22" i="18"/>
  <c r="AM22" i="18"/>
  <c r="AI23" i="18"/>
  <c r="AM23" i="18"/>
  <c r="AL23" i="18"/>
  <c r="AI25" i="18"/>
  <c r="AL25" i="18"/>
  <c r="AM25" i="18"/>
  <c r="S5" i="18"/>
  <c r="AC5" i="18"/>
  <c r="AI21" i="18"/>
  <c r="AM21" i="18"/>
  <c r="AL21" i="18"/>
  <c r="AI26" i="18"/>
  <c r="AL26" i="18"/>
  <c r="AM26" i="18"/>
  <c r="O30" i="18"/>
  <c r="AA6" i="18"/>
  <c r="Q6" i="18"/>
  <c r="AI20" i="18"/>
  <c r="AL20" i="18"/>
  <c r="AM20" i="18"/>
  <c r="AI19" i="18"/>
  <c r="AL19" i="18"/>
  <c r="AM19" i="18"/>
  <c r="AB5" i="18"/>
  <c r="R5" i="18"/>
  <c r="AI24" i="18"/>
  <c r="AM24" i="18"/>
  <c r="AL24" i="18"/>
  <c r="AI29" i="18"/>
  <c r="AL29" i="18"/>
  <c r="AM29" i="18"/>
  <c r="B32" i="9"/>
  <c r="L17" i="17"/>
  <c r="L21" i="17"/>
  <c r="T21" i="17"/>
  <c r="Z21" i="17"/>
  <c r="L24" i="17"/>
  <c r="W25" i="17"/>
  <c r="L26" i="17"/>
  <c r="U26" i="17"/>
  <c r="AE26" i="17" s="1"/>
  <c r="Y27" i="17"/>
  <c r="T28" i="17"/>
  <c r="J29" i="17"/>
  <c r="Q29" i="17"/>
  <c r="AA29" i="17"/>
  <c r="P29" i="17"/>
  <c r="Z29" i="17"/>
  <c r="AE29" i="17" s="1"/>
  <c r="O21" i="17"/>
  <c r="U21" i="17"/>
  <c r="AA21" i="17"/>
  <c r="AF21" i="17" s="1"/>
  <c r="P24" i="17"/>
  <c r="O26" i="17"/>
  <c r="V26" i="17"/>
  <c r="AF26" i="17" s="1"/>
  <c r="V28" i="17"/>
  <c r="L29" i="17"/>
  <c r="T29" i="17"/>
  <c r="B34" i="9"/>
  <c r="L15" i="17"/>
  <c r="J17" i="17"/>
  <c r="K18" i="17"/>
  <c r="J21" i="17"/>
  <c r="P21" i="17"/>
  <c r="O22" i="17"/>
  <c r="V22" i="17"/>
  <c r="Y23" i="17"/>
  <c r="P25" i="17"/>
  <c r="Y25" i="17"/>
  <c r="AD25" i="17" s="1"/>
  <c r="J26" i="17"/>
  <c r="M26" i="17" s="1"/>
  <c r="Q26" i="17"/>
  <c r="Y26" i="17"/>
  <c r="AB26" i="17" s="1"/>
  <c r="L27" i="17"/>
  <c r="L28" i="17"/>
  <c r="O29" i="17"/>
  <c r="Y29" i="17"/>
  <c r="AK4" i="17"/>
  <c r="AG4" i="17"/>
  <c r="K23" i="17"/>
  <c r="V20" i="17"/>
  <c r="V24" i="17"/>
  <c r="U27" i="17"/>
  <c r="U28" i="17"/>
  <c r="AE28" i="17" s="1"/>
  <c r="K28" i="17"/>
  <c r="AA28" i="17"/>
  <c r="Q28" i="17"/>
  <c r="Y28" i="17"/>
  <c r="O28" i="17"/>
  <c r="Z19" i="17"/>
  <c r="P19" i="17"/>
  <c r="T19" i="17"/>
  <c r="J19" i="17"/>
  <c r="AA19" i="17"/>
  <c r="Q19" i="17"/>
  <c r="Z23" i="17"/>
  <c r="P23" i="17"/>
  <c r="T23" i="17"/>
  <c r="J23" i="17"/>
  <c r="AA23" i="17"/>
  <c r="Q23" i="17"/>
  <c r="K19" i="17"/>
  <c r="K16" i="17"/>
  <c r="L19" i="17"/>
  <c r="T20" i="17"/>
  <c r="L23" i="17"/>
  <c r="T24" i="17"/>
  <c r="L16" i="17"/>
  <c r="J28" i="17"/>
  <c r="B30" i="17"/>
  <c r="E4" i="17"/>
  <c r="J15" i="17"/>
  <c r="U19" i="17"/>
  <c r="U20" i="17"/>
  <c r="AE20" i="17" s="1"/>
  <c r="K20" i="17"/>
  <c r="AA20" i="17"/>
  <c r="Q20" i="17"/>
  <c r="Y20" i="17"/>
  <c r="O20" i="17"/>
  <c r="U23" i="17"/>
  <c r="U24" i="17"/>
  <c r="AE24" i="17" s="1"/>
  <c r="K24" i="17"/>
  <c r="AA24" i="17"/>
  <c r="Q24" i="17"/>
  <c r="Y24" i="17"/>
  <c r="O24" i="17"/>
  <c r="C30" i="17"/>
  <c r="E5" i="17"/>
  <c r="K15" i="17"/>
  <c r="V19" i="17"/>
  <c r="J20" i="17"/>
  <c r="AD22" i="17"/>
  <c r="V23" i="17"/>
  <c r="J24" i="17"/>
  <c r="Z27" i="17"/>
  <c r="P27" i="17"/>
  <c r="T27" i="17"/>
  <c r="J27" i="17"/>
  <c r="AA27" i="17"/>
  <c r="AF27" i="17" s="1"/>
  <c r="Q27" i="17"/>
  <c r="AJ4" i="17"/>
  <c r="J18" i="17"/>
  <c r="V29" i="17"/>
  <c r="AF29" i="17" s="1"/>
  <c r="L18" i="17"/>
  <c r="P22" i="17"/>
  <c r="P26" i="17"/>
  <c r="K25" i="17"/>
  <c r="K29" i="17"/>
  <c r="W22" i="17" l="1"/>
  <c r="W21" i="17"/>
  <c r="AD26" i="17"/>
  <c r="AD21" i="17"/>
  <c r="AJ21" i="17" s="1"/>
  <c r="AB21" i="17"/>
  <c r="M25" i="17"/>
  <c r="AE21" i="17"/>
  <c r="AF25" i="17"/>
  <c r="AJ25" i="17" s="1"/>
  <c r="M17" i="17"/>
  <c r="AB22" i="17"/>
  <c r="AF22" i="17"/>
  <c r="AJ22" i="17" s="1"/>
  <c r="R20" i="17"/>
  <c r="R26" i="17"/>
  <c r="AB29" i="17"/>
  <c r="AD29" i="17"/>
  <c r="AG29" i="17" s="1"/>
  <c r="R25" i="17"/>
  <c r="R21" i="17"/>
  <c r="R28" i="17"/>
  <c r="R29" i="17"/>
  <c r="B37" i="9"/>
  <c r="W26" i="17"/>
  <c r="AD28" i="17"/>
  <c r="AF28" i="17"/>
  <c r="AB27" i="17"/>
  <c r="R22" i="17"/>
  <c r="M21" i="17"/>
  <c r="M29" i="17"/>
  <c r="AB25" i="17"/>
  <c r="M27" i="17"/>
  <c r="AD5" i="18"/>
  <c r="AB6" i="18"/>
  <c r="R6" i="18"/>
  <c r="AA7" i="18"/>
  <c r="Q7" i="18"/>
  <c r="AC6" i="18"/>
  <c r="S6" i="18"/>
  <c r="T5" i="18"/>
  <c r="R19" i="17"/>
  <c r="M16" i="17"/>
  <c r="M20" i="17"/>
  <c r="AK26" i="17"/>
  <c r="W28" i="17"/>
  <c r="AB19" i="17"/>
  <c r="M24" i="17"/>
  <c r="R23" i="17"/>
  <c r="R27" i="17"/>
  <c r="AF23" i="17"/>
  <c r="R24" i="17"/>
  <c r="AB20" i="17"/>
  <c r="AB23" i="17"/>
  <c r="AB28" i="17"/>
  <c r="AF24" i="17"/>
  <c r="W29" i="17"/>
  <c r="AB24" i="17"/>
  <c r="M15" i="17"/>
  <c r="M28" i="17"/>
  <c r="AF19" i="17"/>
  <c r="W20" i="17"/>
  <c r="AD20" i="17"/>
  <c r="M18" i="17"/>
  <c r="AF20" i="17"/>
  <c r="W27" i="17"/>
  <c r="AD27" i="17"/>
  <c r="AJ26" i="17"/>
  <c r="AG26" i="17"/>
  <c r="AK29" i="17"/>
  <c r="K9" i="17"/>
  <c r="L12" i="17"/>
  <c r="J12" i="17"/>
  <c r="J9" i="17"/>
  <c r="K6" i="17"/>
  <c r="K14" i="17"/>
  <c r="J13" i="17"/>
  <c r="K10" i="17"/>
  <c r="L8" i="17"/>
  <c r="J8" i="17"/>
  <c r="J14" i="17"/>
  <c r="W24" i="17"/>
  <c r="AD24" i="17"/>
  <c r="J7" i="17"/>
  <c r="M23" i="17"/>
  <c r="M19" i="17"/>
  <c r="J4" i="17"/>
  <c r="AK25" i="17"/>
  <c r="AE19" i="17"/>
  <c r="W23" i="17"/>
  <c r="AD23" i="17"/>
  <c r="W19" i="17"/>
  <c r="AD19" i="17"/>
  <c r="AE23" i="17"/>
  <c r="E30" i="17"/>
  <c r="AE27" i="17"/>
  <c r="L11" i="17"/>
  <c r="K7" i="17"/>
  <c r="H11" i="10"/>
  <c r="G11" i="10"/>
  <c r="F11" i="10"/>
  <c r="AG25" i="17" l="1"/>
  <c r="AK21" i="17"/>
  <c r="AK22" i="17"/>
  <c r="AG21" i="17"/>
  <c r="AG22" i="17"/>
  <c r="AK28" i="17"/>
  <c r="AJ28" i="17"/>
  <c r="AJ29" i="17"/>
  <c r="AG28" i="17"/>
  <c r="AD6" i="18"/>
  <c r="AC7" i="18"/>
  <c r="S7" i="18"/>
  <c r="AA8" i="18"/>
  <c r="Q8" i="18"/>
  <c r="AB7" i="18"/>
  <c r="R7" i="18"/>
  <c r="T6" i="18"/>
  <c r="O4" i="17"/>
  <c r="AG19" i="17"/>
  <c r="AJ19" i="17"/>
  <c r="AK19" i="17"/>
  <c r="AG24" i="17"/>
  <c r="AJ24" i="17"/>
  <c r="AK24" i="17"/>
  <c r="AG27" i="17"/>
  <c r="AJ27" i="17"/>
  <c r="AK27" i="17"/>
  <c r="AG23" i="17"/>
  <c r="AJ23" i="17"/>
  <c r="AK23" i="17"/>
  <c r="AG20" i="17"/>
  <c r="AK20" i="17"/>
  <c r="AJ20" i="17"/>
  <c r="J6" i="17"/>
  <c r="L13" i="17"/>
  <c r="J11" i="17"/>
  <c r="K11" i="17"/>
  <c r="K5" i="17"/>
  <c r="J10" i="17"/>
  <c r="L10" i="17"/>
  <c r="L5" i="17"/>
  <c r="K12" i="17"/>
  <c r="M12" i="17" s="1"/>
  <c r="L9" i="17"/>
  <c r="M9" i="17" s="1"/>
  <c r="L6" i="17"/>
  <c r="L14" i="17"/>
  <c r="M14" i="17" s="1"/>
  <c r="J5" i="17"/>
  <c r="L7" i="17"/>
  <c r="M7" i="17" s="1"/>
  <c r="K8" i="17"/>
  <c r="M8" i="17" s="1"/>
  <c r="L4" i="17"/>
  <c r="K13" i="17"/>
  <c r="K4" i="17"/>
  <c r="I16" i="10"/>
  <c r="I17" i="10"/>
  <c r="I18" i="10"/>
  <c r="I19" i="10"/>
  <c r="I20" i="10"/>
  <c r="I21" i="10"/>
  <c r="I22" i="10"/>
  <c r="I23" i="10"/>
  <c r="I24" i="10"/>
  <c r="I25" i="10"/>
  <c r="I15" i="10"/>
  <c r="AD7" i="18" l="1"/>
  <c r="S8" i="18"/>
  <c r="AC8" i="18"/>
  <c r="AB8" i="18"/>
  <c r="R8" i="18"/>
  <c r="T7" i="18"/>
  <c r="AA9" i="18"/>
  <c r="Q9" i="18"/>
  <c r="M13" i="17"/>
  <c r="M6" i="17"/>
  <c r="K30" i="17"/>
  <c r="P4" i="17"/>
  <c r="L30" i="17"/>
  <c r="Q4" i="17"/>
  <c r="M10" i="17"/>
  <c r="M5" i="17"/>
  <c r="O5" i="17"/>
  <c r="Y5" i="17"/>
  <c r="J30" i="17"/>
  <c r="M11" i="17"/>
  <c r="M4" i="17"/>
  <c r="C21" i="13"/>
  <c r="C19" i="13"/>
  <c r="R4" i="17" l="1"/>
  <c r="T8" i="18"/>
  <c r="AD8" i="18"/>
  <c r="AC9" i="18"/>
  <c r="S9" i="18"/>
  <c r="Q10" i="18"/>
  <c r="AA10" i="18"/>
  <c r="R9" i="18"/>
  <c r="AB9" i="18"/>
  <c r="Y6" i="17"/>
  <c r="O6" i="17"/>
  <c r="Q5" i="17"/>
  <c r="AA5" i="17"/>
  <c r="P5" i="17"/>
  <c r="Z5" i="17"/>
  <c r="M30" i="17"/>
  <c r="C17" i="13"/>
  <c r="D17" i="13" s="1"/>
  <c r="C15" i="13"/>
  <c r="D15" i="13" s="1"/>
  <c r="T9" i="18" l="1"/>
  <c r="AD9" i="18"/>
  <c r="AB10" i="18"/>
  <c r="R10" i="18"/>
  <c r="AA11" i="18"/>
  <c r="Q11" i="18"/>
  <c r="S10" i="18"/>
  <c r="AC10" i="18"/>
  <c r="Q6" i="17"/>
  <c r="AA6" i="17"/>
  <c r="P6" i="17"/>
  <c r="Z6" i="17"/>
  <c r="Y7" i="17"/>
  <c r="O7" i="17"/>
  <c r="AB5" i="17"/>
  <c r="R5" i="17"/>
  <c r="C13" i="13"/>
  <c r="D13" i="13" s="1"/>
  <c r="C11" i="13"/>
  <c r="D11" i="13" s="1"/>
  <c r="S14" i="10"/>
  <c r="R14" i="10"/>
  <c r="AD10" i="18" l="1"/>
  <c r="AC11" i="18"/>
  <c r="S11" i="18"/>
  <c r="Q12" i="18"/>
  <c r="AA12" i="18"/>
  <c r="R11" i="18"/>
  <c r="AB11" i="18"/>
  <c r="T10" i="18"/>
  <c r="AB6" i="17"/>
  <c r="R6" i="17"/>
  <c r="O8" i="17"/>
  <c r="Y8" i="17"/>
  <c r="AA7" i="17"/>
  <c r="Q7" i="17"/>
  <c r="P7" i="17"/>
  <c r="Z7" i="17"/>
  <c r="AK3" i="5"/>
  <c r="AD11" i="18" l="1"/>
  <c r="AB7" i="17"/>
  <c r="Q13" i="18"/>
  <c r="AA13" i="18"/>
  <c r="S12" i="18"/>
  <c r="AC12" i="18"/>
  <c r="R12" i="18"/>
  <c r="AB12" i="18"/>
  <c r="T11" i="18"/>
  <c r="R7" i="17"/>
  <c r="Y9" i="17"/>
  <c r="O9" i="17"/>
  <c r="AA8" i="17"/>
  <c r="Q8" i="17"/>
  <c r="Z8" i="17"/>
  <c r="P8" i="17"/>
  <c r="AJ3" i="5"/>
  <c r="D5" i="12"/>
  <c r="D6" i="12"/>
  <c r="D7" i="12"/>
  <c r="D4" i="12"/>
  <c r="C25" i="13"/>
  <c r="D25" i="13" s="1"/>
  <c r="C23" i="13"/>
  <c r="D23" i="13" s="1"/>
  <c r="D19" i="13"/>
  <c r="C9" i="13"/>
  <c r="C7" i="13"/>
  <c r="AD12" i="18" l="1"/>
  <c r="AB13" i="18"/>
  <c r="R13" i="18"/>
  <c r="Q14" i="18"/>
  <c r="AA14" i="18"/>
  <c r="S13" i="18"/>
  <c r="AC13" i="18"/>
  <c r="T12" i="18"/>
  <c r="AB8" i="17"/>
  <c r="O10" i="17"/>
  <c r="Y10" i="17"/>
  <c r="Q9" i="17"/>
  <c r="AA9" i="17"/>
  <c r="Z9" i="17"/>
  <c r="P9" i="17"/>
  <c r="R8" i="17"/>
  <c r="D21" i="13"/>
  <c r="V15" i="18" l="1"/>
  <c r="Q15" i="18"/>
  <c r="AA15" i="18"/>
  <c r="AD13" i="18"/>
  <c r="S14" i="18"/>
  <c r="AC14" i="18"/>
  <c r="W14" i="18"/>
  <c r="R14" i="18"/>
  <c r="AB14" i="18"/>
  <c r="T13" i="18"/>
  <c r="AB9" i="17"/>
  <c r="P10" i="17"/>
  <c r="Z10" i="17"/>
  <c r="O11" i="17"/>
  <c r="Y11" i="17"/>
  <c r="Q10" i="17"/>
  <c r="AA10" i="17"/>
  <c r="R9" i="17"/>
  <c r="D30" i="5"/>
  <c r="AE4" i="5"/>
  <c r="AF4" i="5"/>
  <c r="AD4" i="5"/>
  <c r="AB4" i="5"/>
  <c r="W4" i="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" i="14"/>
  <c r="C34" i="12"/>
  <c r="D34" i="12"/>
  <c r="B34" i="12"/>
  <c r="R15" i="18" l="1"/>
  <c r="W15" i="18"/>
  <c r="AB15" i="18"/>
  <c r="V16" i="18"/>
  <c r="AA16" i="18"/>
  <c r="Q16" i="18"/>
  <c r="X15" i="18"/>
  <c r="AC15" i="18"/>
  <c r="S15" i="18"/>
  <c r="AF15" i="18"/>
  <c r="X5" i="18"/>
  <c r="AH5" i="18" s="1"/>
  <c r="X6" i="18"/>
  <c r="AH6" i="18" s="1"/>
  <c r="X7" i="18"/>
  <c r="AH7" i="18" s="1"/>
  <c r="X8" i="18"/>
  <c r="AH8" i="18" s="1"/>
  <c r="X9" i="18"/>
  <c r="AH9" i="18" s="1"/>
  <c r="X10" i="18"/>
  <c r="AH10" i="18" s="1"/>
  <c r="X11" i="18"/>
  <c r="AH11" i="18" s="1"/>
  <c r="X12" i="18"/>
  <c r="AH12" i="18" s="1"/>
  <c r="X13" i="18"/>
  <c r="AH13" i="18" s="1"/>
  <c r="W5" i="18"/>
  <c r="AG5" i="18" s="1"/>
  <c r="W6" i="18"/>
  <c r="AG6" i="18" s="1"/>
  <c r="W7" i="18"/>
  <c r="AG7" i="18" s="1"/>
  <c r="W8" i="18"/>
  <c r="AG8" i="18" s="1"/>
  <c r="W9" i="18"/>
  <c r="AG9" i="18" s="1"/>
  <c r="W10" i="18"/>
  <c r="AG10" i="18" s="1"/>
  <c r="W11" i="18"/>
  <c r="AG11" i="18" s="1"/>
  <c r="W12" i="18"/>
  <c r="AG12" i="18" s="1"/>
  <c r="W13" i="18"/>
  <c r="AG13" i="18" s="1"/>
  <c r="U10" i="17"/>
  <c r="AE10" i="17" s="1"/>
  <c r="X14" i="18"/>
  <c r="AH14" i="18" s="1"/>
  <c r="V5" i="18"/>
  <c r="V6" i="18"/>
  <c r="V7" i="18"/>
  <c r="V8" i="18"/>
  <c r="V9" i="18"/>
  <c r="V10" i="18"/>
  <c r="V11" i="18"/>
  <c r="V12" i="18"/>
  <c r="V13" i="18"/>
  <c r="V14" i="18"/>
  <c r="AF14" i="18" s="1"/>
  <c r="T14" i="18"/>
  <c r="AG14" i="18"/>
  <c r="AD14" i="18"/>
  <c r="V5" i="17"/>
  <c r="AF5" i="17" s="1"/>
  <c r="V6" i="17"/>
  <c r="AF6" i="17" s="1"/>
  <c r="V7" i="17"/>
  <c r="AF7" i="17" s="1"/>
  <c r="V8" i="17"/>
  <c r="AF8" i="17" s="1"/>
  <c r="V9" i="17"/>
  <c r="AF9" i="17" s="1"/>
  <c r="V10" i="17"/>
  <c r="AF10" i="17" s="1"/>
  <c r="T5" i="17"/>
  <c r="T6" i="17"/>
  <c r="T7" i="17"/>
  <c r="AD7" i="17" s="1"/>
  <c r="T8" i="17"/>
  <c r="T9" i="17"/>
  <c r="T10" i="17"/>
  <c r="AD10" i="17" s="1"/>
  <c r="U5" i="17"/>
  <c r="AE5" i="17" s="1"/>
  <c r="U6" i="17"/>
  <c r="AE6" i="17" s="1"/>
  <c r="U7" i="17"/>
  <c r="U8" i="17"/>
  <c r="AE8" i="17" s="1"/>
  <c r="U9" i="17"/>
  <c r="AE9" i="17" s="1"/>
  <c r="T11" i="17"/>
  <c r="AD11" i="17" s="1"/>
  <c r="AB10" i="17"/>
  <c r="R10" i="17"/>
  <c r="T12" i="17"/>
  <c r="Y12" i="17"/>
  <c r="O12" i="17"/>
  <c r="V11" i="17"/>
  <c r="AA11" i="17"/>
  <c r="Q11" i="17"/>
  <c r="Z11" i="17"/>
  <c r="U11" i="17"/>
  <c r="P11" i="17"/>
  <c r="AK4" i="5"/>
  <c r="AJ4" i="5"/>
  <c r="AG4" i="5"/>
  <c r="AH15" i="18" l="1"/>
  <c r="AD15" i="18"/>
  <c r="Y15" i="18"/>
  <c r="AF16" i="18"/>
  <c r="AC16" i="18"/>
  <c r="S16" i="18"/>
  <c r="X16" i="18"/>
  <c r="T15" i="18"/>
  <c r="AG15" i="18"/>
  <c r="AL15" i="18" s="1"/>
  <c r="V17" i="18"/>
  <c r="AA17" i="18"/>
  <c r="Q17" i="18"/>
  <c r="AB16" i="18"/>
  <c r="R16" i="18"/>
  <c r="T16" i="18" s="1"/>
  <c r="W16" i="18"/>
  <c r="AF12" i="18"/>
  <c r="Y12" i="18"/>
  <c r="AF8" i="18"/>
  <c r="Y8" i="18"/>
  <c r="Y14" i="18"/>
  <c r="AF11" i="18"/>
  <c r="Y11" i="18"/>
  <c r="AF7" i="18"/>
  <c r="Y7" i="18"/>
  <c r="AF10" i="18"/>
  <c r="Y10" i="18"/>
  <c r="AF6" i="18"/>
  <c r="Y6" i="18"/>
  <c r="AF13" i="18"/>
  <c r="Y13" i="18"/>
  <c r="AF9" i="18"/>
  <c r="Y9" i="18"/>
  <c r="AF5" i="18"/>
  <c r="Y5" i="18"/>
  <c r="AI14" i="18"/>
  <c r="AM14" i="18"/>
  <c r="AL14" i="18"/>
  <c r="AD8" i="17"/>
  <c r="AG8" i="17" s="1"/>
  <c r="W8" i="17"/>
  <c r="AD6" i="17"/>
  <c r="W6" i="17"/>
  <c r="W10" i="17"/>
  <c r="W7" i="17"/>
  <c r="AE7" i="17"/>
  <c r="AJ7" i="17" s="1"/>
  <c r="AD9" i="17"/>
  <c r="W9" i="17"/>
  <c r="AD5" i="17"/>
  <c r="W5" i="17"/>
  <c r="W11" i="17"/>
  <c r="AB11" i="17"/>
  <c r="AG10" i="17"/>
  <c r="AF11" i="17"/>
  <c r="AK10" i="17"/>
  <c r="AJ10" i="17"/>
  <c r="Z12" i="17"/>
  <c r="P12" i="17"/>
  <c r="U12" i="17"/>
  <c r="T13" i="17"/>
  <c r="Y13" i="17"/>
  <c r="O13" i="17"/>
  <c r="V12" i="17"/>
  <c r="AA12" i="17"/>
  <c r="Q12" i="17"/>
  <c r="R11" i="17"/>
  <c r="AD12" i="17"/>
  <c r="AE11" i="17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G15" i="10"/>
  <c r="H15" i="10"/>
  <c r="F15" i="10"/>
  <c r="C20" i="12"/>
  <c r="C21" i="12"/>
  <c r="C22" i="12"/>
  <c r="C23" i="12"/>
  <c r="C24" i="12"/>
  <c r="C25" i="12"/>
  <c r="C26" i="12"/>
  <c r="C27" i="12"/>
  <c r="C28" i="12"/>
  <c r="C19" i="12"/>
  <c r="AH16" i="18" l="1"/>
  <c r="AM15" i="18"/>
  <c r="AI15" i="18"/>
  <c r="Y16" i="18"/>
  <c r="AF17" i="18"/>
  <c r="AD16" i="18"/>
  <c r="AG16" i="18"/>
  <c r="AM16" i="18" s="1"/>
  <c r="X17" i="18"/>
  <c r="AC17" i="18"/>
  <c r="S17" i="18"/>
  <c r="R17" i="18"/>
  <c r="AB17" i="18"/>
  <c r="W17" i="18"/>
  <c r="Q18" i="18"/>
  <c r="V18" i="18"/>
  <c r="AA18" i="18"/>
  <c r="AI5" i="18"/>
  <c r="AM5" i="18"/>
  <c r="AL5" i="18"/>
  <c r="AM13" i="18"/>
  <c r="AL13" i="18"/>
  <c r="AI13" i="18"/>
  <c r="AI10" i="18"/>
  <c r="AM10" i="18"/>
  <c r="AL10" i="18"/>
  <c r="AI11" i="18"/>
  <c r="AL11" i="18"/>
  <c r="AM11" i="18"/>
  <c r="AI8" i="18"/>
  <c r="AM8" i="18"/>
  <c r="AL8" i="18"/>
  <c r="AM9" i="18"/>
  <c r="AL9" i="18"/>
  <c r="AI9" i="18"/>
  <c r="R12" i="17"/>
  <c r="AL6" i="18"/>
  <c r="AM6" i="18"/>
  <c r="AI6" i="18"/>
  <c r="AI7" i="18"/>
  <c r="AM7" i="18"/>
  <c r="AL7" i="18"/>
  <c r="AI12" i="18"/>
  <c r="AL12" i="18"/>
  <c r="AM12" i="18"/>
  <c r="AK7" i="17"/>
  <c r="AJ8" i="17"/>
  <c r="AK8" i="17"/>
  <c r="AJ6" i="17"/>
  <c r="AK6" i="17"/>
  <c r="AG7" i="17"/>
  <c r="AJ5" i="17"/>
  <c r="AG5" i="17"/>
  <c r="AK5" i="17"/>
  <c r="AG9" i="17"/>
  <c r="AK9" i="17"/>
  <c r="AJ9" i="17"/>
  <c r="AG6" i="17"/>
  <c r="AG11" i="17"/>
  <c r="W12" i="17"/>
  <c r="AB12" i="17"/>
  <c r="AK11" i="17"/>
  <c r="U13" i="17"/>
  <c r="P13" i="17"/>
  <c r="Z13" i="17"/>
  <c r="O14" i="17"/>
  <c r="Y14" i="17"/>
  <c r="T14" i="17"/>
  <c r="AD13" i="17"/>
  <c r="Q13" i="17"/>
  <c r="AA13" i="17"/>
  <c r="V13" i="17"/>
  <c r="AE12" i="17"/>
  <c r="AJ11" i="17"/>
  <c r="AF12" i="17"/>
  <c r="C29" i="12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AL16" i="18" l="1"/>
  <c r="AA30" i="18"/>
  <c r="AD17" i="18"/>
  <c r="AF18" i="18"/>
  <c r="AF30" i="18" s="1"/>
  <c r="V30" i="18"/>
  <c r="W18" i="18"/>
  <c r="AB18" i="18"/>
  <c r="R18" i="18"/>
  <c r="AH17" i="18"/>
  <c r="Y15" i="17"/>
  <c r="T15" i="17"/>
  <c r="O15" i="17"/>
  <c r="AI16" i="18"/>
  <c r="T17" i="18"/>
  <c r="AG17" i="18"/>
  <c r="AM17" i="18" s="1"/>
  <c r="AC18" i="18"/>
  <c r="AC30" i="18" s="1"/>
  <c r="X18" i="18"/>
  <c r="S18" i="18"/>
  <c r="Y17" i="18"/>
  <c r="F13" i="14"/>
  <c r="H13" i="14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G13" i="14"/>
  <c r="AF13" i="17"/>
  <c r="AG12" i="17"/>
  <c r="AB13" i="17"/>
  <c r="AD14" i="17"/>
  <c r="Q14" i="17"/>
  <c r="AA14" i="17"/>
  <c r="V14" i="17"/>
  <c r="AJ12" i="17"/>
  <c r="U14" i="17"/>
  <c r="P14" i="17"/>
  <c r="Z14" i="17"/>
  <c r="W13" i="17"/>
  <c r="R13" i="17"/>
  <c r="AK12" i="17"/>
  <c r="AE13" i="17"/>
  <c r="F14" i="14"/>
  <c r="I26" i="10"/>
  <c r="K18" i="5"/>
  <c r="L18" i="5"/>
  <c r="J18" i="5"/>
  <c r="J24" i="5"/>
  <c r="K24" i="5"/>
  <c r="L24" i="5"/>
  <c r="L23" i="5"/>
  <c r="J23" i="5"/>
  <c r="K23" i="5"/>
  <c r="L15" i="5"/>
  <c r="J15" i="5"/>
  <c r="K15" i="5"/>
  <c r="K25" i="5"/>
  <c r="L25" i="5"/>
  <c r="J25" i="5"/>
  <c r="J22" i="5"/>
  <c r="K22" i="5"/>
  <c r="L22" i="5"/>
  <c r="J27" i="5"/>
  <c r="L27" i="5"/>
  <c r="K27" i="5"/>
  <c r="J16" i="5"/>
  <c r="K16" i="5"/>
  <c r="L16" i="5"/>
  <c r="J29" i="5"/>
  <c r="K29" i="5"/>
  <c r="L29" i="5"/>
  <c r="J21" i="5"/>
  <c r="K21" i="5"/>
  <c r="L21" i="5"/>
  <c r="J19" i="5"/>
  <c r="K19" i="5"/>
  <c r="L19" i="5"/>
  <c r="K26" i="5"/>
  <c r="L26" i="5"/>
  <c r="J26" i="5"/>
  <c r="J17" i="5"/>
  <c r="L17" i="5"/>
  <c r="K17" i="5"/>
  <c r="L28" i="5"/>
  <c r="J28" i="5"/>
  <c r="K28" i="5"/>
  <c r="J20" i="5"/>
  <c r="L20" i="5"/>
  <c r="K20" i="5"/>
  <c r="E13" i="14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D13" i="14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C13" i="14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AD18" i="18" l="1"/>
  <c r="T18" i="18"/>
  <c r="AD30" i="18"/>
  <c r="AG18" i="18"/>
  <c r="AG30" i="18" s="1"/>
  <c r="U15" i="17"/>
  <c r="Z15" i="17"/>
  <c r="AB15" i="17" s="1"/>
  <c r="P15" i="17"/>
  <c r="Y16" i="17"/>
  <c r="T16" i="17"/>
  <c r="O16" i="17"/>
  <c r="AI17" i="18"/>
  <c r="AA15" i="17"/>
  <c r="V15" i="17"/>
  <c r="Q15" i="17"/>
  <c r="W30" i="18"/>
  <c r="AD15" i="17"/>
  <c r="Y18" i="18"/>
  <c r="Y30" i="18" s="1"/>
  <c r="AL17" i="18"/>
  <c r="AB30" i="18"/>
  <c r="AH18" i="18"/>
  <c r="X30" i="18"/>
  <c r="G14" i="14"/>
  <c r="J15" i="18"/>
  <c r="AK13" i="17"/>
  <c r="R14" i="17"/>
  <c r="AG13" i="17"/>
  <c r="AJ13" i="17"/>
  <c r="AF14" i="17"/>
  <c r="AB14" i="17"/>
  <c r="AE14" i="17"/>
  <c r="W14" i="17"/>
  <c r="F15" i="14"/>
  <c r="I27" i="10"/>
  <c r="H26" i="10"/>
  <c r="F26" i="10"/>
  <c r="Z23" i="5"/>
  <c r="Z26" i="5"/>
  <c r="Z28" i="5"/>
  <c r="Z27" i="5"/>
  <c r="Z29" i="5"/>
  <c r="Z24" i="5"/>
  <c r="Z25" i="5"/>
  <c r="Z21" i="5"/>
  <c r="Z22" i="5"/>
  <c r="Z19" i="5"/>
  <c r="Z20" i="5"/>
  <c r="U20" i="5"/>
  <c r="U26" i="5"/>
  <c r="U21" i="5"/>
  <c r="U22" i="5"/>
  <c r="U28" i="5"/>
  <c r="U23" i="5"/>
  <c r="U19" i="5"/>
  <c r="U25" i="5"/>
  <c r="U24" i="5"/>
  <c r="U29" i="5"/>
  <c r="U27" i="5"/>
  <c r="G26" i="10"/>
  <c r="G27" i="10"/>
  <c r="H27" i="10"/>
  <c r="F27" i="10"/>
  <c r="C14" i="12"/>
  <c r="C13" i="12"/>
  <c r="C12" i="12"/>
  <c r="C11" i="12"/>
  <c r="D11" i="12" s="1"/>
  <c r="AM18" i="18" l="1"/>
  <c r="W15" i="17"/>
  <c r="R15" i="17"/>
  <c r="AF15" i="17"/>
  <c r="AE15" i="17"/>
  <c r="AK15" i="17" s="1"/>
  <c r="T25" i="13"/>
  <c r="AM30" i="18"/>
  <c r="AH30" i="18"/>
  <c r="AG15" i="17"/>
  <c r="AL18" i="18"/>
  <c r="AL30" i="18" s="1"/>
  <c r="V16" i="17"/>
  <c r="AA16" i="17"/>
  <c r="Q16" i="17"/>
  <c r="AI18" i="18"/>
  <c r="T11" i="13" s="1"/>
  <c r="Y17" i="17"/>
  <c r="T17" i="17"/>
  <c r="O17" i="17"/>
  <c r="AD16" i="17"/>
  <c r="Z16" i="17"/>
  <c r="U16" i="17"/>
  <c r="P16" i="17"/>
  <c r="R16" i="17" s="1"/>
  <c r="G15" i="14"/>
  <c r="J16" i="18"/>
  <c r="AK14" i="17"/>
  <c r="AG14" i="17"/>
  <c r="AJ14" i="17"/>
  <c r="F16" i="14"/>
  <c r="I28" i="10"/>
  <c r="AE23" i="5"/>
  <c r="AE22" i="5"/>
  <c r="AE28" i="5"/>
  <c r="AE24" i="5"/>
  <c r="AE25" i="5"/>
  <c r="AE20" i="5"/>
  <c r="AE19" i="5"/>
  <c r="AE21" i="5"/>
  <c r="AE27" i="5"/>
  <c r="AE26" i="5"/>
  <c r="AE29" i="5"/>
  <c r="F28" i="10"/>
  <c r="H28" i="10"/>
  <c r="D12" i="12"/>
  <c r="D13" i="12" s="1"/>
  <c r="D14" i="12" s="1"/>
  <c r="C12" i="1" s="1"/>
  <c r="G28" i="10"/>
  <c r="F10" i="10"/>
  <c r="G10" i="10"/>
  <c r="AJ15" i="17" l="1"/>
  <c r="AB16" i="17"/>
  <c r="W16" i="17"/>
  <c r="T15" i="13"/>
  <c r="Z17" i="17"/>
  <c r="U17" i="17"/>
  <c r="P17" i="17"/>
  <c r="AD17" i="17"/>
  <c r="AF16" i="17"/>
  <c r="AI30" i="18"/>
  <c r="T21" i="13"/>
  <c r="AE16" i="17"/>
  <c r="T13" i="13"/>
  <c r="T17" i="13"/>
  <c r="T20" i="13"/>
  <c r="T16" i="13"/>
  <c r="T12" i="13"/>
  <c r="T9" i="13"/>
  <c r="T24" i="13"/>
  <c r="T19" i="13"/>
  <c r="T23" i="13"/>
  <c r="O18" i="17"/>
  <c r="T18" i="17"/>
  <c r="T30" i="17" s="1"/>
  <c r="Y18" i="17"/>
  <c r="V17" i="17"/>
  <c r="Q17" i="17"/>
  <c r="AA17" i="17"/>
  <c r="T8" i="13"/>
  <c r="T7" i="13"/>
  <c r="AR3" i="18"/>
  <c r="AQ3" i="18"/>
  <c r="AP3" i="18"/>
  <c r="G16" i="14"/>
  <c r="J17" i="18"/>
  <c r="D8" i="13"/>
  <c r="AO3" i="17"/>
  <c r="AN3" i="17"/>
  <c r="AP3" i="17"/>
  <c r="F17" i="14"/>
  <c r="I29" i="10"/>
  <c r="D7" i="13"/>
  <c r="D9" i="13"/>
  <c r="AP3" i="5"/>
  <c r="AO3" i="5"/>
  <c r="V14" i="10"/>
  <c r="AN3" i="5"/>
  <c r="X14" i="10"/>
  <c r="W14" i="10"/>
  <c r="G29" i="10"/>
  <c r="H29" i="10"/>
  <c r="F29" i="10"/>
  <c r="H10" i="10"/>
  <c r="AK16" i="17" l="1"/>
  <c r="R17" i="17"/>
  <c r="AF17" i="17"/>
  <c r="P18" i="17"/>
  <c r="U18" i="17"/>
  <c r="Z18" i="17"/>
  <c r="Z30" i="17" s="1"/>
  <c r="AD18" i="17"/>
  <c r="AB17" i="17"/>
  <c r="AJ16" i="17"/>
  <c r="AE17" i="17"/>
  <c r="Y30" i="17"/>
  <c r="AA18" i="17"/>
  <c r="AA30" i="17" s="1"/>
  <c r="Q18" i="17"/>
  <c r="V18" i="17"/>
  <c r="W17" i="17"/>
  <c r="AG16" i="17"/>
  <c r="G17" i="14"/>
  <c r="J18" i="18"/>
  <c r="I30" i="10"/>
  <c r="F18" i="14"/>
  <c r="H30" i="10"/>
  <c r="F30" i="10"/>
  <c r="G30" i="10"/>
  <c r="AG17" i="17" l="1"/>
  <c r="AJ17" i="17"/>
  <c r="AK17" i="17"/>
  <c r="W18" i="17"/>
  <c r="W30" i="17" s="1"/>
  <c r="R18" i="17"/>
  <c r="AE18" i="17"/>
  <c r="AE30" i="17" s="1"/>
  <c r="U30" i="17"/>
  <c r="AF18" i="17"/>
  <c r="AF30" i="17" s="1"/>
  <c r="AB18" i="17"/>
  <c r="AB30" i="17" s="1"/>
  <c r="V30" i="17"/>
  <c r="AD30" i="17"/>
  <c r="G18" i="14"/>
  <c r="J19" i="18"/>
  <c r="F19" i="14"/>
  <c r="I31" i="10"/>
  <c r="G31" i="10"/>
  <c r="F31" i="10"/>
  <c r="H31" i="10"/>
  <c r="G8" i="10"/>
  <c r="G9" i="10"/>
  <c r="H9" i="10" s="1"/>
  <c r="F6" i="10"/>
  <c r="AK18" i="17" l="1"/>
  <c r="O25" i="13" s="1"/>
  <c r="AG18" i="17"/>
  <c r="O8" i="13" s="1"/>
  <c r="AK30" i="17"/>
  <c r="O17" i="13"/>
  <c r="O24" i="13"/>
  <c r="O11" i="13"/>
  <c r="AJ18" i="17"/>
  <c r="O19" i="13"/>
  <c r="O15" i="13"/>
  <c r="O9" i="13"/>
  <c r="G19" i="14"/>
  <c r="J20" i="18"/>
  <c r="F20" i="14"/>
  <c r="I32" i="10"/>
  <c r="H32" i="10"/>
  <c r="F32" i="10"/>
  <c r="G32" i="10"/>
  <c r="G6" i="10"/>
  <c r="H8" i="10"/>
  <c r="H6" i="10" s="1"/>
  <c r="AG30" i="17" l="1"/>
  <c r="O12" i="13"/>
  <c r="O13" i="13"/>
  <c r="O21" i="13"/>
  <c r="O16" i="13"/>
  <c r="O7" i="13"/>
  <c r="O20" i="13"/>
  <c r="O23" i="13"/>
  <c r="AJ30" i="17"/>
  <c r="G20" i="14"/>
  <c r="J21" i="18"/>
  <c r="F21" i="14"/>
  <c r="I33" i="10"/>
  <c r="G33" i="10"/>
  <c r="F33" i="10"/>
  <c r="H33" i="10"/>
  <c r="H5" i="10"/>
  <c r="H7" i="10" s="1"/>
  <c r="G5" i="10"/>
  <c r="F5" i="10"/>
  <c r="F7" i="10" s="1"/>
  <c r="G21" i="14" l="1"/>
  <c r="J22" i="18"/>
  <c r="K18" i="10"/>
  <c r="K22" i="10"/>
  <c r="K26" i="10"/>
  <c r="K30" i="10"/>
  <c r="K19" i="10"/>
  <c r="K23" i="10"/>
  <c r="K27" i="10"/>
  <c r="K31" i="10"/>
  <c r="K16" i="10"/>
  <c r="K20" i="10"/>
  <c r="K24" i="10"/>
  <c r="K28" i="10"/>
  <c r="K32" i="10"/>
  <c r="K17" i="10"/>
  <c r="K21" i="10"/>
  <c r="K25" i="10"/>
  <c r="K29" i="10"/>
  <c r="K33" i="10"/>
  <c r="K15" i="10"/>
  <c r="L16" i="10"/>
  <c r="L20" i="10"/>
  <c r="L24" i="10"/>
  <c r="L28" i="10"/>
  <c r="L32" i="10"/>
  <c r="L17" i="10"/>
  <c r="L21" i="10"/>
  <c r="L25" i="10"/>
  <c r="L29" i="10"/>
  <c r="L33" i="10"/>
  <c r="L15" i="10"/>
  <c r="L18" i="10"/>
  <c r="L22" i="10"/>
  <c r="L26" i="10"/>
  <c r="L30" i="10"/>
  <c r="L19" i="10"/>
  <c r="L23" i="10"/>
  <c r="L27" i="10"/>
  <c r="L31" i="10"/>
  <c r="F22" i="14"/>
  <c r="I34" i="10"/>
  <c r="G7" i="10"/>
  <c r="F34" i="10"/>
  <c r="K34" i="10" s="1"/>
  <c r="H34" i="10"/>
  <c r="G34" i="10"/>
  <c r="L34" i="10" s="1"/>
  <c r="M16" i="10" l="1"/>
  <c r="M20" i="10"/>
  <c r="M24" i="10"/>
  <c r="M28" i="10"/>
  <c r="M32" i="10"/>
  <c r="M17" i="10"/>
  <c r="N17" i="10" s="1"/>
  <c r="M21" i="10"/>
  <c r="M25" i="10"/>
  <c r="N25" i="10" s="1"/>
  <c r="M29" i="10"/>
  <c r="M33" i="10"/>
  <c r="N33" i="10" s="1"/>
  <c r="M15" i="10"/>
  <c r="N15" i="10" s="1"/>
  <c r="O15" i="10" s="1"/>
  <c r="M18" i="10"/>
  <c r="M22" i="10"/>
  <c r="M26" i="10"/>
  <c r="M30" i="10"/>
  <c r="M34" i="10"/>
  <c r="M19" i="10"/>
  <c r="M23" i="10"/>
  <c r="N23" i="10" s="1"/>
  <c r="M27" i="10"/>
  <c r="M31" i="10"/>
  <c r="G22" i="14"/>
  <c r="J23" i="18"/>
  <c r="N21" i="10"/>
  <c r="N29" i="10"/>
  <c r="N18" i="10"/>
  <c r="N22" i="10"/>
  <c r="N26" i="10"/>
  <c r="N30" i="10"/>
  <c r="N19" i="10"/>
  <c r="N27" i="10"/>
  <c r="N31" i="10"/>
  <c r="N16" i="10"/>
  <c r="O16" i="10" s="1"/>
  <c r="N24" i="10"/>
  <c r="N28" i="10"/>
  <c r="N32" i="10"/>
  <c r="N34" i="10"/>
  <c r="F23" i="14"/>
  <c r="I35" i="10"/>
  <c r="N20" i="10"/>
  <c r="H35" i="10"/>
  <c r="F35" i="10"/>
  <c r="K35" i="10" s="1"/>
  <c r="G35" i="10"/>
  <c r="L35" i="10" s="1"/>
  <c r="G23" i="14" l="1"/>
  <c r="J24" i="18"/>
  <c r="M35" i="10"/>
  <c r="F24" i="14"/>
  <c r="I36" i="10"/>
  <c r="V15" i="10"/>
  <c r="AP4" i="18" s="1"/>
  <c r="S15" i="10"/>
  <c r="N35" i="10"/>
  <c r="O35" i="10" s="1"/>
  <c r="R15" i="10"/>
  <c r="O28" i="10"/>
  <c r="O34" i="10"/>
  <c r="O26" i="10"/>
  <c r="O32" i="10"/>
  <c r="O31" i="10"/>
  <c r="H36" i="10"/>
  <c r="O33" i="10"/>
  <c r="G36" i="10"/>
  <c r="M36" i="10" s="1"/>
  <c r="O21" i="10"/>
  <c r="O29" i="10"/>
  <c r="O20" i="10"/>
  <c r="O27" i="10"/>
  <c r="F36" i="10"/>
  <c r="K36" i="10" s="1"/>
  <c r="O18" i="10"/>
  <c r="V18" i="10" s="1"/>
  <c r="AP7" i="18" s="1"/>
  <c r="O30" i="10"/>
  <c r="O23" i="10"/>
  <c r="O22" i="10"/>
  <c r="O25" i="10"/>
  <c r="O19" i="10"/>
  <c r="O17" i="10"/>
  <c r="V17" i="10" s="1"/>
  <c r="AP6" i="18" s="1"/>
  <c r="O24" i="10"/>
  <c r="C20" i="9"/>
  <c r="G24" i="14" l="1"/>
  <c r="J25" i="18"/>
  <c r="L36" i="10"/>
  <c r="AN6" i="17"/>
  <c r="AN7" i="17"/>
  <c r="AN4" i="17"/>
  <c r="F25" i="14"/>
  <c r="I37" i="10"/>
  <c r="D17" i="9"/>
  <c r="D18" i="9"/>
  <c r="D15" i="9"/>
  <c r="D19" i="9"/>
  <c r="D16" i="9"/>
  <c r="D14" i="9"/>
  <c r="S24" i="10"/>
  <c r="R24" i="10"/>
  <c r="W22" i="10"/>
  <c r="AQ11" i="18" s="1"/>
  <c r="S22" i="10"/>
  <c r="R22" i="10"/>
  <c r="R17" i="10"/>
  <c r="S17" i="10"/>
  <c r="S23" i="10"/>
  <c r="R23" i="10"/>
  <c r="S21" i="10"/>
  <c r="R21" i="10"/>
  <c r="S19" i="10"/>
  <c r="R19" i="10"/>
  <c r="B4" i="9"/>
  <c r="S25" i="10"/>
  <c r="R25" i="10"/>
  <c r="W18" i="10"/>
  <c r="AQ7" i="18" s="1"/>
  <c r="S18" i="10"/>
  <c r="R18" i="10"/>
  <c r="S20" i="10"/>
  <c r="R20" i="10"/>
  <c r="V16" i="10"/>
  <c r="AP5" i="18" s="1"/>
  <c r="R16" i="10"/>
  <c r="S16" i="10"/>
  <c r="R31" i="10"/>
  <c r="S31" i="10"/>
  <c r="W30" i="10"/>
  <c r="AQ19" i="18" s="1"/>
  <c r="S30" i="10"/>
  <c r="R30" i="10"/>
  <c r="R33" i="10"/>
  <c r="S33" i="10"/>
  <c r="R27" i="10"/>
  <c r="S27" i="10"/>
  <c r="R35" i="10"/>
  <c r="S35" i="10"/>
  <c r="W32" i="10"/>
  <c r="AQ21" i="18" s="1"/>
  <c r="R32" i="10"/>
  <c r="S32" i="10"/>
  <c r="S26" i="10"/>
  <c r="R26" i="10"/>
  <c r="S29" i="10"/>
  <c r="R29" i="10"/>
  <c r="S34" i="10"/>
  <c r="R34" i="10"/>
  <c r="S28" i="10"/>
  <c r="R28" i="10"/>
  <c r="X28" i="10"/>
  <c r="AR17" i="18" s="1"/>
  <c r="V20" i="10"/>
  <c r="AP9" i="18" s="1"/>
  <c r="W28" i="10"/>
  <c r="AQ17" i="18" s="1"/>
  <c r="X18" i="10"/>
  <c r="AR7" i="18" s="1"/>
  <c r="X26" i="10"/>
  <c r="AR15" i="18" s="1"/>
  <c r="W26" i="10"/>
  <c r="AQ15" i="18" s="1"/>
  <c r="V34" i="10"/>
  <c r="AP23" i="18" s="1"/>
  <c r="V28" i="10"/>
  <c r="AP17" i="18" s="1"/>
  <c r="W34" i="10"/>
  <c r="AQ23" i="18" s="1"/>
  <c r="X34" i="10"/>
  <c r="AR23" i="18" s="1"/>
  <c r="V23" i="10"/>
  <c r="AP12" i="18" s="1"/>
  <c r="X23" i="10"/>
  <c r="AR12" i="18" s="1"/>
  <c r="V26" i="10"/>
  <c r="AP15" i="18" s="1"/>
  <c r="V31" i="10"/>
  <c r="AP20" i="18" s="1"/>
  <c r="X27" i="10"/>
  <c r="AR16" i="18" s="1"/>
  <c r="W31" i="10"/>
  <c r="AQ20" i="18" s="1"/>
  <c r="X31" i="10"/>
  <c r="AR20" i="18" s="1"/>
  <c r="X32" i="10"/>
  <c r="AR21" i="18" s="1"/>
  <c r="V32" i="10"/>
  <c r="AP21" i="18" s="1"/>
  <c r="V29" i="10"/>
  <c r="AP18" i="18" s="1"/>
  <c r="W29" i="10"/>
  <c r="AQ18" i="18" s="1"/>
  <c r="W27" i="10"/>
  <c r="AQ16" i="18" s="1"/>
  <c r="V27" i="10"/>
  <c r="AP16" i="18" s="1"/>
  <c r="V30" i="10"/>
  <c r="AP19" i="18" s="1"/>
  <c r="X30" i="10"/>
  <c r="AR19" i="18" s="1"/>
  <c r="X29" i="10"/>
  <c r="AR18" i="18" s="1"/>
  <c r="X21" i="10"/>
  <c r="AR10" i="18" s="1"/>
  <c r="W20" i="10"/>
  <c r="AQ9" i="18" s="1"/>
  <c r="F37" i="10"/>
  <c r="K37" i="10" s="1"/>
  <c r="W33" i="10"/>
  <c r="AQ22" i="18" s="1"/>
  <c r="X33" i="10"/>
  <c r="AR22" i="18" s="1"/>
  <c r="V33" i="10"/>
  <c r="AP22" i="18" s="1"/>
  <c r="V21" i="10"/>
  <c r="AP10" i="18" s="1"/>
  <c r="X20" i="10"/>
  <c r="AR9" i="18" s="1"/>
  <c r="G37" i="10"/>
  <c r="M37" i="10" s="1"/>
  <c r="W21" i="10"/>
  <c r="AQ10" i="18" s="1"/>
  <c r="W35" i="10"/>
  <c r="AQ24" i="18" s="1"/>
  <c r="X35" i="10"/>
  <c r="AR24" i="18" s="1"/>
  <c r="V35" i="10"/>
  <c r="AP24" i="18" s="1"/>
  <c r="H37" i="10"/>
  <c r="W23" i="10"/>
  <c r="AQ12" i="18" s="1"/>
  <c r="X22" i="10"/>
  <c r="AR11" i="18" s="1"/>
  <c r="X15" i="10"/>
  <c r="AR4" i="18" s="1"/>
  <c r="W15" i="10"/>
  <c r="AQ4" i="18" s="1"/>
  <c r="V22" i="10"/>
  <c r="AP11" i="18" s="1"/>
  <c r="W17" i="10"/>
  <c r="AQ6" i="18" s="1"/>
  <c r="X17" i="10"/>
  <c r="AR6" i="18" s="1"/>
  <c r="X16" i="10"/>
  <c r="AR5" i="18" s="1"/>
  <c r="W16" i="10"/>
  <c r="AQ5" i="18" s="1"/>
  <c r="W19" i="10"/>
  <c r="AQ8" i="18" s="1"/>
  <c r="X19" i="10"/>
  <c r="AR8" i="18" s="1"/>
  <c r="V19" i="10"/>
  <c r="AP8" i="18" s="1"/>
  <c r="W24" i="10"/>
  <c r="AQ13" i="18" s="1"/>
  <c r="V24" i="10"/>
  <c r="AP13" i="18" s="1"/>
  <c r="X24" i="10"/>
  <c r="AR13" i="18" s="1"/>
  <c r="X25" i="10"/>
  <c r="AR14" i="18" s="1"/>
  <c r="V25" i="10"/>
  <c r="AP14" i="18" s="1"/>
  <c r="W25" i="10"/>
  <c r="AQ14" i="18" s="1"/>
  <c r="J11" i="5"/>
  <c r="G25" i="14" l="1"/>
  <c r="J26" i="18"/>
  <c r="L37" i="10"/>
  <c r="AO24" i="17"/>
  <c r="AP20" i="17"/>
  <c r="AO23" i="17"/>
  <c r="AO19" i="17"/>
  <c r="AP14" i="17"/>
  <c r="AO14" i="17"/>
  <c r="AN13" i="17"/>
  <c r="AO8" i="17"/>
  <c r="AO6" i="17"/>
  <c r="AP11" i="17"/>
  <c r="AP24" i="17"/>
  <c r="AP9" i="17"/>
  <c r="AO22" i="17"/>
  <c r="AP18" i="17"/>
  <c r="AO16" i="17"/>
  <c r="AP21" i="17"/>
  <c r="AN20" i="17"/>
  <c r="AP23" i="17"/>
  <c r="AO15" i="17"/>
  <c r="AN9" i="17"/>
  <c r="AO21" i="17"/>
  <c r="AO13" i="17"/>
  <c r="AN11" i="17"/>
  <c r="AN10" i="17"/>
  <c r="AO18" i="17"/>
  <c r="AN15" i="17"/>
  <c r="AP15" i="17"/>
  <c r="AO11" i="17"/>
  <c r="AN8" i="17"/>
  <c r="AO10" i="17"/>
  <c r="AN22" i="17"/>
  <c r="AO9" i="17"/>
  <c r="AN19" i="17"/>
  <c r="AN18" i="17"/>
  <c r="AO20" i="17"/>
  <c r="AP12" i="17"/>
  <c r="AN17" i="17"/>
  <c r="AP7" i="17"/>
  <c r="AN14" i="17"/>
  <c r="AO12" i="17"/>
  <c r="AP19" i="17"/>
  <c r="AP17" i="17"/>
  <c r="AP13" i="17"/>
  <c r="AP8" i="17"/>
  <c r="AP6" i="17"/>
  <c r="AN24" i="17"/>
  <c r="AP22" i="17"/>
  <c r="AP10" i="17"/>
  <c r="AN16" i="17"/>
  <c r="AN21" i="17"/>
  <c r="AP16" i="17"/>
  <c r="AN12" i="17"/>
  <c r="AN23" i="17"/>
  <c r="AO17" i="17"/>
  <c r="AO7" i="17"/>
  <c r="AO4" i="17"/>
  <c r="AP4" i="17"/>
  <c r="AP5" i="17"/>
  <c r="AN5" i="17"/>
  <c r="AO5" i="17"/>
  <c r="L4" i="5"/>
  <c r="L10" i="5"/>
  <c r="L11" i="5"/>
  <c r="K11" i="5"/>
  <c r="K14" i="5"/>
  <c r="L5" i="5"/>
  <c r="K7" i="5"/>
  <c r="J14" i="5"/>
  <c r="F26" i="14"/>
  <c r="I38" i="10"/>
  <c r="K13" i="5"/>
  <c r="L6" i="5"/>
  <c r="D20" i="9"/>
  <c r="B25" i="9"/>
  <c r="L12" i="5"/>
  <c r="J13" i="5"/>
  <c r="L13" i="5"/>
  <c r="K12" i="5"/>
  <c r="L7" i="5"/>
  <c r="L14" i="5"/>
  <c r="J7" i="5"/>
  <c r="L8" i="5"/>
  <c r="L9" i="5"/>
  <c r="J12" i="5"/>
  <c r="N36" i="10"/>
  <c r="O36" i="10" s="1"/>
  <c r="H38" i="10"/>
  <c r="F38" i="10"/>
  <c r="K38" i="10" s="1"/>
  <c r="G38" i="10"/>
  <c r="M38" i="10" s="1"/>
  <c r="G26" i="14" l="1"/>
  <c r="J27" i="18"/>
  <c r="L38" i="10"/>
  <c r="F27" i="14"/>
  <c r="I40" i="10" s="1"/>
  <c r="I39" i="10"/>
  <c r="D10" i="9"/>
  <c r="C11" i="9"/>
  <c r="D9" i="9"/>
  <c r="R36" i="10"/>
  <c r="S36" i="10"/>
  <c r="W36" i="10"/>
  <c r="AQ25" i="18" s="1"/>
  <c r="V36" i="10"/>
  <c r="AP25" i="18" s="1"/>
  <c r="X36" i="10"/>
  <c r="AR25" i="18" s="1"/>
  <c r="N37" i="10"/>
  <c r="O37" i="10" s="1"/>
  <c r="F40" i="10"/>
  <c r="K40" i="10" s="1"/>
  <c r="F39" i="10"/>
  <c r="K39" i="10" s="1"/>
  <c r="H40" i="10"/>
  <c r="H39" i="10"/>
  <c r="G40" i="10"/>
  <c r="M40" i="10" s="1"/>
  <c r="G39" i="10"/>
  <c r="M39" i="10" s="1"/>
  <c r="B9" i="9" l="1"/>
  <c r="B10" i="9"/>
  <c r="B8" i="9"/>
  <c r="G27" i="14"/>
  <c r="J29" i="18" s="1"/>
  <c r="J28" i="18"/>
  <c r="L39" i="10"/>
  <c r="L40" i="10"/>
  <c r="AP25" i="17"/>
  <c r="AN25" i="17"/>
  <c r="AO25" i="17"/>
  <c r="E10" i="9"/>
  <c r="C6" i="5" s="1"/>
  <c r="B6" i="5"/>
  <c r="J10" i="5" s="1"/>
  <c r="B4" i="5"/>
  <c r="J8" i="5" s="1"/>
  <c r="D11" i="9"/>
  <c r="E8" i="9"/>
  <c r="E9" i="9"/>
  <c r="C5" i="5" s="1"/>
  <c r="B5" i="5"/>
  <c r="J9" i="5" s="1"/>
  <c r="S37" i="10"/>
  <c r="R37" i="10"/>
  <c r="M26" i="5"/>
  <c r="M20" i="5"/>
  <c r="M24" i="5"/>
  <c r="M11" i="5"/>
  <c r="M21" i="5"/>
  <c r="M12" i="5"/>
  <c r="M29" i="5"/>
  <c r="M27" i="5"/>
  <c r="M23" i="5"/>
  <c r="M17" i="5"/>
  <c r="M14" i="5"/>
  <c r="M7" i="5"/>
  <c r="M13" i="5"/>
  <c r="M15" i="5"/>
  <c r="M28" i="5"/>
  <c r="M18" i="5"/>
  <c r="V37" i="10"/>
  <c r="AP26" i="18" s="1"/>
  <c r="X37" i="10"/>
  <c r="AR26" i="18" s="1"/>
  <c r="W37" i="10"/>
  <c r="AQ26" i="18" s="1"/>
  <c r="N38" i="10"/>
  <c r="O38" i="10" s="1"/>
  <c r="M22" i="5"/>
  <c r="M19" i="5"/>
  <c r="M16" i="5"/>
  <c r="K5" i="5" l="1"/>
  <c r="K9" i="5"/>
  <c r="M9" i="5" s="1"/>
  <c r="K6" i="5"/>
  <c r="K10" i="5"/>
  <c r="M10" i="5" s="1"/>
  <c r="AP26" i="17"/>
  <c r="AN26" i="17"/>
  <c r="AO26" i="17"/>
  <c r="C4" i="5"/>
  <c r="E11" i="9"/>
  <c r="E5" i="5"/>
  <c r="J5" i="5"/>
  <c r="M5" i="5" s="1"/>
  <c r="B30" i="5"/>
  <c r="J4" i="5"/>
  <c r="O4" i="5" s="1"/>
  <c r="E6" i="5"/>
  <c r="J6" i="5"/>
  <c r="M6" i="5" s="1"/>
  <c r="S38" i="10"/>
  <c r="R38" i="10"/>
  <c r="M25" i="5"/>
  <c r="X38" i="10"/>
  <c r="AR27" i="18" s="1"/>
  <c r="W38" i="10"/>
  <c r="AQ27" i="18" s="1"/>
  <c r="V38" i="10"/>
  <c r="AP27" i="18" s="1"/>
  <c r="N39" i="10"/>
  <c r="O39" i="10" s="1"/>
  <c r="N40" i="10"/>
  <c r="O40" i="10" s="1"/>
  <c r="E4" i="5" l="1"/>
  <c r="K8" i="5"/>
  <c r="M8" i="5" s="1"/>
  <c r="AN27" i="17"/>
  <c r="AO27" i="17"/>
  <c r="AP27" i="17"/>
  <c r="E30" i="5"/>
  <c r="J30" i="5"/>
  <c r="C30" i="5"/>
  <c r="K4" i="5"/>
  <c r="M4" i="5" s="1"/>
  <c r="R40" i="10"/>
  <c r="S40" i="10"/>
  <c r="X39" i="10"/>
  <c r="AR28" i="18" s="1"/>
  <c r="R39" i="10"/>
  <c r="S39" i="10"/>
  <c r="Y5" i="5"/>
  <c r="T5" i="5"/>
  <c r="O5" i="5"/>
  <c r="Y6" i="5" s="1"/>
  <c r="L30" i="5"/>
  <c r="Q4" i="5"/>
  <c r="V5" i="5" s="1"/>
  <c r="V39" i="10"/>
  <c r="AP28" i="18" s="1"/>
  <c r="X40" i="10"/>
  <c r="AR29" i="18" s="1"/>
  <c r="W39" i="10"/>
  <c r="AQ28" i="18" s="1"/>
  <c r="V40" i="10"/>
  <c r="AP29" i="18" s="1"/>
  <c r="W40" i="10"/>
  <c r="AQ29" i="18" s="1"/>
  <c r="M30" i="5" l="1"/>
  <c r="AN4" i="5" s="1"/>
  <c r="AO28" i="17"/>
  <c r="AP29" i="17"/>
  <c r="AN28" i="17"/>
  <c r="AP28" i="17"/>
  <c r="AO29" i="17"/>
  <c r="AQ30" i="18"/>
  <c r="AN29" i="17"/>
  <c r="AN30" i="17" s="1"/>
  <c r="AP30" i="18"/>
  <c r="K30" i="5"/>
  <c r="P4" i="5"/>
  <c r="R4" i="5" s="1"/>
  <c r="AN5" i="5" s="1"/>
  <c r="X41" i="10"/>
  <c r="E9" i="13" s="1"/>
  <c r="AD5" i="5"/>
  <c r="T6" i="5"/>
  <c r="AD6" i="5" s="1"/>
  <c r="O6" i="5"/>
  <c r="T7" i="5" s="1"/>
  <c r="Q5" i="5"/>
  <c r="AA6" i="5" s="1"/>
  <c r="AA5" i="5"/>
  <c r="AP4" i="5"/>
  <c r="AO4" i="5"/>
  <c r="V41" i="10"/>
  <c r="E7" i="13" s="1"/>
  <c r="W41" i="10"/>
  <c r="P7" i="13" l="1"/>
  <c r="Q7" i="13" s="1"/>
  <c r="AP30" i="17"/>
  <c r="P9" i="13" s="1"/>
  <c r="Q9" i="13" s="1"/>
  <c r="U7" i="13"/>
  <c r="V7" i="13" s="1"/>
  <c r="AR30" i="18"/>
  <c r="AO30" i="17"/>
  <c r="P5" i="5"/>
  <c r="R5" i="5" s="1"/>
  <c r="U5" i="5"/>
  <c r="Z5" i="5"/>
  <c r="AB5" i="5" s="1"/>
  <c r="E12" i="13"/>
  <c r="U12" i="13" s="1"/>
  <c r="V12" i="13" s="1"/>
  <c r="E16" i="13"/>
  <c r="U16" i="13" s="1"/>
  <c r="V16" i="13" s="1"/>
  <c r="G7" i="13"/>
  <c r="G9" i="13"/>
  <c r="E24" i="13"/>
  <c r="U24" i="13" s="1"/>
  <c r="V24" i="13" s="1"/>
  <c r="E19" i="13"/>
  <c r="U19" i="13" s="1"/>
  <c r="V19" i="13" s="1"/>
  <c r="E8" i="13"/>
  <c r="U8" i="13" s="1"/>
  <c r="V8" i="13" s="1"/>
  <c r="E21" i="13"/>
  <c r="U21" i="13" s="1"/>
  <c r="V21" i="13" s="1"/>
  <c r="E20" i="13"/>
  <c r="U20" i="13" s="1"/>
  <c r="V20" i="13" s="1"/>
  <c r="E25" i="13"/>
  <c r="U25" i="13" s="1"/>
  <c r="V25" i="13" s="1"/>
  <c r="E23" i="13"/>
  <c r="U23" i="13" s="1"/>
  <c r="V23" i="13" s="1"/>
  <c r="O7" i="5"/>
  <c r="T8" i="5" s="1"/>
  <c r="Y7" i="5"/>
  <c r="AD7" i="5" s="1"/>
  <c r="AO5" i="5"/>
  <c r="AP5" i="5"/>
  <c r="V6" i="5"/>
  <c r="AF5" i="5"/>
  <c r="Q6" i="5"/>
  <c r="V7" i="5" s="1"/>
  <c r="U9" i="13" l="1"/>
  <c r="V9" i="13" s="1"/>
  <c r="P21" i="13"/>
  <c r="Q21" i="13" s="1"/>
  <c r="P8" i="13"/>
  <c r="Q8" i="13" s="1"/>
  <c r="P19" i="13"/>
  <c r="Q19" i="13" s="1"/>
  <c r="P24" i="13"/>
  <c r="Q24" i="13" s="1"/>
  <c r="P23" i="13"/>
  <c r="Q23" i="13" s="1"/>
  <c r="P25" i="13"/>
  <c r="Q25" i="13" s="1"/>
  <c r="P16" i="13"/>
  <c r="Q16" i="13" s="1"/>
  <c r="P20" i="13"/>
  <c r="Q20" i="13" s="1"/>
  <c r="P12" i="13"/>
  <c r="Q12" i="13" s="1"/>
  <c r="E15" i="13"/>
  <c r="U15" i="13" s="1"/>
  <c r="V15" i="13" s="1"/>
  <c r="E17" i="13"/>
  <c r="U17" i="13" s="1"/>
  <c r="V17" i="13" s="1"/>
  <c r="G24" i="13"/>
  <c r="G23" i="13"/>
  <c r="G25" i="13"/>
  <c r="G20" i="13"/>
  <c r="E13" i="13"/>
  <c r="U13" i="13" s="1"/>
  <c r="V13" i="13" s="1"/>
  <c r="G21" i="13"/>
  <c r="G19" i="13"/>
  <c r="E11" i="13"/>
  <c r="U11" i="13" s="1"/>
  <c r="V11" i="13" s="1"/>
  <c r="G12" i="13"/>
  <c r="AE5" i="5"/>
  <c r="AG5" i="5" s="1"/>
  <c r="W5" i="5"/>
  <c r="Z6" i="5"/>
  <c r="AB6" i="5" s="1"/>
  <c r="U6" i="5"/>
  <c r="W6" i="5" s="1"/>
  <c r="P6" i="5"/>
  <c r="R6" i="5" s="1"/>
  <c r="G16" i="13"/>
  <c r="G8" i="13"/>
  <c r="O8" i="5"/>
  <c r="O9" i="5" s="1"/>
  <c r="Y8" i="5"/>
  <c r="AD8" i="5" s="1"/>
  <c r="AF6" i="5"/>
  <c r="AN6" i="5"/>
  <c r="Q7" i="5"/>
  <c r="Q8" i="5" s="1"/>
  <c r="AP6" i="5"/>
  <c r="AO6" i="5"/>
  <c r="AA7" i="5"/>
  <c r="P11" i="13" l="1"/>
  <c r="Q11" i="13" s="1"/>
  <c r="P17" i="13"/>
  <c r="Q17" i="13" s="1"/>
  <c r="P15" i="13"/>
  <c r="Q15" i="13" s="1"/>
  <c r="P13" i="13"/>
  <c r="Q13" i="13" s="1"/>
  <c r="G13" i="13"/>
  <c r="G11" i="13"/>
  <c r="AJ5" i="5"/>
  <c r="AE6" i="5"/>
  <c r="AJ6" i="5" s="1"/>
  <c r="U7" i="5"/>
  <c r="Z7" i="5"/>
  <c r="AB7" i="5" s="1"/>
  <c r="P7" i="5"/>
  <c r="AK5" i="5"/>
  <c r="G17" i="13"/>
  <c r="G15" i="13"/>
  <c r="Y9" i="5"/>
  <c r="AG6" i="5"/>
  <c r="T9" i="5"/>
  <c r="AA8" i="5"/>
  <c r="V8" i="5"/>
  <c r="AP7" i="5"/>
  <c r="AN7" i="5"/>
  <c r="AO7" i="5"/>
  <c r="AF7" i="5"/>
  <c r="V9" i="5"/>
  <c r="AA9" i="5"/>
  <c r="T10" i="5"/>
  <c r="Y10" i="5"/>
  <c r="O10" i="5"/>
  <c r="Q9" i="5"/>
  <c r="AK6" i="5" l="1"/>
  <c r="AE7" i="5"/>
  <c r="AJ7" i="5" s="1"/>
  <c r="W7" i="5"/>
  <c r="P8" i="5"/>
  <c r="Z8" i="5"/>
  <c r="AB8" i="5" s="1"/>
  <c r="U8" i="5"/>
  <c r="R7" i="5"/>
  <c r="AP8" i="5" s="1"/>
  <c r="AD9" i="5"/>
  <c r="AF8" i="5"/>
  <c r="AD10" i="5"/>
  <c r="AF9" i="5"/>
  <c r="T11" i="5"/>
  <c r="Y11" i="5"/>
  <c r="V10" i="5"/>
  <c r="AA10" i="5"/>
  <c r="O11" i="5"/>
  <c r="Q10" i="5"/>
  <c r="AK7" i="5" l="1"/>
  <c r="AG7" i="5"/>
  <c r="AE8" i="5"/>
  <c r="AK8" i="5" s="1"/>
  <c r="AN8" i="5"/>
  <c r="AO8" i="5"/>
  <c r="P9" i="5"/>
  <c r="Z9" i="5"/>
  <c r="AB9" i="5" s="1"/>
  <c r="U9" i="5"/>
  <c r="R8" i="5"/>
  <c r="W8" i="5"/>
  <c r="AG8" i="5"/>
  <c r="AD11" i="5"/>
  <c r="AF10" i="5"/>
  <c r="T12" i="5"/>
  <c r="Y12" i="5"/>
  <c r="V11" i="5"/>
  <c r="AA11" i="5"/>
  <c r="O12" i="5"/>
  <c r="Q11" i="5"/>
  <c r="AJ8" i="5" l="1"/>
  <c r="AE9" i="5"/>
  <c r="W9" i="5"/>
  <c r="P10" i="5"/>
  <c r="U10" i="5"/>
  <c r="Z10" i="5"/>
  <c r="AB10" i="5" s="1"/>
  <c r="R9" i="5"/>
  <c r="AO9" i="5"/>
  <c r="AN9" i="5"/>
  <c r="AP9" i="5"/>
  <c r="AD12" i="5"/>
  <c r="AF11" i="5"/>
  <c r="T13" i="5"/>
  <c r="Y13" i="5"/>
  <c r="V12" i="5"/>
  <c r="AA12" i="5"/>
  <c r="O13" i="5"/>
  <c r="Q12" i="5"/>
  <c r="Z11" i="5" l="1"/>
  <c r="AB11" i="5" s="1"/>
  <c r="U11" i="5"/>
  <c r="P11" i="5"/>
  <c r="R10" i="5"/>
  <c r="AK9" i="5"/>
  <c r="AG9" i="5"/>
  <c r="AJ9" i="5"/>
  <c r="AN10" i="5"/>
  <c r="AO10" i="5"/>
  <c r="AP10" i="5"/>
  <c r="AE10" i="5"/>
  <c r="W10" i="5"/>
  <c r="AF12" i="5"/>
  <c r="AD13" i="5"/>
  <c r="V13" i="5"/>
  <c r="AA13" i="5"/>
  <c r="T14" i="5"/>
  <c r="Y14" i="5"/>
  <c r="O14" i="5"/>
  <c r="Q13" i="5"/>
  <c r="AG10" i="5" l="1"/>
  <c r="AK10" i="5"/>
  <c r="AJ10" i="5"/>
  <c r="AN11" i="5"/>
  <c r="AO11" i="5"/>
  <c r="AP11" i="5"/>
  <c r="P12" i="5"/>
  <c r="Z12" i="5"/>
  <c r="AB12" i="5" s="1"/>
  <c r="U12" i="5"/>
  <c r="R11" i="5"/>
  <c r="AE11" i="5"/>
  <c r="W11" i="5"/>
  <c r="AD14" i="5"/>
  <c r="AF13" i="5"/>
  <c r="T15" i="5"/>
  <c r="Y15" i="5"/>
  <c r="V14" i="5"/>
  <c r="AA14" i="5"/>
  <c r="O15" i="5"/>
  <c r="Q14" i="5"/>
  <c r="AO12" i="5" l="1"/>
  <c r="AN12" i="5"/>
  <c r="AP12" i="5"/>
  <c r="AE12" i="5"/>
  <c r="W12" i="5"/>
  <c r="AK11" i="5"/>
  <c r="AG11" i="5"/>
  <c r="AJ11" i="5"/>
  <c r="P13" i="5"/>
  <c r="Z13" i="5"/>
  <c r="U13" i="5"/>
  <c r="R12" i="5"/>
  <c r="AF14" i="5"/>
  <c r="AD15" i="5"/>
  <c r="V15" i="5"/>
  <c r="AA15" i="5"/>
  <c r="T16" i="5"/>
  <c r="Y16" i="5"/>
  <c r="O16" i="5"/>
  <c r="Q15" i="5"/>
  <c r="P14" i="5" l="1"/>
  <c r="U14" i="5"/>
  <c r="Z14" i="5"/>
  <c r="AB14" i="5" s="1"/>
  <c r="R13" i="5"/>
  <c r="AN13" i="5"/>
  <c r="AP13" i="5"/>
  <c r="AO13" i="5"/>
  <c r="AG12" i="5"/>
  <c r="AK12" i="5"/>
  <c r="AJ12" i="5"/>
  <c r="AE13" i="5"/>
  <c r="W13" i="5"/>
  <c r="AB13" i="5"/>
  <c r="AD16" i="5"/>
  <c r="AF15" i="5"/>
  <c r="T17" i="5"/>
  <c r="Y17" i="5"/>
  <c r="V16" i="5"/>
  <c r="AA16" i="5"/>
  <c r="O17" i="5"/>
  <c r="O18" i="5" s="1"/>
  <c r="Q16" i="5"/>
  <c r="R14" i="5" l="1"/>
  <c r="AO15" i="5" s="1"/>
  <c r="P15" i="5"/>
  <c r="Z15" i="5"/>
  <c r="AB15" i="5" s="1"/>
  <c r="U15" i="5"/>
  <c r="AK13" i="5"/>
  <c r="AG13" i="5"/>
  <c r="AJ13" i="5"/>
  <c r="AP14" i="5"/>
  <c r="AN14" i="5"/>
  <c r="AO14" i="5"/>
  <c r="AE14" i="5"/>
  <c r="W14" i="5"/>
  <c r="AF16" i="5"/>
  <c r="AD17" i="5"/>
  <c r="T19" i="5"/>
  <c r="Y19" i="5"/>
  <c r="T18" i="5"/>
  <c r="Y18" i="5"/>
  <c r="V17" i="5"/>
  <c r="AA17" i="5"/>
  <c r="O19" i="5"/>
  <c r="Q17" i="5"/>
  <c r="AP15" i="5" l="1"/>
  <c r="AE15" i="5"/>
  <c r="W15" i="5"/>
  <c r="AN15" i="5"/>
  <c r="P16" i="5"/>
  <c r="Z16" i="5"/>
  <c r="U16" i="5"/>
  <c r="R15" i="5"/>
  <c r="AK14" i="5"/>
  <c r="AG14" i="5"/>
  <c r="AJ14" i="5"/>
  <c r="AF17" i="5"/>
  <c r="AD18" i="5"/>
  <c r="AD19" i="5"/>
  <c r="T20" i="5"/>
  <c r="Y20" i="5"/>
  <c r="V18" i="5"/>
  <c r="AA18" i="5"/>
  <c r="O20" i="5"/>
  <c r="Q18" i="5"/>
  <c r="AG15" i="5" l="1"/>
  <c r="AJ15" i="5"/>
  <c r="AK15" i="5"/>
  <c r="AN16" i="5"/>
  <c r="AO16" i="5"/>
  <c r="AP16" i="5"/>
  <c r="P17" i="5"/>
  <c r="Z17" i="5"/>
  <c r="AB17" i="5" s="1"/>
  <c r="U17" i="5"/>
  <c r="R16" i="5"/>
  <c r="AE16" i="5"/>
  <c r="W16" i="5"/>
  <c r="AB16" i="5"/>
  <c r="AF18" i="5"/>
  <c r="AD20" i="5"/>
  <c r="V19" i="5"/>
  <c r="AA19" i="5"/>
  <c r="AB19" i="5" s="1"/>
  <c r="T21" i="5"/>
  <c r="Y21" i="5"/>
  <c r="Q19" i="5"/>
  <c r="O21" i="5"/>
  <c r="AG16" i="5" l="1"/>
  <c r="AJ16" i="5"/>
  <c r="AK16" i="5"/>
  <c r="P18" i="5"/>
  <c r="Z18" i="5"/>
  <c r="U18" i="5"/>
  <c r="R17" i="5"/>
  <c r="AN17" i="5"/>
  <c r="AP17" i="5"/>
  <c r="AO17" i="5"/>
  <c r="AE17" i="5"/>
  <c r="W17" i="5"/>
  <c r="AD21" i="5"/>
  <c r="W19" i="5"/>
  <c r="AF19" i="5"/>
  <c r="T22" i="5"/>
  <c r="Y22" i="5"/>
  <c r="V20" i="5"/>
  <c r="AA20" i="5"/>
  <c r="AB20" i="5" s="1"/>
  <c r="Q20" i="5"/>
  <c r="O22" i="5"/>
  <c r="AK17" i="5" l="1"/>
  <c r="AG17" i="5"/>
  <c r="AJ17" i="5"/>
  <c r="P19" i="5"/>
  <c r="R18" i="5"/>
  <c r="AB18" i="5"/>
  <c r="Z30" i="5"/>
  <c r="AP18" i="5"/>
  <c r="AO18" i="5"/>
  <c r="AN18" i="5"/>
  <c r="AE18" i="5"/>
  <c r="U30" i="5"/>
  <c r="W18" i="5"/>
  <c r="AG19" i="5"/>
  <c r="AJ19" i="5"/>
  <c r="AK19" i="5"/>
  <c r="W20" i="5"/>
  <c r="AF20" i="5"/>
  <c r="AD22" i="5"/>
  <c r="T23" i="5"/>
  <c r="Y23" i="5"/>
  <c r="V21" i="5"/>
  <c r="AA21" i="5"/>
  <c r="AB21" i="5" s="1"/>
  <c r="O23" i="5"/>
  <c r="Q21" i="5"/>
  <c r="AJ18" i="5" l="1"/>
  <c r="AK18" i="5"/>
  <c r="AG18" i="5"/>
  <c r="AN19" i="5"/>
  <c r="AO19" i="5"/>
  <c r="AP19" i="5"/>
  <c r="P20" i="5"/>
  <c r="R19" i="5"/>
  <c r="AE30" i="5"/>
  <c r="AG20" i="5"/>
  <c r="AJ20" i="5"/>
  <c r="AK20" i="5"/>
  <c r="AD23" i="5"/>
  <c r="W21" i="5"/>
  <c r="AF21" i="5"/>
  <c r="T24" i="5"/>
  <c r="Y24" i="5"/>
  <c r="V22" i="5"/>
  <c r="AA22" i="5"/>
  <c r="AB22" i="5" s="1"/>
  <c r="Q22" i="5"/>
  <c r="O24" i="5"/>
  <c r="AN20" i="5" l="1"/>
  <c r="AO20" i="5"/>
  <c r="AP20" i="5"/>
  <c r="P21" i="5"/>
  <c r="R20" i="5"/>
  <c r="AG21" i="5"/>
  <c r="AJ21" i="5"/>
  <c r="AK21" i="5"/>
  <c r="W22" i="5"/>
  <c r="AF22" i="5"/>
  <c r="AD24" i="5"/>
  <c r="T25" i="5"/>
  <c r="Y25" i="5"/>
  <c r="V23" i="5"/>
  <c r="AA23" i="5"/>
  <c r="AB23" i="5" s="1"/>
  <c r="O25" i="5"/>
  <c r="Q23" i="5"/>
  <c r="P22" i="5" l="1"/>
  <c r="R21" i="5"/>
  <c r="AO21" i="5"/>
  <c r="AN21" i="5"/>
  <c r="AP21" i="5"/>
  <c r="AG22" i="5"/>
  <c r="AK22" i="5"/>
  <c r="AJ22" i="5"/>
  <c r="W23" i="5"/>
  <c r="AF23" i="5"/>
  <c r="AD25" i="5"/>
  <c r="V24" i="5"/>
  <c r="AA24" i="5"/>
  <c r="AB24" i="5" s="1"/>
  <c r="T26" i="5"/>
  <c r="Y26" i="5"/>
  <c r="Q24" i="5"/>
  <c r="O26" i="5"/>
  <c r="AN22" i="5" l="1"/>
  <c r="AO22" i="5"/>
  <c r="AP22" i="5"/>
  <c r="P23" i="5"/>
  <c r="R22" i="5"/>
  <c r="AG23" i="5"/>
  <c r="AJ23" i="5"/>
  <c r="AK23" i="5"/>
  <c r="AD26" i="5"/>
  <c r="W24" i="5"/>
  <c r="AF24" i="5"/>
  <c r="T27" i="5"/>
  <c r="Y27" i="5"/>
  <c r="V25" i="5"/>
  <c r="AA25" i="5"/>
  <c r="AB25" i="5" s="1"/>
  <c r="Q25" i="5"/>
  <c r="O27" i="5"/>
  <c r="P24" i="5" l="1"/>
  <c r="R23" i="5"/>
  <c r="AO23" i="5"/>
  <c r="AP23" i="5"/>
  <c r="AN23" i="5"/>
  <c r="AG24" i="5"/>
  <c r="AJ24" i="5"/>
  <c r="AK24" i="5"/>
  <c r="W25" i="5"/>
  <c r="AF25" i="5"/>
  <c r="AD27" i="5"/>
  <c r="T28" i="5"/>
  <c r="Y28" i="5"/>
  <c r="V26" i="5"/>
  <c r="AA26" i="5"/>
  <c r="AB26" i="5" s="1"/>
  <c r="O28" i="5"/>
  <c r="Q26" i="5"/>
  <c r="AO24" i="5" l="1"/>
  <c r="AN24" i="5"/>
  <c r="AP24" i="5"/>
  <c r="P25" i="5"/>
  <c r="R24" i="5"/>
  <c r="AG25" i="5"/>
  <c r="AK25" i="5"/>
  <c r="AJ25" i="5"/>
  <c r="W26" i="5"/>
  <c r="AF26" i="5"/>
  <c r="AD28" i="5"/>
  <c r="V27" i="5"/>
  <c r="AA27" i="5"/>
  <c r="AB27" i="5" s="1"/>
  <c r="T29" i="5"/>
  <c r="T30" i="5" s="1"/>
  <c r="Y29" i="5"/>
  <c r="Y30" i="5" s="1"/>
  <c r="Q27" i="5"/>
  <c r="O29" i="5"/>
  <c r="P26" i="5" l="1"/>
  <c r="R25" i="5"/>
  <c r="AO25" i="5"/>
  <c r="AN25" i="5"/>
  <c r="AP25" i="5"/>
  <c r="AG26" i="5"/>
  <c r="AK26" i="5"/>
  <c r="AJ26" i="5"/>
  <c r="AD29" i="5"/>
  <c r="W27" i="5"/>
  <c r="AF27" i="5"/>
  <c r="V28" i="5"/>
  <c r="AA28" i="5"/>
  <c r="AB28" i="5" s="1"/>
  <c r="Q28" i="5"/>
  <c r="AN26" i="5" l="1"/>
  <c r="AP26" i="5"/>
  <c r="AO26" i="5"/>
  <c r="P27" i="5"/>
  <c r="R26" i="5"/>
  <c r="AG27" i="5"/>
  <c r="AJ27" i="5"/>
  <c r="AK27" i="5"/>
  <c r="AD30" i="5"/>
  <c r="W28" i="5"/>
  <c r="AF28" i="5"/>
  <c r="V29" i="5"/>
  <c r="V30" i="5" s="1"/>
  <c r="AA29" i="5"/>
  <c r="Q29" i="5"/>
  <c r="P28" i="5" l="1"/>
  <c r="R27" i="5"/>
  <c r="AP27" i="5"/>
  <c r="AO27" i="5"/>
  <c r="AN27" i="5"/>
  <c r="AG28" i="5"/>
  <c r="AJ28" i="5"/>
  <c r="AK28" i="5"/>
  <c r="AB29" i="5"/>
  <c r="AB30" i="5" s="1"/>
  <c r="AA30" i="5"/>
  <c r="W29" i="5"/>
  <c r="W30" i="5" s="1"/>
  <c r="AF29" i="5"/>
  <c r="AP28" i="5" l="1"/>
  <c r="AO28" i="5"/>
  <c r="AN28" i="5"/>
  <c r="P29" i="5"/>
  <c r="R29" i="5" s="1"/>
  <c r="R28" i="5"/>
  <c r="AJ29" i="5"/>
  <c r="J23" i="13" s="1"/>
  <c r="AK29" i="5"/>
  <c r="J25" i="13" s="1"/>
  <c r="AG29" i="5"/>
  <c r="AF30" i="5"/>
  <c r="AN29" i="5" l="1"/>
  <c r="AN30" i="5" s="1"/>
  <c r="K15" i="13" s="1"/>
  <c r="AO29" i="5"/>
  <c r="AO30" i="5" s="1"/>
  <c r="AP29" i="5"/>
  <c r="AP30" i="5" s="1"/>
  <c r="K9" i="13" s="1"/>
  <c r="J20" i="13"/>
  <c r="J21" i="13"/>
  <c r="J13" i="13"/>
  <c r="J17" i="13"/>
  <c r="J8" i="13"/>
  <c r="J16" i="13"/>
  <c r="J19" i="13"/>
  <c r="J15" i="13"/>
  <c r="J24" i="13"/>
  <c r="J11" i="13"/>
  <c r="J9" i="13"/>
  <c r="J12" i="13"/>
  <c r="K7" i="13"/>
  <c r="AK30" i="5"/>
  <c r="AJ30" i="5"/>
  <c r="J7" i="13"/>
  <c r="AG30" i="5"/>
  <c r="K11" i="13" l="1"/>
  <c r="L11" i="13" s="1"/>
  <c r="K13" i="13"/>
  <c r="L13" i="13" s="1"/>
  <c r="K24" i="13"/>
  <c r="K19" i="13"/>
  <c r="L19" i="13" s="1"/>
  <c r="K25" i="13"/>
  <c r="L25" i="13" s="1"/>
  <c r="K23" i="13"/>
  <c r="L23" i="13" s="1"/>
  <c r="R23" i="13" s="1"/>
  <c r="K16" i="13"/>
  <c r="L16" i="13" s="1"/>
  <c r="K20" i="13"/>
  <c r="L20" i="13" s="1"/>
  <c r="K8" i="13"/>
  <c r="K21" i="13"/>
  <c r="L21" i="13" s="1"/>
  <c r="K12" i="13"/>
  <c r="K17" i="13"/>
  <c r="L17" i="13" s="1"/>
  <c r="H23" i="13"/>
  <c r="H25" i="13"/>
  <c r="M25" i="13"/>
  <c r="W25" i="13"/>
  <c r="R25" i="13"/>
  <c r="L7" i="13"/>
  <c r="M7" i="13" s="1"/>
  <c r="L12" i="13"/>
  <c r="L8" i="13"/>
  <c r="L15" i="13"/>
  <c r="L24" i="13"/>
  <c r="L9" i="13"/>
  <c r="M23" i="13" l="1"/>
  <c r="H13" i="13"/>
  <c r="M13" i="13"/>
  <c r="R13" i="13"/>
  <c r="W23" i="13"/>
  <c r="W13" i="13"/>
  <c r="S25" i="13"/>
  <c r="N23" i="13"/>
  <c r="X23" i="13"/>
  <c r="I23" i="13"/>
  <c r="R24" i="13"/>
  <c r="W24" i="13"/>
  <c r="M24" i="13"/>
  <c r="H24" i="13"/>
  <c r="W7" i="13"/>
  <c r="H7" i="13"/>
  <c r="R7" i="13"/>
  <c r="H19" i="13"/>
  <c r="M19" i="13"/>
  <c r="R19" i="13"/>
  <c r="W19" i="13"/>
  <c r="R20" i="13"/>
  <c r="W20" i="13"/>
  <c r="M20" i="13"/>
  <c r="H20" i="13"/>
  <c r="H16" i="13"/>
  <c r="M16" i="13"/>
  <c r="R16" i="13"/>
  <c r="W16" i="13"/>
  <c r="R9" i="13"/>
  <c r="W9" i="13"/>
  <c r="H9" i="13"/>
  <c r="M9" i="13"/>
  <c r="M12" i="13"/>
  <c r="R12" i="13"/>
  <c r="H12" i="13"/>
  <c r="W12" i="13"/>
  <c r="H15" i="13"/>
  <c r="M15" i="13"/>
  <c r="W15" i="13"/>
  <c r="R15" i="13"/>
  <c r="W17" i="13"/>
  <c r="H17" i="13"/>
  <c r="M17" i="13"/>
  <c r="R17" i="13"/>
  <c r="X25" i="13"/>
  <c r="N25" i="13"/>
  <c r="I25" i="13"/>
  <c r="M8" i="13"/>
  <c r="W8" i="13"/>
  <c r="H8" i="13"/>
  <c r="R8" i="13"/>
  <c r="W21" i="13"/>
  <c r="H21" i="13"/>
  <c r="R21" i="13"/>
  <c r="M21" i="13"/>
  <c r="S23" i="13"/>
  <c r="R11" i="13"/>
  <c r="W11" i="13"/>
  <c r="M11" i="13"/>
  <c r="H11" i="13"/>
  <c r="I13" i="13" l="1"/>
  <c r="X13" i="13"/>
  <c r="N13" i="13"/>
  <c r="S13" i="13"/>
  <c r="S15" i="13"/>
  <c r="I20" i="13"/>
  <c r="X11" i="13"/>
  <c r="I8" i="13"/>
  <c r="S12" i="13"/>
  <c r="N16" i="13"/>
  <c r="I19" i="13"/>
  <c r="I7" i="13"/>
  <c r="S24" i="13"/>
  <c r="S19" i="13"/>
  <c r="N24" i="13"/>
  <c r="S11" i="13"/>
  <c r="X8" i="13"/>
  <c r="N12" i="13"/>
  <c r="I16" i="13"/>
  <c r="N19" i="13"/>
  <c r="X24" i="13"/>
  <c r="X17" i="13"/>
  <c r="I17" i="13"/>
  <c r="X9" i="13"/>
  <c r="N9" i="13"/>
  <c r="I9" i="13"/>
  <c r="N15" i="13"/>
  <c r="X20" i="13"/>
  <c r="I21" i="13"/>
  <c r="I15" i="13"/>
  <c r="S9" i="13"/>
  <c r="S20" i="13"/>
  <c r="N8" i="13"/>
  <c r="X15" i="13"/>
  <c r="S21" i="13"/>
  <c r="I11" i="13"/>
  <c r="S17" i="13"/>
  <c r="X12" i="13"/>
  <c r="X16" i="13"/>
  <c r="X21" i="13"/>
  <c r="N21" i="13"/>
  <c r="N20" i="13"/>
  <c r="N11" i="13"/>
  <c r="S8" i="13"/>
  <c r="N17" i="13"/>
  <c r="I12" i="13"/>
  <c r="S16" i="13"/>
  <c r="X19" i="13"/>
  <c r="I24" i="13"/>
  <c r="S7" i="13"/>
  <c r="N7" i="13"/>
  <c r="X7" i="13"/>
</calcChain>
</file>

<file path=xl/sharedStrings.xml><?xml version="1.0" encoding="utf-8"?>
<sst xmlns="http://schemas.openxmlformats.org/spreadsheetml/2006/main" count="370" uniqueCount="157">
  <si>
    <t>SENSITIVITY</t>
  </si>
  <si>
    <t>RELIABILITY - LINE</t>
  </si>
  <si>
    <t>%</t>
  </si>
  <si>
    <t>VCR:</t>
  </si>
  <si>
    <t>RELIABILITY - SUBSTATION</t>
  </si>
  <si>
    <t>LINE</t>
  </si>
  <si>
    <t>REGULATORY ANALYSIS</t>
  </si>
  <si>
    <t>YEAR</t>
  </si>
  <si>
    <t>COST_$M</t>
  </si>
  <si>
    <t>LF:</t>
  </si>
  <si>
    <t>SD1570</t>
  </si>
  <si>
    <t>SD1568</t>
  </si>
  <si>
    <t>SD1569</t>
  </si>
  <si>
    <t>Description</t>
  </si>
  <si>
    <t>PEAK:</t>
  </si>
  <si>
    <t>AVG:</t>
  </si>
  <si>
    <t>LLF:</t>
  </si>
  <si>
    <t>LOAD_%</t>
  </si>
  <si>
    <t>TIME_%</t>
  </si>
  <si>
    <t>HRS:</t>
  </si>
  <si>
    <t>INSOL (MAX):</t>
  </si>
  <si>
    <t>Project Name</t>
  </si>
  <si>
    <t>Myponga to Square Water Hole new 66kV line</t>
  </si>
  <si>
    <t>Construct new 66kV sub-transmission line between Square Water Hole and Myponga substations. Includes new 66kV line exit at both subtations and approx 19km of 66kV overhead line.</t>
  </si>
  <si>
    <t>Total Cost ($M)</t>
  </si>
  <si>
    <t>Constraint:</t>
  </si>
  <si>
    <t>Loss of supply beyond Myponga or Square Water Hole for 66kV line fault. High load at risk.</t>
  </si>
  <si>
    <t>COST_%</t>
  </si>
  <si>
    <t>TOTAL</t>
  </si>
  <si>
    <t>EQUIP</t>
  </si>
  <si>
    <t>QTY</t>
  </si>
  <si>
    <t>L66kV508</t>
  </si>
  <si>
    <t>CB66kVBay</t>
  </si>
  <si>
    <t>Prot66kVLine</t>
  </si>
  <si>
    <t>Bus66kVSection</t>
  </si>
  <si>
    <t>InfraExtensive</t>
  </si>
  <si>
    <t>SCADAMedium</t>
  </si>
  <si>
    <t>TOTAL:</t>
  </si>
  <si>
    <t>0.68 or 1.00</t>
  </si>
  <si>
    <t>hrs</t>
  </si>
  <si>
    <t>GENERATION</t>
  </si>
  <si>
    <t>MW</t>
  </si>
  <si>
    <t>Length</t>
  </si>
  <si>
    <t>km</t>
  </si>
  <si>
    <t>Outage</t>
  </si>
  <si>
    <t>UNITS</t>
  </si>
  <si>
    <t>Outage Duration</t>
  </si>
  <si>
    <t>yr/len</t>
  </si>
  <si>
    <t>hrs/yr/len</t>
  </si>
  <si>
    <t>Gen Resp Time</t>
  </si>
  <si>
    <t>Gen</t>
  </si>
  <si>
    <t>Duration:</t>
  </si>
  <si>
    <t>Insolation:</t>
  </si>
  <si>
    <t>Overhead:</t>
  </si>
  <si>
    <t>Outage Duration:</t>
  </si>
  <si>
    <t>Transformer:</t>
  </si>
  <si>
    <t>Feeder Transfers:</t>
  </si>
  <si>
    <t>Mobile Substation:</t>
  </si>
  <si>
    <t>TF Restoration:</t>
  </si>
  <si>
    <t>TF Replacement:</t>
  </si>
  <si>
    <t>Capacity</t>
  </si>
  <si>
    <t>Deployment Time:</t>
  </si>
  <si>
    <t>Status</t>
  </si>
  <si>
    <t>Start Year:</t>
  </si>
  <si>
    <t>WACC/Discount Rate:</t>
  </si>
  <si>
    <t>yrs</t>
  </si>
  <si>
    <t>hh:mm</t>
  </si>
  <si>
    <t>Outages/yr</t>
  </si>
  <si>
    <t>Outages/km/yr</t>
  </si>
  <si>
    <t>-</t>
  </si>
  <si>
    <t>Losses:</t>
  </si>
  <si>
    <t>Y/N</t>
  </si>
  <si>
    <t>VCR</t>
  </si>
  <si>
    <t>Year:</t>
  </si>
  <si>
    <t>Residential</t>
  </si>
  <si>
    <t>Commercial</t>
  </si>
  <si>
    <t>Industrial (non D/C)</t>
  </si>
  <si>
    <t>Agricultural</t>
  </si>
  <si>
    <t>Customer Type</t>
  </si>
  <si>
    <t>Aggregate (%)</t>
  </si>
  <si>
    <t>VCR ($/kWh)</t>
  </si>
  <si>
    <t>Financial Year</t>
  </si>
  <si>
    <t>CPI</t>
  </si>
  <si>
    <t>Annual (%)</t>
  </si>
  <si>
    <t>Cumulative (%)</t>
  </si>
  <si>
    <t>INCLUDE</t>
  </si>
  <si>
    <t>Year</t>
  </si>
  <si>
    <t>METRO_STH_MW</t>
  </si>
  <si>
    <t>GROWTH</t>
  </si>
  <si>
    <t>FORECAST (MW)</t>
  </si>
  <si>
    <t>Y</t>
  </si>
  <si>
    <t>DEPRECIATION</t>
  </si>
  <si>
    <t>ACCRUED</t>
  </si>
  <si>
    <t>SUB</t>
  </si>
  <si>
    <t>GEN</t>
  </si>
  <si>
    <t>Plant Life (yrs)</t>
  </si>
  <si>
    <t>Depreciation (p.a.)</t>
  </si>
  <si>
    <t>Ops &amp; Maint (p.a.)</t>
  </si>
  <si>
    <t>OPS &amp; MAINTENANCE</t>
  </si>
  <si>
    <t>COST SUMMARY</t>
  </si>
  <si>
    <t>CAPEX</t>
  </si>
  <si>
    <t>CAPEX SUMMARY</t>
  </si>
  <si>
    <t>Load Factor:</t>
  </si>
  <si>
    <t>FORECAST LOAD (MW)</t>
  </si>
  <si>
    <t>ENERGY @ RISK (MWh)</t>
  </si>
  <si>
    <t>RISK VALUE ($M)</t>
  </si>
  <si>
    <t>Cost</t>
  </si>
  <si>
    <t>Sensitivity</t>
  </si>
  <si>
    <t>Discount Rate</t>
  </si>
  <si>
    <t>Capital Costs</t>
  </si>
  <si>
    <t>Category</t>
  </si>
  <si>
    <t>Value</t>
  </si>
  <si>
    <t>Sensitivity (+/-)</t>
  </si>
  <si>
    <t>Costs</t>
  </si>
  <si>
    <t>VCR ($/MWh)</t>
  </si>
  <si>
    <t>Variance</t>
  </si>
  <si>
    <t>$/MWh</t>
  </si>
  <si>
    <t>VCR ($/MWh):</t>
  </si>
  <si>
    <t>RISK VALUE ($)</t>
  </si>
  <si>
    <t>LINE_$</t>
  </si>
  <si>
    <t>SUB_$</t>
  </si>
  <si>
    <t>GEN_$</t>
  </si>
  <si>
    <t>TOTAL_$</t>
  </si>
  <si>
    <t>COST VARIANCE (%):</t>
  </si>
  <si>
    <t>LOAD SENSITIVITY</t>
  </si>
  <si>
    <t>LF VARIANCE (%):</t>
  </si>
  <si>
    <t>Load Factor</t>
  </si>
  <si>
    <t>Line Reliability (Outages/km/yr)</t>
  </si>
  <si>
    <t>Reliability</t>
  </si>
  <si>
    <t>KI</t>
  </si>
  <si>
    <t>SD1568_PRE-KIGEN</t>
  </si>
  <si>
    <t>SD1568_POST-KIGEN</t>
  </si>
  <si>
    <t>SUBTOTAL:</t>
  </si>
  <si>
    <t>Myponga - Yankalilla</t>
  </si>
  <si>
    <t>Willunga - Myponga</t>
  </si>
  <si>
    <t>SQWH - Victor Harbor</t>
  </si>
  <si>
    <t>Willunga - SQWH</t>
  </si>
  <si>
    <t>Decision Reports Oct 2018</t>
  </si>
  <si>
    <t>Line Re-Insulation Costing</t>
  </si>
  <si>
    <t>Base
(Do Nothing)</t>
  </si>
  <si>
    <t>Re-Insulation</t>
  </si>
  <si>
    <t>Gross Benefit</t>
  </si>
  <si>
    <t>Net Benefit</t>
  </si>
  <si>
    <t xml:space="preserve">Option 1
(Myponga - SQWH)
</t>
  </si>
  <si>
    <t>Low</t>
  </si>
  <si>
    <t>Med</t>
  </si>
  <si>
    <t>High</t>
  </si>
  <si>
    <t>Scenario</t>
  </si>
  <si>
    <t xml:space="preserve">Option 2
(Re-Insulation)
</t>
  </si>
  <si>
    <t>Relative Benefit</t>
  </si>
  <si>
    <t>Rank</t>
  </si>
  <si>
    <t>Include:</t>
  </si>
  <si>
    <t>SHWF</t>
  </si>
  <si>
    <t>MYPO</t>
  </si>
  <si>
    <t>LOAD RECOVERY</t>
  </si>
  <si>
    <t xml:space="preserve">Option 3
(SHWF Islanded Ops)
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</si>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</sst>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0.000"/>
    <numFmt numFmtId="165" formatCode="_-&quot;$&quot;* #,##0.0000_-;\-&quot;$&quot;* #,##0.0000_-;_-&quot;$&quot;* &quot;-&quot;????_-;_-@_-"/>
    <numFmt numFmtId="166" formatCode="_-&quot;$&quot;* #,##0.000_-;\-&quot;$&quot;* #,##0.000_-;_-&quot;$&quot;* &quot;-&quot;???_-;_-@_-"/>
    <numFmt numFmtId="167" formatCode="0.0"/>
    <numFmt numFmtId="168" formatCode="0.0000"/>
    <numFmt numFmtId="169" formatCode="0.0%"/>
    <numFmt numFmtId="170" formatCode="0_ ;[Red]\-0\ "/>
  </numFmts>
  <fonts count="7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center" vertical="top"/>
    </xf>
    <xf numFmtId="0" fontId="0" fillId="3" borderId="0" xfId="0" applyFill="1" applyAlignment="1">
      <alignment vertical="top"/>
    </xf>
    <xf numFmtId="0" fontId="0" fillId="3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center" vertical="top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164" fontId="1" fillId="0" borderId="0" xfId="0" applyNumberFormat="1" applyFont="1"/>
    <xf numFmtId="2" fontId="0" fillId="0" borderId="0" xfId="0" applyNumberFormat="1"/>
    <xf numFmtId="164" fontId="1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2" fontId="1" fillId="0" borderId="0" xfId="0" applyNumberFormat="1" applyFont="1"/>
    <xf numFmtId="2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2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2" fillId="0" borderId="0" xfId="0" applyFont="1"/>
    <xf numFmtId="1" fontId="5" fillId="0" borderId="0" xfId="0" applyNumberFormat="1" applyFont="1" applyAlignment="1">
      <alignment horizontal="center" vertical="top"/>
    </xf>
    <xf numFmtId="1" fontId="5" fillId="0" borderId="0" xfId="0" applyNumberFormat="1" applyFont="1" applyFill="1" applyAlignment="1">
      <alignment horizontal="center" vertical="top"/>
    </xf>
    <xf numFmtId="165" fontId="1" fillId="3" borderId="0" xfId="0" applyNumberFormat="1" applyFont="1" applyFill="1" applyAlignment="1">
      <alignment vertical="top"/>
    </xf>
    <xf numFmtId="165" fontId="0" fillId="0" borderId="0" xfId="0" applyNumberForma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0" fontId="0" fillId="0" borderId="0" xfId="0" applyFill="1"/>
    <xf numFmtId="2" fontId="0" fillId="0" borderId="0" xfId="0" applyNumberFormat="1" applyFill="1" applyAlignment="1">
      <alignment horizontal="center" vertical="top"/>
    </xf>
    <xf numFmtId="0" fontId="1" fillId="3" borderId="0" xfId="0" applyFont="1" applyFill="1" applyAlignment="1">
      <alignment horizontal="right" vertical="top"/>
    </xf>
    <xf numFmtId="0" fontId="1" fillId="0" borderId="0" xfId="0" applyFont="1" applyFill="1"/>
    <xf numFmtId="2" fontId="3" fillId="0" borderId="0" xfId="0" applyNumberFormat="1" applyFont="1" applyFill="1" applyAlignment="1">
      <alignment horizontal="center" vertical="top"/>
    </xf>
    <xf numFmtId="2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2" fontId="0" fillId="0" borderId="0" xfId="0" applyNumberFormat="1" applyFon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3" borderId="0" xfId="0" applyFill="1"/>
    <xf numFmtId="0" fontId="1" fillId="3" borderId="0" xfId="0" applyFont="1" applyFill="1"/>
    <xf numFmtId="167" fontId="0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top"/>
    </xf>
    <xf numFmtId="0" fontId="0" fillId="0" borderId="0" xfId="0" quotePrefix="1" applyFont="1" applyFill="1" applyAlignment="1">
      <alignment horizontal="center" vertical="top"/>
    </xf>
    <xf numFmtId="164" fontId="1" fillId="3" borderId="0" xfId="0" applyNumberFormat="1" applyFont="1" applyFill="1" applyAlignment="1">
      <alignment horizontal="center" vertical="top"/>
    </xf>
    <xf numFmtId="166" fontId="0" fillId="0" borderId="0" xfId="0" applyNumberFormat="1" applyFill="1"/>
    <xf numFmtId="164" fontId="5" fillId="3" borderId="0" xfId="0" applyNumberFormat="1" applyFon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169" fontId="0" fillId="0" borderId="0" xfId="0" applyNumberFormat="1" applyFont="1" applyAlignment="1">
      <alignment horizontal="left" vertical="top"/>
    </xf>
    <xf numFmtId="168" fontId="1" fillId="3" borderId="0" xfId="0" applyNumberFormat="1" applyFont="1" applyFill="1" applyAlignment="1">
      <alignment horizontal="center" vertical="top"/>
    </xf>
    <xf numFmtId="2" fontId="0" fillId="5" borderId="0" xfId="0" applyNumberFormat="1" applyFont="1" applyFill="1" applyAlignment="1">
      <alignment horizontal="center" vertical="top"/>
    </xf>
    <xf numFmtId="2" fontId="1" fillId="3" borderId="0" xfId="0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2" fontId="0" fillId="0" borderId="0" xfId="0" applyNumberFormat="1" applyFill="1"/>
    <xf numFmtId="166" fontId="0" fillId="0" borderId="0" xfId="0" applyNumberFormat="1" applyFill="1" applyAlignment="1">
      <alignment horizontal="center" vertical="top"/>
    </xf>
    <xf numFmtId="165" fontId="1" fillId="0" borderId="0" xfId="0" applyNumberFormat="1" applyFont="1" applyFill="1" applyAlignment="1">
      <alignment vertical="top"/>
    </xf>
    <xf numFmtId="0" fontId="1" fillId="3" borderId="0" xfId="0" applyFont="1" applyFill="1" applyAlignment="1">
      <alignment horizontal="center"/>
    </xf>
    <xf numFmtId="168" fontId="0" fillId="0" borderId="0" xfId="0" applyNumberFormat="1" applyAlignment="1">
      <alignment horizontal="center" vertical="top"/>
    </xf>
    <xf numFmtId="0" fontId="1" fillId="3" borderId="0" xfId="0" applyFont="1" applyFill="1" applyAlignment="1">
      <alignment horizontal="right"/>
    </xf>
    <xf numFmtId="0" fontId="0" fillId="0" borderId="0" xfId="0" applyFont="1" applyAlignment="1">
      <alignment horizontal="center" vertical="top"/>
    </xf>
    <xf numFmtId="2" fontId="0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10" fontId="0" fillId="0" borderId="0" xfId="0" applyNumberFormat="1" applyAlignment="1">
      <alignment horizontal="center" vertical="top"/>
    </xf>
    <xf numFmtId="1" fontId="5" fillId="5" borderId="0" xfId="0" applyNumberFormat="1" applyFont="1" applyFill="1" applyAlignment="1">
      <alignment horizontal="center" vertical="top"/>
    </xf>
    <xf numFmtId="169" fontId="5" fillId="5" borderId="0" xfId="0" applyNumberFormat="1" applyFont="1" applyFill="1" applyAlignment="1">
      <alignment horizontal="center" vertical="top"/>
    </xf>
    <xf numFmtId="164" fontId="5" fillId="5" borderId="0" xfId="0" applyNumberFormat="1" applyFont="1" applyFill="1" applyAlignment="1">
      <alignment horizontal="center" vertical="top"/>
    </xf>
    <xf numFmtId="2" fontId="5" fillId="5" borderId="0" xfId="0" applyNumberFormat="1" applyFont="1" applyFill="1" applyAlignment="1">
      <alignment horizontal="center" vertical="top"/>
    </xf>
    <xf numFmtId="0" fontId="5" fillId="5" borderId="0" xfId="0" applyFont="1" applyFill="1" applyAlignment="1">
      <alignment horizontal="center" vertical="top"/>
    </xf>
    <xf numFmtId="167" fontId="5" fillId="5" borderId="0" xfId="0" applyNumberFormat="1" applyFont="1" applyFill="1" applyAlignment="1">
      <alignment horizontal="center" vertical="top"/>
    </xf>
    <xf numFmtId="20" fontId="5" fillId="5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5" borderId="0" xfId="0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5" fontId="0" fillId="0" borderId="0" xfId="0" applyNumberFormat="1" applyFont="1" applyFill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horizontal="right" vertical="top"/>
    </xf>
    <xf numFmtId="44" fontId="0" fillId="0" borderId="0" xfId="0" applyNumberFormat="1" applyFont="1" applyFill="1" applyAlignment="1">
      <alignment horizontal="center" vertical="top"/>
    </xf>
    <xf numFmtId="0" fontId="0" fillId="0" borderId="0" xfId="0" applyFont="1"/>
    <xf numFmtId="0" fontId="3" fillId="0" borderId="0" xfId="0" applyFont="1" applyFill="1"/>
    <xf numFmtId="0" fontId="4" fillId="0" borderId="0" xfId="0" applyFont="1" applyFill="1"/>
    <xf numFmtId="44" fontId="1" fillId="0" borderId="0" xfId="0" applyNumberFormat="1" applyFont="1" applyFill="1" applyAlignment="1">
      <alignment vertical="top"/>
    </xf>
    <xf numFmtId="2" fontId="1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9" fontId="0" fillId="0" borderId="0" xfId="0" applyNumberFormat="1" applyFont="1"/>
    <xf numFmtId="9" fontId="1" fillId="0" borderId="0" xfId="0" applyNumberFormat="1" applyFont="1"/>
    <xf numFmtId="9" fontId="0" fillId="0" borderId="0" xfId="0" applyNumberFormat="1" applyAlignment="1">
      <alignment horizontal="center" vertical="top"/>
    </xf>
    <xf numFmtId="10" fontId="0" fillId="0" borderId="0" xfId="0" applyNumberFormat="1" applyFont="1" applyFill="1" applyAlignment="1">
      <alignment horizontal="center" vertical="top"/>
    </xf>
    <xf numFmtId="9" fontId="0" fillId="0" borderId="0" xfId="0" applyNumberFormat="1" applyFont="1" applyFill="1" applyAlignment="1">
      <alignment horizontal="center" vertical="top"/>
    </xf>
    <xf numFmtId="169" fontId="0" fillId="0" borderId="0" xfId="0" applyNumberFormat="1" applyAlignment="1">
      <alignment horizontal="center" vertical="top"/>
    </xf>
    <xf numFmtId="44" fontId="0" fillId="0" borderId="0" xfId="0" applyNumberFormat="1"/>
    <xf numFmtId="42" fontId="0" fillId="0" borderId="0" xfId="0" applyNumberFormat="1" applyFill="1"/>
    <xf numFmtId="42" fontId="5" fillId="0" borderId="0" xfId="0" applyNumberFormat="1" applyFont="1" applyFill="1" applyAlignment="1">
      <alignment horizontal="center" vertical="top"/>
    </xf>
    <xf numFmtId="42" fontId="1" fillId="3" borderId="0" xfId="0" applyNumberFormat="1" applyFont="1" applyFill="1" applyAlignment="1">
      <alignment horizontal="center" vertical="top"/>
    </xf>
    <xf numFmtId="42" fontId="1" fillId="4" borderId="0" xfId="0" applyNumberFormat="1" applyFont="1" applyFill="1" applyAlignment="1">
      <alignment horizontal="center" vertical="top"/>
    </xf>
    <xf numFmtId="42" fontId="0" fillId="0" borderId="0" xfId="0" applyNumberFormat="1" applyAlignment="1">
      <alignment horizontal="center" vertical="top"/>
    </xf>
    <xf numFmtId="42" fontId="0" fillId="0" borderId="0" xfId="0" applyNumberFormat="1" applyFill="1" applyAlignment="1">
      <alignment horizontal="center" vertical="top"/>
    </xf>
    <xf numFmtId="42" fontId="1" fillId="3" borderId="0" xfId="0" applyNumberFormat="1" applyFont="1" applyFill="1" applyAlignment="1">
      <alignment vertical="top"/>
    </xf>
    <xf numFmtId="42" fontId="1" fillId="0" borderId="0" xfId="0" applyNumberFormat="1" applyFont="1"/>
    <xf numFmtId="42" fontId="4" fillId="0" borderId="0" xfId="0" applyNumberFormat="1" applyFont="1"/>
    <xf numFmtId="42" fontId="1" fillId="0" borderId="0" xfId="0" applyNumberFormat="1" applyFont="1" applyAlignment="1">
      <alignment horizontal="center" vertical="top"/>
    </xf>
    <xf numFmtId="42" fontId="0" fillId="5" borderId="0" xfId="0" applyNumberFormat="1" applyFill="1" applyAlignment="1">
      <alignment horizontal="center" vertical="top"/>
    </xf>
    <xf numFmtId="42" fontId="0" fillId="0" borderId="0" xfId="0" applyNumberFormat="1" applyAlignment="1">
      <alignment vertical="top"/>
    </xf>
    <xf numFmtId="42" fontId="0" fillId="0" borderId="0" xfId="0" applyNumberFormat="1" applyFont="1" applyFill="1" applyAlignment="1">
      <alignment horizontal="center" vertical="top"/>
    </xf>
    <xf numFmtId="9" fontId="1" fillId="3" borderId="0" xfId="0" applyNumberFormat="1" applyFont="1" applyFill="1" applyAlignment="1">
      <alignment horizontal="center" vertical="top"/>
    </xf>
    <xf numFmtId="44" fontId="0" fillId="0" borderId="0" xfId="0" applyNumberFormat="1" applyFill="1" applyAlignment="1">
      <alignment vertical="top"/>
    </xf>
    <xf numFmtId="0" fontId="1" fillId="4" borderId="0" xfId="0" applyFont="1" applyFill="1" applyAlignment="1">
      <alignment horizontal="center" vertical="top"/>
    </xf>
    <xf numFmtId="44" fontId="0" fillId="0" borderId="0" xfId="0" applyNumberFormat="1" applyFont="1" applyFill="1" applyAlignment="1">
      <alignment horizontal="right" vertical="top"/>
    </xf>
    <xf numFmtId="44" fontId="0" fillId="0" borderId="0" xfId="0" applyNumberFormat="1" applyFill="1"/>
    <xf numFmtId="0" fontId="0" fillId="2" borderId="0" xfId="0" applyFont="1" applyFill="1" applyAlignment="1">
      <alignment horizontal="center" vertical="top"/>
    </xf>
    <xf numFmtId="2" fontId="0" fillId="2" borderId="0" xfId="0" applyNumberFormat="1" applyFill="1" applyAlignment="1">
      <alignment horizontal="center" vertical="top"/>
    </xf>
    <xf numFmtId="9" fontId="0" fillId="2" borderId="0" xfId="0" applyNumberFormat="1" applyFill="1"/>
    <xf numFmtId="164" fontId="0" fillId="0" borderId="0" xfId="0" applyNumberFormat="1" applyFill="1"/>
    <xf numFmtId="0" fontId="1" fillId="2" borderId="0" xfId="0" applyFont="1" applyFill="1"/>
    <xf numFmtId="164" fontId="0" fillId="2" borderId="0" xfId="0" applyNumberFormat="1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42" fontId="0" fillId="0" borderId="0" xfId="0" applyNumberFormat="1"/>
    <xf numFmtId="9" fontId="1" fillId="0" borderId="0" xfId="0" applyNumberFormat="1" applyFont="1" applyAlignment="1">
      <alignment horizontal="center" vertical="top"/>
    </xf>
    <xf numFmtId="44" fontId="0" fillId="0" borderId="0" xfId="0" applyNumberFormat="1" applyFill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9" fontId="0" fillId="3" borderId="0" xfId="0" applyNumberFormat="1" applyFont="1" applyFill="1" applyAlignment="1">
      <alignment horizontal="center" vertical="top"/>
    </xf>
    <xf numFmtId="10" fontId="0" fillId="3" borderId="0" xfId="0" applyNumberFormat="1" applyFont="1" applyFill="1" applyAlignment="1">
      <alignment horizontal="center" vertical="top"/>
    </xf>
    <xf numFmtId="6" fontId="0" fillId="0" borderId="0" xfId="0" applyNumberFormat="1" applyAlignment="1">
      <alignment vertical="top"/>
    </xf>
    <xf numFmtId="170" fontId="0" fillId="0" borderId="0" xfId="0" applyNumberFormat="1" applyAlignment="1">
      <alignment vertical="top"/>
    </xf>
    <xf numFmtId="0" fontId="0" fillId="3" borderId="0" xfId="0" applyFont="1" applyFill="1" applyAlignment="1">
      <alignment horizontal="center" vertical="top"/>
    </xf>
    <xf numFmtId="168" fontId="0" fillId="3" borderId="0" xfId="0" applyNumberFormat="1" applyFont="1" applyFill="1" applyAlignment="1">
      <alignment horizontal="center" vertical="top"/>
    </xf>
    <xf numFmtId="6" fontId="0" fillId="3" borderId="0" xfId="0" applyNumberFormat="1" applyFill="1" applyAlignment="1">
      <alignment vertical="top"/>
    </xf>
    <xf numFmtId="6" fontId="0" fillId="0" borderId="0" xfId="0" applyNumberFormat="1" applyFill="1" applyAlignment="1">
      <alignment horizontal="center" vertical="top"/>
    </xf>
    <xf numFmtId="6" fontId="0" fillId="0" borderId="0" xfId="0" applyNumberFormat="1" applyAlignment="1">
      <alignment horizontal="center" vertical="top"/>
    </xf>
    <xf numFmtId="6" fontId="0" fillId="3" borderId="0" xfId="0" applyNumberFormat="1" applyFill="1" applyAlignment="1">
      <alignment horizontal="center" vertical="top"/>
    </xf>
    <xf numFmtId="6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12" borderId="0" xfId="0" applyFont="1" applyFill="1" applyAlignment="1">
      <alignment horizontal="center" vertical="top"/>
    </xf>
    <xf numFmtId="9" fontId="0" fillId="12" borderId="0" xfId="0" applyNumberFormat="1" applyFont="1" applyFill="1" applyAlignment="1">
      <alignment horizontal="center" vertical="top"/>
    </xf>
    <xf numFmtId="42" fontId="0" fillId="12" borderId="0" xfId="0" applyNumberFormat="1" applyFont="1" applyFill="1" applyAlignment="1">
      <alignment horizontal="center" vertical="top"/>
    </xf>
    <xf numFmtId="164" fontId="0" fillId="12" borderId="0" xfId="0" applyNumberFormat="1" applyFont="1" applyFill="1" applyAlignment="1">
      <alignment horizontal="center" vertical="top"/>
    </xf>
    <xf numFmtId="10" fontId="0" fillId="12" borderId="0" xfId="0" applyNumberFormat="1" applyFont="1" applyFill="1" applyAlignment="1">
      <alignment horizontal="center" vertical="top"/>
    </xf>
    <xf numFmtId="2" fontId="0" fillId="2" borderId="0" xfId="0" applyNumberFormat="1" applyFill="1" applyAlignment="1">
      <alignment horizontal="center"/>
    </xf>
    <xf numFmtId="2" fontId="0" fillId="2" borderId="0" xfId="0" applyNumberFormat="1" applyFont="1" applyFill="1" applyAlignment="1">
      <alignment horizontal="center" vertical="top"/>
    </xf>
    <xf numFmtId="0" fontId="1" fillId="14" borderId="1" xfId="0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 vertical="top"/>
    </xf>
    <xf numFmtId="170" fontId="0" fillId="3" borderId="0" xfId="0" applyNumberFormat="1" applyFill="1" applyAlignment="1">
      <alignment horizontal="center" vertical="top"/>
    </xf>
    <xf numFmtId="0" fontId="6" fillId="0" borderId="0" xfId="0" applyFont="1" applyFill="1"/>
    <xf numFmtId="0" fontId="6" fillId="0" borderId="0" xfId="0" applyFont="1"/>
    <xf numFmtId="164" fontId="6" fillId="0" borderId="0" xfId="0" applyNumberFormat="1" applyFont="1" applyFill="1"/>
    <xf numFmtId="164" fontId="6" fillId="0" borderId="0" xfId="0" applyNumberFormat="1" applyFont="1"/>
    <xf numFmtId="0" fontId="6" fillId="5" borderId="0" xfId="0" applyFont="1" applyFill="1" applyAlignment="1">
      <alignment horizontal="center" vertical="top"/>
    </xf>
    <xf numFmtId="42" fontId="6" fillId="5" borderId="0" xfId="0" applyNumberFormat="1" applyFont="1" applyFill="1" applyAlignment="1">
      <alignment horizontal="center" vertical="top"/>
    </xf>
    <xf numFmtId="169" fontId="6" fillId="0" borderId="0" xfId="0" applyNumberFormat="1" applyFont="1" applyFill="1"/>
    <xf numFmtId="0" fontId="0" fillId="0" borderId="0" xfId="0" applyFont="1" applyFill="1" applyAlignment="1">
      <alignment vertical="top"/>
    </xf>
    <xf numFmtId="0" fontId="1" fillId="8" borderId="2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I46"/>
  <sheetViews>
    <sheetView topLeftCell="A4" zoomScale="70" zoomScaleNormal="70" workbookViewId="0">
      <selection activeCell="B47" sqref="B47"/>
    </sheetView>
  </sheetViews>
  <sheetFormatPr defaultRowHeight="15" x14ac:dyDescent="0.25"/>
  <cols>
    <col min="1" max="1" width="22.42578125" bestFit="1" customWidth="1"/>
    <col min="2" max="2" width="21.7109375" bestFit="1" customWidth="1"/>
    <col min="3" max="3" width="15.85546875" bestFit="1" customWidth="1"/>
    <col min="4" max="4" width="18.7109375" bestFit="1" customWidth="1"/>
  </cols>
  <sheetData>
    <row r="1" spans="1:9" x14ac:dyDescent="0.25">
      <c r="A1" s="1" t="s">
        <v>72</v>
      </c>
      <c r="D1" s="34"/>
    </row>
    <row r="2" spans="1:9" x14ac:dyDescent="0.25">
      <c r="D2" s="34"/>
    </row>
    <row r="3" spans="1:9" x14ac:dyDescent="0.25">
      <c r="A3" s="47" t="s">
        <v>78</v>
      </c>
      <c r="B3" s="47" t="s">
        <v>79</v>
      </c>
      <c r="C3" s="47" t="s">
        <v>80</v>
      </c>
      <c r="D3" s="47" t="s">
        <v>114</v>
      </c>
      <c r="F3" s="91"/>
      <c r="G3" s="92"/>
      <c r="H3" s="92"/>
      <c r="I3" s="92"/>
    </row>
    <row r="4" spans="1:9" x14ac:dyDescent="0.25">
      <c r="A4" t="s">
        <v>74</v>
      </c>
      <c r="B4" s="101">
        <v>0.36899999999999999</v>
      </c>
      <c r="C4" s="102">
        <v>26.88</v>
      </c>
      <c r="D4" s="103">
        <f>C4*1000</f>
        <v>26880</v>
      </c>
    </row>
    <row r="5" spans="1:9" x14ac:dyDescent="0.25">
      <c r="A5" t="s">
        <v>75</v>
      </c>
      <c r="B5" s="101">
        <v>0.44800000000000001</v>
      </c>
      <c r="C5" s="102">
        <v>44.72</v>
      </c>
      <c r="D5" s="103">
        <f t="shared" ref="D5:D7" si="0">C5*1000</f>
        <v>44720</v>
      </c>
    </row>
    <row r="6" spans="1:9" x14ac:dyDescent="0.25">
      <c r="A6" t="s">
        <v>76</v>
      </c>
      <c r="B6" s="101">
        <v>0.16300000000000001</v>
      </c>
      <c r="C6" s="102">
        <v>44.06</v>
      </c>
      <c r="D6" s="103">
        <f t="shared" si="0"/>
        <v>44060</v>
      </c>
    </row>
    <row r="7" spans="1:9" x14ac:dyDescent="0.25">
      <c r="A7" t="s">
        <v>77</v>
      </c>
      <c r="B7" s="101">
        <v>0.02</v>
      </c>
      <c r="C7" s="102">
        <v>47.67</v>
      </c>
      <c r="D7" s="103">
        <f t="shared" si="0"/>
        <v>47670</v>
      </c>
    </row>
    <row r="9" spans="1:9" x14ac:dyDescent="0.25">
      <c r="A9" s="6" t="s">
        <v>81</v>
      </c>
      <c r="B9" s="6" t="s">
        <v>82</v>
      </c>
      <c r="C9" s="6" t="s">
        <v>83</v>
      </c>
      <c r="D9" s="6" t="s">
        <v>84</v>
      </c>
    </row>
    <row r="10" spans="1:9" x14ac:dyDescent="0.25">
      <c r="A10" s="11">
        <v>2015</v>
      </c>
      <c r="B10" s="55">
        <v>105.4</v>
      </c>
      <c r="C10" s="24"/>
      <c r="D10" s="24">
        <v>1</v>
      </c>
    </row>
    <row r="11" spans="1:9" x14ac:dyDescent="0.25">
      <c r="A11" s="11">
        <v>2016</v>
      </c>
      <c r="B11" s="55">
        <v>108.2</v>
      </c>
      <c r="C11" s="24">
        <f>B11/B10</f>
        <v>1.0265654648956357</v>
      </c>
      <c r="D11" s="24">
        <f>D10*C11</f>
        <v>1.0265654648956357</v>
      </c>
    </row>
    <row r="12" spans="1:9" x14ac:dyDescent="0.25">
      <c r="A12" s="11">
        <v>2017</v>
      </c>
      <c r="B12" s="55">
        <v>110.5</v>
      </c>
      <c r="C12" s="24">
        <f>B12/B11</f>
        <v>1.021256931608133</v>
      </c>
      <c r="D12" s="24">
        <f t="shared" ref="D12:D13" si="1">D11*C12</f>
        <v>1.0483870967741935</v>
      </c>
    </row>
    <row r="13" spans="1:9" x14ac:dyDescent="0.25">
      <c r="A13" s="11">
        <v>2018</v>
      </c>
      <c r="B13" s="55">
        <v>112.6</v>
      </c>
      <c r="C13" s="24">
        <f t="shared" ref="C13:C14" si="2">B13/B12</f>
        <v>1.0190045248868778</v>
      </c>
      <c r="D13" s="24">
        <f t="shared" si="1"/>
        <v>1.0683111954459201</v>
      </c>
    </row>
    <row r="14" spans="1:9" x14ac:dyDescent="0.25">
      <c r="A14" s="11">
        <v>2019</v>
      </c>
      <c r="B14" s="55">
        <v>114.1</v>
      </c>
      <c r="C14" s="24">
        <f t="shared" si="2"/>
        <v>1.0133214920071048</v>
      </c>
      <c r="D14" s="24">
        <f>D13*C14</f>
        <v>1.0825426944971535</v>
      </c>
    </row>
    <row r="17" spans="1:4" x14ac:dyDescent="0.25">
      <c r="A17" s="66" t="s">
        <v>86</v>
      </c>
      <c r="B17" s="6" t="s">
        <v>87</v>
      </c>
      <c r="C17" s="6" t="s">
        <v>88</v>
      </c>
      <c r="D17" s="46"/>
    </row>
    <row r="18" spans="1:4" x14ac:dyDescent="0.25">
      <c r="A18" s="11">
        <v>2029</v>
      </c>
      <c r="B18" s="23">
        <v>660.64507524464398</v>
      </c>
    </row>
    <row r="19" spans="1:4" x14ac:dyDescent="0.25">
      <c r="A19" s="11">
        <v>2030</v>
      </c>
      <c r="B19" s="23">
        <v>658.99699794663798</v>
      </c>
      <c r="C19" s="67">
        <f>B19/B18</f>
        <v>0.99750535142126706</v>
      </c>
    </row>
    <row r="20" spans="1:4" x14ac:dyDescent="0.25">
      <c r="A20" s="11">
        <v>2031</v>
      </c>
      <c r="B20" s="23">
        <v>657.37349541514595</v>
      </c>
      <c r="C20" s="67">
        <f>B20/B19</f>
        <v>0.99753640375214048</v>
      </c>
    </row>
    <row r="21" spans="1:4" x14ac:dyDescent="0.25">
      <c r="A21" s="11">
        <v>2032</v>
      </c>
      <c r="B21" s="23">
        <v>655.78082714005905</v>
      </c>
      <c r="C21" s="67">
        <f t="shared" ref="C21:C28" si="3">B21/B20</f>
        <v>0.99757722468855992</v>
      </c>
    </row>
    <row r="22" spans="1:4" x14ac:dyDescent="0.25">
      <c r="A22" s="11">
        <v>2033</v>
      </c>
      <c r="B22" s="23">
        <v>654.24277034050294</v>
      </c>
      <c r="C22" s="67">
        <f t="shared" si="3"/>
        <v>0.99765461761627927</v>
      </c>
    </row>
    <row r="23" spans="1:4" x14ac:dyDescent="0.25">
      <c r="A23" s="11">
        <v>2034</v>
      </c>
      <c r="B23" s="23">
        <v>652.738252581148</v>
      </c>
      <c r="C23" s="67">
        <f t="shared" si="3"/>
        <v>0.99770036777239146</v>
      </c>
    </row>
    <row r="24" spans="1:4" x14ac:dyDescent="0.25">
      <c r="A24" s="11">
        <v>2035</v>
      </c>
      <c r="B24" s="23">
        <v>651.25449484255205</v>
      </c>
      <c r="C24" s="67">
        <f t="shared" si="3"/>
        <v>0.99772687178554542</v>
      </c>
    </row>
    <row r="25" spans="1:4" x14ac:dyDescent="0.25">
      <c r="A25" s="11">
        <v>2036</v>
      </c>
      <c r="B25" s="23">
        <v>649.87342665946801</v>
      </c>
      <c r="C25" s="67">
        <f t="shared" si="3"/>
        <v>0.99787937251255687</v>
      </c>
    </row>
    <row r="26" spans="1:4" x14ac:dyDescent="0.25">
      <c r="A26" s="11">
        <v>2037</v>
      </c>
      <c r="B26" s="23">
        <v>648.43073936892699</v>
      </c>
      <c r="C26" s="67">
        <f t="shared" si="3"/>
        <v>0.99778004880433901</v>
      </c>
    </row>
    <row r="27" spans="1:4" x14ac:dyDescent="0.25">
      <c r="A27" s="11">
        <v>2038</v>
      </c>
      <c r="B27" s="23">
        <v>647.01092590435803</v>
      </c>
      <c r="C27" s="67">
        <f t="shared" si="3"/>
        <v>0.99781038532203026</v>
      </c>
    </row>
    <row r="28" spans="1:4" x14ac:dyDescent="0.25">
      <c r="A28" s="11">
        <v>2039</v>
      </c>
      <c r="B28" s="23">
        <v>645.59926010484799</v>
      </c>
      <c r="C28" s="67">
        <f t="shared" si="3"/>
        <v>0.99781817316680255</v>
      </c>
    </row>
    <row r="29" spans="1:4" x14ac:dyDescent="0.25">
      <c r="A29" s="46"/>
      <c r="B29" s="68" t="s">
        <v>15</v>
      </c>
      <c r="C29" s="57">
        <f>AVERAGE(C19:C28)</f>
        <v>0.99769888168419119</v>
      </c>
      <c r="D29" s="46"/>
    </row>
    <row r="32" spans="1:4" s="4" customFormat="1" x14ac:dyDescent="0.25">
      <c r="A32" s="5"/>
      <c r="B32" s="52" t="s">
        <v>5</v>
      </c>
      <c r="C32" s="52" t="s">
        <v>93</v>
      </c>
      <c r="D32" s="52" t="s">
        <v>94</v>
      </c>
    </row>
    <row r="33" spans="1:4" s="4" customFormat="1" x14ac:dyDescent="0.25">
      <c r="A33" s="9" t="s">
        <v>95</v>
      </c>
      <c r="B33" s="11">
        <v>55</v>
      </c>
      <c r="C33" s="11">
        <v>45</v>
      </c>
      <c r="D33" s="11">
        <v>20</v>
      </c>
    </row>
    <row r="34" spans="1:4" s="4" customFormat="1" x14ac:dyDescent="0.25">
      <c r="A34" s="9" t="s">
        <v>96</v>
      </c>
      <c r="B34" s="72">
        <f>1/B33</f>
        <v>1.8181818181818181E-2</v>
      </c>
      <c r="C34" s="72">
        <f t="shared" ref="C34:D34" si="4">1/C33</f>
        <v>2.2222222222222223E-2</v>
      </c>
      <c r="D34" s="72">
        <f t="shared" si="4"/>
        <v>0.05</v>
      </c>
    </row>
    <row r="35" spans="1:4" s="4" customFormat="1" x14ac:dyDescent="0.25">
      <c r="A35" s="9" t="s">
        <v>97</v>
      </c>
      <c r="B35" s="72">
        <v>1.4999999999999999E-2</v>
      </c>
      <c r="C35" s="72">
        <v>1.4999999999999999E-2</v>
      </c>
      <c r="D35" s="72">
        <v>1.4999999999999999E-2</v>
      </c>
    </row>
    <row r="36" spans="1:4" s="4" customFormat="1" x14ac:dyDescent="0.25">
      <c r="A36" s="9"/>
      <c r="B36" s="11"/>
    </row>
    <row r="38" spans="1:4" x14ac:dyDescent="0.25">
      <c r="A38" s="46"/>
      <c r="B38" s="66" t="s">
        <v>112</v>
      </c>
    </row>
    <row r="39" spans="1:4" x14ac:dyDescent="0.25">
      <c r="A39" s="90" t="s">
        <v>72</v>
      </c>
      <c r="B39" s="98">
        <v>0.3</v>
      </c>
    </row>
    <row r="40" spans="1:4" x14ac:dyDescent="0.25">
      <c r="A40" t="s">
        <v>126</v>
      </c>
      <c r="B40" s="98">
        <v>0.3</v>
      </c>
    </row>
    <row r="41" spans="1:4" x14ac:dyDescent="0.25">
      <c r="A41" t="s">
        <v>128</v>
      </c>
      <c r="B41" s="98">
        <v>0.3</v>
      </c>
    </row>
    <row r="42" spans="1:4" x14ac:dyDescent="0.25">
      <c r="A42" t="s">
        <v>113</v>
      </c>
      <c r="B42" s="98">
        <v>0.3</v>
      </c>
    </row>
    <row r="43" spans="1:4" x14ac:dyDescent="0.25">
      <c r="A43" t="s">
        <v>108</v>
      </c>
      <c r="B43" s="98">
        <v>0.25</v>
      </c>
    </row>
    <row r="45" spans="1:4" x14ac:dyDescent="0.25">
      <c r="A45" s="47" t="s">
        <v>128</v>
      </c>
      <c r="B45" s="6" t="s">
        <v>68</v>
      </c>
    </row>
    <row r="46" spans="1:4" x14ac:dyDescent="0.25">
      <c r="A46" t="s">
        <v>140</v>
      </c>
      <c r="B46" s="131">
        <v>0.01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E38"/>
  <sheetViews>
    <sheetView zoomScale="70" zoomScaleNormal="70" workbookViewId="0">
      <selection activeCell="D8" sqref="D8"/>
    </sheetView>
  </sheetViews>
  <sheetFormatPr defaultRowHeight="15" x14ac:dyDescent="0.25"/>
  <cols>
    <col min="1" max="1" width="23" customWidth="1"/>
    <col min="2" max="2" width="11.7109375" bestFit="1" customWidth="1"/>
    <col min="3" max="3" width="17.42578125" bestFit="1" customWidth="1"/>
    <col min="4" max="4" width="18" customWidth="1"/>
    <col min="5" max="5" width="17.140625" bestFit="1" customWidth="1"/>
    <col min="6" max="6" width="18.5703125" bestFit="1" customWidth="1"/>
    <col min="7" max="7" width="17.140625" bestFit="1" customWidth="1"/>
    <col min="13" max="13" width="32.5703125" bestFit="1" customWidth="1"/>
    <col min="14" max="14" width="14.42578125" bestFit="1" customWidth="1"/>
  </cols>
  <sheetData>
    <row r="1" spans="1:5" x14ac:dyDescent="0.25">
      <c r="A1" s="46"/>
      <c r="B1" s="46"/>
      <c r="C1" s="46"/>
      <c r="D1" s="46"/>
      <c r="E1" s="46"/>
    </row>
    <row r="2" spans="1:5" x14ac:dyDescent="0.25">
      <c r="A2" s="2" t="s">
        <v>21</v>
      </c>
      <c r="B2" s="175" t="s">
        <v>22</v>
      </c>
      <c r="C2" s="175"/>
      <c r="D2" s="175"/>
      <c r="E2" s="175"/>
    </row>
    <row r="3" spans="1:5" ht="60" customHeight="1" x14ac:dyDescent="0.25">
      <c r="A3" s="2" t="s">
        <v>13</v>
      </c>
      <c r="B3" s="175" t="s">
        <v>23</v>
      </c>
      <c r="C3" s="175"/>
      <c r="D3" s="175"/>
      <c r="E3" s="175"/>
    </row>
    <row r="4" spans="1:5" x14ac:dyDescent="0.25">
      <c r="A4" s="2" t="s">
        <v>24</v>
      </c>
      <c r="B4" s="176">
        <f>C20</f>
        <v>20.994363333457152</v>
      </c>
      <c r="C4" s="176"/>
      <c r="D4" s="176"/>
      <c r="E4" s="176"/>
    </row>
    <row r="5" spans="1:5" ht="30" customHeight="1" x14ac:dyDescent="0.25">
      <c r="A5" s="2" t="s">
        <v>25</v>
      </c>
      <c r="B5" s="175" t="s">
        <v>26</v>
      </c>
      <c r="C5" s="175"/>
      <c r="D5" s="175"/>
      <c r="E5" s="175"/>
    </row>
    <row r="6" spans="1:5" x14ac:dyDescent="0.25">
      <c r="A6" s="1"/>
    </row>
    <row r="7" spans="1:5" x14ac:dyDescent="0.25">
      <c r="A7" s="1" t="s">
        <v>7</v>
      </c>
      <c r="B7" s="1" t="s">
        <v>27</v>
      </c>
      <c r="C7" s="1" t="s">
        <v>8</v>
      </c>
      <c r="D7" s="112" t="s">
        <v>119</v>
      </c>
      <c r="E7" s="112" t="s">
        <v>120</v>
      </c>
    </row>
    <row r="8" spans="1:5" x14ac:dyDescent="0.25">
      <c r="A8" s="158">
        <v>2023</v>
      </c>
      <c r="B8" s="164">
        <f>C8/$C$11</f>
        <v>0.19053062779841859</v>
      </c>
      <c r="C8" s="160">
        <v>4</v>
      </c>
      <c r="D8" s="111">
        <f>C8*$B$23*1000000</f>
        <v>3000000</v>
      </c>
      <c r="E8" s="111">
        <f>C8*1000000-D8</f>
        <v>1000000</v>
      </c>
    </row>
    <row r="9" spans="1:5" x14ac:dyDescent="0.25">
      <c r="A9" s="159">
        <v>2024</v>
      </c>
      <c r="B9" s="164">
        <f t="shared" ref="B9:B10" si="0">C9/$C$11</f>
        <v>0.3096122701724302</v>
      </c>
      <c r="C9" s="161">
        <v>6.5</v>
      </c>
      <c r="D9" s="111">
        <f>C9*$B$23*1000000</f>
        <v>4875000</v>
      </c>
      <c r="E9" s="111">
        <f t="shared" ref="E9:E10" si="1">C9*1000000-D9</f>
        <v>1625000</v>
      </c>
    </row>
    <row r="10" spans="1:5" x14ac:dyDescent="0.25">
      <c r="A10" s="159">
        <v>2025</v>
      </c>
      <c r="B10" s="164">
        <f t="shared" si="0"/>
        <v>0.49985710202915118</v>
      </c>
      <c r="C10" s="161">
        <v>10.494</v>
      </c>
      <c r="D10" s="111">
        <f>C10*$B$23*1000000</f>
        <v>7870500</v>
      </c>
      <c r="E10" s="111">
        <f t="shared" si="1"/>
        <v>2623500</v>
      </c>
    </row>
    <row r="11" spans="1:5" x14ac:dyDescent="0.25">
      <c r="A11" s="1" t="s">
        <v>28</v>
      </c>
      <c r="C11" s="18">
        <f>SUM(C8:C10)</f>
        <v>20.994</v>
      </c>
      <c r="D11" s="110">
        <f t="shared" ref="D11:E11" si="2">SUM(D8:D10)</f>
        <v>15745500</v>
      </c>
      <c r="E11" s="110">
        <f t="shared" si="2"/>
        <v>5248500</v>
      </c>
    </row>
    <row r="12" spans="1:5" x14ac:dyDescent="0.25">
      <c r="C12" s="16"/>
    </row>
    <row r="13" spans="1:5" x14ac:dyDescent="0.25">
      <c r="A13" s="1" t="s">
        <v>29</v>
      </c>
      <c r="B13" s="1" t="s">
        <v>30</v>
      </c>
      <c r="C13" s="18" t="s">
        <v>8</v>
      </c>
      <c r="D13" s="95" t="s">
        <v>2</v>
      </c>
    </row>
    <row r="14" spans="1:5" x14ac:dyDescent="0.25">
      <c r="A14" s="34" t="s">
        <v>31</v>
      </c>
      <c r="B14" s="34">
        <v>19</v>
      </c>
      <c r="C14" s="124">
        <v>16.947553603004817</v>
      </c>
      <c r="D14" s="96">
        <f t="shared" ref="D14:D19" si="3">C14/$C$20</f>
        <v>0.80724303632474359</v>
      </c>
      <c r="E14" s="28"/>
    </row>
    <row r="15" spans="1:5" x14ac:dyDescent="0.25">
      <c r="A15" t="s">
        <v>32</v>
      </c>
      <c r="B15">
        <v>2</v>
      </c>
      <c r="C15" s="16">
        <v>1.3647570879335058</v>
      </c>
      <c r="D15" s="96">
        <f t="shared" si="3"/>
        <v>6.5005881162330567E-2</v>
      </c>
    </row>
    <row r="16" spans="1:5" x14ac:dyDescent="0.25">
      <c r="A16" t="s">
        <v>33</v>
      </c>
      <c r="B16">
        <v>2</v>
      </c>
      <c r="C16" s="16">
        <v>0.47696933528280677</v>
      </c>
      <c r="D16" s="96">
        <f t="shared" si="3"/>
        <v>2.2718923537095134E-2</v>
      </c>
    </row>
    <row r="17" spans="1:5" x14ac:dyDescent="0.25">
      <c r="A17" t="s">
        <v>34</v>
      </c>
      <c r="B17">
        <v>2</v>
      </c>
      <c r="C17" s="16">
        <v>0.63668743966232555</v>
      </c>
      <c r="D17" s="96">
        <f t="shared" si="3"/>
        <v>3.0326589549285559E-2</v>
      </c>
    </row>
    <row r="18" spans="1:5" x14ac:dyDescent="0.25">
      <c r="A18" t="s">
        <v>35</v>
      </c>
      <c r="B18">
        <v>1</v>
      </c>
      <c r="C18" s="16">
        <v>1.2891063115751531</v>
      </c>
      <c r="D18" s="96">
        <f t="shared" si="3"/>
        <v>6.1402496046203056E-2</v>
      </c>
    </row>
    <row r="19" spans="1:5" x14ac:dyDescent="0.25">
      <c r="A19" t="s">
        <v>36</v>
      </c>
      <c r="B19">
        <v>2</v>
      </c>
      <c r="C19" s="16">
        <v>0.27928955599854438</v>
      </c>
      <c r="D19" s="96">
        <f t="shared" si="3"/>
        <v>1.3303073380342116E-2</v>
      </c>
    </row>
    <row r="20" spans="1:5" x14ac:dyDescent="0.25">
      <c r="A20" s="1" t="s">
        <v>28</v>
      </c>
      <c r="C20" s="18">
        <f>SUM(C14:C19)</f>
        <v>20.994363333457152</v>
      </c>
      <c r="D20" s="97">
        <f>SUM(D14:D19)</f>
        <v>1</v>
      </c>
    </row>
    <row r="22" spans="1:5" x14ac:dyDescent="0.25">
      <c r="B22" s="95" t="s">
        <v>2</v>
      </c>
    </row>
    <row r="23" spans="1:5" x14ac:dyDescent="0.25">
      <c r="A23" t="s">
        <v>5</v>
      </c>
      <c r="B23" s="123">
        <v>0.75</v>
      </c>
    </row>
    <row r="24" spans="1:5" x14ac:dyDescent="0.25">
      <c r="A24" t="s">
        <v>93</v>
      </c>
      <c r="B24" s="123">
        <v>0.25</v>
      </c>
    </row>
    <row r="25" spans="1:5" x14ac:dyDescent="0.25">
      <c r="A25" s="1" t="s">
        <v>28</v>
      </c>
      <c r="B25" s="97">
        <f>SUM(B23:B24)</f>
        <v>1</v>
      </c>
    </row>
    <row r="26" spans="1:5" x14ac:dyDescent="0.25">
      <c r="A26" s="46"/>
      <c r="B26" s="46"/>
      <c r="C26" s="46"/>
      <c r="D26" s="46"/>
      <c r="E26" s="46"/>
    </row>
    <row r="28" spans="1:5" x14ac:dyDescent="0.25">
      <c r="A28" s="1" t="s">
        <v>138</v>
      </c>
    </row>
    <row r="29" spans="1:5" x14ac:dyDescent="0.25">
      <c r="A29" s="1" t="s">
        <v>137</v>
      </c>
    </row>
    <row r="30" spans="1:5" x14ac:dyDescent="0.25">
      <c r="B30" s="3" t="s">
        <v>27</v>
      </c>
      <c r="C30" s="3" t="s">
        <v>8</v>
      </c>
    </row>
    <row r="31" spans="1:5" x14ac:dyDescent="0.25">
      <c r="A31" t="s">
        <v>136</v>
      </c>
      <c r="B31" s="98">
        <f>C31/$C$37</f>
        <v>0.24075583510709433</v>
      </c>
      <c r="C31" s="128">
        <v>1289000</v>
      </c>
    </row>
    <row r="32" spans="1:5" x14ac:dyDescent="0.25">
      <c r="A32" t="s">
        <v>135</v>
      </c>
      <c r="B32" s="98">
        <f t="shared" ref="B32:B34" si="4">C32/$C$37</f>
        <v>0.25438141999995517</v>
      </c>
      <c r="C32" s="128">
        <v>1361951</v>
      </c>
    </row>
    <row r="33" spans="1:5" x14ac:dyDescent="0.25">
      <c r="A33" t="s">
        <v>134</v>
      </c>
      <c r="B33" s="98">
        <f t="shared" si="4"/>
        <v>0.24412454902640507</v>
      </c>
      <c r="C33" s="128">
        <v>1307036</v>
      </c>
    </row>
    <row r="34" spans="1:5" x14ac:dyDescent="0.25">
      <c r="A34" t="s">
        <v>133</v>
      </c>
      <c r="B34" s="98">
        <f t="shared" si="4"/>
        <v>0.26073819586654545</v>
      </c>
      <c r="C34" s="128">
        <v>1395985</v>
      </c>
    </row>
    <row r="35" spans="1:5" x14ac:dyDescent="0.25">
      <c r="B35" s="11"/>
    </row>
    <row r="36" spans="1:5" x14ac:dyDescent="0.25">
      <c r="A36" s="1" t="s">
        <v>132</v>
      </c>
      <c r="B36" s="98">
        <f>B31+B33</f>
        <v>0.48488038413349943</v>
      </c>
      <c r="C36" s="128">
        <f>C31+C33</f>
        <v>2596036</v>
      </c>
    </row>
    <row r="37" spans="1:5" x14ac:dyDescent="0.25">
      <c r="A37" s="1" t="s">
        <v>37</v>
      </c>
      <c r="B37" s="129">
        <f>SUM(B31:B34)</f>
        <v>1</v>
      </c>
      <c r="C37" s="110">
        <f>SUM(C31:C34)</f>
        <v>5353972</v>
      </c>
    </row>
    <row r="38" spans="1:5" x14ac:dyDescent="0.25">
      <c r="A38" s="46"/>
      <c r="B38" s="46"/>
      <c r="C38" s="46"/>
      <c r="D38" s="46"/>
      <c r="E38" s="46"/>
    </row>
  </sheetData>
  <mergeCells count="4">
    <mergeCell ref="B3:E3"/>
    <mergeCell ref="B5:E5"/>
    <mergeCell ref="B2:E2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C31"/>
  <sheetViews>
    <sheetView zoomScale="70" zoomScaleNormal="70" workbookViewId="0">
      <selection activeCell="C3" sqref="C3"/>
    </sheetView>
  </sheetViews>
  <sheetFormatPr defaultRowHeight="15" outlineLevelRow="1" x14ac:dyDescent="0.25"/>
  <cols>
    <col min="1" max="1" width="40.140625" style="9" bestFit="1" customWidth="1"/>
    <col min="2" max="2" width="18.7109375" style="9" bestFit="1" customWidth="1"/>
    <col min="3" max="3" width="18.42578125" style="11" customWidth="1"/>
    <col min="4" max="4" width="18.5703125" style="4" customWidth="1"/>
    <col min="5" max="16384" width="9.140625" style="4"/>
  </cols>
  <sheetData>
    <row r="1" spans="1:3" x14ac:dyDescent="0.25">
      <c r="A1" s="5" t="s">
        <v>6</v>
      </c>
      <c r="B1" s="8"/>
      <c r="C1" s="44"/>
    </row>
    <row r="2" spans="1:3" x14ac:dyDescent="0.25">
      <c r="A2" s="9" t="s">
        <v>63</v>
      </c>
      <c r="C2" s="77">
        <v>2023</v>
      </c>
    </row>
    <row r="3" spans="1:3" x14ac:dyDescent="0.25">
      <c r="A3" s="9" t="s">
        <v>51</v>
      </c>
      <c r="B3" s="9" t="s">
        <v>65</v>
      </c>
      <c r="C3" s="77">
        <v>10</v>
      </c>
    </row>
    <row r="4" spans="1:3" x14ac:dyDescent="0.25">
      <c r="A4" s="9" t="s">
        <v>52</v>
      </c>
      <c r="B4" s="9" t="s">
        <v>38</v>
      </c>
      <c r="C4" s="76">
        <v>1</v>
      </c>
    </row>
    <row r="5" spans="1:3" x14ac:dyDescent="0.25">
      <c r="A5" s="9" t="s">
        <v>70</v>
      </c>
      <c r="B5" s="9" t="s">
        <v>71</v>
      </c>
      <c r="C5" s="77" t="s">
        <v>90</v>
      </c>
    </row>
    <row r="7" spans="1:3" x14ac:dyDescent="0.25">
      <c r="A7" s="5" t="s">
        <v>0</v>
      </c>
      <c r="B7" s="8"/>
      <c r="C7" s="6"/>
    </row>
    <row r="8" spans="1:3" x14ac:dyDescent="0.25">
      <c r="A8" s="9" t="s">
        <v>64</v>
      </c>
      <c r="B8" s="9" t="s">
        <v>2</v>
      </c>
      <c r="C8" s="75">
        <v>3.5069999999999997E-2</v>
      </c>
    </row>
    <row r="9" spans="1:3" x14ac:dyDescent="0.25">
      <c r="C9" s="27"/>
    </row>
    <row r="10" spans="1:3" x14ac:dyDescent="0.25">
      <c r="A10" s="5" t="s">
        <v>72</v>
      </c>
      <c r="B10" s="8"/>
      <c r="C10" s="54"/>
    </row>
    <row r="11" spans="1:3" x14ac:dyDescent="0.25">
      <c r="A11" s="9" t="s">
        <v>73</v>
      </c>
      <c r="C11" s="73">
        <v>2019</v>
      </c>
    </row>
    <row r="12" spans="1:3" x14ac:dyDescent="0.25">
      <c r="A12" s="9" t="s">
        <v>3</v>
      </c>
      <c r="B12" s="9" t="s">
        <v>116</v>
      </c>
      <c r="C12" s="104">
        <f>VLOOKUP($C$11,CONFIG!$A$9:$D$14,4,FALSE)*SUMPRODUCT($C$13:$C$16,CONFIG!$D$4:$D$7)</f>
        <v>29098.747628083485</v>
      </c>
    </row>
    <row r="13" spans="1:3" outlineLevel="1" x14ac:dyDescent="0.25">
      <c r="A13" s="9" t="s">
        <v>74</v>
      </c>
      <c r="B13" s="56" t="s">
        <v>2</v>
      </c>
      <c r="C13" s="74">
        <v>1</v>
      </c>
    </row>
    <row r="14" spans="1:3" outlineLevel="1" x14ac:dyDescent="0.25">
      <c r="A14" s="9" t="s">
        <v>75</v>
      </c>
      <c r="B14" s="56" t="s">
        <v>2</v>
      </c>
      <c r="C14" s="74">
        <v>0</v>
      </c>
    </row>
    <row r="15" spans="1:3" outlineLevel="1" x14ac:dyDescent="0.25">
      <c r="A15" s="9" t="s">
        <v>76</v>
      </c>
      <c r="B15" s="56" t="s">
        <v>2</v>
      </c>
      <c r="C15" s="74">
        <v>0</v>
      </c>
    </row>
    <row r="16" spans="1:3" outlineLevel="1" x14ac:dyDescent="0.25">
      <c r="A16" s="9" t="s">
        <v>77</v>
      </c>
      <c r="B16" s="56" t="s">
        <v>2</v>
      </c>
      <c r="C16" s="74">
        <v>0</v>
      </c>
    </row>
    <row r="18" spans="1:3" x14ac:dyDescent="0.25">
      <c r="A18" s="5" t="s">
        <v>1</v>
      </c>
      <c r="B18" s="8"/>
      <c r="C18" s="6"/>
    </row>
    <row r="19" spans="1:3" outlineLevel="1" x14ac:dyDescent="0.25">
      <c r="A19" s="9" t="s">
        <v>53</v>
      </c>
      <c r="B19" s="10" t="s">
        <v>68</v>
      </c>
      <c r="C19" s="77">
        <v>1.4999999999999999E-2</v>
      </c>
    </row>
    <row r="20" spans="1:3" outlineLevel="1" x14ac:dyDescent="0.25">
      <c r="A20" s="9" t="s">
        <v>54</v>
      </c>
      <c r="B20" s="9" t="s">
        <v>39</v>
      </c>
      <c r="C20" s="73">
        <v>8</v>
      </c>
    </row>
    <row r="21" spans="1:3" x14ac:dyDescent="0.25">
      <c r="A21" s="5" t="s">
        <v>4</v>
      </c>
      <c r="B21" s="8"/>
      <c r="C21" s="44"/>
    </row>
    <row r="22" spans="1:3" outlineLevel="1" x14ac:dyDescent="0.25">
      <c r="A22" s="9" t="s">
        <v>55</v>
      </c>
      <c r="B22" s="9" t="s">
        <v>67</v>
      </c>
      <c r="C22" s="11">
        <v>0.02</v>
      </c>
    </row>
    <row r="23" spans="1:3" outlineLevel="1" x14ac:dyDescent="0.25">
      <c r="A23" s="9" t="s">
        <v>58</v>
      </c>
      <c r="B23" s="9" t="s">
        <v>39</v>
      </c>
      <c r="C23" s="11">
        <v>2</v>
      </c>
    </row>
    <row r="24" spans="1:3" outlineLevel="1" x14ac:dyDescent="0.25">
      <c r="A24" s="9" t="s">
        <v>56</v>
      </c>
      <c r="B24" s="9" t="s">
        <v>39</v>
      </c>
      <c r="C24" s="11">
        <v>4</v>
      </c>
    </row>
    <row r="25" spans="1:3" outlineLevel="1" x14ac:dyDescent="0.25">
      <c r="A25" s="9" t="s">
        <v>57</v>
      </c>
      <c r="B25" s="9" t="s">
        <v>39</v>
      </c>
      <c r="C25" s="11">
        <v>24</v>
      </c>
    </row>
    <row r="26" spans="1:3" outlineLevel="1" x14ac:dyDescent="0.25">
      <c r="A26" s="9" t="s">
        <v>59</v>
      </c>
      <c r="B26" s="9" t="s">
        <v>39</v>
      </c>
      <c r="C26" s="11">
        <v>168</v>
      </c>
    </row>
    <row r="28" spans="1:3" x14ac:dyDescent="0.25">
      <c r="A28" s="5" t="s">
        <v>40</v>
      </c>
      <c r="B28" s="8"/>
      <c r="C28" s="44"/>
    </row>
    <row r="29" spans="1:3" outlineLevel="1" x14ac:dyDescent="0.25">
      <c r="A29" s="45" t="s">
        <v>60</v>
      </c>
      <c r="B29" s="45" t="s">
        <v>41</v>
      </c>
      <c r="C29" s="78">
        <v>8</v>
      </c>
    </row>
    <row r="30" spans="1:3" outlineLevel="1" x14ac:dyDescent="0.25">
      <c r="A30" s="45" t="s">
        <v>61</v>
      </c>
      <c r="B30" s="45" t="s">
        <v>66</v>
      </c>
      <c r="C30" s="79">
        <v>2.0833333333333332E-2</v>
      </c>
    </row>
    <row r="31" spans="1:3" outlineLevel="1" x14ac:dyDescent="0.25">
      <c r="A31" s="45" t="s">
        <v>62</v>
      </c>
      <c r="B31" s="45" t="s">
        <v>71</v>
      </c>
      <c r="C31" s="77" t="s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27"/>
  <sheetViews>
    <sheetView zoomScale="70" zoomScaleNormal="70" workbookViewId="0">
      <selection activeCell="G2" sqref="G2:G12"/>
    </sheetView>
  </sheetViews>
  <sheetFormatPr defaultRowHeight="15" x14ac:dyDescent="0.25"/>
  <cols>
    <col min="1" max="1" width="11.7109375" bestFit="1" customWidth="1"/>
    <col min="2" max="2" width="20.7109375" bestFit="1" customWidth="1"/>
    <col min="3" max="5" width="10.28515625" bestFit="1" customWidth="1"/>
  </cols>
  <sheetData>
    <row r="1" spans="1:8" s="4" customFormat="1" x14ac:dyDescent="0.25">
      <c r="A1" s="2" t="s">
        <v>85</v>
      </c>
      <c r="B1" s="80" t="s">
        <v>89</v>
      </c>
      <c r="C1" s="62" t="s">
        <v>10</v>
      </c>
      <c r="D1" s="62" t="s">
        <v>11</v>
      </c>
      <c r="E1" s="62" t="s">
        <v>12</v>
      </c>
      <c r="F1" s="62" t="s">
        <v>129</v>
      </c>
      <c r="G1" s="3" t="s">
        <v>152</v>
      </c>
      <c r="H1" s="3" t="s">
        <v>153</v>
      </c>
    </row>
    <row r="2" spans="1:8" s="4" customFormat="1" x14ac:dyDescent="0.25">
      <c r="A2" s="11" t="str">
        <f>IF(B2&lt;=(INPUTS!$C$2+INPUTS!$C$3),"Y","N")</f>
        <v>Y</v>
      </c>
      <c r="B2" s="69">
        <v>2019</v>
      </c>
      <c r="C2" s="58">
        <v>49.742649999999998</v>
      </c>
      <c r="D2" s="122">
        <v>23.300050000000002</v>
      </c>
      <c r="E2" s="122">
        <v>17.272549999999999</v>
      </c>
      <c r="F2" s="122">
        <v>6.5985999999999994</v>
      </c>
      <c r="G2" s="153">
        <v>8.7698900000000002</v>
      </c>
      <c r="H2" s="122">
        <v>6.0274999999999999</v>
      </c>
    </row>
    <row r="3" spans="1:8" s="4" customFormat="1" x14ac:dyDescent="0.25">
      <c r="A3" s="11" t="str">
        <f>IF(B3&lt;=(INPUTS!$C$2+INPUTS!$C$3),"Y","N")</f>
        <v>Y</v>
      </c>
      <c r="B3" s="69">
        <v>2020</v>
      </c>
      <c r="C3" s="58">
        <v>40.482735901962918</v>
      </c>
      <c r="D3" s="122">
        <v>19.835051050128673</v>
      </c>
      <c r="E3" s="122">
        <v>13.566806132418725</v>
      </c>
      <c r="F3" s="122">
        <v>5.6402359702130322</v>
      </c>
      <c r="G3" s="153">
        <v>7.5550799088658085</v>
      </c>
      <c r="H3" s="122">
        <v>6.26824491770995</v>
      </c>
    </row>
    <row r="4" spans="1:8" s="4" customFormat="1" x14ac:dyDescent="0.25">
      <c r="A4" s="11" t="str">
        <f>IF(B4&lt;=(INPUTS!$C$2+INPUTS!$C$3),"Y","N")</f>
        <v>Y</v>
      </c>
      <c r="B4" s="69">
        <v>2021</v>
      </c>
      <c r="C4" s="58">
        <v>40.392328176706741</v>
      </c>
      <c r="D4" s="122">
        <v>19.879171635690007</v>
      </c>
      <c r="E4" s="122">
        <v>13.505151607795963</v>
      </c>
      <c r="F4" s="122">
        <v>5.5759208777287608</v>
      </c>
      <c r="G4" s="153">
        <v>7.4811907044628567</v>
      </c>
      <c r="H4" s="122">
        <v>6.3740200278940398</v>
      </c>
    </row>
    <row r="5" spans="1:8" s="4" customFormat="1" x14ac:dyDescent="0.25">
      <c r="A5" s="11" t="str">
        <f>IF(B5&lt;=(INPUTS!$C$2+INPUTS!$C$3),"Y","N")</f>
        <v>Y</v>
      </c>
      <c r="B5" s="69">
        <v>2022</v>
      </c>
      <c r="C5" s="58">
        <v>40.294585680210531</v>
      </c>
      <c r="D5" s="122">
        <v>19.918975630907013</v>
      </c>
      <c r="E5" s="122">
        <v>13.444111274875935</v>
      </c>
      <c r="F5" s="122">
        <v>5.5114694517282263</v>
      </c>
      <c r="G5" s="153">
        <v>7.4075121952819138</v>
      </c>
      <c r="H5" s="122">
        <v>6.4748643560310803</v>
      </c>
    </row>
    <row r="6" spans="1:8" s="4" customFormat="1" x14ac:dyDescent="0.25">
      <c r="A6" s="11" t="str">
        <f>IF(B6&lt;=(INPUTS!$C$2+INPUTS!$C$3),"Y","N")</f>
        <v>Y</v>
      </c>
      <c r="B6" s="69">
        <v>2023</v>
      </c>
      <c r="C6" s="58">
        <v>40.072195695812241</v>
      </c>
      <c r="D6" s="122">
        <v>19.917727777633903</v>
      </c>
      <c r="E6" s="122">
        <v>13.366535834197794</v>
      </c>
      <c r="F6" s="122">
        <v>5.4313374240995413</v>
      </c>
      <c r="G6" s="153">
        <v>7.3154568166967557</v>
      </c>
      <c r="H6" s="122">
        <v>6.5511919434361099</v>
      </c>
    </row>
    <row r="7" spans="1:8" s="4" customFormat="1" x14ac:dyDescent="0.25">
      <c r="A7" s="11" t="str">
        <f>IF(B7&lt;=(INPUTS!$C$2+INPUTS!$C$3),"Y","N")</f>
        <v>Y</v>
      </c>
      <c r="B7" s="69">
        <v>2024</v>
      </c>
      <c r="C7" s="58">
        <v>39.821071297487862</v>
      </c>
      <c r="D7" s="122">
        <v>19.905528390834224</v>
      </c>
      <c r="E7" s="122">
        <v>13.286640261111273</v>
      </c>
      <c r="F7" s="122">
        <v>5.3474904000076506</v>
      </c>
      <c r="G7" s="153">
        <v>7.2204067700688537</v>
      </c>
      <c r="H7" s="122">
        <v>6.6188881297229498</v>
      </c>
    </row>
    <row r="8" spans="1:8" s="4" customFormat="1" x14ac:dyDescent="0.25">
      <c r="A8" s="11" t="str">
        <f>IF(B8&lt;=(INPUTS!$C$2+INPUTS!$C$3),"Y","N")</f>
        <v>Y</v>
      </c>
      <c r="B8" s="69">
        <v>2025</v>
      </c>
      <c r="C8" s="58">
        <v>39.649257491193964</v>
      </c>
      <c r="D8" s="122">
        <v>19.916958483094945</v>
      </c>
      <c r="E8" s="122">
        <v>13.219715976061416</v>
      </c>
      <c r="F8" s="122">
        <v>5.2754389384510709</v>
      </c>
      <c r="G8" s="153">
        <v>7.1390641076732084</v>
      </c>
      <c r="H8" s="122">
        <v>6.69724250703353</v>
      </c>
    </row>
    <row r="9" spans="1:8" s="4" customFormat="1" x14ac:dyDescent="0.25">
      <c r="A9" s="11" t="str">
        <f>IF(B9&lt;=(INPUTS!$C$2+INPUTS!$C$3),"Y","N")</f>
        <v>Y</v>
      </c>
      <c r="B9" s="69">
        <v>2026</v>
      </c>
      <c r="C9" s="58">
        <v>39.481044973711228</v>
      </c>
      <c r="D9" s="122">
        <v>19.928519419892488</v>
      </c>
      <c r="E9" s="122">
        <v>13.154523525058488</v>
      </c>
      <c r="F9" s="122">
        <v>5.2049532777475189</v>
      </c>
      <c r="G9" s="153">
        <v>7.0592873384141264</v>
      </c>
      <c r="H9" s="122">
        <v>6.773995894834</v>
      </c>
    </row>
    <row r="10" spans="1:8" s="4" customFormat="1" x14ac:dyDescent="0.25">
      <c r="A10" s="11" t="str">
        <f>IF(B10&lt;=(INPUTS!$C$2+INPUTS!$C$3),"Y","N")</f>
        <v>Y</v>
      </c>
      <c r="B10" s="69">
        <v>2027</v>
      </c>
      <c r="C10" s="58">
        <v>39.316651793979275</v>
      </c>
      <c r="D10" s="122">
        <v>19.94031916001061</v>
      </c>
      <c r="E10" s="122">
        <v>13.091054636566289</v>
      </c>
      <c r="F10" s="122">
        <v>5.1359514166421381</v>
      </c>
      <c r="G10" s="153">
        <v>6.9810761686001168</v>
      </c>
      <c r="H10" s="122">
        <v>6.8492645234443197</v>
      </c>
    </row>
    <row r="11" spans="1:8" s="4" customFormat="1" x14ac:dyDescent="0.25">
      <c r="A11" s="11" t="str">
        <f>IF(B11&lt;=(INPUTS!$C$2+INPUTS!$C$3),"Y","N")</f>
        <v>Y</v>
      </c>
      <c r="B11" s="69">
        <v>2028</v>
      </c>
      <c r="C11" s="58">
        <v>39.156050126846239</v>
      </c>
      <c r="D11" s="122">
        <v>19.952386591474951</v>
      </c>
      <c r="E11" s="122">
        <v>13.029266730643592</v>
      </c>
      <c r="F11" s="122">
        <v>5.0684043782402171</v>
      </c>
      <c r="G11" s="153">
        <v>6.9043927258519968</v>
      </c>
      <c r="H11" s="122">
        <v>6.9231198608313598</v>
      </c>
    </row>
    <row r="12" spans="1:8" s="4" customFormat="1" x14ac:dyDescent="0.25">
      <c r="A12" s="11" t="str">
        <f>IF(B12&lt;=(INPUTS!$C$2+INPUTS!$C$3),"Y","N")</f>
        <v>Y</v>
      </c>
      <c r="B12" s="69">
        <v>2029</v>
      </c>
      <c r="C12" s="58">
        <v>38.999898046567324</v>
      </c>
      <c r="D12" s="122">
        <v>19.965207483331163</v>
      </c>
      <c r="E12" s="122">
        <v>12.96905404933808</v>
      </c>
      <c r="F12" s="122">
        <v>5.0026526009145007</v>
      </c>
      <c r="G12" s="153">
        <v>6.8291723615744004</v>
      </c>
      <c r="H12" s="122">
        <v>6.9961534339930802</v>
      </c>
    </row>
    <row r="13" spans="1:8" s="4" customFormat="1" x14ac:dyDescent="0.25">
      <c r="A13" s="11" t="str">
        <f>IF(B13&lt;=(INPUTS!$C$2+INPUTS!$C$3),"Y","N")</f>
        <v>Y</v>
      </c>
      <c r="B13" s="69">
        <v>2030</v>
      </c>
      <c r="C13" s="70">
        <f>C12*CONFIG!$C$29</f>
        <v>38.910154666857693</v>
      </c>
      <c r="D13" s="70">
        <f>D12*CONFIG!$C$29</f>
        <v>19.919265178712347</v>
      </c>
      <c r="E13" s="70">
        <f>E12*CONFIG!$C$29</f>
        <v>12.939210721526434</v>
      </c>
      <c r="F13" s="70">
        <f>F12*CONFIG!$C$29</f>
        <v>4.9911409053869074</v>
      </c>
      <c r="G13" s="70">
        <f>G12*CONFIG!$C$29</f>
        <v>6.8134576279713661</v>
      </c>
      <c r="H13" s="70">
        <f>H12*CONFIG!$C$29</f>
        <v>6.9800544571859096</v>
      </c>
    </row>
    <row r="14" spans="1:8" s="4" customFormat="1" x14ac:dyDescent="0.25">
      <c r="A14" s="11" t="str">
        <f>IF(B14&lt;=(INPUTS!$C$2+INPUTS!$C$3),"Y","N")</f>
        <v>Y</v>
      </c>
      <c r="B14" s="69">
        <v>2031</v>
      </c>
      <c r="C14" s="70">
        <f>C13*CONFIG!$C$29</f>
        <v>38.820617797282836</v>
      </c>
      <c r="D14" s="70">
        <f>D13*CONFIG!$C$29</f>
        <v>19.873428592772161</v>
      </c>
      <c r="E14" s="70">
        <f>E13*CONFIG!$C$29</f>
        <v>12.909436066743019</v>
      </c>
      <c r="F14" s="70">
        <f>F13*CONFIG!$C$29</f>
        <v>4.9796556996327386</v>
      </c>
      <c r="G14" s="70">
        <f>G13*CONFIG!$C$29</f>
        <v>6.797779055829654</v>
      </c>
      <c r="H14" s="70">
        <f>H13*CONFIG!$C$29</f>
        <v>6.963992526029136</v>
      </c>
    </row>
    <row r="15" spans="1:8" s="4" customFormat="1" x14ac:dyDescent="0.25">
      <c r="A15" s="11" t="str">
        <f>IF(B15&lt;=(INPUTS!$C$2+INPUTS!$C$3),"Y","N")</f>
        <v>Y</v>
      </c>
      <c r="B15" s="69">
        <v>2032</v>
      </c>
      <c r="C15" s="70">
        <f>C14*CONFIG!$C$29</f>
        <v>38.731286962638492</v>
      </c>
      <c r="D15" s="70">
        <f>D14*CONFIG!$C$29</f>
        <v>19.827697482239415</v>
      </c>
      <c r="E15" s="70">
        <f>E14*CONFIG!$C$29</f>
        <v>12.879729926963075</v>
      </c>
      <c r="F15" s="70">
        <f>F14*CONFIG!$C$29</f>
        <v>4.968196922695892</v>
      </c>
      <c r="G15" s="70">
        <f>G14*CONFIG!$C$29</f>
        <v>6.7821365619374632</v>
      </c>
      <c r="H15" s="70">
        <f>H14*CONFIG!$C$29</f>
        <v>6.9479675552763345</v>
      </c>
    </row>
    <row r="16" spans="1:8" s="4" customFormat="1" x14ac:dyDescent="0.25">
      <c r="A16" s="11" t="str">
        <f>IF(B16&lt;=(INPUTS!$C$2+INPUTS!$C$3),"Y","N")</f>
        <v>Y</v>
      </c>
      <c r="B16" s="69">
        <v>2033</v>
      </c>
      <c r="C16" s="70">
        <f>C15*CONFIG!$C$29</f>
        <v>38.642161688813921</v>
      </c>
      <c r="D16" s="70">
        <f>D15*CONFIG!$C$29</f>
        <v>19.782071604402717</v>
      </c>
      <c r="E16" s="70">
        <f>E15*CONFIG!$C$29</f>
        <v>12.850092144525469</v>
      </c>
      <c r="F16" s="70">
        <f>F15*CONFIG!$C$29</f>
        <v>4.9567645137605316</v>
      </c>
      <c r="G16" s="70">
        <f>G15*CONFIG!$C$29</f>
        <v>6.7665300632744723</v>
      </c>
      <c r="H16" s="70">
        <f>H15*CONFIG!$C$29</f>
        <v>6.9319794598772431</v>
      </c>
    </row>
    <row r="17" spans="1:8" s="4" customFormat="1" x14ac:dyDescent="0.25">
      <c r="A17" s="11" t="str">
        <f>IF(B17&lt;=(INPUTS!$C$2+INPUTS!$C$3),"Y","N")</f>
        <v>N</v>
      </c>
      <c r="B17" s="69">
        <v>2034</v>
      </c>
      <c r="C17" s="70">
        <f>C16*CONFIG!$C$29</f>
        <v>38.553241502789348</v>
      </c>
      <c r="D17" s="70">
        <f>D16*CONFIG!$C$29</f>
        <v>19.736550717109186</v>
      </c>
      <c r="E17" s="70">
        <f>E16*CONFIG!$C$29</f>
        <v>12.82052256213187</v>
      </c>
      <c r="F17" s="70">
        <f>F16*CONFIG!$C$29</f>
        <v>4.9453584121507657</v>
      </c>
      <c r="G17" s="70">
        <f>G16*CONFIG!$C$29</f>
        <v>6.7509594770114001</v>
      </c>
      <c r="H17" s="70">
        <f>H16*CONFIG!$C$29</f>
        <v>6.9160281549773091</v>
      </c>
    </row>
    <row r="18" spans="1:8" s="4" customFormat="1" x14ac:dyDescent="0.25">
      <c r="A18" s="11" t="str">
        <f>IF(B18&lt;=(INPUTS!$C$2+INPUTS!$C$3),"Y","N")</f>
        <v>N</v>
      </c>
      <c r="B18" s="69">
        <v>2035</v>
      </c>
      <c r="C18" s="70">
        <f>C17*CONFIG!$C$29</f>
        <v>38.464525932633478</v>
      </c>
      <c r="D18" s="70">
        <f>D17*CONFIG!$C$29</f>
        <v>19.691134578763155</v>
      </c>
      <c r="E18" s="70">
        <f>E17*CONFIG!$C$29</f>
        <v>12.791021022845909</v>
      </c>
      <c r="F18" s="70">
        <f>F17*CONFIG!$C$29</f>
        <v>4.9339785573303265</v>
      </c>
      <c r="G18" s="70">
        <f>G17*CONFIG!$C$29</f>
        <v>6.7354247205095659</v>
      </c>
      <c r="H18" s="70">
        <f>H17*CONFIG!$C$29</f>
        <v>6.9001135559172413</v>
      </c>
    </row>
    <row r="19" spans="1:8" s="4" customFormat="1" x14ac:dyDescent="0.25">
      <c r="A19" s="11" t="str">
        <f>IF(B19&lt;=(INPUTS!$C$2+INPUTS!$C$3),"Y","N")</f>
        <v>N</v>
      </c>
      <c r="B19" s="69">
        <v>2036</v>
      </c>
      <c r="C19" s="70">
        <f>C18*CONFIG!$C$29</f>
        <v>38.37601450750099</v>
      </c>
      <c r="D19" s="70">
        <f>D18*CONFIG!$C$29</f>
        <v>19.645822948324906</v>
      </c>
      <c r="E19" s="70">
        <f>E18*CONFIG!$C$29</f>
        <v>12.761587370092343</v>
      </c>
      <c r="F19" s="70">
        <f>F18*CONFIG!$C$29</f>
        <v>4.9226248889022459</v>
      </c>
      <c r="G19" s="70">
        <f>G18*CONFIG!$C$29</f>
        <v>6.7199257113204496</v>
      </c>
      <c r="H19" s="70">
        <f>H18*CONFIG!$C$29</f>
        <v>6.884235578232559</v>
      </c>
    </row>
    <row r="20" spans="1:8" s="4" customFormat="1" x14ac:dyDescent="0.25">
      <c r="A20" s="11" t="str">
        <f>IF(B20&lt;=(INPUTS!$C$2+INPUTS!$C$3),"Y","N")</f>
        <v>N</v>
      </c>
      <c r="B20" s="69">
        <v>2037</v>
      </c>
      <c r="C20" s="70">
        <f>C19*CONFIG!$C$29</f>
        <v>38.287706757630033</v>
      </c>
      <c r="D20" s="70">
        <f>D19*CONFIG!$C$29</f>
        <v>19.600615585309377</v>
      </c>
      <c r="E20" s="70">
        <f>E19*CONFIG!$C$29</f>
        <v>12.732221447656229</v>
      </c>
      <c r="F20" s="70">
        <f>F19*CONFIG!$C$29</f>
        <v>4.9112973466085368</v>
      </c>
      <c r="G20" s="70">
        <f>G19*CONFIG!$C$29</f>
        <v>6.7044623671852559</v>
      </c>
      <c r="H20" s="70">
        <f>H19*CONFIG!$C$29</f>
        <v>6.8683941376531452</v>
      </c>
    </row>
    <row r="21" spans="1:8" s="4" customFormat="1" x14ac:dyDescent="0.25">
      <c r="A21" s="11" t="str">
        <f>IF(B21&lt;=(INPUTS!$C$2+INPUTS!$C$3),"Y","N")</f>
        <v>N</v>
      </c>
      <c r="B21" s="69">
        <v>2038</v>
      </c>
      <c r="C21" s="70">
        <f>C20*CONFIG!$C$29</f>
        <v>38.199602214339734</v>
      </c>
      <c r="D21" s="70">
        <f>D20*CONFIG!$C$29</f>
        <v>19.555512249784893</v>
      </c>
      <c r="E21" s="70">
        <f>E20*CONFIG!$C$29</f>
        <v>12.702923099682094</v>
      </c>
      <c r="F21" s="70">
        <f>F20*CONFIG!$C$29</f>
        <v>4.8999958703298727</v>
      </c>
      <c r="G21" s="70">
        <f>G20*CONFIG!$C$29</f>
        <v>6.6890346060344754</v>
      </c>
      <c r="H21" s="70">
        <f>H20*CONFIG!$C$29</f>
        <v>6.8525891501027978</v>
      </c>
    </row>
    <row r="22" spans="1:8" s="4" customFormat="1" x14ac:dyDescent="0.25">
      <c r="A22" s="11" t="str">
        <f>IF(B22&lt;=(INPUTS!$C$2+INPUTS!$C$3),"Y","N")</f>
        <v>N</v>
      </c>
      <c r="B22" s="69">
        <v>2039</v>
      </c>
      <c r="C22" s="70">
        <f>C21*CONFIG!$C$29</f>
        <v>38.111700410027709</v>
      </c>
      <c r="D22" s="70">
        <f>D21*CONFIG!$C$29</f>
        <v>19.510512702371891</v>
      </c>
      <c r="E22" s="70">
        <f>E21*CONFIG!$C$29</f>
        <v>12.673692170673105</v>
      </c>
      <c r="F22" s="70">
        <f>F21*CONFIG!$C$29</f>
        <v>4.8887204000852691</v>
      </c>
      <c r="G22" s="70">
        <f>G21*CONFIG!$C$29</f>
        <v>6.6736423459874503</v>
      </c>
      <c r="H22" s="70">
        <f>H21*CONFIG!$C$29</f>
        <v>6.8368205316987831</v>
      </c>
    </row>
    <row r="23" spans="1:8" s="4" customFormat="1" x14ac:dyDescent="0.25">
      <c r="A23" s="11" t="str">
        <f>IF(B23&lt;=(INPUTS!$C$2+INPUTS!$C$3),"Y","N")</f>
        <v>N</v>
      </c>
      <c r="B23" s="69">
        <v>2040</v>
      </c>
      <c r="C23" s="70">
        <f>C22*CONFIG!$C$29</f>
        <v>38.024000878167577</v>
      </c>
      <c r="D23" s="70">
        <f>D22*CONFIG!$C$29</f>
        <v>19.465616704241643</v>
      </c>
      <c r="E23" s="70">
        <f>E22*CONFIG!$C$29</f>
        <v>12.644528505490246</v>
      </c>
      <c r="F23" s="70">
        <f>F22*CONFIG!$C$29</f>
        <v>4.8774708760317651</v>
      </c>
      <c r="G23" s="70">
        <f>G22*CONFIG!$C$29</f>
        <v>6.658285505351941</v>
      </c>
      <c r="H23" s="70">
        <f>H22*CONFIG!$C$29</f>
        <v>6.8210881987513936</v>
      </c>
    </row>
    <row r="24" spans="1:8" s="4" customFormat="1" x14ac:dyDescent="0.25">
      <c r="A24" s="11" t="str">
        <f>IF(B24&lt;=(INPUTS!$C$2+INPUTS!$C$3),"Y","N")</f>
        <v>N</v>
      </c>
      <c r="B24" s="69">
        <v>2041</v>
      </c>
      <c r="C24" s="70">
        <f>C23*CONFIG!$C$29</f>
        <v>37.936503153306496</v>
      </c>
      <c r="D24" s="70">
        <f>D23*CONFIG!$C$29</f>
        <v>19.420824017114999</v>
      </c>
      <c r="E24" s="70">
        <f>E23*CONFIG!$C$29</f>
        <v>12.615431949351496</v>
      </c>
      <c r="F24" s="70">
        <f>F23*CONFIG!$C$29</f>
        <v>4.866247238464104</v>
      </c>
      <c r="G24" s="70">
        <f>G23*CONFIG!$C$29</f>
        <v>6.6429640026236916</v>
      </c>
      <c r="H24" s="70">
        <f>H23*CONFIG!$C$29</f>
        <v>6.8053920677634991</v>
      </c>
    </row>
    <row r="25" spans="1:8" s="4" customFormat="1" x14ac:dyDescent="0.25">
      <c r="A25" s="11" t="str">
        <f>IF(B25&lt;=(INPUTS!$C$2+INPUTS!$C$3),"Y","N")</f>
        <v>N</v>
      </c>
      <c r="B25" s="69">
        <v>2042</v>
      </c>
      <c r="C25" s="70">
        <f>C24*CONFIG!$C$29</f>
        <v>37.849206771062683</v>
      </c>
      <c r="D25" s="70">
        <f>D24*CONFIG!$C$29</f>
        <v>19.376134403261116</v>
      </c>
      <c r="E25" s="70">
        <f>E24*CONFIG!$C$29</f>
        <v>12.586402347831005</v>
      </c>
      <c r="F25" s="70">
        <f>F24*CONFIG!$C$29</f>
        <v>4.8550494278144205</v>
      </c>
      <c r="G25" s="70">
        <f>G24*CONFIG!$C$29</f>
        <v>6.6276777564859959</v>
      </c>
      <c r="H25" s="70">
        <f>H24*CONFIG!$C$29</f>
        <v>6.7897320554301084</v>
      </c>
    </row>
    <row r="26" spans="1:8" s="4" customFormat="1" x14ac:dyDescent="0.25">
      <c r="A26" s="11" t="str">
        <f>IF(B26&lt;=(INPUTS!$C$2+INPUTS!$C$3),"Y","N")</f>
        <v>N</v>
      </c>
      <c r="B26" s="69">
        <v>2043</v>
      </c>
      <c r="C26" s="70">
        <f>C25*CONFIG!$C$29</f>
        <v>37.762111268122958</v>
      </c>
      <c r="D26" s="70">
        <f>D25*CONFIG!$C$29</f>
        <v>19.331547625496199</v>
      </c>
      <c r="E26" s="70">
        <f>E25*CONFIG!$C$29</f>
        <v>12.557439546858271</v>
      </c>
      <c r="F26" s="70">
        <f>F25*CONFIG!$C$29</f>
        <v>4.8438773846519192</v>
      </c>
      <c r="G26" s="70">
        <f>G25*CONFIG!$C$29</f>
        <v>6.6124266858092673</v>
      </c>
      <c r="H26" s="70">
        <f>H25*CONFIG!$C$29</f>
        <v>6.7741080786379237</v>
      </c>
    </row>
    <row r="27" spans="1:8" s="4" customFormat="1" x14ac:dyDescent="0.25">
      <c r="A27" s="11" t="str">
        <f>IF(B27&lt;=(INPUTS!$C$2+INPUTS!$C$3),"Y","N")</f>
        <v>N</v>
      </c>
      <c r="B27" s="69">
        <v>2044</v>
      </c>
      <c r="C27" s="70">
        <f>C26*CONFIG!$C$29</f>
        <v>37.67521618224027</v>
      </c>
      <c r="D27" s="70">
        <f>D26*CONFIG!$C$29</f>
        <v>19.287063447182241</v>
      </c>
      <c r="E27" s="70">
        <f>E26*CONFIG!$C$29</f>
        <v>12.528543392717333</v>
      </c>
      <c r="F27" s="70">
        <f>F26*CONFIG!$C$29</f>
        <v>4.8327310496825646</v>
      </c>
      <c r="G27" s="70">
        <f>G26*CONFIG!$C$29</f>
        <v>6.597210709650609</v>
      </c>
      <c r="H27" s="70">
        <f>H26*CONFIG!$C$29</f>
        <v>6.7585200544649018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I109"/>
  <sheetViews>
    <sheetView zoomScale="70" zoomScaleNormal="70" workbookViewId="0">
      <selection activeCell="C5" sqref="C5"/>
    </sheetView>
  </sheetViews>
  <sheetFormatPr defaultRowHeight="15" x14ac:dyDescent="0.25"/>
  <cols>
    <col min="1" max="1" width="17.28515625" bestFit="1" customWidth="1"/>
    <col min="2" max="2" width="10.5703125" style="16" customWidth="1"/>
    <col min="3" max="3" width="10.5703125" style="17" bestFit="1" customWidth="1"/>
    <col min="4" max="5" width="10.5703125" bestFit="1" customWidth="1"/>
    <col min="6" max="6" width="10.5703125" customWidth="1"/>
    <col min="7" max="7" width="10.5703125" bestFit="1" customWidth="1"/>
    <col min="8" max="9" width="9.140625" style="34"/>
  </cols>
  <sheetData>
    <row r="1" spans="1:9" x14ac:dyDescent="0.25">
      <c r="B1" s="3" t="s">
        <v>10</v>
      </c>
      <c r="C1" s="21"/>
      <c r="D1" s="3" t="s">
        <v>11</v>
      </c>
      <c r="E1" s="3"/>
      <c r="F1" s="3" t="s">
        <v>12</v>
      </c>
      <c r="G1" s="11"/>
      <c r="H1" s="37" t="s">
        <v>28</v>
      </c>
    </row>
    <row r="2" spans="1:9" s="19" customFormat="1" x14ac:dyDescent="0.25">
      <c r="A2" s="22" t="s">
        <v>20</v>
      </c>
      <c r="B2" s="25">
        <v>0.68</v>
      </c>
      <c r="C2" s="25">
        <v>1</v>
      </c>
      <c r="D2" s="25">
        <v>0.68</v>
      </c>
      <c r="E2" s="25">
        <v>1</v>
      </c>
      <c r="F2" s="25">
        <v>0.68</v>
      </c>
      <c r="G2" s="25">
        <v>1</v>
      </c>
      <c r="H2" s="38">
        <v>0.68</v>
      </c>
      <c r="I2" s="38">
        <v>1</v>
      </c>
    </row>
    <row r="3" spans="1:9" x14ac:dyDescent="0.25">
      <c r="A3" s="1" t="s">
        <v>14</v>
      </c>
      <c r="B3" s="26">
        <v>57.558528866415514</v>
      </c>
      <c r="C3" s="26">
        <v>59.337001296009682</v>
      </c>
      <c r="D3" s="26">
        <v>26.81459722921862</v>
      </c>
      <c r="E3" s="26">
        <v>28.654685408031998</v>
      </c>
      <c r="F3" s="26">
        <v>25.241079484983448</v>
      </c>
      <c r="G3" s="26">
        <v>26.640496628374279</v>
      </c>
      <c r="H3" s="39">
        <v>81.438725161826554</v>
      </c>
      <c r="I3" s="39">
        <v>84.663508849417667</v>
      </c>
    </row>
    <row r="4" spans="1:9" x14ac:dyDescent="0.25">
      <c r="A4" s="1" t="s">
        <v>15</v>
      </c>
      <c r="B4" s="26">
        <v>18.048342953218658</v>
      </c>
      <c r="C4" s="26">
        <v>19.919456157345909</v>
      </c>
      <c r="D4" s="26">
        <v>10.424994801300235</v>
      </c>
      <c r="E4" s="26">
        <v>11.161176780364245</v>
      </c>
      <c r="F4" s="26">
        <v>8.142838190725822</v>
      </c>
      <c r="G4" s="26">
        <v>8.6823507896053016</v>
      </c>
      <c r="H4" s="39">
        <v>28.229094772136705</v>
      </c>
      <c r="I4" s="39">
        <v>30.848641292425118</v>
      </c>
    </row>
    <row r="5" spans="1:9" s="16" customFormat="1" x14ac:dyDescent="0.25">
      <c r="A5" s="18" t="s">
        <v>9</v>
      </c>
      <c r="B5" s="27">
        <v>0.31356504950128572</v>
      </c>
      <c r="C5" s="27">
        <v>0.33570041832709507</v>
      </c>
      <c r="D5" s="27">
        <v>0.38878058514862218</v>
      </c>
      <c r="E5" s="27">
        <v>0.38950617050696074</v>
      </c>
      <c r="F5" s="27">
        <v>0.32260261275949681</v>
      </c>
      <c r="G5" s="27">
        <v>0.32590799303485424</v>
      </c>
      <c r="H5" s="40">
        <v>0.34662987069164986</v>
      </c>
      <c r="I5" s="40">
        <v>0.36436762085176949</v>
      </c>
    </row>
    <row r="6" spans="1:9" s="16" customFormat="1" x14ac:dyDescent="0.25">
      <c r="A6" s="18" t="s">
        <v>16</v>
      </c>
      <c r="B6" s="27">
        <v>0.1071660375462908</v>
      </c>
      <c r="C6" s="27">
        <v>0.12264577092051354</v>
      </c>
      <c r="D6" s="27">
        <v>0.15758926968989881</v>
      </c>
      <c r="E6" s="27">
        <v>0.15870776273916765</v>
      </c>
      <c r="F6" s="27">
        <v>0.10827365680687635</v>
      </c>
      <c r="G6" s="27">
        <v>0.11087002315685551</v>
      </c>
      <c r="H6" s="40">
        <v>0.1275946730145846</v>
      </c>
      <c r="I6" s="40">
        <v>0.14133627631687712</v>
      </c>
    </row>
    <row r="7" spans="1:9" s="17" customFormat="1" x14ac:dyDescent="0.25">
      <c r="A7" s="15" t="s">
        <v>19</v>
      </c>
      <c r="B7" s="30">
        <v>7324</v>
      </c>
      <c r="C7" s="30">
        <v>7324</v>
      </c>
      <c r="D7" s="29">
        <v>7323.5</v>
      </c>
      <c r="E7" s="29">
        <v>7323.5</v>
      </c>
      <c r="F7" s="29">
        <v>7323.5</v>
      </c>
      <c r="G7" s="29">
        <v>7323.5</v>
      </c>
      <c r="H7" s="30">
        <v>7323.5</v>
      </c>
      <c r="I7" s="30">
        <v>7323.5</v>
      </c>
    </row>
    <row r="9" spans="1:9" s="11" customFormat="1" x14ac:dyDescent="0.25">
      <c r="A9" s="3" t="s">
        <v>17</v>
      </c>
      <c r="B9" s="20" t="s">
        <v>18</v>
      </c>
      <c r="C9" s="20" t="s">
        <v>18</v>
      </c>
      <c r="D9" s="20" t="s">
        <v>18</v>
      </c>
      <c r="E9" s="20" t="s">
        <v>18</v>
      </c>
      <c r="F9" s="20" t="s">
        <v>18</v>
      </c>
      <c r="G9" s="20" t="s">
        <v>18</v>
      </c>
      <c r="H9" s="41" t="s">
        <v>18</v>
      </c>
      <c r="I9" s="41" t="s">
        <v>18</v>
      </c>
    </row>
    <row r="10" spans="1:9" x14ac:dyDescent="0.25">
      <c r="A10" s="23">
        <v>0.01</v>
      </c>
      <c r="B10" s="24">
        <v>0.99999999999999989</v>
      </c>
      <c r="C10" s="24">
        <v>1.0000000000000004</v>
      </c>
      <c r="D10" s="24">
        <v>1</v>
      </c>
      <c r="E10" s="24">
        <v>1</v>
      </c>
      <c r="F10" s="24">
        <v>1.0000000000000004</v>
      </c>
      <c r="G10" s="24">
        <v>1</v>
      </c>
      <c r="H10" s="42">
        <v>1</v>
      </c>
      <c r="I10" s="42">
        <v>1</v>
      </c>
    </row>
    <row r="11" spans="1:9" x14ac:dyDescent="0.25">
      <c r="A11" s="23">
        <v>0.02</v>
      </c>
      <c r="B11" s="24">
        <v>0.99999999999999989</v>
      </c>
      <c r="C11" s="24">
        <v>1.0000000000000004</v>
      </c>
      <c r="D11" s="24">
        <v>0.99863453266880586</v>
      </c>
      <c r="E11" s="24">
        <v>0.99863453266880597</v>
      </c>
      <c r="F11" s="24">
        <v>1.0000000000000004</v>
      </c>
      <c r="G11" s="24">
        <v>1</v>
      </c>
      <c r="H11" s="42">
        <v>1</v>
      </c>
      <c r="I11" s="42">
        <v>1</v>
      </c>
    </row>
    <row r="12" spans="1:9" x14ac:dyDescent="0.25">
      <c r="A12" s="23">
        <v>0.03</v>
      </c>
      <c r="B12" s="24">
        <v>0.99999999999999989</v>
      </c>
      <c r="C12" s="24">
        <v>1.0000000000000004</v>
      </c>
      <c r="D12" s="24">
        <v>0.99842971256912671</v>
      </c>
      <c r="E12" s="24">
        <v>0.99842971256912683</v>
      </c>
      <c r="F12" s="24">
        <v>0.99965863316720183</v>
      </c>
      <c r="G12" s="24">
        <v>0.99979517990032096</v>
      </c>
      <c r="H12" s="42">
        <v>1</v>
      </c>
      <c r="I12" s="42">
        <v>1</v>
      </c>
    </row>
    <row r="13" spans="1:9" x14ac:dyDescent="0.25">
      <c r="A13" s="23">
        <v>0.04</v>
      </c>
      <c r="B13" s="24">
        <v>0.99999999999999989</v>
      </c>
      <c r="C13" s="24">
        <v>1.0000000000000004</v>
      </c>
      <c r="D13" s="24">
        <v>0.99808834573632821</v>
      </c>
      <c r="E13" s="24">
        <v>0.99822489246944768</v>
      </c>
      <c r="F13" s="24">
        <v>0.99931726633440332</v>
      </c>
      <c r="G13" s="24">
        <v>0.99952208643408214</v>
      </c>
      <c r="H13" s="42">
        <v>1</v>
      </c>
      <c r="I13" s="42">
        <v>1</v>
      </c>
    </row>
    <row r="14" spans="1:9" x14ac:dyDescent="0.25">
      <c r="A14" s="23">
        <v>0.05</v>
      </c>
      <c r="B14" s="24">
        <v>0.99999999999999989</v>
      </c>
      <c r="C14" s="24">
        <v>1.0000000000000004</v>
      </c>
      <c r="D14" s="24">
        <v>0.99781525227008938</v>
      </c>
      <c r="E14" s="24">
        <v>0.99788352563664917</v>
      </c>
      <c r="F14" s="24">
        <v>0.99911244623472417</v>
      </c>
      <c r="G14" s="24">
        <v>0.99924899296784331</v>
      </c>
      <c r="H14" s="42">
        <v>1</v>
      </c>
      <c r="I14" s="42">
        <v>1</v>
      </c>
    </row>
    <row r="15" spans="1:9" x14ac:dyDescent="0.25">
      <c r="A15" s="23">
        <v>0.06</v>
      </c>
      <c r="B15" s="24">
        <v>0.99999999999999989</v>
      </c>
      <c r="C15" s="24">
        <v>1.0000000000000004</v>
      </c>
      <c r="D15" s="24">
        <v>0.99747388543729087</v>
      </c>
      <c r="E15" s="24">
        <v>0.99761043217041034</v>
      </c>
      <c r="F15" s="24">
        <v>0.99849798593568684</v>
      </c>
      <c r="G15" s="24">
        <v>0.99904417286816416</v>
      </c>
      <c r="H15" s="42">
        <v>1</v>
      </c>
      <c r="I15" s="42">
        <v>1</v>
      </c>
    </row>
    <row r="16" spans="1:9" x14ac:dyDescent="0.25">
      <c r="A16" s="23">
        <v>7.0000000000000007E-2</v>
      </c>
      <c r="B16" s="24">
        <v>0.99999999999999989</v>
      </c>
      <c r="C16" s="24">
        <v>1.0000000000000004</v>
      </c>
      <c r="D16" s="24">
        <v>0.99726906533761173</v>
      </c>
      <c r="E16" s="24">
        <v>0.99720079197105216</v>
      </c>
      <c r="F16" s="24">
        <v>0.99808834573632865</v>
      </c>
      <c r="G16" s="24">
        <v>0.99842971256912683</v>
      </c>
      <c r="H16" s="42">
        <v>1</v>
      </c>
      <c r="I16" s="42">
        <v>1</v>
      </c>
    </row>
    <row r="17" spans="1:9" x14ac:dyDescent="0.25">
      <c r="A17" s="23">
        <v>0.08</v>
      </c>
      <c r="B17" s="24">
        <v>0.99999999999999989</v>
      </c>
      <c r="C17" s="24">
        <v>1.0000000000000004</v>
      </c>
      <c r="D17" s="24">
        <v>0.99672287840513407</v>
      </c>
      <c r="E17" s="24">
        <v>0.99679115177169397</v>
      </c>
      <c r="F17" s="24">
        <v>0.99733733870417185</v>
      </c>
      <c r="G17" s="24">
        <v>0.998156619102888</v>
      </c>
      <c r="H17" s="42">
        <v>1</v>
      </c>
      <c r="I17" s="42">
        <v>1</v>
      </c>
    </row>
    <row r="18" spans="1:9" x14ac:dyDescent="0.25">
      <c r="A18" s="23">
        <v>0.09</v>
      </c>
      <c r="B18" s="24">
        <v>0.99999999999999989</v>
      </c>
      <c r="C18" s="24">
        <v>1.0000000000000004</v>
      </c>
      <c r="D18" s="24">
        <v>0.99638151157233557</v>
      </c>
      <c r="E18" s="24">
        <v>0.99651805830545515</v>
      </c>
      <c r="F18" s="24">
        <v>0.99679115177169419</v>
      </c>
      <c r="G18" s="24">
        <v>0.99781525227008949</v>
      </c>
      <c r="H18" s="42">
        <v>1</v>
      </c>
      <c r="I18" s="42">
        <v>1</v>
      </c>
    </row>
    <row r="19" spans="1:9" x14ac:dyDescent="0.25">
      <c r="A19" s="23">
        <v>0.1</v>
      </c>
      <c r="B19" s="24">
        <v>0.99999999999999989</v>
      </c>
      <c r="C19" s="24">
        <v>1.0000000000000004</v>
      </c>
      <c r="D19" s="24">
        <v>0.99556223117361908</v>
      </c>
      <c r="E19" s="24">
        <v>0.99590359800641781</v>
      </c>
      <c r="F19" s="24">
        <v>0.99604014473953739</v>
      </c>
      <c r="G19" s="24">
        <v>0.99685942513825365</v>
      </c>
      <c r="H19" s="42">
        <v>1</v>
      </c>
      <c r="I19" s="42">
        <v>1</v>
      </c>
    </row>
    <row r="20" spans="1:9" x14ac:dyDescent="0.25">
      <c r="A20" s="23">
        <v>0.11</v>
      </c>
      <c r="B20" s="24">
        <v>0.99999999999999989</v>
      </c>
      <c r="C20" s="24">
        <v>1.0000000000000004</v>
      </c>
      <c r="D20" s="24">
        <v>0.99535741107393993</v>
      </c>
      <c r="E20" s="24">
        <v>0.99569877790673866</v>
      </c>
      <c r="F20" s="24">
        <v>0.99474295077490305</v>
      </c>
      <c r="G20" s="24">
        <v>0.99556223117361931</v>
      </c>
      <c r="H20" s="42">
        <v>1</v>
      </c>
      <c r="I20" s="42">
        <v>1</v>
      </c>
    </row>
    <row r="21" spans="1:9" x14ac:dyDescent="0.25">
      <c r="A21" s="23">
        <v>0.12</v>
      </c>
      <c r="B21" s="24">
        <v>0.99999999999999989</v>
      </c>
      <c r="C21" s="24">
        <v>1.0000000000000004</v>
      </c>
      <c r="D21" s="24">
        <v>0.99481122414146228</v>
      </c>
      <c r="E21" s="24">
        <v>0.99522086434082069</v>
      </c>
      <c r="F21" s="24">
        <v>0.99337748344370891</v>
      </c>
      <c r="G21" s="24">
        <v>0.99426503720898496</v>
      </c>
      <c r="H21" s="42">
        <v>1</v>
      </c>
      <c r="I21" s="42">
        <v>1</v>
      </c>
    </row>
    <row r="22" spans="1:9" x14ac:dyDescent="0.25">
      <c r="A22" s="23">
        <v>0.13</v>
      </c>
      <c r="B22" s="24">
        <v>0.99999999999999989</v>
      </c>
      <c r="C22" s="24">
        <v>1.0000000000000004</v>
      </c>
      <c r="D22" s="24">
        <v>0.99419676384242495</v>
      </c>
      <c r="E22" s="24">
        <v>0.9948112241414625</v>
      </c>
      <c r="F22" s="24">
        <v>0.99208028947907456</v>
      </c>
      <c r="G22" s="24">
        <v>0.99296784324435061</v>
      </c>
      <c r="H22" s="42">
        <v>1</v>
      </c>
      <c r="I22" s="42">
        <v>1</v>
      </c>
    </row>
    <row r="23" spans="1:9" x14ac:dyDescent="0.25">
      <c r="A23" s="23">
        <v>0.14000000000000001</v>
      </c>
      <c r="B23" s="24">
        <v>0.99993173129437452</v>
      </c>
      <c r="C23" s="24">
        <v>1.0000000000000004</v>
      </c>
      <c r="D23" s="24">
        <v>0.99351403017682793</v>
      </c>
      <c r="E23" s="24">
        <v>0.99440158394210432</v>
      </c>
      <c r="F23" s="24">
        <v>0.99064654878132075</v>
      </c>
      <c r="G23" s="24">
        <v>0.99221683621219381</v>
      </c>
      <c r="H23" s="42">
        <v>1</v>
      </c>
      <c r="I23" s="42">
        <v>1</v>
      </c>
    </row>
    <row r="24" spans="1:9" x14ac:dyDescent="0.25">
      <c r="A24" s="23">
        <v>0.15</v>
      </c>
      <c r="B24" s="24">
        <v>0.99993173129437452</v>
      </c>
      <c r="C24" s="24">
        <v>1.0000000000000004</v>
      </c>
      <c r="D24" s="24">
        <v>0.99310438997746975</v>
      </c>
      <c r="E24" s="24">
        <v>0.99412849047586549</v>
      </c>
      <c r="F24" s="24">
        <v>0.98962244828292512</v>
      </c>
      <c r="G24" s="24">
        <v>0.99037345531508181</v>
      </c>
      <c r="H24" s="42">
        <v>1</v>
      </c>
      <c r="I24" s="42">
        <v>1</v>
      </c>
    </row>
    <row r="25" spans="1:9" x14ac:dyDescent="0.25">
      <c r="A25" s="23">
        <v>0.16</v>
      </c>
      <c r="B25" s="24">
        <v>0.99979519388312388</v>
      </c>
      <c r="C25" s="24">
        <v>0.9940606226105958</v>
      </c>
      <c r="D25" s="24">
        <v>0.99228510957875327</v>
      </c>
      <c r="E25" s="24">
        <v>0.99351403017682816</v>
      </c>
      <c r="F25" s="24">
        <v>0.98757424728613397</v>
      </c>
      <c r="G25" s="24">
        <v>0.98866662115108916</v>
      </c>
      <c r="H25" s="42">
        <v>1</v>
      </c>
      <c r="I25" s="42">
        <v>1</v>
      </c>
    </row>
    <row r="26" spans="1:9" x14ac:dyDescent="0.25">
      <c r="A26" s="23">
        <v>0.17</v>
      </c>
      <c r="B26" s="24">
        <v>0.99194429273620965</v>
      </c>
      <c r="C26" s="24">
        <v>0.99358274167121841</v>
      </c>
      <c r="D26" s="24">
        <v>0.99187546937939508</v>
      </c>
      <c r="E26" s="24">
        <v>0.9929678432443505</v>
      </c>
      <c r="F26" s="24">
        <v>0.98573086638902196</v>
      </c>
      <c r="G26" s="24">
        <v>0.98634532668805919</v>
      </c>
      <c r="H26" s="42">
        <v>1</v>
      </c>
      <c r="I26" s="42">
        <v>1</v>
      </c>
    </row>
    <row r="27" spans="1:9" x14ac:dyDescent="0.25">
      <c r="A27" s="23">
        <v>0.18</v>
      </c>
      <c r="B27" s="24">
        <v>0.98825778263244124</v>
      </c>
      <c r="C27" s="24">
        <v>0.99324139814309165</v>
      </c>
      <c r="D27" s="24">
        <v>0.99119273571379807</v>
      </c>
      <c r="E27" s="24">
        <v>0.99283129651123114</v>
      </c>
      <c r="F27" s="24">
        <v>0.98347784529255167</v>
      </c>
      <c r="G27" s="24">
        <v>0.98340957192599188</v>
      </c>
      <c r="H27" s="42">
        <v>0.99979517990032096</v>
      </c>
      <c r="I27" s="42">
        <v>0.99979517990032096</v>
      </c>
    </row>
    <row r="28" spans="1:9" x14ac:dyDescent="0.25">
      <c r="A28" s="23">
        <v>0.19</v>
      </c>
      <c r="B28" s="24">
        <v>0.98190879300928446</v>
      </c>
      <c r="C28" s="24">
        <v>0.99016930638995126</v>
      </c>
      <c r="D28" s="24">
        <v>0.99044172868164126</v>
      </c>
      <c r="E28" s="24">
        <v>0.99194374274595498</v>
      </c>
      <c r="F28" s="24">
        <v>0.98006417696456638</v>
      </c>
      <c r="G28" s="24">
        <v>0.97999590359800659</v>
      </c>
      <c r="H28" s="42">
        <v>0.99959035980064181</v>
      </c>
      <c r="I28" s="42">
        <v>0.99378712364306687</v>
      </c>
    </row>
    <row r="29" spans="1:9" x14ac:dyDescent="0.25">
      <c r="A29" s="23">
        <v>0.2</v>
      </c>
      <c r="B29" s="24">
        <v>0.96893773894046964</v>
      </c>
      <c r="C29" s="24">
        <v>0.97917804478427128</v>
      </c>
      <c r="D29" s="24">
        <v>0.98887144125076809</v>
      </c>
      <c r="E29" s="24">
        <v>0.99119273571379818</v>
      </c>
      <c r="F29" s="24">
        <v>0.97637741517034227</v>
      </c>
      <c r="G29" s="24">
        <v>0.97726496893561843</v>
      </c>
      <c r="H29" s="42">
        <v>0.99310438997746986</v>
      </c>
      <c r="I29" s="42">
        <v>0.9933092100771489</v>
      </c>
    </row>
    <row r="30" spans="1:9" x14ac:dyDescent="0.25">
      <c r="A30" s="23">
        <v>0.21</v>
      </c>
      <c r="B30" s="24">
        <v>0.93958219552157285</v>
      </c>
      <c r="C30" s="24">
        <v>0.95371381758601892</v>
      </c>
      <c r="D30" s="24">
        <v>0.98805216085205161</v>
      </c>
      <c r="E30" s="24">
        <v>0.9903734553150817</v>
      </c>
      <c r="F30" s="24">
        <v>0.97350993377483463</v>
      </c>
      <c r="G30" s="24">
        <v>0.97487540110602877</v>
      </c>
      <c r="H30" s="42">
        <v>0.99126100908035786</v>
      </c>
      <c r="I30" s="42">
        <v>0.99296784324435039</v>
      </c>
    </row>
    <row r="31" spans="1:9" x14ac:dyDescent="0.25">
      <c r="A31" s="23">
        <v>0.22</v>
      </c>
      <c r="B31" s="24">
        <v>0.90039595849262688</v>
      </c>
      <c r="C31" s="24">
        <v>0.9288640087383947</v>
      </c>
      <c r="D31" s="24">
        <v>0.98750597391957395</v>
      </c>
      <c r="E31" s="24">
        <v>0.98975899501604436</v>
      </c>
      <c r="F31" s="24">
        <v>0.97023281217996882</v>
      </c>
      <c r="G31" s="24">
        <v>0.970642452379327</v>
      </c>
      <c r="H31" s="42">
        <v>0.98757424728613374</v>
      </c>
      <c r="I31" s="42">
        <v>0.99153410254659657</v>
      </c>
    </row>
    <row r="32" spans="1:9" x14ac:dyDescent="0.25">
      <c r="A32" s="23">
        <v>0.23</v>
      </c>
      <c r="B32" s="24">
        <v>0.85977607864554872</v>
      </c>
      <c r="C32" s="24">
        <v>0.89670944838885891</v>
      </c>
      <c r="D32" s="24">
        <v>0.98682324025397694</v>
      </c>
      <c r="E32" s="24">
        <v>0.98921280808356671</v>
      </c>
      <c r="F32" s="24">
        <v>0.96442957602239388</v>
      </c>
      <c r="G32" s="24">
        <v>0.96599986345326705</v>
      </c>
      <c r="H32" s="42">
        <v>0.97897180309961096</v>
      </c>
      <c r="I32" s="42">
        <v>0.98484331262374547</v>
      </c>
    </row>
    <row r="33" spans="1:9" x14ac:dyDescent="0.25">
      <c r="A33" s="23">
        <v>0.24</v>
      </c>
      <c r="B33" s="24">
        <v>0.80836974330966671</v>
      </c>
      <c r="C33" s="24">
        <v>0.86120972146368135</v>
      </c>
      <c r="D33" s="24">
        <v>0.98573086638902163</v>
      </c>
      <c r="E33" s="24">
        <v>0.98190755786167827</v>
      </c>
      <c r="F33" s="24">
        <v>0.95657813886802778</v>
      </c>
      <c r="G33" s="24">
        <v>0.95521267153683365</v>
      </c>
      <c r="H33" s="42">
        <v>0.96299583532463995</v>
      </c>
      <c r="I33" s="42">
        <v>0.96914043831501329</v>
      </c>
    </row>
    <row r="34" spans="1:9" x14ac:dyDescent="0.25">
      <c r="A34" s="23">
        <v>0.25</v>
      </c>
      <c r="B34" s="24">
        <v>0.75860185690879289</v>
      </c>
      <c r="C34" s="24">
        <v>0.82386673948661959</v>
      </c>
      <c r="D34" s="24">
        <v>0.98416057895814846</v>
      </c>
      <c r="E34" s="24">
        <v>0.97965453676520797</v>
      </c>
      <c r="F34" s="24">
        <v>0.94026080426025826</v>
      </c>
      <c r="G34" s="24">
        <v>0.9393732504949821</v>
      </c>
      <c r="H34" s="42">
        <v>0.9333651942377279</v>
      </c>
      <c r="I34" s="42">
        <v>0.94346965248856418</v>
      </c>
    </row>
    <row r="35" spans="1:9" x14ac:dyDescent="0.25">
      <c r="A35" s="23">
        <v>0.26</v>
      </c>
      <c r="B35" s="24">
        <v>0.7110868377935553</v>
      </c>
      <c r="C35" s="24">
        <v>0.78768432550518863</v>
      </c>
      <c r="D35" s="24">
        <v>0.97610432170410322</v>
      </c>
      <c r="E35" s="24">
        <v>0.97658223527002119</v>
      </c>
      <c r="F35" s="24">
        <v>0.91513620536628681</v>
      </c>
      <c r="G35" s="24">
        <v>0.91322455110261502</v>
      </c>
      <c r="H35" s="42">
        <v>0.89649757629548721</v>
      </c>
      <c r="I35" s="42">
        <v>0.91561411893220457</v>
      </c>
    </row>
    <row r="36" spans="1:9" x14ac:dyDescent="0.25">
      <c r="A36" s="23">
        <v>0.27</v>
      </c>
      <c r="B36" s="24">
        <v>0.66159202621518287</v>
      </c>
      <c r="C36" s="24">
        <v>0.75177498634625906</v>
      </c>
      <c r="D36" s="24">
        <v>0.97132518604492391</v>
      </c>
      <c r="E36" s="24">
        <v>0.97030108554652827</v>
      </c>
      <c r="F36" s="24">
        <v>0.87820031405748633</v>
      </c>
      <c r="G36" s="24">
        <v>0.87362599849798606</v>
      </c>
      <c r="H36" s="42">
        <v>0.85307571516351477</v>
      </c>
      <c r="I36" s="42">
        <v>0.8846180105140985</v>
      </c>
    </row>
    <row r="37" spans="1:9" x14ac:dyDescent="0.25">
      <c r="A37" s="23">
        <v>0.28000000000000003</v>
      </c>
      <c r="B37" s="24">
        <v>0.61783178590933907</v>
      </c>
      <c r="C37" s="24">
        <v>0.70978973238667409</v>
      </c>
      <c r="D37" s="24">
        <v>0.96490748958831163</v>
      </c>
      <c r="E37" s="24">
        <v>0.96135727452720687</v>
      </c>
      <c r="F37" s="24">
        <v>0.82515190824059548</v>
      </c>
      <c r="G37" s="24">
        <v>0.82856557656858076</v>
      </c>
      <c r="H37" s="42">
        <v>0.80849320680002734</v>
      </c>
      <c r="I37" s="42">
        <v>0.85232470813135797</v>
      </c>
    </row>
    <row r="38" spans="1:9" x14ac:dyDescent="0.25">
      <c r="A38" s="23">
        <v>0.28999999999999998</v>
      </c>
      <c r="B38" s="24">
        <v>0.56901966138722004</v>
      </c>
      <c r="C38" s="24">
        <v>0.66671217913708369</v>
      </c>
      <c r="D38" s="24">
        <v>0.95282310370724388</v>
      </c>
      <c r="E38" s="24">
        <v>0.94722468764934797</v>
      </c>
      <c r="F38" s="24">
        <v>0.76862156072915966</v>
      </c>
      <c r="G38" s="24">
        <v>0.77524407728545108</v>
      </c>
      <c r="H38" s="42">
        <v>0.76131631050727111</v>
      </c>
      <c r="I38" s="42">
        <v>0.81211169522769167</v>
      </c>
    </row>
    <row r="39" spans="1:9" x14ac:dyDescent="0.25">
      <c r="A39" s="23">
        <v>0.3</v>
      </c>
      <c r="B39" s="24">
        <v>0.52573730202075364</v>
      </c>
      <c r="C39" s="24">
        <v>0.62540961223375213</v>
      </c>
      <c r="D39" s="24">
        <v>0.93281900730525025</v>
      </c>
      <c r="E39" s="24">
        <v>0.92544548371680202</v>
      </c>
      <c r="F39" s="24">
        <v>0.7088823649894177</v>
      </c>
      <c r="G39" s="24">
        <v>0.71461732778043296</v>
      </c>
      <c r="H39" s="42">
        <v>0.70990646548781322</v>
      </c>
      <c r="I39" s="42">
        <v>0.7732641496552195</v>
      </c>
    </row>
    <row r="40" spans="1:9" x14ac:dyDescent="0.25">
      <c r="A40" s="23">
        <v>0.31</v>
      </c>
      <c r="B40" s="24">
        <v>0.48170398689240851</v>
      </c>
      <c r="C40" s="24">
        <v>0.5861551064991809</v>
      </c>
      <c r="D40" s="24">
        <v>0.90762613504471912</v>
      </c>
      <c r="E40" s="24">
        <v>0.8987505973919574</v>
      </c>
      <c r="F40" s="24">
        <v>0.64006281149723498</v>
      </c>
      <c r="G40" s="24">
        <v>0.64811906875128023</v>
      </c>
      <c r="H40" s="42">
        <v>0.65863316720147469</v>
      </c>
      <c r="I40" s="42">
        <v>0.73373387041715032</v>
      </c>
    </row>
    <row r="41" spans="1:9" x14ac:dyDescent="0.25">
      <c r="A41" s="23">
        <v>0.32</v>
      </c>
      <c r="B41" s="24">
        <v>0.4405379574003277</v>
      </c>
      <c r="C41" s="24">
        <v>0.54696886947023493</v>
      </c>
      <c r="D41" s="24">
        <v>0.8741721854304636</v>
      </c>
      <c r="E41" s="24">
        <v>0.86563801461050049</v>
      </c>
      <c r="F41" s="24">
        <v>0.5741107394005599</v>
      </c>
      <c r="G41" s="24">
        <v>0.57718304089574668</v>
      </c>
      <c r="H41" s="42">
        <v>0.61343619853894993</v>
      </c>
      <c r="I41" s="42">
        <v>0.69044855601829735</v>
      </c>
    </row>
    <row r="42" spans="1:9" x14ac:dyDescent="0.25">
      <c r="A42" s="23">
        <v>0.33</v>
      </c>
      <c r="B42" s="24">
        <v>0.40196613872200981</v>
      </c>
      <c r="C42" s="24">
        <v>0.50757782632441295</v>
      </c>
      <c r="D42" s="24">
        <v>0.8347101795589541</v>
      </c>
      <c r="E42" s="24">
        <v>0.82924831023417767</v>
      </c>
      <c r="F42" s="24">
        <v>0.50344780501126518</v>
      </c>
      <c r="G42" s="24">
        <v>0.51164060899842978</v>
      </c>
      <c r="H42" s="42">
        <v>0.56646412234587284</v>
      </c>
      <c r="I42" s="42">
        <v>0.64566122755513089</v>
      </c>
    </row>
    <row r="43" spans="1:9" x14ac:dyDescent="0.25">
      <c r="A43" s="23">
        <v>0.34</v>
      </c>
      <c r="B43" s="24">
        <v>0.36598853085745492</v>
      </c>
      <c r="C43" s="24">
        <v>0.46927908246859645</v>
      </c>
      <c r="D43" s="24">
        <v>0.79087867822762348</v>
      </c>
      <c r="E43" s="24">
        <v>0.78712364306683968</v>
      </c>
      <c r="F43" s="24">
        <v>0.43333105755444806</v>
      </c>
      <c r="G43" s="24">
        <v>0.44268450877312765</v>
      </c>
      <c r="H43" s="42">
        <v>0.51996995971871374</v>
      </c>
      <c r="I43" s="42">
        <v>0.59807469106301647</v>
      </c>
    </row>
    <row r="44" spans="1:9" x14ac:dyDescent="0.25">
      <c r="A44" s="23">
        <v>0.35</v>
      </c>
      <c r="B44" s="24">
        <v>0.33069361004915343</v>
      </c>
      <c r="C44" s="24">
        <v>0.43145821955215735</v>
      </c>
      <c r="D44" s="24">
        <v>0.74363350856830757</v>
      </c>
      <c r="E44" s="24">
        <v>0.73946883320816559</v>
      </c>
      <c r="F44" s="24">
        <v>0.36662797842561623</v>
      </c>
      <c r="G44" s="24">
        <v>0.38246739946746777</v>
      </c>
      <c r="H44" s="42">
        <v>0.46999385539700966</v>
      </c>
      <c r="I44" s="42">
        <v>0.55704239776063369</v>
      </c>
    </row>
    <row r="45" spans="1:9" x14ac:dyDescent="0.25">
      <c r="A45" s="23">
        <v>0.36</v>
      </c>
      <c r="B45" s="24">
        <v>0.29731021299836152</v>
      </c>
      <c r="C45" s="24">
        <v>0.39746040415073736</v>
      </c>
      <c r="D45" s="24">
        <v>0.69345258414692434</v>
      </c>
      <c r="E45" s="24">
        <v>0.68908308868710322</v>
      </c>
      <c r="F45" s="24">
        <v>0.3017682801938964</v>
      </c>
      <c r="G45" s="24">
        <v>0.32798525295282316</v>
      </c>
      <c r="H45" s="42">
        <v>0.42472861336792522</v>
      </c>
      <c r="I45" s="42">
        <v>0.51334744316242242</v>
      </c>
    </row>
    <row r="46" spans="1:9" x14ac:dyDescent="0.25">
      <c r="A46" s="23">
        <v>0.37</v>
      </c>
      <c r="B46" s="24">
        <v>0.27054888039322772</v>
      </c>
      <c r="C46" s="24">
        <v>0.36298470780993997</v>
      </c>
      <c r="D46" s="24">
        <v>0.64320338635898144</v>
      </c>
      <c r="E46" s="24">
        <v>0.63193828087663007</v>
      </c>
      <c r="F46" s="24">
        <v>0.24810541407796821</v>
      </c>
      <c r="G46" s="24">
        <v>0.27650713456680553</v>
      </c>
      <c r="H46" s="42">
        <v>0.38055574520379604</v>
      </c>
      <c r="I46" s="42">
        <v>0.47101795589540524</v>
      </c>
    </row>
    <row r="47" spans="1:9" x14ac:dyDescent="0.25">
      <c r="A47" s="23">
        <v>0.38</v>
      </c>
      <c r="B47" s="24">
        <v>0.2448798470780994</v>
      </c>
      <c r="C47" s="24">
        <v>0.32803113052976518</v>
      </c>
      <c r="D47" s="24">
        <v>0.58721922578002328</v>
      </c>
      <c r="E47" s="24">
        <v>0.57274527206936576</v>
      </c>
      <c r="F47" s="24">
        <v>0.20324981224824198</v>
      </c>
      <c r="G47" s="24">
        <v>0.23062743223868371</v>
      </c>
      <c r="H47" s="42">
        <v>0.3406840991329283</v>
      </c>
      <c r="I47" s="42">
        <v>0.43100976309141809</v>
      </c>
    </row>
    <row r="48" spans="1:9" x14ac:dyDescent="0.25">
      <c r="A48" s="23">
        <v>0.39</v>
      </c>
      <c r="B48" s="24">
        <v>0.22023484434735119</v>
      </c>
      <c r="C48" s="24">
        <v>0.2985390496996177</v>
      </c>
      <c r="D48" s="24">
        <v>0.53171297876698309</v>
      </c>
      <c r="E48" s="24">
        <v>0.51744384515600461</v>
      </c>
      <c r="F48" s="24">
        <v>0.16249061241209806</v>
      </c>
      <c r="G48" s="24">
        <v>0.18440636307776337</v>
      </c>
      <c r="H48" s="42">
        <v>0.30443094148972494</v>
      </c>
      <c r="I48" s="42">
        <v>0.39311804465078176</v>
      </c>
    </row>
    <row r="49" spans="1:9" x14ac:dyDescent="0.25">
      <c r="A49" s="23">
        <v>0.4</v>
      </c>
      <c r="B49" s="24">
        <v>0.19661387220098309</v>
      </c>
      <c r="C49" s="24">
        <v>0.26945658110322229</v>
      </c>
      <c r="D49" s="24">
        <v>0.47279306342595762</v>
      </c>
      <c r="E49" s="24">
        <v>0.4616645046767256</v>
      </c>
      <c r="F49" s="24">
        <v>0.12910493616440227</v>
      </c>
      <c r="G49" s="24">
        <v>0.14508090393937326</v>
      </c>
      <c r="H49" s="42">
        <v>0.27036253157643209</v>
      </c>
      <c r="I49" s="42">
        <v>0.3533146719464737</v>
      </c>
    </row>
    <row r="50" spans="1:9" x14ac:dyDescent="0.25">
      <c r="A50" s="23">
        <v>0.41</v>
      </c>
      <c r="B50" s="24">
        <v>0.17374385581649374</v>
      </c>
      <c r="C50" s="24">
        <v>0.2432413981430912</v>
      </c>
      <c r="D50" s="24">
        <v>0.41421451491773065</v>
      </c>
      <c r="E50" s="24">
        <v>0.40936710589199149</v>
      </c>
      <c r="F50" s="24">
        <v>9.7904007646617067E-2</v>
      </c>
      <c r="G50" s="24">
        <v>0.11360688195534922</v>
      </c>
      <c r="H50" s="42">
        <v>0.24066361712296036</v>
      </c>
      <c r="I50" s="42">
        <v>0.31624223390455386</v>
      </c>
    </row>
    <row r="51" spans="1:9" x14ac:dyDescent="0.25">
      <c r="A51" s="23">
        <v>0.42</v>
      </c>
      <c r="B51" s="24">
        <v>0.15544784270890225</v>
      </c>
      <c r="C51" s="24">
        <v>0.21989350081922446</v>
      </c>
      <c r="D51" s="24">
        <v>0.36102956236772038</v>
      </c>
      <c r="E51" s="24">
        <v>0.36007373523588443</v>
      </c>
      <c r="F51" s="24">
        <v>7.339386905168295E-2</v>
      </c>
      <c r="G51" s="24">
        <v>8.7867822762340411E-2</v>
      </c>
      <c r="H51" s="42">
        <v>0.21246671673380216</v>
      </c>
      <c r="I51" s="42">
        <v>0.28203727725814159</v>
      </c>
    </row>
    <row r="52" spans="1:9" x14ac:dyDescent="0.25">
      <c r="A52" s="23">
        <v>0.43</v>
      </c>
      <c r="B52" s="24">
        <v>0.1380393227744402</v>
      </c>
      <c r="C52" s="24">
        <v>0.19572637902785361</v>
      </c>
      <c r="D52" s="24">
        <v>0.3112582781456954</v>
      </c>
      <c r="E52" s="24">
        <v>0.31296511230968793</v>
      </c>
      <c r="F52" s="24">
        <v>5.5096606813681989E-2</v>
      </c>
      <c r="G52" s="24">
        <v>6.9160920324981223E-2</v>
      </c>
      <c r="H52" s="42">
        <v>0.1847477299105619</v>
      </c>
      <c r="I52" s="42">
        <v>0.25343073666962518</v>
      </c>
    </row>
    <row r="53" spans="1:9" x14ac:dyDescent="0.25">
      <c r="A53" s="23">
        <v>0.44</v>
      </c>
      <c r="B53" s="24">
        <v>0.12117695248498089</v>
      </c>
      <c r="C53" s="24">
        <v>0.17326597487711631</v>
      </c>
      <c r="D53" s="24">
        <v>0.2656516692838124</v>
      </c>
      <c r="E53" s="24">
        <v>0.27261555267290227</v>
      </c>
      <c r="F53" s="24">
        <v>4.1100566668942448E-2</v>
      </c>
      <c r="G53" s="24">
        <v>5.3116679183450533E-2</v>
      </c>
      <c r="H53" s="42">
        <v>0.16303679934457568</v>
      </c>
      <c r="I53" s="42">
        <v>0.22448282924831026</v>
      </c>
    </row>
    <row r="54" spans="1:9" x14ac:dyDescent="0.25">
      <c r="A54" s="23">
        <v>0.45</v>
      </c>
      <c r="B54" s="24">
        <v>0.10608956854178045</v>
      </c>
      <c r="C54" s="24">
        <v>0.15039595849262696</v>
      </c>
      <c r="D54" s="24">
        <v>0.22120570765344441</v>
      </c>
      <c r="E54" s="24">
        <v>0.23171980610363896</v>
      </c>
      <c r="F54" s="24">
        <v>3.0586468218747866E-2</v>
      </c>
      <c r="G54" s="24">
        <v>4.0759199836143921E-2</v>
      </c>
      <c r="H54" s="42">
        <v>0.14255478937666416</v>
      </c>
      <c r="I54" s="42">
        <v>0.19819758312282382</v>
      </c>
    </row>
    <row r="55" spans="1:9" x14ac:dyDescent="0.25">
      <c r="A55" s="23">
        <v>0.46</v>
      </c>
      <c r="B55" s="24">
        <v>9.0456034953577277E-2</v>
      </c>
      <c r="C55" s="24">
        <v>0.13039322774440196</v>
      </c>
      <c r="D55" s="24">
        <v>0.18604492387519631</v>
      </c>
      <c r="E55" s="24">
        <v>0.19307708063084589</v>
      </c>
      <c r="F55" s="24">
        <v>2.2257117498463846E-2</v>
      </c>
      <c r="G55" s="24">
        <v>3.2976036048337543E-2</v>
      </c>
      <c r="H55" s="42">
        <v>0.12350652010650645</v>
      </c>
      <c r="I55" s="42">
        <v>0.17218543046357618</v>
      </c>
    </row>
    <row r="56" spans="1:9" x14ac:dyDescent="0.25">
      <c r="A56" s="23">
        <v>0.47</v>
      </c>
      <c r="B56" s="24">
        <v>7.9055161114145275E-2</v>
      </c>
      <c r="C56" s="24">
        <v>0.11291643910431458</v>
      </c>
      <c r="D56" s="24">
        <v>0.15586809585580666</v>
      </c>
      <c r="E56" s="24">
        <v>0.16044241141530688</v>
      </c>
      <c r="F56" s="24">
        <v>1.7409708472724789E-2</v>
      </c>
      <c r="G56" s="24">
        <v>2.7650713456680548E-2</v>
      </c>
      <c r="H56" s="42">
        <v>0.10746227896497576</v>
      </c>
      <c r="I56" s="42">
        <v>0.14637809790400766</v>
      </c>
    </row>
    <row r="57" spans="1:9" x14ac:dyDescent="0.25">
      <c r="A57" s="23">
        <v>0.48</v>
      </c>
      <c r="B57" s="24">
        <v>6.7381212452211903E-2</v>
      </c>
      <c r="C57" s="24">
        <v>9.9945385035499726E-2</v>
      </c>
      <c r="D57" s="24">
        <v>0.12855874923192465</v>
      </c>
      <c r="E57" s="24">
        <v>0.13395234519014132</v>
      </c>
      <c r="F57" s="24">
        <v>1.3791220045060421E-2</v>
      </c>
      <c r="G57" s="24">
        <v>2.2393664231583257E-2</v>
      </c>
      <c r="H57" s="42">
        <v>9.1554584556564483E-2</v>
      </c>
      <c r="I57" s="42">
        <v>0.12596436130265584</v>
      </c>
    </row>
    <row r="58" spans="1:9" x14ac:dyDescent="0.25">
      <c r="A58" s="23">
        <v>0.49</v>
      </c>
      <c r="B58" s="24">
        <v>5.8574549426542874E-2</v>
      </c>
      <c r="C58" s="24">
        <v>8.6155106499180775E-2</v>
      </c>
      <c r="D58" s="24">
        <v>0.10254659657267701</v>
      </c>
      <c r="E58" s="24">
        <v>0.11128558749231923</v>
      </c>
      <c r="F58" s="24">
        <v>1.1538198948590154E-2</v>
      </c>
      <c r="G58" s="24">
        <v>1.8433808971120364E-2</v>
      </c>
      <c r="H58" s="42">
        <v>7.7558544411824942E-2</v>
      </c>
      <c r="I58" s="42">
        <v>0.10753055233153547</v>
      </c>
    </row>
    <row r="59" spans="1:9" x14ac:dyDescent="0.25">
      <c r="A59" s="23">
        <v>0.5</v>
      </c>
      <c r="B59" s="24">
        <v>5.0245767340251234E-2</v>
      </c>
      <c r="C59" s="24">
        <v>7.4276351720371378E-2</v>
      </c>
      <c r="D59" s="24">
        <v>8.4522427800914873E-2</v>
      </c>
      <c r="E59" s="24">
        <v>9.2442138321840644E-2</v>
      </c>
      <c r="F59" s="24">
        <v>9.7630914180378229E-3</v>
      </c>
      <c r="G59" s="24">
        <v>1.5361507475933636E-2</v>
      </c>
      <c r="H59" s="42">
        <v>6.5064518331398924E-2</v>
      </c>
      <c r="I59" s="42">
        <v>9.162285792312419E-2</v>
      </c>
    </row>
    <row r="60" spans="1:9" x14ac:dyDescent="0.25">
      <c r="A60" s="23">
        <v>0.51</v>
      </c>
      <c r="B60" s="24">
        <v>4.3418896777717098E-2</v>
      </c>
      <c r="C60" s="24">
        <v>6.3694702348443474E-2</v>
      </c>
      <c r="D60" s="24">
        <v>6.9434013791220051E-2</v>
      </c>
      <c r="E60" s="24">
        <v>7.6193077080630833E-2</v>
      </c>
      <c r="F60" s="24">
        <v>7.7831637878063766E-3</v>
      </c>
      <c r="G60" s="24">
        <v>1.365467331194101E-2</v>
      </c>
      <c r="H60" s="42">
        <v>5.4550419881204348E-2</v>
      </c>
      <c r="I60" s="42">
        <v>7.8582644910220531E-2</v>
      </c>
    </row>
    <row r="61" spans="1:9" x14ac:dyDescent="0.25">
      <c r="A61" s="23">
        <v>0.52</v>
      </c>
      <c r="B61" s="24">
        <v>3.6728563626433647E-2</v>
      </c>
      <c r="C61" s="24">
        <v>5.3590933915892959E-2</v>
      </c>
      <c r="D61" s="24">
        <v>5.6325527411756678E-2</v>
      </c>
      <c r="E61" s="24">
        <v>6.2538403768689826E-2</v>
      </c>
      <c r="F61" s="24">
        <v>6.5542431897316856E-3</v>
      </c>
      <c r="G61" s="24">
        <v>1.2357479347306615E-2</v>
      </c>
      <c r="H61" s="42">
        <v>4.5470062128763575E-2</v>
      </c>
      <c r="I61" s="42">
        <v>6.718099269474978E-2</v>
      </c>
    </row>
    <row r="62" spans="1:9" x14ac:dyDescent="0.25">
      <c r="A62" s="23">
        <v>0.53</v>
      </c>
      <c r="B62" s="24">
        <v>3.065264882577827E-2</v>
      </c>
      <c r="C62" s="24">
        <v>4.5125614418350633E-2</v>
      </c>
      <c r="D62" s="24">
        <v>4.6016249061241216E-2</v>
      </c>
      <c r="E62" s="24">
        <v>5.127329828633849E-2</v>
      </c>
      <c r="F62" s="24">
        <v>5.5301426913361099E-3</v>
      </c>
      <c r="G62" s="24">
        <v>1.106028538267222E-2</v>
      </c>
      <c r="H62" s="42">
        <v>3.8233085273434837E-2</v>
      </c>
      <c r="I62" s="42">
        <v>5.4686966614323762E-2</v>
      </c>
    </row>
    <row r="63" spans="1:9" x14ac:dyDescent="0.25">
      <c r="A63" s="23">
        <v>0.54</v>
      </c>
      <c r="B63" s="24">
        <v>2.5259421081376306E-2</v>
      </c>
      <c r="C63" s="24">
        <v>3.6933369743309671E-2</v>
      </c>
      <c r="D63" s="24">
        <v>3.6594524476001915E-2</v>
      </c>
      <c r="E63" s="24">
        <v>4.3148767665733591E-2</v>
      </c>
      <c r="F63" s="24">
        <v>5.1887758585375844E-3</v>
      </c>
      <c r="G63" s="24">
        <v>9.4899979517990042E-3</v>
      </c>
      <c r="H63" s="42">
        <v>3.1474021984024034E-2</v>
      </c>
      <c r="I63" s="42">
        <v>4.5743155595002395E-2</v>
      </c>
    </row>
    <row r="64" spans="1:9" x14ac:dyDescent="0.25">
      <c r="A64" s="23">
        <v>0.55000000000000004</v>
      </c>
      <c r="B64" s="24">
        <v>2.0753686510103776E-2</v>
      </c>
      <c r="C64" s="24">
        <v>2.9833424358274168E-2</v>
      </c>
      <c r="D64" s="24">
        <v>2.867481395507613E-2</v>
      </c>
      <c r="E64" s="24">
        <v>3.5433877244486919E-2</v>
      </c>
      <c r="F64" s="24">
        <v>4.5743155595002393E-3</v>
      </c>
      <c r="G64" s="24">
        <v>8.2610773537243123E-3</v>
      </c>
      <c r="H64" s="42">
        <v>2.464668532805353E-2</v>
      </c>
      <c r="I64" s="42">
        <v>3.7755171707516903E-2</v>
      </c>
    </row>
    <row r="65" spans="1:9" x14ac:dyDescent="0.25">
      <c r="A65" s="23">
        <v>0.56000000000000005</v>
      </c>
      <c r="B65" s="24">
        <v>1.5906608410704539E-2</v>
      </c>
      <c r="C65" s="24">
        <v>2.4986346258874931E-2</v>
      </c>
      <c r="D65" s="24">
        <v>2.3417764729978838E-2</v>
      </c>
      <c r="E65" s="24">
        <v>3.0518194852188159E-2</v>
      </c>
      <c r="F65" s="24">
        <v>4.0964019935823036E-3</v>
      </c>
      <c r="G65" s="24">
        <v>7.0321567556496213E-3</v>
      </c>
      <c r="H65" s="42">
        <v>1.9389636102956239E-2</v>
      </c>
      <c r="I65" s="42">
        <v>3.1064381784665807E-2</v>
      </c>
    </row>
    <row r="66" spans="1:9" x14ac:dyDescent="0.25">
      <c r="A66" s="23">
        <v>0.56999999999999995</v>
      </c>
      <c r="B66" s="24">
        <v>1.3448935008192249E-2</v>
      </c>
      <c r="C66" s="24">
        <v>2.089022392135445E-2</v>
      </c>
      <c r="D66" s="24">
        <v>1.8979995903598008E-2</v>
      </c>
      <c r="E66" s="24">
        <v>2.6490066225165559E-2</v>
      </c>
      <c r="F66" s="24">
        <v>3.7550351607837781E-3</v>
      </c>
      <c r="G66" s="24">
        <v>5.8032361575749303E-3</v>
      </c>
      <c r="H66" s="42">
        <v>1.590769440841128E-2</v>
      </c>
      <c r="I66" s="42">
        <v>2.4988052160852058E-2</v>
      </c>
    </row>
    <row r="67" spans="1:9" x14ac:dyDescent="0.25">
      <c r="A67" s="23">
        <v>0.57999999999999996</v>
      </c>
      <c r="B67" s="24">
        <v>1.0854724194429278E-2</v>
      </c>
      <c r="C67" s="24">
        <v>1.679410158383397E-2</v>
      </c>
      <c r="D67" s="24">
        <v>1.7136615006485972E-2</v>
      </c>
      <c r="E67" s="24">
        <v>2.4168771762135589E-2</v>
      </c>
      <c r="F67" s="24">
        <v>3.3453949614255479E-3</v>
      </c>
      <c r="G67" s="24">
        <v>4.6425889260599444E-3</v>
      </c>
      <c r="H67" s="42">
        <v>1.2220932614187207E-2</v>
      </c>
      <c r="I67" s="42">
        <v>2.0618556701030934E-2</v>
      </c>
    </row>
    <row r="68" spans="1:9" x14ac:dyDescent="0.25">
      <c r="A68" s="23">
        <v>0.59</v>
      </c>
      <c r="B68" s="24">
        <v>8.8749317312943783E-3</v>
      </c>
      <c r="C68" s="24">
        <v>1.3653741125068269E-2</v>
      </c>
      <c r="D68" s="24">
        <v>1.4815320543455999E-2</v>
      </c>
      <c r="E68" s="24">
        <v>2.1437837099747389E-2</v>
      </c>
      <c r="F68" s="24">
        <v>2.8674813955076126E-3</v>
      </c>
      <c r="G68" s="24">
        <v>4.2329487267017138E-3</v>
      </c>
      <c r="H68" s="42">
        <v>9.5582713183587093E-3</v>
      </c>
      <c r="I68" s="42">
        <v>1.7000068273366566E-2</v>
      </c>
    </row>
    <row r="69" spans="1:9" x14ac:dyDescent="0.25">
      <c r="A69" s="23">
        <v>0.6</v>
      </c>
      <c r="B69" s="24">
        <v>7.8509011469142572E-3</v>
      </c>
      <c r="C69" s="24">
        <v>1.1537411250682687E-2</v>
      </c>
      <c r="D69" s="24">
        <v>1.2971939646343963E-2</v>
      </c>
      <c r="E69" s="24">
        <v>2.0208916501672697E-2</v>
      </c>
      <c r="F69" s="24">
        <v>2.6626612958284973E-3</v>
      </c>
      <c r="G69" s="24">
        <v>3.7550351607837781E-3</v>
      </c>
      <c r="H69" s="42">
        <v>7.6466170546869673E-3</v>
      </c>
      <c r="I69" s="42">
        <v>1.4200860244418656E-2</v>
      </c>
    </row>
    <row r="70" spans="1:9" x14ac:dyDescent="0.25">
      <c r="A70" s="23">
        <v>0.61</v>
      </c>
      <c r="B70" s="24">
        <v>6.4855270344074296E-3</v>
      </c>
      <c r="C70" s="24">
        <v>1.0103768432550519E-2</v>
      </c>
      <c r="D70" s="24">
        <v>1.1879565781388681E-2</v>
      </c>
      <c r="E70" s="24">
        <v>1.7273161739605379E-2</v>
      </c>
      <c r="F70" s="24">
        <v>2.5943879292687922E-3</v>
      </c>
      <c r="G70" s="24">
        <v>3.413668327985253E-3</v>
      </c>
      <c r="H70" s="42">
        <v>6.212876356933161E-3</v>
      </c>
      <c r="I70" s="42">
        <v>1.2425752713866325E-2</v>
      </c>
    </row>
    <row r="71" spans="1:9" x14ac:dyDescent="0.25">
      <c r="A71" s="23">
        <v>0.62</v>
      </c>
      <c r="B71" s="24">
        <v>5.666302566903334E-3</v>
      </c>
      <c r="C71" s="24">
        <v>8.8749317312943748E-3</v>
      </c>
      <c r="D71" s="24">
        <v>1.106028538267222E-2</v>
      </c>
      <c r="E71" s="24">
        <v>1.5566327575612753E-2</v>
      </c>
      <c r="F71" s="24">
        <v>2.3895678295896769E-3</v>
      </c>
      <c r="G71" s="24">
        <v>2.9357547620673177E-3</v>
      </c>
      <c r="H71" s="42">
        <v>5.3253225916569955E-3</v>
      </c>
      <c r="I71" s="42">
        <v>1.1060285382672223E-2</v>
      </c>
    </row>
    <row r="72" spans="1:9" x14ac:dyDescent="0.25">
      <c r="A72" s="23">
        <v>0.63</v>
      </c>
      <c r="B72" s="24">
        <v>4.9836155106499202E-3</v>
      </c>
      <c r="C72" s="24">
        <v>8.1239759694156193E-3</v>
      </c>
      <c r="D72" s="24">
        <v>9.8313647845975297E-3</v>
      </c>
      <c r="E72" s="24">
        <v>1.4473953710657472E-2</v>
      </c>
      <c r="F72" s="24">
        <v>2.1164743633508565E-3</v>
      </c>
      <c r="G72" s="24">
        <v>2.7309346623882024E-3</v>
      </c>
      <c r="H72" s="42">
        <v>4.5743155595002402E-3</v>
      </c>
      <c r="I72" s="42">
        <v>9.9679115177169417E-3</v>
      </c>
    </row>
    <row r="73" spans="1:9" x14ac:dyDescent="0.25">
      <c r="A73" s="23">
        <v>0.64</v>
      </c>
      <c r="B73" s="24">
        <v>4.4374658656471892E-3</v>
      </c>
      <c r="C73" s="24">
        <v>7.0999453850354999E-3</v>
      </c>
      <c r="D73" s="24">
        <v>8.8072642862019532E-3</v>
      </c>
      <c r="E73" s="24">
        <v>1.3040213012903666E-2</v>
      </c>
      <c r="F73" s="24">
        <v>1.7751075305523314E-3</v>
      </c>
      <c r="G73" s="24">
        <v>2.3212944630299722E-3</v>
      </c>
      <c r="H73" s="42">
        <v>4.0281286270225994E-3</v>
      </c>
      <c r="I73" s="42">
        <v>8.87553765276166E-3</v>
      </c>
    </row>
    <row r="74" spans="1:9" x14ac:dyDescent="0.25">
      <c r="A74" s="23">
        <v>0.65</v>
      </c>
      <c r="B74" s="24">
        <v>4.0278536318951409E-3</v>
      </c>
      <c r="C74" s="24">
        <v>6.4855270344074279E-3</v>
      </c>
      <c r="D74" s="24">
        <v>7.373523588448146E-3</v>
      </c>
      <c r="E74" s="24">
        <v>1.133337884891104E-2</v>
      </c>
      <c r="F74" s="24">
        <v>1.5702874308732163E-3</v>
      </c>
      <c r="G74" s="24">
        <v>2.1164743633508569E-3</v>
      </c>
      <c r="H74" s="42">
        <v>3.7550351607837794E-3</v>
      </c>
      <c r="I74" s="42">
        <v>7.8514371543660835E-3</v>
      </c>
    </row>
    <row r="75" spans="1:9" x14ac:dyDescent="0.25">
      <c r="A75" s="23">
        <v>0.66</v>
      </c>
      <c r="B75" s="24">
        <v>3.8230475150191168E-3</v>
      </c>
      <c r="C75" s="24">
        <v>6.0076460950300387E-3</v>
      </c>
      <c r="D75" s="24">
        <v>6.6225165562913907E-3</v>
      </c>
      <c r="E75" s="24">
        <v>1.0377551717075169E-2</v>
      </c>
      <c r="F75" s="24">
        <v>1.5702874308732163E-3</v>
      </c>
      <c r="G75" s="24">
        <v>1.7068341639926265E-3</v>
      </c>
      <c r="H75" s="42">
        <v>3.5502150611046641E-3</v>
      </c>
      <c r="I75" s="42">
        <v>7.3735235884481486E-3</v>
      </c>
    </row>
    <row r="76" spans="1:9" x14ac:dyDescent="0.25">
      <c r="A76" s="23">
        <v>0.67</v>
      </c>
      <c r="B76" s="24">
        <v>3.4817039868924099E-3</v>
      </c>
      <c r="C76" s="24">
        <v>5.3249590387766249E-3</v>
      </c>
      <c r="D76" s="24">
        <v>5.8032361575749303E-3</v>
      </c>
      <c r="E76" s="24">
        <v>8.8755376527616583E-3</v>
      </c>
      <c r="F76" s="24">
        <v>1.228920598074691E-3</v>
      </c>
      <c r="G76" s="24">
        <v>1.5020140643135114E-3</v>
      </c>
      <c r="H76" s="42">
        <v>3.1405748617464339E-3</v>
      </c>
      <c r="I76" s="42">
        <v>6.2811497234928678E-3</v>
      </c>
    </row>
    <row r="77" spans="1:9" x14ac:dyDescent="0.25">
      <c r="A77" s="23">
        <v>0.68</v>
      </c>
      <c r="B77" s="24">
        <v>3.140360458765703E-3</v>
      </c>
      <c r="C77" s="24">
        <v>4.7788093937738939E-3</v>
      </c>
      <c r="D77" s="24">
        <v>5.1887758585375853E-3</v>
      </c>
      <c r="E77" s="24">
        <v>8.3976240868437226E-3</v>
      </c>
      <c r="F77" s="24">
        <v>1.0241004983955759E-3</v>
      </c>
      <c r="G77" s="24">
        <v>1.3654673311941012E-3</v>
      </c>
      <c r="H77" s="42">
        <v>2.8674813955076135E-3</v>
      </c>
      <c r="I77" s="42">
        <v>5.6666894244555227E-3</v>
      </c>
    </row>
    <row r="78" spans="1:9" x14ac:dyDescent="0.25">
      <c r="A78" s="23">
        <v>0.69</v>
      </c>
      <c r="B78" s="24">
        <v>3.0720917531403616E-3</v>
      </c>
      <c r="C78" s="24">
        <v>4.4374658656471874E-3</v>
      </c>
      <c r="D78" s="24">
        <v>4.9156823922987649E-3</v>
      </c>
      <c r="E78" s="24">
        <v>7.5100703215675562E-3</v>
      </c>
      <c r="F78" s="24">
        <v>8.1928039871646081E-4</v>
      </c>
      <c r="G78" s="24">
        <v>1.0241004983955759E-3</v>
      </c>
      <c r="H78" s="42">
        <v>2.6626612958284982E-3</v>
      </c>
      <c r="I78" s="42">
        <v>5.188775858537587E-3</v>
      </c>
    </row>
    <row r="79" spans="1:9" x14ac:dyDescent="0.25">
      <c r="A79" s="23">
        <v>0.7</v>
      </c>
      <c r="B79" s="24">
        <v>2.5942108137629719E-3</v>
      </c>
      <c r="C79" s="24">
        <v>4.096122337520481E-3</v>
      </c>
      <c r="D79" s="24">
        <v>4.1646753601420096E-3</v>
      </c>
      <c r="E79" s="24">
        <v>6.5542431897316856E-3</v>
      </c>
      <c r="F79" s="24">
        <v>5.461869324776405E-4</v>
      </c>
      <c r="G79" s="24">
        <v>7.5100703215675571E-4</v>
      </c>
      <c r="H79" s="42">
        <v>2.5943879292687931E-3</v>
      </c>
      <c r="I79" s="42">
        <v>4.8474090257390615E-3</v>
      </c>
    </row>
    <row r="80" spans="1:9" x14ac:dyDescent="0.25">
      <c r="A80" s="23">
        <v>0.71</v>
      </c>
      <c r="B80" s="24">
        <v>2.3211359912616064E-3</v>
      </c>
      <c r="C80" s="24">
        <v>3.7547788093937741E-3</v>
      </c>
      <c r="D80" s="24">
        <v>3.8915818939031892E-3</v>
      </c>
      <c r="E80" s="24">
        <v>5.598416057895815E-3</v>
      </c>
      <c r="F80" s="24">
        <v>4.779135659179354E-4</v>
      </c>
      <c r="G80" s="24">
        <v>4.779135659179354E-4</v>
      </c>
      <c r="H80" s="42">
        <v>2.4578411961493829E-3</v>
      </c>
      <c r="I80" s="42">
        <v>4.3694954598211258E-3</v>
      </c>
    </row>
    <row r="81" spans="1:9" x14ac:dyDescent="0.25">
      <c r="A81" s="23">
        <v>0.72</v>
      </c>
      <c r="B81" s="24">
        <v>1.9797924631348995E-3</v>
      </c>
      <c r="C81" s="24">
        <v>3.4134352812670672E-3</v>
      </c>
      <c r="D81" s="24">
        <v>3.481941694544959E-3</v>
      </c>
      <c r="E81" s="24">
        <v>4.7791356591793547E-3</v>
      </c>
      <c r="F81" s="24">
        <v>4.779135659179354E-4</v>
      </c>
      <c r="G81" s="24">
        <v>3.413668327985253E-4</v>
      </c>
      <c r="H81" s="42">
        <v>2.3212944630299727E-3</v>
      </c>
      <c r="I81" s="42">
        <v>3.8233085273434849E-3</v>
      </c>
    </row>
    <row r="82" spans="1:9" x14ac:dyDescent="0.25">
      <c r="A82" s="23">
        <v>0.73</v>
      </c>
      <c r="B82" s="24">
        <v>1.706717640633534E-3</v>
      </c>
      <c r="C82" s="24">
        <v>3.0038230475150193E-3</v>
      </c>
      <c r="D82" s="24">
        <v>3.0723014951867288E-3</v>
      </c>
      <c r="E82" s="24">
        <v>3.9598552604628943E-3</v>
      </c>
      <c r="F82" s="24">
        <v>2.7309346623882025E-4</v>
      </c>
      <c r="G82" s="24">
        <v>2.048200996791152E-4</v>
      </c>
      <c r="H82" s="42">
        <v>2.1164743633508573E-3</v>
      </c>
      <c r="I82" s="42">
        <v>3.5502150611046645E-3</v>
      </c>
    </row>
    <row r="83" spans="1:9" x14ac:dyDescent="0.25">
      <c r="A83" s="23">
        <v>0.74</v>
      </c>
      <c r="B83" s="24">
        <v>1.706717640633534E-3</v>
      </c>
      <c r="C83" s="24">
        <v>2.7990169306389952E-3</v>
      </c>
      <c r="D83" s="24">
        <v>2.9357547620673186E-3</v>
      </c>
      <c r="E83" s="24">
        <v>3.5502150611046637E-3</v>
      </c>
      <c r="F83" s="24">
        <v>2.048200996791152E-4</v>
      </c>
      <c r="G83" s="24">
        <v>2.048200996791152E-4</v>
      </c>
      <c r="H83" s="42">
        <v>2.1164743633508573E-3</v>
      </c>
      <c r="I83" s="42">
        <v>3.3453949614255492E-3</v>
      </c>
    </row>
    <row r="84" spans="1:9" x14ac:dyDescent="0.25">
      <c r="A84" s="23">
        <v>0.75</v>
      </c>
      <c r="B84" s="24">
        <v>1.5019115237575099E-3</v>
      </c>
      <c r="C84" s="24">
        <v>2.3894046968869474E-3</v>
      </c>
      <c r="D84" s="24">
        <v>2.6626612958284982E-3</v>
      </c>
      <c r="E84" s="24">
        <v>3.2771215948658432E-3</v>
      </c>
      <c r="F84" s="24">
        <v>1.3654673311941013E-4</v>
      </c>
      <c r="G84" s="24">
        <v>1.3654673311941013E-4</v>
      </c>
      <c r="H84" s="42">
        <v>1.911654263671742E-3</v>
      </c>
      <c r="I84" s="42">
        <v>3.0723014951867288E-3</v>
      </c>
    </row>
    <row r="85" spans="1:9" x14ac:dyDescent="0.25">
      <c r="A85" s="23">
        <v>0.76</v>
      </c>
      <c r="B85" s="24">
        <v>1.4336428181321685E-3</v>
      </c>
      <c r="C85" s="24">
        <v>2.321135991261606E-3</v>
      </c>
      <c r="D85" s="24">
        <v>2.526114562709088E-3</v>
      </c>
      <c r="E85" s="24">
        <v>3.0723014951867279E-3</v>
      </c>
      <c r="F85" s="24">
        <v>1.3654673311941013E-4</v>
      </c>
      <c r="G85" s="24">
        <v>6.8273366559705063E-5</v>
      </c>
      <c r="H85" s="42">
        <v>1.6385607974329218E-3</v>
      </c>
      <c r="I85" s="42">
        <v>2.7992080289479084E-3</v>
      </c>
    </row>
    <row r="86" spans="1:9" x14ac:dyDescent="0.25">
      <c r="A86" s="23">
        <v>0.77</v>
      </c>
      <c r="B86" s="24">
        <v>1.2971054068814858E-3</v>
      </c>
      <c r="C86" s="24">
        <v>2.1845985800109232E-3</v>
      </c>
      <c r="D86" s="24">
        <v>2.3212944630299727E-3</v>
      </c>
      <c r="E86" s="24">
        <v>2.6626612958284977E-3</v>
      </c>
      <c r="F86" s="24">
        <v>1.3654673311941013E-4</v>
      </c>
      <c r="G86" s="24">
        <v>6.8273366559705063E-5</v>
      </c>
      <c r="H86" s="42">
        <v>1.5020140643135116E-3</v>
      </c>
      <c r="I86" s="42">
        <v>2.4578411961493829E-3</v>
      </c>
    </row>
    <row r="87" spans="1:9" x14ac:dyDescent="0.25">
      <c r="A87" s="23">
        <v>0.78</v>
      </c>
      <c r="B87" s="24">
        <v>1.160567995630803E-3</v>
      </c>
      <c r="C87" s="24">
        <v>1.9115237575095577E-3</v>
      </c>
      <c r="D87" s="24">
        <v>2.0482009967911522E-3</v>
      </c>
      <c r="E87" s="24">
        <v>2.3895678295896773E-3</v>
      </c>
      <c r="F87" s="24">
        <v>1.3654673311941013E-4</v>
      </c>
      <c r="G87" s="24">
        <v>6.8273366559705063E-5</v>
      </c>
      <c r="H87" s="42">
        <v>1.2289205980746914E-3</v>
      </c>
      <c r="I87" s="42">
        <v>2.2530210964702676E-3</v>
      </c>
    </row>
    <row r="88" spans="1:9" x14ac:dyDescent="0.25">
      <c r="A88" s="23">
        <v>0.79</v>
      </c>
      <c r="B88" s="24">
        <v>1.160567995630803E-3</v>
      </c>
      <c r="C88" s="24">
        <v>1.6384489350081924E-3</v>
      </c>
      <c r="D88" s="24">
        <v>1.911654263671742E-3</v>
      </c>
      <c r="E88" s="24">
        <v>2.2530210964702671E-3</v>
      </c>
      <c r="F88" s="24">
        <v>1.3654673311941013E-4</v>
      </c>
      <c r="G88" s="24">
        <v>6.8273366559705063E-5</v>
      </c>
      <c r="H88" s="42">
        <v>1.2289205980746914E-3</v>
      </c>
      <c r="I88" s="42">
        <v>2.0482009967911522E-3</v>
      </c>
    </row>
    <row r="89" spans="1:9" x14ac:dyDescent="0.25">
      <c r="A89" s="23">
        <v>0.8</v>
      </c>
      <c r="B89" s="24">
        <v>1.0922992900054616E-3</v>
      </c>
      <c r="C89" s="24">
        <v>1.6384489350081924E-3</v>
      </c>
      <c r="D89" s="24">
        <v>1.911654263671742E-3</v>
      </c>
      <c r="E89" s="24">
        <v>1.9799276302314467E-3</v>
      </c>
      <c r="F89" s="24">
        <v>6.8273366559705063E-5</v>
      </c>
      <c r="G89" s="24">
        <v>6.8273366559705063E-5</v>
      </c>
      <c r="H89" s="42">
        <v>1.1606472315149863E-3</v>
      </c>
      <c r="I89" s="42">
        <v>1.8433808971120369E-3</v>
      </c>
    </row>
    <row r="90" spans="1:9" x14ac:dyDescent="0.25">
      <c r="A90" s="23">
        <v>0.81</v>
      </c>
      <c r="B90" s="24">
        <v>9.5576187875477886E-4</v>
      </c>
      <c r="C90" s="24">
        <v>1.5019115237575097E-3</v>
      </c>
      <c r="D90" s="24">
        <v>1.8433808971120369E-3</v>
      </c>
      <c r="E90" s="24">
        <v>1.5020140643135114E-3</v>
      </c>
      <c r="F90" s="24">
        <v>6.8273366559705063E-5</v>
      </c>
      <c r="G90" s="24">
        <v>6.8273366559705063E-5</v>
      </c>
      <c r="H90" s="42">
        <v>1.1606472315149863E-3</v>
      </c>
      <c r="I90" s="42">
        <v>1.5702874308732167E-3</v>
      </c>
    </row>
    <row r="91" spans="1:9" x14ac:dyDescent="0.25">
      <c r="A91" s="23">
        <v>0.82</v>
      </c>
      <c r="B91" s="24">
        <v>9.5576187875477886E-4</v>
      </c>
      <c r="C91" s="24">
        <v>1.4336428181321683E-3</v>
      </c>
      <c r="D91" s="24">
        <v>1.4337406977538065E-3</v>
      </c>
      <c r="E91" s="24">
        <v>1.2971939646343963E-3</v>
      </c>
      <c r="F91" s="24">
        <v>6.8273366559705063E-5</v>
      </c>
      <c r="G91" s="24">
        <v>6.8273366559705063E-5</v>
      </c>
      <c r="H91" s="42">
        <v>1.1606472315149863E-3</v>
      </c>
      <c r="I91" s="42">
        <v>1.5020140643135116E-3</v>
      </c>
    </row>
    <row r="92" spans="1:9" x14ac:dyDescent="0.25">
      <c r="A92" s="23">
        <v>0.83</v>
      </c>
      <c r="B92" s="24">
        <v>8.8749317312943748E-4</v>
      </c>
      <c r="C92" s="24">
        <v>1.3653741125068269E-3</v>
      </c>
      <c r="D92" s="24">
        <v>1.2289205980746914E-3</v>
      </c>
      <c r="E92" s="24">
        <v>1.1606472315149861E-3</v>
      </c>
      <c r="F92" s="24">
        <v>6.8273366559705063E-5</v>
      </c>
      <c r="G92" s="24">
        <v>6.8273366559705063E-5</v>
      </c>
      <c r="H92" s="42">
        <v>1.0241004983955761E-3</v>
      </c>
      <c r="I92" s="42">
        <v>1.5020140643135116E-3</v>
      </c>
    </row>
    <row r="93" spans="1:9" x14ac:dyDescent="0.25">
      <c r="A93" s="23">
        <v>0.84</v>
      </c>
      <c r="B93" s="24">
        <v>8.1922446750409611E-4</v>
      </c>
      <c r="C93" s="24">
        <v>1.2971054068814855E-3</v>
      </c>
      <c r="D93" s="24">
        <v>1.0923738649552812E-3</v>
      </c>
      <c r="E93" s="24">
        <v>1.092373864955281E-3</v>
      </c>
      <c r="F93" s="24">
        <v>6.8273366559705063E-5</v>
      </c>
      <c r="G93" s="24">
        <v>6.8273366559705063E-5</v>
      </c>
      <c r="H93" s="42">
        <v>1.0241004983955761E-3</v>
      </c>
      <c r="I93" s="42">
        <v>1.4337406977538065E-3</v>
      </c>
    </row>
    <row r="94" spans="1:9" x14ac:dyDescent="0.25">
      <c r="A94" s="23">
        <v>0.85</v>
      </c>
      <c r="B94" s="24">
        <v>8.1922446750409611E-4</v>
      </c>
      <c r="C94" s="24">
        <v>1.2971054068814855E-3</v>
      </c>
      <c r="D94" s="24">
        <v>1.0241004983955761E-3</v>
      </c>
      <c r="E94" s="24">
        <v>9.558271318358708E-4</v>
      </c>
      <c r="F94" s="24">
        <v>6.8273366559705063E-5</v>
      </c>
      <c r="G94" s="24">
        <v>6.8273366559705063E-5</v>
      </c>
      <c r="H94" s="42">
        <v>9.5582713183587113E-4</v>
      </c>
      <c r="I94" s="42">
        <v>1.4337406977538065E-3</v>
      </c>
    </row>
    <row r="95" spans="1:9" x14ac:dyDescent="0.25">
      <c r="A95" s="23">
        <v>0.86</v>
      </c>
      <c r="B95" s="24">
        <v>6.8268705625341346E-4</v>
      </c>
      <c r="C95" s="24">
        <v>1.2971054068814855E-3</v>
      </c>
      <c r="D95" s="24">
        <v>6.8273366559705071E-4</v>
      </c>
      <c r="E95" s="24">
        <v>9.558271318358708E-4</v>
      </c>
      <c r="F95" s="24">
        <v>6.8273366559705063E-5</v>
      </c>
      <c r="G95" s="24">
        <v>6.8273366559705063E-5</v>
      </c>
      <c r="H95" s="42">
        <v>8.8755376527616602E-4</v>
      </c>
      <c r="I95" s="42">
        <v>1.2971939646343963E-3</v>
      </c>
    </row>
    <row r="96" spans="1:9" x14ac:dyDescent="0.25">
      <c r="A96" s="23">
        <v>0.87</v>
      </c>
      <c r="B96" s="24">
        <v>6.1441835062807208E-4</v>
      </c>
      <c r="C96" s="24">
        <v>1.1605679956308028E-3</v>
      </c>
      <c r="D96" s="24">
        <v>6.1446029903734561E-4</v>
      </c>
      <c r="E96" s="24">
        <v>6.827336655970506E-4</v>
      </c>
      <c r="F96" s="24">
        <v>6.8273366559705063E-5</v>
      </c>
      <c r="G96" s="24">
        <v>6.8273366559705063E-5</v>
      </c>
      <c r="H96" s="42">
        <v>8.1928039871646092E-4</v>
      </c>
      <c r="I96" s="42">
        <v>1.2289205980746912E-3</v>
      </c>
    </row>
    <row r="97" spans="1:9" x14ac:dyDescent="0.25">
      <c r="A97" s="23">
        <v>0.88</v>
      </c>
      <c r="B97" s="24">
        <v>6.1441835062807208E-4</v>
      </c>
      <c r="C97" s="24">
        <v>1.0922992900054614E-3</v>
      </c>
      <c r="D97" s="24">
        <v>5.461869324776405E-4</v>
      </c>
      <c r="E97" s="24">
        <v>5.461869324776405E-4</v>
      </c>
      <c r="F97" s="24">
        <v>6.8273366559705063E-5</v>
      </c>
      <c r="G97" s="24">
        <v>6.8273366559705063E-5</v>
      </c>
      <c r="H97" s="42">
        <v>7.5100703215675582E-4</v>
      </c>
      <c r="I97" s="42">
        <v>1.1606472315149861E-3</v>
      </c>
    </row>
    <row r="98" spans="1:9" x14ac:dyDescent="0.25">
      <c r="A98" s="23">
        <v>0.89</v>
      </c>
      <c r="B98" s="24">
        <v>5.461496450027307E-4</v>
      </c>
      <c r="C98" s="24">
        <v>1.0922992900054614E-3</v>
      </c>
      <c r="D98" s="24">
        <v>4.779135659179354E-4</v>
      </c>
      <c r="E98" s="24">
        <v>4.7791356591793545E-4</v>
      </c>
      <c r="F98" s="24">
        <v>6.8273366559705063E-5</v>
      </c>
      <c r="G98" s="24">
        <v>6.8273366559705063E-5</v>
      </c>
      <c r="H98" s="42">
        <v>6.8273366559705071E-4</v>
      </c>
      <c r="I98" s="42">
        <v>1.1606472315149861E-3</v>
      </c>
    </row>
    <row r="99" spans="1:9" x14ac:dyDescent="0.25">
      <c r="A99" s="23">
        <v>0.9</v>
      </c>
      <c r="B99" s="24">
        <v>5.461496450027307E-4</v>
      </c>
      <c r="C99" s="24">
        <v>9.5576187875477865E-4</v>
      </c>
      <c r="D99" s="24">
        <v>4.0964019935823035E-4</v>
      </c>
      <c r="E99" s="24">
        <v>2.048200996791152E-4</v>
      </c>
      <c r="F99" s="24">
        <v>6.8273366559705063E-5</v>
      </c>
      <c r="G99" s="24">
        <v>6.8273366559705063E-5</v>
      </c>
      <c r="H99" s="42">
        <v>6.1446029903734561E-4</v>
      </c>
      <c r="I99" s="42">
        <v>1.092373864955281E-3</v>
      </c>
    </row>
    <row r="100" spans="1:9" x14ac:dyDescent="0.25">
      <c r="A100" s="23">
        <v>0.91</v>
      </c>
      <c r="B100" s="24">
        <v>5.461496450027307E-4</v>
      </c>
      <c r="C100" s="24">
        <v>9.5576187875477865E-4</v>
      </c>
      <c r="D100" s="24">
        <v>3.413668327985253E-4</v>
      </c>
      <c r="E100" s="24">
        <v>1.3654673311941013E-4</v>
      </c>
      <c r="F100" s="24">
        <v>6.8273366559705063E-5</v>
      </c>
      <c r="G100" s="24">
        <v>6.8273366559705063E-5</v>
      </c>
      <c r="H100" s="42">
        <v>5.461869324776405E-4</v>
      </c>
      <c r="I100" s="42">
        <v>9.5582713183587091E-4</v>
      </c>
    </row>
    <row r="101" spans="1:9" x14ac:dyDescent="0.25">
      <c r="A101" s="23">
        <v>0.92</v>
      </c>
      <c r="B101" s="24">
        <v>4.7788093937738932E-4</v>
      </c>
      <c r="C101" s="24">
        <v>9.5576187875477865E-4</v>
      </c>
      <c r="D101" s="24">
        <v>2.7309346623882025E-4</v>
      </c>
      <c r="E101" s="24">
        <v>6.8273366559705063E-5</v>
      </c>
      <c r="F101" s="24">
        <v>6.8273366559705063E-5</v>
      </c>
      <c r="G101" s="24">
        <v>6.8273366559705063E-5</v>
      </c>
      <c r="H101" s="42">
        <v>5.461869324776405E-4</v>
      </c>
      <c r="I101" s="42">
        <v>9.5582713183587091E-4</v>
      </c>
    </row>
    <row r="102" spans="1:9" x14ac:dyDescent="0.25">
      <c r="A102" s="23">
        <v>0.93</v>
      </c>
      <c r="B102" s="24">
        <v>3.4134352812670667E-4</v>
      </c>
      <c r="C102" s="24">
        <v>7.5095576187875462E-4</v>
      </c>
      <c r="D102" s="24">
        <v>6.8273366559705063E-5</v>
      </c>
      <c r="E102" s="24">
        <v>6.8273366559705063E-5</v>
      </c>
      <c r="F102" s="24">
        <v>6.8273366559705063E-5</v>
      </c>
      <c r="G102" s="24">
        <v>6.8273366559705063E-5</v>
      </c>
      <c r="H102" s="42">
        <v>5.461869324776405E-4</v>
      </c>
      <c r="I102" s="42">
        <v>9.5582713183587091E-4</v>
      </c>
    </row>
    <row r="103" spans="1:9" x14ac:dyDescent="0.25">
      <c r="A103" s="23">
        <v>0.94</v>
      </c>
      <c r="B103" s="24">
        <v>3.4134352812670667E-4</v>
      </c>
      <c r="C103" s="24">
        <v>6.1441835062807197E-4</v>
      </c>
      <c r="D103" s="24">
        <v>6.8273366559705063E-5</v>
      </c>
      <c r="E103" s="24">
        <v>6.8273366559705063E-5</v>
      </c>
      <c r="F103" s="24">
        <v>6.8273366559705063E-5</v>
      </c>
      <c r="G103" s="24">
        <v>6.8273366559705063E-5</v>
      </c>
      <c r="H103" s="42">
        <v>4.779135659179354E-4</v>
      </c>
      <c r="I103" s="42">
        <v>8.8755376527616581E-4</v>
      </c>
    </row>
    <row r="104" spans="1:9" x14ac:dyDescent="0.25">
      <c r="A104" s="23">
        <v>0.95</v>
      </c>
      <c r="B104" s="24">
        <v>3.4134352812670667E-4</v>
      </c>
      <c r="C104" s="24">
        <v>3.4134352812670667E-4</v>
      </c>
      <c r="D104" s="24">
        <v>6.8273366559705063E-5</v>
      </c>
      <c r="E104" s="24">
        <v>6.8273366559705063E-5</v>
      </c>
      <c r="F104" s="24">
        <v>6.8273366559705063E-5</v>
      </c>
      <c r="G104" s="24">
        <v>6.8273366559705063E-5</v>
      </c>
      <c r="H104" s="42">
        <v>4.0964019935823035E-4</v>
      </c>
      <c r="I104" s="42">
        <v>7.5100703215675571E-4</v>
      </c>
    </row>
    <row r="105" spans="1:9" x14ac:dyDescent="0.25">
      <c r="A105" s="23">
        <v>0.96</v>
      </c>
      <c r="B105" s="24">
        <v>3.4134352812670667E-4</v>
      </c>
      <c r="C105" s="24">
        <v>3.4134352812670667E-4</v>
      </c>
      <c r="D105" s="24">
        <v>6.8273366559705063E-5</v>
      </c>
      <c r="E105" s="24">
        <v>6.8273366559705063E-5</v>
      </c>
      <c r="F105" s="24">
        <v>6.8273366559705063E-5</v>
      </c>
      <c r="G105" s="24">
        <v>6.8273366559705063E-5</v>
      </c>
      <c r="H105" s="42">
        <v>3.413668327985253E-4</v>
      </c>
      <c r="I105" s="42">
        <v>5.461869324776405E-4</v>
      </c>
    </row>
    <row r="106" spans="1:9" x14ac:dyDescent="0.25">
      <c r="A106" s="23">
        <v>0.97</v>
      </c>
      <c r="B106" s="24">
        <v>2.0480611687602403E-4</v>
      </c>
      <c r="C106" s="24">
        <v>1.3653741125068268E-4</v>
      </c>
      <c r="D106" s="24">
        <v>6.8273366559705063E-5</v>
      </c>
      <c r="E106" s="24">
        <v>6.8273366559705063E-5</v>
      </c>
      <c r="F106" s="24">
        <v>6.8273366559705063E-5</v>
      </c>
      <c r="G106" s="24">
        <v>6.8273366559705063E-5</v>
      </c>
      <c r="H106" s="42">
        <v>3.413668327985253E-4</v>
      </c>
      <c r="I106" s="42">
        <v>2.7309346623882025E-4</v>
      </c>
    </row>
    <row r="107" spans="1:9" x14ac:dyDescent="0.25">
      <c r="A107" s="23">
        <v>0.98</v>
      </c>
      <c r="B107" s="24">
        <v>2.0480611687602403E-4</v>
      </c>
      <c r="C107" s="24">
        <v>1.3653741125068268E-4</v>
      </c>
      <c r="D107" s="24">
        <v>6.8273366559705063E-5</v>
      </c>
      <c r="E107" s="24">
        <v>6.8273366559705063E-5</v>
      </c>
      <c r="F107" s="24">
        <v>6.8273366559705063E-5</v>
      </c>
      <c r="G107" s="24">
        <v>6.8273366559705063E-5</v>
      </c>
      <c r="H107" s="42">
        <v>2.7309346623882025E-4</v>
      </c>
      <c r="I107" s="42">
        <v>1.3654673311941013E-4</v>
      </c>
    </row>
    <row r="108" spans="1:9" x14ac:dyDescent="0.25">
      <c r="A108" s="23">
        <v>0.99</v>
      </c>
      <c r="B108" s="24">
        <v>1.3653741125068268E-4</v>
      </c>
      <c r="C108" s="24">
        <v>1.3653741125068268E-4</v>
      </c>
      <c r="D108" s="24">
        <v>6.8273366559705063E-5</v>
      </c>
      <c r="E108" s="24">
        <v>6.8273366559705063E-5</v>
      </c>
      <c r="F108" s="24">
        <v>6.8273366559705063E-5</v>
      </c>
      <c r="G108" s="24">
        <v>6.8273366559705063E-5</v>
      </c>
      <c r="H108" s="42">
        <v>2.0482009967911518E-4</v>
      </c>
      <c r="I108" s="42">
        <v>1.3654673311941013E-4</v>
      </c>
    </row>
    <row r="109" spans="1:9" x14ac:dyDescent="0.25">
      <c r="A109" s="23">
        <v>1</v>
      </c>
      <c r="B109" s="24">
        <v>6.8268705625341338E-5</v>
      </c>
      <c r="C109" s="24">
        <v>6.8268705625341338E-5</v>
      </c>
      <c r="D109" s="24">
        <v>6.8273366559705063E-5</v>
      </c>
      <c r="E109" s="24">
        <v>6.8273366559705063E-5</v>
      </c>
      <c r="F109" s="24">
        <v>6.8273366559705063E-5</v>
      </c>
      <c r="G109" s="24">
        <v>6.8273366559705063E-5</v>
      </c>
      <c r="H109" s="42">
        <v>2.0482009967911518E-4</v>
      </c>
      <c r="I109" s="42">
        <v>6.8273366559705063E-5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B0F0"/>
  </sheetPr>
  <dimension ref="A1:X54"/>
  <sheetViews>
    <sheetView topLeftCell="A7" zoomScale="70" zoomScaleNormal="70" workbookViewId="0">
      <selection activeCell="B19" sqref="B19"/>
    </sheetView>
  </sheetViews>
  <sheetFormatPr defaultRowHeight="15" outlineLevelCol="1" x14ac:dyDescent="0.25"/>
  <cols>
    <col min="1" max="2" width="11.5703125" customWidth="1"/>
    <col min="4" max="4" width="20.5703125" bestFit="1" customWidth="1"/>
    <col min="5" max="5" width="13" style="34" customWidth="1"/>
    <col min="6" max="8" width="13.5703125" bestFit="1" customWidth="1"/>
    <col min="9" max="10" width="13.5703125" style="34" customWidth="1"/>
    <col min="11" max="11" width="20.42578125" customWidth="1"/>
    <col min="12" max="12" width="25.28515625" customWidth="1" outlineLevel="1"/>
    <col min="13" max="13" width="27.28515625" customWidth="1" outlineLevel="1"/>
    <col min="14" max="15" width="16.5703125" customWidth="1"/>
    <col min="16" max="17" width="16.42578125" style="34" customWidth="1"/>
    <col min="18" max="18" width="23.5703125" style="34" bestFit="1" customWidth="1"/>
    <col min="19" max="20" width="16.42578125" style="34" customWidth="1"/>
    <col min="21" max="21" width="19.28515625" style="19" bestFit="1" customWidth="1"/>
    <col min="22" max="22" width="20.28515625" style="19" customWidth="1"/>
    <col min="23" max="24" width="20.28515625" customWidth="1"/>
  </cols>
  <sheetData>
    <row r="1" spans="1:24" x14ac:dyDescent="0.25">
      <c r="V1" s="35"/>
      <c r="W1" s="35"/>
      <c r="X1" s="35"/>
    </row>
    <row r="3" spans="1:24" x14ac:dyDescent="0.25">
      <c r="D3" s="47" t="s">
        <v>5</v>
      </c>
      <c r="E3" s="47" t="s">
        <v>45</v>
      </c>
      <c r="F3" s="6" t="s">
        <v>10</v>
      </c>
      <c r="G3" s="6" t="s">
        <v>11</v>
      </c>
      <c r="H3" s="6" t="s">
        <v>12</v>
      </c>
      <c r="I3" s="62"/>
      <c r="J3" s="62"/>
    </row>
    <row r="4" spans="1:24" x14ac:dyDescent="0.25">
      <c r="D4" s="1" t="s">
        <v>42</v>
      </c>
      <c r="E4" s="50" t="s">
        <v>43</v>
      </c>
      <c r="F4" s="58">
        <v>15.317</v>
      </c>
      <c r="G4" s="58">
        <v>16.558</v>
      </c>
      <c r="H4" s="58">
        <v>17.062999999999999</v>
      </c>
      <c r="I4" s="43"/>
      <c r="J4" s="43"/>
    </row>
    <row r="5" spans="1:24" x14ac:dyDescent="0.25">
      <c r="D5" s="1" t="s">
        <v>44</v>
      </c>
      <c r="E5" s="51" t="s">
        <v>47</v>
      </c>
      <c r="F5" s="33">
        <f>F4*INPUTS!$C$19</f>
        <v>0.22975499999999999</v>
      </c>
      <c r="G5" s="33">
        <f>G4*INPUTS!$C$19</f>
        <v>0.24836999999999998</v>
      </c>
      <c r="H5" s="33">
        <f>H4*INPUTS!$C$19</f>
        <v>0.25594499999999998</v>
      </c>
      <c r="I5" s="33"/>
      <c r="J5" s="33"/>
    </row>
    <row r="6" spans="1:24" x14ac:dyDescent="0.25">
      <c r="D6" s="1" t="s">
        <v>46</v>
      </c>
      <c r="E6" s="50" t="s">
        <v>39</v>
      </c>
      <c r="F6" s="48">
        <f>INPUTS!$C$20</f>
        <v>8</v>
      </c>
      <c r="G6" s="48">
        <f>INPUTS!$C$20-IF(G8="Y",G9,0)</f>
        <v>7.5</v>
      </c>
      <c r="H6" s="48">
        <f>INPUTS!$C$20-IF(H8="Y",H9,0)</f>
        <v>7.5</v>
      </c>
      <c r="I6" s="48"/>
      <c r="J6" s="48"/>
    </row>
    <row r="7" spans="1:24" x14ac:dyDescent="0.25">
      <c r="D7" s="1" t="s">
        <v>44</v>
      </c>
      <c r="E7" s="50" t="s">
        <v>48</v>
      </c>
      <c r="F7" s="33">
        <f>F6*F5</f>
        <v>1.8380399999999999</v>
      </c>
      <c r="G7" s="33">
        <f>G6*G5</f>
        <v>1.8627749999999998</v>
      </c>
      <c r="H7" s="33">
        <f t="shared" ref="H7" si="0">H6*H5</f>
        <v>1.9195874999999998</v>
      </c>
      <c r="I7" s="33"/>
      <c r="J7" s="33"/>
    </row>
    <row r="8" spans="1:24" x14ac:dyDescent="0.25">
      <c r="D8" s="1" t="s">
        <v>50</v>
      </c>
      <c r="E8" s="50" t="s">
        <v>71</v>
      </c>
      <c r="F8" s="48" t="s">
        <v>69</v>
      </c>
      <c r="G8" s="48" t="str">
        <f>INPUTS!$C$31</f>
        <v>Y</v>
      </c>
      <c r="H8" s="48" t="str">
        <f>G8</f>
        <v>Y</v>
      </c>
      <c r="I8" s="48"/>
      <c r="J8" s="48"/>
    </row>
    <row r="9" spans="1:24" x14ac:dyDescent="0.25">
      <c r="D9" s="1" t="s">
        <v>49</v>
      </c>
      <c r="E9" s="50" t="s">
        <v>39</v>
      </c>
      <c r="F9" s="33" t="s">
        <v>69</v>
      </c>
      <c r="G9" s="48">
        <f>MINUTE(INPUTS!$C$30)/60</f>
        <v>0.5</v>
      </c>
      <c r="H9" s="48">
        <f>G9</f>
        <v>0.5</v>
      </c>
      <c r="I9" s="48"/>
      <c r="J9" s="48"/>
    </row>
    <row r="10" spans="1:24" x14ac:dyDescent="0.25">
      <c r="D10" s="85" t="s">
        <v>102</v>
      </c>
      <c r="F10" s="83">
        <f>INDEX(LDC!B5:C5,,MATCH(INPUTS!$C$4,LDC!B$2:C$2,0))</f>
        <v>0.33570041832709507</v>
      </c>
      <c r="G10" s="83">
        <f>INDEX(LDC!D5:E5,,MATCH(INPUTS!$C$4,LDC!D$2:E$2,0))</f>
        <v>0.38950617050696074</v>
      </c>
      <c r="H10" s="83">
        <f>INDEX(LDC!F5:G5,,MATCH(INPUTS!$C$4,LDC!F$2:G$2,0))</f>
        <v>0.32590799303485424</v>
      </c>
      <c r="I10" s="48"/>
      <c r="J10" s="48"/>
    </row>
    <row r="11" spans="1:24" x14ac:dyDescent="0.25">
      <c r="D11" s="125" t="s">
        <v>16</v>
      </c>
      <c r="E11" s="121"/>
      <c r="F11" s="126">
        <f>INDEX(LDC!B6:C6,,MATCH(INPUTS!$C$4,LDC!B$2:C$2,0))</f>
        <v>0.12264577092051354</v>
      </c>
      <c r="G11" s="127">
        <f>INDEX(LDC!D6:E6,,MATCH(INPUTS!$C$4,LDC!D$2:E$2,0))</f>
        <v>0.15870776273916765</v>
      </c>
      <c r="H11" s="127">
        <f>INDEX(LDC!F6:G6,,MATCH(INPUTS!$C$4,LDC!F$2:G$2,0))</f>
        <v>0.11087002315685551</v>
      </c>
      <c r="I11" s="48"/>
      <c r="J11" s="48"/>
    </row>
    <row r="12" spans="1:24" x14ac:dyDescent="0.25">
      <c r="D12" s="1"/>
      <c r="E12" s="50"/>
      <c r="F12" s="33"/>
      <c r="G12" s="48"/>
      <c r="H12" s="48"/>
      <c r="I12" s="48"/>
      <c r="J12" s="48"/>
    </row>
    <row r="13" spans="1:24" x14ac:dyDescent="0.25">
      <c r="F13" s="1" t="s">
        <v>103</v>
      </c>
      <c r="I13" s="83"/>
      <c r="J13" s="83"/>
      <c r="K13" s="84" t="s">
        <v>104</v>
      </c>
      <c r="L13" s="62"/>
      <c r="M13" s="62"/>
      <c r="N13" s="62"/>
      <c r="R13" s="37" t="s">
        <v>124</v>
      </c>
      <c r="V13" s="22" t="s">
        <v>105</v>
      </c>
    </row>
    <row r="14" spans="1:24" x14ac:dyDescent="0.25">
      <c r="A14" s="6" t="s">
        <v>7</v>
      </c>
      <c r="B14" s="6" t="s">
        <v>85</v>
      </c>
      <c r="F14" s="6" t="s">
        <v>10</v>
      </c>
      <c r="G14" s="6" t="s">
        <v>11</v>
      </c>
      <c r="H14" s="6" t="s">
        <v>12</v>
      </c>
      <c r="I14" s="6" t="s">
        <v>129</v>
      </c>
      <c r="J14" s="62"/>
      <c r="K14" s="6" t="s">
        <v>10</v>
      </c>
      <c r="L14" s="6" t="s">
        <v>130</v>
      </c>
      <c r="M14" s="6" t="s">
        <v>131</v>
      </c>
      <c r="N14" s="6" t="s">
        <v>11</v>
      </c>
      <c r="O14" s="6" t="s">
        <v>28</v>
      </c>
      <c r="P14" s="62"/>
      <c r="Q14" s="36" t="s">
        <v>125</v>
      </c>
      <c r="R14" s="116">
        <f>-CONFIG!$B$40</f>
        <v>-0.3</v>
      </c>
      <c r="S14" s="116">
        <f>CONFIG!$B$40</f>
        <v>0.3</v>
      </c>
      <c r="T14" s="62"/>
      <c r="U14" s="94" t="s">
        <v>117</v>
      </c>
      <c r="V14" s="105">
        <f>(1-CONFIG!$B$39)*INPUTS!$C$12</f>
        <v>20369.123339658439</v>
      </c>
      <c r="W14" s="106">
        <f>INPUTS!$C$12</f>
        <v>29098.747628083485</v>
      </c>
      <c r="X14" s="105">
        <f>(1+CONFIG!$B$39)*INPUTS!$C$12</f>
        <v>37828.371916508535</v>
      </c>
    </row>
    <row r="15" spans="1:24" x14ac:dyDescent="0.25">
      <c r="A15" s="11">
        <v>2019</v>
      </c>
      <c r="B15" s="61" t="s">
        <v>156</v>
      </c>
      <c r="F15" s="43">
        <f>FORECASTS!C2</f>
        <v>49.742649999999998</v>
      </c>
      <c r="G15" s="43">
        <f>FORECASTS!D2</f>
        <v>23.300050000000002</v>
      </c>
      <c r="H15" s="43">
        <f>FORECASTS!E2</f>
        <v>17.272549999999999</v>
      </c>
      <c r="I15" s="154">
        <f>FORECASTS!F2</f>
        <v>6.5985999999999994</v>
      </c>
      <c r="J15" s="43"/>
      <c r="K15" s="35">
        <f>F$7*F$10*F15*(1-IF(INPUTS!$C$5="Y",$F$11,0))</f>
        <v>26.928411355769676</v>
      </c>
      <c r="L15" s="35">
        <f>G$5*G$10*G15*(1-IF(INPUTS!$C$5="Y",$G$11,0))*IF(G$8="Y",G$9,0)</f>
        <v>0.94817220114171108</v>
      </c>
      <c r="M15" s="35">
        <f>G$7*G$10*(G15-IF(G$8="Y",I15,0))*(1-IF(INPUTS!$C$5="Y",$G$11,0))</f>
        <v>10.194731733681836</v>
      </c>
      <c r="N15" s="35">
        <f>L15+M15</f>
        <v>11.142903934823547</v>
      </c>
      <c r="O15" s="35">
        <f>K15+N15</f>
        <v>38.071315290593219</v>
      </c>
      <c r="P15" s="35"/>
      <c r="Q15" s="35"/>
      <c r="R15" s="35">
        <f>(1+R$14)*$O15</f>
        <v>26.649920703415251</v>
      </c>
      <c r="S15" s="35">
        <f>(1+S$14)*$O15</f>
        <v>49.492709877771183</v>
      </c>
      <c r="T15" s="35"/>
      <c r="U15" s="35"/>
      <c r="V15" s="107">
        <f t="shared" ref="V15:X40" si="1">IF($B15="Y",$O15*V$14,0)</f>
        <v>0</v>
      </c>
      <c r="W15" s="107">
        <f t="shared" si="1"/>
        <v>0</v>
      </c>
      <c r="X15" s="107">
        <f t="shared" si="1"/>
        <v>0</v>
      </c>
    </row>
    <row r="16" spans="1:24" x14ac:dyDescent="0.25">
      <c r="A16" s="11">
        <v>2020</v>
      </c>
      <c r="B16" s="61" t="s">
        <v>156</v>
      </c>
      <c r="F16" s="43">
        <f>FORECASTS!C3</f>
        <v>40.482735901962918</v>
      </c>
      <c r="G16" s="43">
        <f>FORECASTS!D3</f>
        <v>19.835051050128673</v>
      </c>
      <c r="H16" s="43">
        <f>FORECASTS!E3</f>
        <v>13.566806132418725</v>
      </c>
      <c r="I16" s="154">
        <f>FORECASTS!F3</f>
        <v>5.6402359702130322</v>
      </c>
      <c r="J16" s="43"/>
      <c r="K16" s="35">
        <f>F$7*F$10*F16*(1-IF(INPUTS!$C$5="Y",$F$11,0))</f>
        <v>21.91551445640799</v>
      </c>
      <c r="L16" s="35">
        <f>G$5*G$10*G16*(1-IF(INPUTS!$C$5="Y",$G$11,0))*IF(G$8="Y",G$9,0)</f>
        <v>0.80716753886617021</v>
      </c>
      <c r="M16" s="35">
        <f>G$7*G$10*(G16-IF(G$8="Y",I16,0))*(1-IF(INPUTS!$C$5="Y",$G$11,0))</f>
        <v>8.6646567662664875</v>
      </c>
      <c r="N16" s="35">
        <f t="shared" ref="N16:N25" si="2">L16+M16</f>
        <v>9.4718243051326585</v>
      </c>
      <c r="O16" s="35">
        <f>K16+N16</f>
        <v>31.387338761540647</v>
      </c>
      <c r="P16" s="35"/>
      <c r="Q16" s="35"/>
      <c r="R16" s="35">
        <f t="shared" ref="R16:S40" si="3">(1+R$14)*$O16</f>
        <v>21.97113713307845</v>
      </c>
      <c r="S16" s="35">
        <f t="shared" si="3"/>
        <v>40.803540390002844</v>
      </c>
      <c r="T16" s="35"/>
      <c r="U16" s="35"/>
      <c r="V16" s="107">
        <f t="shared" si="1"/>
        <v>0</v>
      </c>
      <c r="W16" s="107">
        <f t="shared" si="1"/>
        <v>0</v>
      </c>
      <c r="X16" s="107">
        <f t="shared" si="1"/>
        <v>0</v>
      </c>
    </row>
    <row r="17" spans="1:24" x14ac:dyDescent="0.25">
      <c r="A17" s="11">
        <v>2021</v>
      </c>
      <c r="B17" s="61" t="s">
        <v>156</v>
      </c>
      <c r="F17" s="43">
        <f>FORECASTS!C4</f>
        <v>40.392328176706741</v>
      </c>
      <c r="G17" s="43">
        <f>FORECASTS!D4</f>
        <v>19.879171635690007</v>
      </c>
      <c r="H17" s="43">
        <f>FORECASTS!E4</f>
        <v>13.505151607795963</v>
      </c>
      <c r="I17" s="154">
        <f>FORECASTS!F4</f>
        <v>5.5759208777287608</v>
      </c>
      <c r="J17" s="43"/>
      <c r="K17" s="35">
        <f>F$7*F$10*F17*(1-IF(INPUTS!$C$5="Y",$F$11,0))</f>
        <v>21.866571820351453</v>
      </c>
      <c r="L17" s="35">
        <f>G$5*G$10*G17*(1-IF(INPUTS!$C$5="Y",$G$11,0))*IF(G$8="Y",G$9,0)</f>
        <v>0.80896298191145777</v>
      </c>
      <c r="M17" s="35">
        <f>G$7*G$10*(G17-IF(G$8="Y",I17,0))*(1-IF(INPUTS!$C$5="Y",$G$11,0))</f>
        <v>8.7308469861596603</v>
      </c>
      <c r="N17" s="35">
        <f t="shared" si="2"/>
        <v>9.5398099680711184</v>
      </c>
      <c r="O17" s="35">
        <f t="shared" ref="O17:O25" si="4">K17+N17</f>
        <v>31.406381788422571</v>
      </c>
      <c r="P17" s="35"/>
      <c r="Q17" s="35"/>
      <c r="R17" s="35">
        <f t="shared" si="3"/>
        <v>21.984467251895797</v>
      </c>
      <c r="S17" s="35">
        <f t="shared" si="3"/>
        <v>40.828296324949342</v>
      </c>
      <c r="T17" s="35"/>
      <c r="U17" s="35"/>
      <c r="V17" s="107">
        <f t="shared" si="1"/>
        <v>0</v>
      </c>
      <c r="W17" s="107">
        <f t="shared" si="1"/>
        <v>0</v>
      </c>
      <c r="X17" s="107">
        <f t="shared" si="1"/>
        <v>0</v>
      </c>
    </row>
    <row r="18" spans="1:24" x14ac:dyDescent="0.25">
      <c r="A18" s="11">
        <v>2022</v>
      </c>
      <c r="B18" s="61" t="s">
        <v>156</v>
      </c>
      <c r="F18" s="43">
        <f>FORECASTS!C5</f>
        <v>40.294585680210531</v>
      </c>
      <c r="G18" s="43">
        <f>FORECASTS!D5</f>
        <v>19.918975630907013</v>
      </c>
      <c r="H18" s="43">
        <f>FORECASTS!E5</f>
        <v>13.444111274875935</v>
      </c>
      <c r="I18" s="154">
        <f>FORECASTS!F5</f>
        <v>5.5114694517282263</v>
      </c>
      <c r="J18" s="43"/>
      <c r="K18" s="35">
        <f>F$7*F$10*F18*(1-IF(INPUTS!$C$5="Y",$F$11,0))</f>
        <v>21.813658472297224</v>
      </c>
      <c r="L18" s="35">
        <f>G$5*G$10*G18*(1-IF(INPUTS!$C$5="Y",$G$11,0))*IF(G$8="Y",G$9,0)</f>
        <v>0.81058276563549025</v>
      </c>
      <c r="M18" s="35">
        <f>G$7*G$10*(G18-IF(G$8="Y",I18,0))*(1-IF(INPUTS!$C$5="Y",$G$11,0))</f>
        <v>8.7944855355727256</v>
      </c>
      <c r="N18" s="35">
        <f t="shared" si="2"/>
        <v>9.6050683012082168</v>
      </c>
      <c r="O18" s="35">
        <f t="shared" si="4"/>
        <v>31.418726773505441</v>
      </c>
      <c r="P18" s="35"/>
      <c r="Q18" s="35"/>
      <c r="R18" s="35">
        <f t="shared" si="3"/>
        <v>21.993108741453806</v>
      </c>
      <c r="S18" s="35">
        <f t="shared" si="3"/>
        <v>40.844344805557071</v>
      </c>
      <c r="T18" s="35"/>
      <c r="U18" s="35"/>
      <c r="V18" s="107">
        <f t="shared" si="1"/>
        <v>0</v>
      </c>
      <c r="W18" s="107">
        <f t="shared" si="1"/>
        <v>0</v>
      </c>
      <c r="X18" s="107">
        <f t="shared" si="1"/>
        <v>0</v>
      </c>
    </row>
    <row r="19" spans="1:24" x14ac:dyDescent="0.25">
      <c r="A19" s="11">
        <v>2023</v>
      </c>
      <c r="B19" s="61" t="str">
        <f>IF(A19&lt;=(INPUTS!$C$2+INPUTS!$C$3),"Y","N")</f>
        <v>Y</v>
      </c>
      <c r="F19" s="43">
        <f>FORECASTS!C6</f>
        <v>40.072195695812241</v>
      </c>
      <c r="G19" s="43">
        <f>FORECASTS!D6</f>
        <v>19.917727777633903</v>
      </c>
      <c r="H19" s="43">
        <f>FORECASTS!E6</f>
        <v>13.366535834197794</v>
      </c>
      <c r="I19" s="154">
        <f>FORECASTS!F6</f>
        <v>5.4313374240995413</v>
      </c>
      <c r="J19" s="43"/>
      <c r="K19" s="35">
        <f>F$7*F$10*F19*(1-IF(INPUTS!$C$5="Y",$F$11,0))</f>
        <v>21.693266635889625</v>
      </c>
      <c r="L19" s="35">
        <f>G$5*G$10*G19*(1-IF(INPUTS!$C$5="Y",$G$11,0))*IF(G$8="Y",G$9,0)</f>
        <v>0.81053198549619143</v>
      </c>
      <c r="M19" s="35">
        <f>G$7*G$10*(G19-IF(G$8="Y",I19,0))*(1-IF(INPUTS!$C$5="Y",$G$11,0))</f>
        <v>8.8426372227368972</v>
      </c>
      <c r="N19" s="35">
        <f>L19+M19</f>
        <v>9.6531692082330878</v>
      </c>
      <c r="O19" s="35">
        <f t="shared" si="4"/>
        <v>31.346435844122713</v>
      </c>
      <c r="P19" s="35"/>
      <c r="Q19" s="35"/>
      <c r="R19" s="35">
        <f t="shared" si="3"/>
        <v>21.942505090885899</v>
      </c>
      <c r="S19" s="35">
        <f t="shared" si="3"/>
        <v>40.75036659735953</v>
      </c>
      <c r="T19" s="35"/>
      <c r="U19" s="35"/>
      <c r="V19" s="107">
        <f t="shared" si="1"/>
        <v>638499.41796762589</v>
      </c>
      <c r="W19" s="107">
        <f t="shared" si="1"/>
        <v>912142.02566803689</v>
      </c>
      <c r="X19" s="107">
        <f t="shared" si="1"/>
        <v>1185784.6333684481</v>
      </c>
    </row>
    <row r="20" spans="1:24" x14ac:dyDescent="0.25">
      <c r="A20" s="11">
        <v>2024</v>
      </c>
      <c r="B20" s="61" t="str">
        <f>IF(A20&lt;=(INPUTS!$C$2+INPUTS!$C$3),"Y","N")</f>
        <v>Y</v>
      </c>
      <c r="F20" s="43">
        <f>FORECASTS!C7</f>
        <v>39.821071297487862</v>
      </c>
      <c r="G20" s="43">
        <f>FORECASTS!D7</f>
        <v>19.905528390834224</v>
      </c>
      <c r="H20" s="43">
        <f>FORECASTS!E7</f>
        <v>13.286640261111273</v>
      </c>
      <c r="I20" s="154">
        <f>FORECASTS!F7</f>
        <v>5.3474904000076506</v>
      </c>
      <c r="J20" s="43"/>
      <c r="K20" s="35">
        <f>F$7*F$10*F20*(1-IF(INPUTS!$C$5="Y",$F$11,0))</f>
        <v>21.557319292924404</v>
      </c>
      <c r="L20" s="35">
        <f>G$5*G$10*G20*(1-IF(INPUTS!$C$5="Y",$G$11,0))*IF(G$8="Y",G$9,0)</f>
        <v>0.81003554366733577</v>
      </c>
      <c r="M20" s="35">
        <f>G$7*G$10*(G20-IF(G$8="Y",I20,0))*(1-IF(INPUTS!$C$5="Y",$G$11,0))</f>
        <v>8.8863716554685617</v>
      </c>
      <c r="N20" s="35">
        <f t="shared" si="2"/>
        <v>9.6964071991358978</v>
      </c>
      <c r="O20" s="35">
        <f t="shared" si="4"/>
        <v>31.253726492060302</v>
      </c>
      <c r="P20" s="35"/>
      <c r="Q20" s="35"/>
      <c r="R20" s="35">
        <f t="shared" si="3"/>
        <v>21.877608544442211</v>
      </c>
      <c r="S20" s="35">
        <f t="shared" si="3"/>
        <v>40.629844439678394</v>
      </c>
      <c r="T20" s="35"/>
      <c r="U20" s="35"/>
      <c r="V20" s="107">
        <f t="shared" si="1"/>
        <v>636611.00974072679</v>
      </c>
      <c r="W20" s="107">
        <f t="shared" si="1"/>
        <v>909444.29962960968</v>
      </c>
      <c r="X20" s="107">
        <f t="shared" si="1"/>
        <v>1182277.5895184928</v>
      </c>
    </row>
    <row r="21" spans="1:24" x14ac:dyDescent="0.25">
      <c r="A21" s="11">
        <v>2025</v>
      </c>
      <c r="B21" s="61" t="str">
        <f>IF(A21&lt;=(INPUTS!$C$2+INPUTS!$C$3),"Y","N")</f>
        <v>Y</v>
      </c>
      <c r="F21" s="43">
        <f>FORECASTS!C8</f>
        <v>39.649257491193964</v>
      </c>
      <c r="G21" s="43">
        <f>FORECASTS!D8</f>
        <v>19.916958483094945</v>
      </c>
      <c r="H21" s="43">
        <f>FORECASTS!E8</f>
        <v>13.219715976061416</v>
      </c>
      <c r="I21" s="154">
        <f>FORECASTS!F8</f>
        <v>5.2754389384510709</v>
      </c>
      <c r="J21" s="43"/>
      <c r="K21" s="35">
        <f>F$7*F$10*F21*(1-IF(INPUTS!$C$5="Y",$F$11,0))</f>
        <v>21.464307102128725</v>
      </c>
      <c r="L21" s="35">
        <f>G$5*G$10*G21*(1-IF(INPUTS!$C$5="Y",$G$11,0))*IF(G$8="Y",G$9,0)</f>
        <v>0.81050067982533114</v>
      </c>
      <c r="M21" s="35">
        <f>G$7*G$10*(G21-IF(G$8="Y",I21,0))*(1-IF(INPUTS!$C$5="Y",$G$11,0))</f>
        <v>8.9373296289306428</v>
      </c>
      <c r="N21" s="35">
        <f t="shared" si="2"/>
        <v>9.7478303087559741</v>
      </c>
      <c r="O21" s="35">
        <f t="shared" si="4"/>
        <v>31.212137410884701</v>
      </c>
      <c r="P21" s="35"/>
      <c r="Q21" s="35"/>
      <c r="R21" s="35">
        <f t="shared" si="3"/>
        <v>21.84849618761929</v>
      </c>
      <c r="S21" s="35">
        <f t="shared" si="3"/>
        <v>40.575778634150112</v>
      </c>
      <c r="T21" s="35"/>
      <c r="U21" s="35"/>
      <c r="V21" s="107">
        <f t="shared" si="1"/>
        <v>635763.87661667785</v>
      </c>
      <c r="W21" s="107">
        <f t="shared" si="1"/>
        <v>908234.10945239698</v>
      </c>
      <c r="X21" s="107">
        <f t="shared" si="1"/>
        <v>1180704.3422881162</v>
      </c>
    </row>
    <row r="22" spans="1:24" x14ac:dyDescent="0.25">
      <c r="A22" s="11">
        <v>2026</v>
      </c>
      <c r="B22" s="61" t="str">
        <f>IF(A22&lt;=(INPUTS!$C$2+INPUTS!$C$3),"Y","N")</f>
        <v>Y</v>
      </c>
      <c r="F22" s="43">
        <f>FORECASTS!C9</f>
        <v>39.481044973711228</v>
      </c>
      <c r="G22" s="43">
        <f>FORECASTS!D9</f>
        <v>19.928519419892488</v>
      </c>
      <c r="H22" s="43">
        <f>FORECASTS!E9</f>
        <v>13.154523525058488</v>
      </c>
      <c r="I22" s="154">
        <f>FORECASTS!F9</f>
        <v>5.2049532777475189</v>
      </c>
      <c r="J22" s="43"/>
      <c r="K22" s="35">
        <f>F$7*F$10*F22*(1-IF(INPUTS!$C$5="Y",$F$11,0))</f>
        <v>21.373244485521756</v>
      </c>
      <c r="L22" s="35">
        <f>G$5*G$10*G22*(1-IF(INPUTS!$C$5="Y",$G$11,0))*IF(G$8="Y",G$9,0)</f>
        <v>0.81097114057071962</v>
      </c>
      <c r="M22" s="35">
        <f>G$7*G$10*(G22-IF(G$8="Y",I22,0))*(1-IF(INPUTS!$C$5="Y",$G$11,0))</f>
        <v>8.9874116907387531</v>
      </c>
      <c r="N22" s="35">
        <f t="shared" si="2"/>
        <v>9.798382831309473</v>
      </c>
      <c r="O22" s="35">
        <f t="shared" si="4"/>
        <v>31.171627316831227</v>
      </c>
      <c r="P22" s="35"/>
      <c r="Q22" s="35"/>
      <c r="R22" s="35">
        <f t="shared" si="3"/>
        <v>21.820139121781857</v>
      </c>
      <c r="S22" s="35">
        <f t="shared" si="3"/>
        <v>40.523115511880597</v>
      </c>
      <c r="T22" s="35"/>
      <c r="U22" s="35"/>
      <c r="V22" s="107">
        <f t="shared" si="1"/>
        <v>634938.72151440149</v>
      </c>
      <c r="W22" s="107">
        <f t="shared" si="1"/>
        <v>907055.31644914509</v>
      </c>
      <c r="X22" s="107">
        <f t="shared" si="1"/>
        <v>1179171.9113838887</v>
      </c>
    </row>
    <row r="23" spans="1:24" x14ac:dyDescent="0.25">
      <c r="A23" s="11">
        <v>2027</v>
      </c>
      <c r="B23" s="61" t="str">
        <f>IF(A23&lt;=(INPUTS!$C$2+INPUTS!$C$3),"Y","N")</f>
        <v>Y</v>
      </c>
      <c r="F23" s="43">
        <f>FORECASTS!C10</f>
        <v>39.316651793979275</v>
      </c>
      <c r="G23" s="43">
        <f>FORECASTS!D10</f>
        <v>19.94031916001061</v>
      </c>
      <c r="H23" s="43">
        <f>FORECASTS!E10</f>
        <v>13.091054636566289</v>
      </c>
      <c r="I23" s="154">
        <f>FORECASTS!F10</f>
        <v>5.1359514166421381</v>
      </c>
      <c r="J23" s="43"/>
      <c r="K23" s="35">
        <f>F$7*F$10*F23*(1-IF(INPUTS!$C$5="Y",$F$11,0))</f>
        <v>21.28424948489543</v>
      </c>
      <c r="L23" s="35">
        <f>G$5*G$10*G23*(1-IF(INPUTS!$C$5="Y",$G$11,0))*IF(G$8="Y",G$9,0)</f>
        <v>0.81145131917809155</v>
      </c>
      <c r="M23" s="35">
        <f>G$7*G$10*(G23-IF(G$8="Y",I23,0))*(1-IF(INPUTS!$C$5="Y",$G$11,0))</f>
        <v>9.0367337943959534</v>
      </c>
      <c r="N23" s="35">
        <f t="shared" si="2"/>
        <v>9.8481851135740452</v>
      </c>
      <c r="O23" s="35">
        <f t="shared" si="4"/>
        <v>31.132434598469473</v>
      </c>
      <c r="P23" s="35"/>
      <c r="Q23" s="35"/>
      <c r="R23" s="35">
        <f t="shared" si="3"/>
        <v>21.79270421892863</v>
      </c>
      <c r="S23" s="35">
        <f t="shared" si="3"/>
        <v>40.472164978010319</v>
      </c>
      <c r="T23" s="35"/>
      <c r="U23" s="35"/>
      <c r="V23" s="107">
        <f t="shared" si="1"/>
        <v>634140.40020007442</v>
      </c>
      <c r="W23" s="107">
        <f t="shared" si="1"/>
        <v>905914.85742867785</v>
      </c>
      <c r="X23" s="107">
        <f t="shared" si="1"/>
        <v>1177689.3146572814</v>
      </c>
    </row>
    <row r="24" spans="1:24" x14ac:dyDescent="0.25">
      <c r="A24" s="11">
        <v>2028</v>
      </c>
      <c r="B24" s="61" t="str">
        <f>IF(A24&lt;=(INPUTS!$C$2+INPUTS!$C$3),"Y","N")</f>
        <v>Y</v>
      </c>
      <c r="F24" s="43">
        <f>FORECASTS!C11</f>
        <v>39.156050126846239</v>
      </c>
      <c r="G24" s="43">
        <f>FORECASTS!D11</f>
        <v>19.952386591474951</v>
      </c>
      <c r="H24" s="43">
        <f>FORECASTS!E11</f>
        <v>13.029266730643592</v>
      </c>
      <c r="I24" s="154">
        <f>FORECASTS!F11</f>
        <v>5.0684043782402171</v>
      </c>
      <c r="J24" s="43"/>
      <c r="K24" s="35">
        <f>F$7*F$10*F24*(1-IF(INPUTS!$C$5="Y",$F$11,0))</f>
        <v>21.197307036976376</v>
      </c>
      <c r="L24" s="35">
        <f>G$5*G$10*G24*(1-IF(INPUTS!$C$5="Y",$G$11,0))*IF(G$8="Y",G$9,0)</f>
        <v>0.81194239121672118</v>
      </c>
      <c r="M24" s="35">
        <f>G$7*G$10*(G24-IF(G$8="Y",I24,0))*(1-IF(INPUTS!$C$5="Y",$G$11,0))</f>
        <v>9.0853312612270276</v>
      </c>
      <c r="N24" s="35">
        <f t="shared" si="2"/>
        <v>9.897273652443749</v>
      </c>
      <c r="O24" s="35">
        <f t="shared" si="4"/>
        <v>31.094580689420127</v>
      </c>
      <c r="P24" s="35"/>
      <c r="Q24" s="35"/>
      <c r="R24" s="35">
        <f t="shared" si="3"/>
        <v>21.766206482594086</v>
      </c>
      <c r="S24" s="35">
        <f t="shared" si="3"/>
        <v>40.422954896246168</v>
      </c>
      <c r="T24" s="35"/>
      <c r="U24" s="35"/>
      <c r="V24" s="107">
        <f t="shared" si="1"/>
        <v>633369.3492577601</v>
      </c>
      <c r="W24" s="107">
        <f t="shared" si="1"/>
        <v>904813.35608251451</v>
      </c>
      <c r="X24" s="107">
        <f t="shared" si="1"/>
        <v>1176257.362907269</v>
      </c>
    </row>
    <row r="25" spans="1:24" x14ac:dyDescent="0.25">
      <c r="A25" s="11">
        <v>2029</v>
      </c>
      <c r="B25" s="61" t="str">
        <f>IF(A25&lt;=(INPUTS!$C$2+INPUTS!$C$3),"Y","N")</f>
        <v>Y</v>
      </c>
      <c r="F25" s="43">
        <f>FORECASTS!C12</f>
        <v>38.999898046567324</v>
      </c>
      <c r="G25" s="43">
        <f>FORECASTS!D12</f>
        <v>19.965207483331163</v>
      </c>
      <c r="H25" s="43">
        <f>FORECASTS!E12</f>
        <v>12.96905404933808</v>
      </c>
      <c r="I25" s="154">
        <f>FORECASTS!F12</f>
        <v>5.0026526009145007</v>
      </c>
      <c r="J25" s="43"/>
      <c r="K25" s="35">
        <f>F$7*F$10*F25*(1-IF(INPUTS!$C$5="Y",$F$11,0))</f>
        <v>21.112773393276058</v>
      </c>
      <c r="L25" s="35">
        <f>G$5*G$10*G25*(1-IF(INPUTS!$C$5="Y",$G$11,0))*IF(G$8="Y",G$9,0)</f>
        <v>0.81246412457145234</v>
      </c>
      <c r="M25" s="35">
        <f>G$7*G$10*(G25-IF(G$8="Y",I25,0))*(1-IF(INPUTS!$C$5="Y",$G$11,0))</f>
        <v>9.133292802524883</v>
      </c>
      <c r="N25" s="35">
        <f t="shared" si="2"/>
        <v>9.9457569270963351</v>
      </c>
      <c r="O25" s="35">
        <f t="shared" si="4"/>
        <v>31.058530320372391</v>
      </c>
      <c r="P25" s="35"/>
      <c r="Q25" s="35"/>
      <c r="R25" s="35">
        <f t="shared" si="3"/>
        <v>21.740971224260672</v>
      </c>
      <c r="S25" s="35">
        <f t="shared" si="3"/>
        <v>40.376089416484106</v>
      </c>
      <c r="T25" s="35"/>
      <c r="U25" s="35"/>
      <c r="V25" s="107">
        <f t="shared" si="1"/>
        <v>632635.03484418662</v>
      </c>
      <c r="W25" s="107">
        <f t="shared" si="1"/>
        <v>903764.33549169509</v>
      </c>
      <c r="X25" s="107">
        <f t="shared" si="1"/>
        <v>1174893.6361392038</v>
      </c>
    </row>
    <row r="26" spans="1:24" x14ac:dyDescent="0.25">
      <c r="A26" s="11">
        <v>2030</v>
      </c>
      <c r="B26" s="61" t="str">
        <f>IF(A26&lt;=(INPUTS!$C$2+INPUTS!$C$3),"Y","N")</f>
        <v>Y</v>
      </c>
      <c r="F26" s="43">
        <f>FORECASTS!C13</f>
        <v>38.910154666857693</v>
      </c>
      <c r="G26" s="43">
        <f>FORECASTS!D13</f>
        <v>19.919265178712347</v>
      </c>
      <c r="H26" s="43">
        <f>FORECASTS!E13</f>
        <v>12.939210721526434</v>
      </c>
      <c r="I26" s="154">
        <f>FORECASTS!F13</f>
        <v>4.9911409053869074</v>
      </c>
      <c r="J26" s="43"/>
      <c r="K26" s="35">
        <f>F$7*F$10*F26*(1-IF(INPUTS!$C$5="Y",$F$11,0))</f>
        <v>21.064190403723266</v>
      </c>
      <c r="L26" s="35">
        <f>G$5*G$10*G26*(1-IF(INPUTS!$C$5="Y",$G$11,0))*IF(G$8="Y",G$9,0)</f>
        <v>0.81059454849346346</v>
      </c>
      <c r="M26" s="35">
        <f>G$7*G$10*(G26-IF(G$8="Y",I26,0))*(1-IF(INPUTS!$C$5="Y",$G$11,0))</f>
        <v>9.1122760151733484</v>
      </c>
      <c r="N26" s="35">
        <f t="shared" ref="N26:N40" si="5">L26+M26</f>
        <v>9.9228705636668124</v>
      </c>
      <c r="O26" s="35">
        <f t="shared" ref="O26:O40" si="6">K26+N26</f>
        <v>30.987060967390079</v>
      </c>
      <c r="P26" s="35"/>
      <c r="Q26" s="35"/>
      <c r="R26" s="35">
        <f t="shared" si="3"/>
        <v>21.690942677173055</v>
      </c>
      <c r="S26" s="35">
        <f t="shared" si="3"/>
        <v>40.283179257607102</v>
      </c>
      <c r="T26" s="35"/>
      <c r="U26" s="35"/>
      <c r="V26" s="107">
        <f t="shared" si="1"/>
        <v>631179.26677828422</v>
      </c>
      <c r="W26" s="107">
        <f t="shared" si="1"/>
        <v>901684.66682612046</v>
      </c>
      <c r="X26" s="107">
        <f t="shared" si="1"/>
        <v>1172190.0668739567</v>
      </c>
    </row>
    <row r="27" spans="1:24" x14ac:dyDescent="0.25">
      <c r="A27" s="11">
        <v>2031</v>
      </c>
      <c r="B27" s="61" t="str">
        <f>IF(A27&lt;=(INPUTS!$C$2+INPUTS!$C$3),"Y","N")</f>
        <v>Y</v>
      </c>
      <c r="F27" s="43">
        <f>FORECASTS!C14</f>
        <v>38.820617797282836</v>
      </c>
      <c r="G27" s="43">
        <f>FORECASTS!D14</f>
        <v>19.873428592772161</v>
      </c>
      <c r="H27" s="43">
        <f>FORECASTS!E14</f>
        <v>12.909436066743019</v>
      </c>
      <c r="I27" s="154">
        <f>FORECASTS!F14</f>
        <v>4.9796556996327386</v>
      </c>
      <c r="J27" s="43"/>
      <c r="K27" s="35">
        <f>F$7*F$10*F27*(1-IF(INPUTS!$C$5="Y",$F$11,0))</f>
        <v>21.015719209377576</v>
      </c>
      <c r="L27" s="35">
        <f>G$5*G$10*G27*(1-IF(INPUTS!$C$5="Y",$G$11,0))*IF(G$8="Y",G$9,0)</f>
        <v>0.80872927453123034</v>
      </c>
      <c r="M27" s="35">
        <f>G$7*G$10*(G27-IF(G$8="Y",I27,0))*(1-IF(INPUTS!$C$5="Y",$G$11,0))</f>
        <v>9.0913075899361289</v>
      </c>
      <c r="N27" s="35">
        <f t="shared" si="5"/>
        <v>9.90003686446736</v>
      </c>
      <c r="O27" s="35">
        <f t="shared" si="6"/>
        <v>30.915756073844936</v>
      </c>
      <c r="P27" s="35"/>
      <c r="Q27" s="35"/>
      <c r="R27" s="35">
        <f t="shared" si="3"/>
        <v>21.641029251691453</v>
      </c>
      <c r="S27" s="35">
        <f t="shared" si="3"/>
        <v>40.190482895998414</v>
      </c>
      <c r="T27" s="35"/>
      <c r="U27" s="35"/>
      <c r="V27" s="107">
        <f t="shared" si="1"/>
        <v>629726.84860694199</v>
      </c>
      <c r="W27" s="107">
        <f t="shared" si="1"/>
        <v>899609.78372420289</v>
      </c>
      <c r="X27" s="107">
        <f t="shared" si="1"/>
        <v>1169492.718841464</v>
      </c>
    </row>
    <row r="28" spans="1:24" x14ac:dyDescent="0.25">
      <c r="A28" s="11">
        <v>2032</v>
      </c>
      <c r="B28" s="61" t="str">
        <f>IF(A28&lt;=(INPUTS!$C$2+INPUTS!$C$3),"Y","N")</f>
        <v>Y</v>
      </c>
      <c r="F28" s="43">
        <f>FORECASTS!C15</f>
        <v>38.731286962638492</v>
      </c>
      <c r="G28" s="43">
        <f>FORECASTS!D15</f>
        <v>19.827697482239415</v>
      </c>
      <c r="H28" s="43">
        <f>FORECASTS!E15</f>
        <v>12.879729926963075</v>
      </c>
      <c r="I28" s="154">
        <f>FORECASTS!F15</f>
        <v>4.968196922695892</v>
      </c>
      <c r="J28" s="43"/>
      <c r="K28" s="35">
        <f>F$7*F$10*F28*(1-IF(INPUTS!$C$5="Y",$F$11,0))</f>
        <v>20.967359552984984</v>
      </c>
      <c r="L28" s="35">
        <f>G$5*G$10*G28*(1-IF(INPUTS!$C$5="Y",$G$11,0))*IF(G$8="Y",G$9,0)</f>
        <v>0.80686829278507588</v>
      </c>
      <c r="M28" s="35">
        <f>G$7*G$10*(G28-IF(G$8="Y",I28,0))*(1-IF(INPUTS!$C$5="Y",$G$11,0))</f>
        <v>9.0703874155262767</v>
      </c>
      <c r="N28" s="35">
        <f t="shared" si="5"/>
        <v>9.8772557083113526</v>
      </c>
      <c r="O28" s="35">
        <f t="shared" si="6"/>
        <v>30.844615261296337</v>
      </c>
      <c r="P28" s="35"/>
      <c r="Q28" s="35"/>
      <c r="R28" s="35">
        <f t="shared" si="3"/>
        <v>21.591230682907433</v>
      </c>
      <c r="S28" s="35">
        <f t="shared" si="3"/>
        <v>40.097999839685237</v>
      </c>
      <c r="T28" s="35"/>
      <c r="U28" s="35"/>
      <c r="V28" s="107">
        <f t="shared" si="1"/>
        <v>628277.77262165607</v>
      </c>
      <c r="W28" s="107">
        <f t="shared" si="1"/>
        <v>897539.6751737945</v>
      </c>
      <c r="X28" s="107">
        <f t="shared" si="1"/>
        <v>1166801.5777259329</v>
      </c>
    </row>
    <row r="29" spans="1:24" x14ac:dyDescent="0.25">
      <c r="A29" s="11">
        <v>2033</v>
      </c>
      <c r="B29" s="61" t="str">
        <f>IF(A29&lt;=(INPUTS!$C$2+INPUTS!$C$3),"Y","N")</f>
        <v>Y</v>
      </c>
      <c r="F29" s="43">
        <f>FORECASTS!C16</f>
        <v>38.642161688813921</v>
      </c>
      <c r="G29" s="43">
        <f>FORECASTS!D16</f>
        <v>19.782071604402717</v>
      </c>
      <c r="H29" s="43">
        <f>FORECASTS!E16</f>
        <v>12.850092144525469</v>
      </c>
      <c r="I29" s="154">
        <f>FORECASTS!F16</f>
        <v>4.9567645137605316</v>
      </c>
      <c r="J29" s="43"/>
      <c r="K29" s="35">
        <f>F$7*F$10*F29*(1-IF(INPUTS!$C$5="Y",$F$11,0))</f>
        <v>20.919111177883462</v>
      </c>
      <c r="L29" s="35">
        <f>G$5*G$10*G29*(1-IF(INPUTS!$C$5="Y",$G$11,0))*IF(G$8="Y",G$9,0)</f>
        <v>0.80501159337810269</v>
      </c>
      <c r="M29" s="35">
        <f>G$7*G$10*(G29-IF(G$8="Y",I29,0))*(1-IF(INPUTS!$C$5="Y",$G$11,0))</f>
        <v>9.0495153809129256</v>
      </c>
      <c r="N29" s="35">
        <f t="shared" si="5"/>
        <v>9.8545269742910282</v>
      </c>
      <c r="O29" s="35">
        <f t="shared" si="6"/>
        <v>30.773638152174492</v>
      </c>
      <c r="P29" s="35"/>
      <c r="Q29" s="35"/>
      <c r="R29" s="35">
        <f t="shared" si="3"/>
        <v>21.541546706522144</v>
      </c>
      <c r="S29" s="35">
        <f t="shared" si="3"/>
        <v>40.005729597826843</v>
      </c>
      <c r="T29" s="35"/>
      <c r="U29" s="35"/>
      <c r="V29" s="107">
        <f t="shared" si="1"/>
        <v>626832.0311316608</v>
      </c>
      <c r="W29" s="107">
        <f t="shared" si="1"/>
        <v>895474.33018808695</v>
      </c>
      <c r="X29" s="107">
        <f t="shared" si="1"/>
        <v>1164116.6292445131</v>
      </c>
    </row>
    <row r="30" spans="1:24" x14ac:dyDescent="0.25">
      <c r="A30" s="11">
        <v>2034</v>
      </c>
      <c r="B30" s="61" t="str">
        <f>IF(A30&lt;=(INPUTS!$C$2+INPUTS!$C$3),"Y","N")</f>
        <v>N</v>
      </c>
      <c r="F30" s="43">
        <f>FORECASTS!C17</f>
        <v>38.553241502789348</v>
      </c>
      <c r="G30" s="43">
        <f>FORECASTS!D17</f>
        <v>19.736550717109186</v>
      </c>
      <c r="H30" s="43">
        <f>FORECASTS!E17</f>
        <v>12.82052256213187</v>
      </c>
      <c r="I30" s="154">
        <f>FORECASTS!F17</f>
        <v>4.9453584121507657</v>
      </c>
      <c r="J30" s="43"/>
      <c r="K30" s="35">
        <f>F$7*F$10*F30*(1-IF(INPUTS!$C$5="Y",$F$11,0))</f>
        <v>20.870973828001592</v>
      </c>
      <c r="L30" s="35">
        <f>G$5*G$10*G30*(1-IF(INPUTS!$C$5="Y",$G$11,0))*IF(G$8="Y",G$9,0)</f>
        <v>0.80315916645614194</v>
      </c>
      <c r="M30" s="35">
        <f>G$7*G$10*(G30-IF(G$8="Y",I30,0))*(1-IF(INPUTS!$C$5="Y",$G$11,0))</f>
        <v>9.0286913753207152</v>
      </c>
      <c r="N30" s="35">
        <f t="shared" si="5"/>
        <v>9.8318505417768574</v>
      </c>
      <c r="O30" s="35">
        <f t="shared" si="6"/>
        <v>30.702824369778448</v>
      </c>
      <c r="P30" s="35"/>
      <c r="Q30" s="35"/>
      <c r="R30" s="35">
        <f t="shared" si="3"/>
        <v>21.491977058844913</v>
      </c>
      <c r="S30" s="35">
        <f t="shared" si="3"/>
        <v>39.913671680711985</v>
      </c>
      <c r="T30" s="35"/>
      <c r="U30" s="35"/>
      <c r="V30" s="107">
        <f t="shared" si="1"/>
        <v>0</v>
      </c>
      <c r="W30" s="107">
        <f t="shared" si="1"/>
        <v>0</v>
      </c>
      <c r="X30" s="107">
        <f t="shared" si="1"/>
        <v>0</v>
      </c>
    </row>
    <row r="31" spans="1:24" x14ac:dyDescent="0.25">
      <c r="A31" s="11">
        <v>2035</v>
      </c>
      <c r="B31" s="61" t="str">
        <f>IF(A31&lt;=(INPUTS!$C$2+INPUTS!$C$3),"Y","N")</f>
        <v>N</v>
      </c>
      <c r="F31" s="43">
        <f>FORECASTS!C18</f>
        <v>38.464525932633478</v>
      </c>
      <c r="G31" s="43">
        <f>FORECASTS!D18</f>
        <v>19.691134578763155</v>
      </c>
      <c r="H31" s="43">
        <f>FORECASTS!E18</f>
        <v>12.791021022845909</v>
      </c>
      <c r="I31" s="154">
        <f>FORECASTS!F18</f>
        <v>4.9339785573303265</v>
      </c>
      <c r="J31" s="43"/>
      <c r="K31" s="35">
        <f>F$7*F$10*F31*(1-IF(INPUTS!$C$5="Y",$F$11,0))</f>
        <v>20.822947247857211</v>
      </c>
      <c r="L31" s="35">
        <f>G$5*G$10*G31*(1-IF(INPUTS!$C$5="Y",$G$11,0))*IF(G$8="Y",G$9,0)</f>
        <v>0.80131100218769991</v>
      </c>
      <c r="M31" s="35">
        <f>G$7*G$10*(G31-IF(G$8="Y",I31,0))*(1-IF(INPUTS!$C$5="Y",$G$11,0))</f>
        <v>9.007915288229178</v>
      </c>
      <c r="N31" s="35">
        <f t="shared" si="5"/>
        <v>9.809226290416877</v>
      </c>
      <c r="O31" s="35">
        <f t="shared" si="6"/>
        <v>30.632173538274088</v>
      </c>
      <c r="P31" s="35"/>
      <c r="Q31" s="35"/>
      <c r="R31" s="35">
        <f t="shared" si="3"/>
        <v>21.44252147679186</v>
      </c>
      <c r="S31" s="35">
        <f t="shared" si="3"/>
        <v>39.821825599756316</v>
      </c>
      <c r="T31" s="35"/>
      <c r="U31" s="35"/>
      <c r="V31" s="107">
        <f t="shared" si="1"/>
        <v>0</v>
      </c>
      <c r="W31" s="107">
        <f t="shared" si="1"/>
        <v>0</v>
      </c>
      <c r="X31" s="107">
        <f t="shared" si="1"/>
        <v>0</v>
      </c>
    </row>
    <row r="32" spans="1:24" x14ac:dyDescent="0.25">
      <c r="A32" s="11">
        <v>2036</v>
      </c>
      <c r="B32" s="61" t="str">
        <f>IF(A32&lt;=(INPUTS!$C$2+INPUTS!$C$3),"Y","N")</f>
        <v>N</v>
      </c>
      <c r="F32" s="43">
        <f>FORECASTS!C19</f>
        <v>38.37601450750099</v>
      </c>
      <c r="G32" s="43">
        <f>FORECASTS!D19</f>
        <v>19.645822948324906</v>
      </c>
      <c r="H32" s="43">
        <f>FORECASTS!E19</f>
        <v>12.761587370092343</v>
      </c>
      <c r="I32" s="154">
        <f>FORECASTS!F19</f>
        <v>4.9226248889022459</v>
      </c>
      <c r="J32" s="43"/>
      <c r="K32" s="35">
        <f>F$7*F$10*F32*(1-IF(INPUTS!$C$5="Y",$F$11,0))</f>
        <v>20.775031182556049</v>
      </c>
      <c r="L32" s="35">
        <f>G$5*G$10*G32*(1-IF(INPUTS!$C$5="Y",$G$11,0))*IF(G$8="Y",G$9,0)</f>
        <v>0.79946709076390665</v>
      </c>
      <c r="M32" s="35">
        <f>G$7*G$10*(G32-IF(G$8="Y",I32,0))*(1-IF(INPUTS!$C$5="Y",$G$11,0))</f>
        <v>8.98718700937218</v>
      </c>
      <c r="N32" s="35">
        <f t="shared" si="5"/>
        <v>9.7866541001360865</v>
      </c>
      <c r="O32" s="35">
        <f t="shared" si="6"/>
        <v>30.561685282692135</v>
      </c>
      <c r="P32" s="35"/>
      <c r="Q32" s="35"/>
      <c r="R32" s="35">
        <f t="shared" si="3"/>
        <v>21.393179697884495</v>
      </c>
      <c r="S32" s="35">
        <f t="shared" si="3"/>
        <v>39.730190867499779</v>
      </c>
      <c r="T32" s="35"/>
      <c r="U32" s="35"/>
      <c r="V32" s="107">
        <f t="shared" si="1"/>
        <v>0</v>
      </c>
      <c r="W32" s="107">
        <f t="shared" si="1"/>
        <v>0</v>
      </c>
      <c r="X32" s="107">
        <f t="shared" si="1"/>
        <v>0</v>
      </c>
    </row>
    <row r="33" spans="1:24" x14ac:dyDescent="0.25">
      <c r="A33" s="11">
        <v>2037</v>
      </c>
      <c r="B33" s="61" t="str">
        <f>IF(A33&lt;=(INPUTS!$C$2+INPUTS!$C$3),"Y","N")</f>
        <v>N</v>
      </c>
      <c r="F33" s="43">
        <f>FORECASTS!C20</f>
        <v>38.287706757630033</v>
      </c>
      <c r="G33" s="43">
        <f>FORECASTS!D20</f>
        <v>19.600615585309377</v>
      </c>
      <c r="H33" s="43">
        <f>FORECASTS!E20</f>
        <v>12.732221447656229</v>
      </c>
      <c r="I33" s="154">
        <f>FORECASTS!F20</f>
        <v>4.9112973466085368</v>
      </c>
      <c r="J33" s="43"/>
      <c r="K33" s="35">
        <f>F$7*F$10*F33*(1-IF(INPUTS!$C$5="Y",$F$11,0))</f>
        <v>20.727225377790365</v>
      </c>
      <c r="L33" s="35">
        <f>G$5*G$10*G33*(1-IF(INPUTS!$C$5="Y",$G$11,0))*IF(G$8="Y",G$9,0)</f>
        <v>0.7976274223984634</v>
      </c>
      <c r="M33" s="35">
        <f>G$7*G$10*(G33-IF(G$8="Y",I33,0))*(1-IF(INPUTS!$C$5="Y",$G$11,0))</f>
        <v>8.9665064287373131</v>
      </c>
      <c r="N33" s="35">
        <f t="shared" si="5"/>
        <v>9.7641338511357763</v>
      </c>
      <c r="O33" s="35">
        <f t="shared" si="6"/>
        <v>30.491359228926143</v>
      </c>
      <c r="P33" s="35"/>
      <c r="Q33" s="35"/>
      <c r="R33" s="35">
        <f t="shared" si="3"/>
        <v>21.343951460248299</v>
      </c>
      <c r="S33" s="35">
        <f t="shared" si="3"/>
        <v>39.638766997603987</v>
      </c>
      <c r="T33" s="35"/>
      <c r="U33" s="35"/>
      <c r="V33" s="107">
        <f t="shared" si="1"/>
        <v>0</v>
      </c>
      <c r="W33" s="107">
        <f t="shared" si="1"/>
        <v>0</v>
      </c>
      <c r="X33" s="107">
        <f t="shared" si="1"/>
        <v>0</v>
      </c>
    </row>
    <row r="34" spans="1:24" x14ac:dyDescent="0.25">
      <c r="A34" s="11">
        <v>2038</v>
      </c>
      <c r="B34" s="61" t="str">
        <f>IF(A34&lt;=(INPUTS!$C$2+INPUTS!$C$3),"Y","N")</f>
        <v>N</v>
      </c>
      <c r="F34" s="43">
        <f>FORECASTS!C21</f>
        <v>38.199602214339734</v>
      </c>
      <c r="G34" s="43">
        <f>FORECASTS!D21</f>
        <v>19.555512249784893</v>
      </c>
      <c r="H34" s="43">
        <f>FORECASTS!E21</f>
        <v>12.702923099682094</v>
      </c>
      <c r="I34" s="154">
        <f>FORECASTS!F21</f>
        <v>4.8999958703298727</v>
      </c>
      <c r="J34" s="43"/>
      <c r="K34" s="35">
        <f>F$7*F$10*F34*(1-IF(INPUTS!$C$5="Y",$F$11,0))</f>
        <v>20.679529579837638</v>
      </c>
      <c r="L34" s="35">
        <f>G$5*G$10*G34*(1-IF(INPUTS!$C$5="Y",$G$11,0))*IF(G$8="Y",G$9,0)</f>
        <v>0.79579198732759093</v>
      </c>
      <c r="M34" s="35">
        <f>G$7*G$10*(G34-IF(G$8="Y",I34,0))*(1-IF(INPUTS!$C$5="Y",$G$11,0))</f>
        <v>8.9458734365653285</v>
      </c>
      <c r="N34" s="35">
        <f t="shared" si="5"/>
        <v>9.7416654238929201</v>
      </c>
      <c r="O34" s="35">
        <f t="shared" si="6"/>
        <v>30.42119500373056</v>
      </c>
      <c r="P34" s="35"/>
      <c r="Q34" s="35"/>
      <c r="R34" s="35">
        <f t="shared" si="3"/>
        <v>21.294836502611389</v>
      </c>
      <c r="S34" s="35">
        <f t="shared" si="3"/>
        <v>39.547553504849731</v>
      </c>
      <c r="T34" s="35"/>
      <c r="U34" s="35"/>
      <c r="V34" s="107">
        <f t="shared" si="1"/>
        <v>0</v>
      </c>
      <c r="W34" s="107">
        <f t="shared" si="1"/>
        <v>0</v>
      </c>
      <c r="X34" s="107">
        <f t="shared" si="1"/>
        <v>0</v>
      </c>
    </row>
    <row r="35" spans="1:24" x14ac:dyDescent="0.25">
      <c r="A35" s="11">
        <v>2039</v>
      </c>
      <c r="B35" s="61" t="str">
        <f>IF(A35&lt;=(INPUTS!$C$2+INPUTS!$C$3),"Y","N")</f>
        <v>N</v>
      </c>
      <c r="F35" s="43">
        <f>FORECASTS!C22</f>
        <v>38.111700410027709</v>
      </c>
      <c r="G35" s="43">
        <f>FORECASTS!D22</f>
        <v>19.510512702371891</v>
      </c>
      <c r="H35" s="43">
        <f>FORECASTS!E22</f>
        <v>12.673692170673105</v>
      </c>
      <c r="I35" s="154">
        <f>FORECASTS!F22</f>
        <v>4.8887204000852691</v>
      </c>
      <c r="J35" s="43"/>
      <c r="K35" s="35">
        <f>F$7*F$10*F35*(1-IF(INPUTS!$C$5="Y",$F$11,0))</f>
        <v>20.631943535559163</v>
      </c>
      <c r="L35" s="35">
        <f>G$5*G$10*G35*(1-IF(INPUTS!$C$5="Y",$G$11,0))*IF(G$8="Y",G$9,0)</f>
        <v>0.79396077580997748</v>
      </c>
      <c r="M35" s="35">
        <f>G$7*G$10*(G35-IF(G$8="Y",I35,0))*(1-IF(INPUTS!$C$5="Y",$G$11,0))</f>
        <v>8.9252879233495399</v>
      </c>
      <c r="N35" s="35">
        <f t="shared" si="5"/>
        <v>9.7192486991595182</v>
      </c>
      <c r="O35" s="35">
        <f t="shared" si="6"/>
        <v>30.351192234718681</v>
      </c>
      <c r="P35" s="35"/>
      <c r="Q35" s="35"/>
      <c r="R35" s="35">
        <f t="shared" si="3"/>
        <v>21.245834564303074</v>
      </c>
      <c r="S35" s="35">
        <f t="shared" si="3"/>
        <v>39.456549905134288</v>
      </c>
      <c r="T35" s="35"/>
      <c r="U35" s="35"/>
      <c r="V35" s="107">
        <f t="shared" si="1"/>
        <v>0</v>
      </c>
      <c r="W35" s="107">
        <f t="shared" si="1"/>
        <v>0</v>
      </c>
      <c r="X35" s="107">
        <f t="shared" si="1"/>
        <v>0</v>
      </c>
    </row>
    <row r="36" spans="1:24" x14ac:dyDescent="0.25">
      <c r="A36" s="11">
        <v>2040</v>
      </c>
      <c r="B36" s="61" t="str">
        <f>IF(A36&lt;=(INPUTS!$C$2+INPUTS!$C$3),"Y","N")</f>
        <v>N</v>
      </c>
      <c r="F36" s="43">
        <f>FORECASTS!C23</f>
        <v>38.024000878167577</v>
      </c>
      <c r="G36" s="43">
        <f>FORECASTS!D23</f>
        <v>19.465616704241643</v>
      </c>
      <c r="H36" s="43">
        <f>FORECASTS!E23</f>
        <v>12.644528505490246</v>
      </c>
      <c r="I36" s="154">
        <f>FORECASTS!F23</f>
        <v>4.8774708760317651</v>
      </c>
      <c r="J36" s="43"/>
      <c r="K36" s="35">
        <f>F$7*F$10*F36*(1-IF(INPUTS!$C$5="Y",$F$11,0))</f>
        <v>20.584466992398756</v>
      </c>
      <c r="L36" s="35">
        <f>G$5*G$10*G36*(1-IF(INPUTS!$C$5="Y",$G$11,0))*IF(G$8="Y",G$9,0)</f>
        <v>0.79213377812672747</v>
      </c>
      <c r="M36" s="35">
        <f>G$7*G$10*(G36-IF(G$8="Y",I36,0))*(1-IF(INPUTS!$C$5="Y",$G$11,0))</f>
        <v>8.9047497798352548</v>
      </c>
      <c r="N36" s="35">
        <f t="shared" si="5"/>
        <v>9.6968835579619821</v>
      </c>
      <c r="O36" s="35">
        <f t="shared" si="6"/>
        <v>30.281350550360738</v>
      </c>
      <c r="P36" s="35"/>
      <c r="Q36" s="35"/>
      <c r="R36" s="35">
        <f t="shared" si="3"/>
        <v>21.196945385252516</v>
      </c>
      <c r="S36" s="35">
        <f t="shared" si="3"/>
        <v>39.365755715468964</v>
      </c>
      <c r="T36" s="35"/>
      <c r="U36" s="35"/>
      <c r="V36" s="107">
        <f t="shared" si="1"/>
        <v>0</v>
      </c>
      <c r="W36" s="107">
        <f t="shared" si="1"/>
        <v>0</v>
      </c>
      <c r="X36" s="107">
        <f t="shared" si="1"/>
        <v>0</v>
      </c>
    </row>
    <row r="37" spans="1:24" x14ac:dyDescent="0.25">
      <c r="A37" s="11">
        <v>2041</v>
      </c>
      <c r="B37" s="61" t="str">
        <f>IF(A37&lt;=(INPUTS!$C$2+INPUTS!$C$3),"Y","N")</f>
        <v>N</v>
      </c>
      <c r="F37" s="43">
        <f>FORECASTS!C24</f>
        <v>37.936503153306496</v>
      </c>
      <c r="G37" s="43">
        <f>FORECASTS!D24</f>
        <v>19.420824017114999</v>
      </c>
      <c r="H37" s="43">
        <f>FORECASTS!E24</f>
        <v>12.615431949351496</v>
      </c>
      <c r="I37" s="154">
        <f>FORECASTS!F24</f>
        <v>4.866247238464104</v>
      </c>
      <c r="J37" s="43"/>
      <c r="K37" s="35">
        <f>F$7*F$10*F37*(1-IF(INPUTS!$C$5="Y",$F$11,0))</f>
        <v>20.537099698381386</v>
      </c>
      <c r="L37" s="35">
        <f>G$5*G$10*G37*(1-IF(INPUTS!$C$5="Y",$G$11,0))*IF(G$8="Y",G$9,0)</f>
        <v>0.79031098458130922</v>
      </c>
      <c r="M37" s="35">
        <f>G$7*G$10*(G37-IF(G$8="Y",I37,0))*(1-IF(INPUTS!$C$5="Y",$G$11,0))</f>
        <v>8.8842588970191816</v>
      </c>
      <c r="N37" s="35">
        <f t="shared" si="5"/>
        <v>9.6745698816004904</v>
      </c>
      <c r="O37" s="35">
        <f t="shared" si="6"/>
        <v>30.211669579981876</v>
      </c>
      <c r="P37" s="35"/>
      <c r="Q37" s="35"/>
      <c r="R37" s="35">
        <f t="shared" si="3"/>
        <v>21.148168705987313</v>
      </c>
      <c r="S37" s="35">
        <f t="shared" si="3"/>
        <v>39.275170453976443</v>
      </c>
      <c r="T37" s="35"/>
      <c r="U37" s="35"/>
      <c r="V37" s="107">
        <f t="shared" si="1"/>
        <v>0</v>
      </c>
      <c r="W37" s="107">
        <f t="shared" si="1"/>
        <v>0</v>
      </c>
      <c r="X37" s="107">
        <f t="shared" si="1"/>
        <v>0</v>
      </c>
    </row>
    <row r="38" spans="1:24" x14ac:dyDescent="0.25">
      <c r="A38" s="11">
        <v>2042</v>
      </c>
      <c r="B38" s="61" t="str">
        <f>IF(A38&lt;=(INPUTS!$C$2+INPUTS!$C$3),"Y","N")</f>
        <v>N</v>
      </c>
      <c r="F38" s="43">
        <f>FORECASTS!C25</f>
        <v>37.849206771062683</v>
      </c>
      <c r="G38" s="43">
        <f>FORECASTS!D25</f>
        <v>19.376134403261116</v>
      </c>
      <c r="H38" s="43">
        <f>FORECASTS!E25</f>
        <v>12.586402347831005</v>
      </c>
      <c r="I38" s="154">
        <f>FORECASTS!F25</f>
        <v>4.8550494278144205</v>
      </c>
      <c r="J38" s="43"/>
      <c r="K38" s="35">
        <f>F$7*F$10*F38*(1-IF(INPUTS!$C$5="Y",$F$11,0))</f>
        <v>20.489841402111846</v>
      </c>
      <c r="L38" s="35">
        <f>G$5*G$10*G38*(1-IF(INPUTS!$C$5="Y",$G$11,0))*IF(G$8="Y",G$9,0)</f>
        <v>0.78849238549950418</v>
      </c>
      <c r="M38" s="35">
        <f>G$7*G$10*(G38-IF(G$8="Y",I38,0))*(1-IF(INPUTS!$C$5="Y",$G$11,0))</f>
        <v>8.8638151661488624</v>
      </c>
      <c r="N38" s="35">
        <f t="shared" si="5"/>
        <v>9.6523075516483665</v>
      </c>
      <c r="O38" s="35">
        <f t="shared" si="6"/>
        <v>30.142148953760213</v>
      </c>
      <c r="P38" s="35"/>
      <c r="Q38" s="35"/>
      <c r="R38" s="35">
        <f t="shared" si="3"/>
        <v>21.099504267632149</v>
      </c>
      <c r="S38" s="35">
        <f t="shared" si="3"/>
        <v>39.184793639888277</v>
      </c>
      <c r="T38" s="35"/>
      <c r="U38" s="35"/>
      <c r="V38" s="107">
        <f t="shared" si="1"/>
        <v>0</v>
      </c>
      <c r="W38" s="107">
        <f t="shared" si="1"/>
        <v>0</v>
      </c>
      <c r="X38" s="107">
        <f t="shared" si="1"/>
        <v>0</v>
      </c>
    </row>
    <row r="39" spans="1:24" x14ac:dyDescent="0.25">
      <c r="A39" s="11">
        <v>2043</v>
      </c>
      <c r="B39" s="61" t="str">
        <f>IF(A39&lt;=(INPUTS!$C$2+INPUTS!$C$3),"Y","N")</f>
        <v>N</v>
      </c>
      <c r="F39" s="43">
        <f>FORECASTS!C26</f>
        <v>37.762111268122958</v>
      </c>
      <c r="G39" s="43">
        <f>FORECASTS!D26</f>
        <v>19.331547625496199</v>
      </c>
      <c r="H39" s="43">
        <f>FORECASTS!E26</f>
        <v>12.557439546858271</v>
      </c>
      <c r="I39" s="154">
        <f>FORECASTS!F26</f>
        <v>4.8438773846519192</v>
      </c>
      <c r="J39" s="43"/>
      <c r="K39" s="35">
        <f>F$7*F$10*F39*(1-IF(INPUTS!$C$5="Y",$F$11,0))</f>
        <v>20.442691852773432</v>
      </c>
      <c r="L39" s="35">
        <f>G$5*G$10*G39*(1-IF(INPUTS!$C$5="Y",$G$11,0))*IF(G$8="Y",G$9,0)</f>
        <v>0.78667797122935568</v>
      </c>
      <c r="M39" s="35">
        <f>G$7*G$10*(G39-IF(G$8="Y",I39,0))*(1-IF(INPUTS!$C$5="Y",$G$11,0))</f>
        <v>8.8434184787220946</v>
      </c>
      <c r="N39" s="35">
        <f t="shared" si="5"/>
        <v>9.6300964499514503</v>
      </c>
      <c r="O39" s="35">
        <f t="shared" si="6"/>
        <v>30.072788302724881</v>
      </c>
      <c r="P39" s="35"/>
      <c r="Q39" s="35"/>
      <c r="R39" s="35">
        <f t="shared" si="3"/>
        <v>21.050951811907414</v>
      </c>
      <c r="S39" s="35">
        <f t="shared" si="3"/>
        <v>39.094624793542344</v>
      </c>
      <c r="T39" s="35"/>
      <c r="U39" s="35"/>
      <c r="V39" s="107">
        <f t="shared" si="1"/>
        <v>0</v>
      </c>
      <c r="W39" s="107">
        <f t="shared" si="1"/>
        <v>0</v>
      </c>
      <c r="X39" s="107">
        <f t="shared" si="1"/>
        <v>0</v>
      </c>
    </row>
    <row r="40" spans="1:24" x14ac:dyDescent="0.25">
      <c r="A40" s="11">
        <v>2044</v>
      </c>
      <c r="B40" s="61" t="str">
        <f>IF(A40&lt;=(INPUTS!$C$2+INPUTS!$C$3),"Y","N")</f>
        <v>N</v>
      </c>
      <c r="F40" s="43">
        <f>FORECASTS!C27</f>
        <v>37.67521618224027</v>
      </c>
      <c r="G40" s="43">
        <f>FORECASTS!D27</f>
        <v>19.287063447182241</v>
      </c>
      <c r="H40" s="43">
        <f>FORECASTS!E27</f>
        <v>12.528543392717333</v>
      </c>
      <c r="I40" s="154">
        <f>FORECASTS!F27</f>
        <v>4.8327310496825646</v>
      </c>
      <c r="J40" s="43"/>
      <c r="K40" s="35">
        <f>F$7*F$10*F40*(1-IF(INPUTS!$C$5="Y",$F$11,0))</f>
        <v>20.395650800126578</v>
      </c>
      <c r="L40" s="35">
        <f>G$5*G$10*G40*(1-IF(INPUTS!$C$5="Y",$G$11,0))*IF(G$8="Y",G$9,0)</f>
        <v>0.78486773214111649</v>
      </c>
      <c r="M40" s="35">
        <f>G$7*G$10*(G40-IF(G$8="Y",I40,0))*(1-IF(INPUTS!$C$5="Y",$G$11,0))</f>
        <v>8.8230687264863459</v>
      </c>
      <c r="N40" s="35">
        <f t="shared" si="5"/>
        <v>9.6079364586274618</v>
      </c>
      <c r="O40" s="35">
        <f t="shared" si="6"/>
        <v>30.003587258754038</v>
      </c>
      <c r="P40" s="35"/>
      <c r="Q40" s="35"/>
      <c r="R40" s="35">
        <f t="shared" si="3"/>
        <v>21.002511081127825</v>
      </c>
      <c r="S40" s="35">
        <f t="shared" si="3"/>
        <v>39.004663436380248</v>
      </c>
      <c r="T40" s="35"/>
      <c r="U40" s="35"/>
      <c r="V40" s="107">
        <f t="shared" si="1"/>
        <v>0</v>
      </c>
      <c r="W40" s="107">
        <f t="shared" si="1"/>
        <v>0</v>
      </c>
      <c r="X40" s="107">
        <f t="shared" si="1"/>
        <v>0</v>
      </c>
    </row>
    <row r="41" spans="1:24" x14ac:dyDescent="0.25">
      <c r="A41" s="31"/>
      <c r="B41" s="7"/>
      <c r="F41" s="7"/>
      <c r="G41" s="7"/>
      <c r="H41" s="7"/>
      <c r="I41" s="7"/>
      <c r="J41" s="60"/>
      <c r="K41" s="46"/>
      <c r="L41" s="36"/>
      <c r="M41" s="36"/>
      <c r="N41" s="36"/>
      <c r="O41" s="36"/>
      <c r="P41" s="49"/>
      <c r="Q41" s="49"/>
      <c r="R41" s="36"/>
      <c r="S41" s="36"/>
      <c r="T41" s="49"/>
      <c r="U41" s="59" t="s">
        <v>37</v>
      </c>
      <c r="V41" s="105">
        <f>SUM(V15:V40)</f>
        <v>6961973.7292799968</v>
      </c>
      <c r="W41" s="105">
        <f t="shared" ref="W41:X41" si="7">SUM(W15:W40)</f>
        <v>9945676.7561142817</v>
      </c>
      <c r="X41" s="105">
        <f t="shared" si="7"/>
        <v>12929379.782948568</v>
      </c>
    </row>
    <row r="42" spans="1:24" s="87" customFormat="1" x14ac:dyDescent="0.25">
      <c r="A42" s="86"/>
      <c r="B42" s="45"/>
      <c r="F42" s="45"/>
      <c r="G42" s="45"/>
      <c r="H42" s="45"/>
      <c r="I42" s="45"/>
      <c r="J42" s="45"/>
      <c r="L42" s="88"/>
      <c r="M42" s="88"/>
      <c r="N42" s="88"/>
      <c r="O42" s="88"/>
      <c r="P42" s="88"/>
      <c r="Q42" s="88"/>
      <c r="R42" s="88"/>
      <c r="S42" s="88"/>
      <c r="T42" s="88"/>
      <c r="U42" s="43"/>
      <c r="V42" s="89"/>
      <c r="W42" s="89"/>
      <c r="X42" s="89"/>
    </row>
    <row r="43" spans="1:24" s="87" customFormat="1" x14ac:dyDescent="0.25">
      <c r="A43" s="86"/>
      <c r="B43" s="45"/>
      <c r="F43" s="45"/>
      <c r="G43" s="45"/>
      <c r="H43" s="45"/>
      <c r="I43" s="45"/>
      <c r="J43" s="45"/>
      <c r="L43" s="88"/>
      <c r="M43" s="88"/>
      <c r="N43" s="88"/>
      <c r="O43" s="88"/>
      <c r="P43" s="88"/>
      <c r="Q43" s="88"/>
      <c r="R43" s="88"/>
      <c r="S43" s="88"/>
      <c r="T43" s="88"/>
      <c r="U43" s="43"/>
      <c r="V43" s="89"/>
      <c r="W43" s="89"/>
      <c r="X43" s="89"/>
    </row>
    <row r="44" spans="1:24" s="87" customFormat="1" x14ac:dyDescent="0.25">
      <c r="A44" s="86"/>
      <c r="B44" s="45"/>
      <c r="F44" s="45"/>
      <c r="G44" s="45"/>
      <c r="H44" s="45"/>
      <c r="I44" s="45"/>
      <c r="J44" s="45"/>
      <c r="L44" s="88"/>
      <c r="M44" s="88"/>
      <c r="N44" s="88"/>
      <c r="O44" s="88"/>
      <c r="P44" s="88"/>
      <c r="Q44" s="88"/>
      <c r="R44" s="88"/>
      <c r="S44" s="88"/>
      <c r="T44" s="88"/>
      <c r="U44" s="43"/>
      <c r="V44" s="89"/>
      <c r="W44" s="89"/>
      <c r="X44" s="89"/>
    </row>
    <row r="45" spans="1:24" s="87" customFormat="1" x14ac:dyDescent="0.25">
      <c r="A45" s="86"/>
      <c r="B45" s="45"/>
      <c r="F45" s="45"/>
      <c r="G45" s="45"/>
      <c r="H45" s="45"/>
      <c r="I45" s="45"/>
      <c r="J45" s="45"/>
      <c r="L45" s="88"/>
      <c r="M45" s="88"/>
      <c r="N45" s="88"/>
      <c r="O45" s="88"/>
      <c r="P45" s="88"/>
      <c r="Q45" s="88"/>
      <c r="R45" s="119"/>
      <c r="S45" s="88"/>
      <c r="T45" s="88"/>
      <c r="U45" s="43"/>
      <c r="V45" s="89"/>
      <c r="W45" s="89"/>
      <c r="X45" s="89"/>
    </row>
    <row r="46" spans="1:24" x14ac:dyDescent="0.25">
      <c r="D46" s="35"/>
      <c r="E46" s="42"/>
      <c r="F46" s="34"/>
      <c r="G46" s="34"/>
      <c r="H46" s="34"/>
      <c r="K46" s="34"/>
      <c r="L46" s="34"/>
      <c r="M46" s="34"/>
      <c r="N46" s="34"/>
      <c r="O46" s="34"/>
      <c r="U46" s="34"/>
      <c r="V46" s="63"/>
      <c r="W46" s="34"/>
      <c r="X46" s="34"/>
    </row>
    <row r="47" spans="1:24" x14ac:dyDescent="0.25">
      <c r="D47" s="35"/>
      <c r="E47" s="42"/>
      <c r="F47" s="34"/>
      <c r="G47" s="34"/>
      <c r="H47" s="34"/>
      <c r="K47" s="34"/>
      <c r="L47" s="34"/>
      <c r="M47" s="34"/>
      <c r="N47" s="34"/>
      <c r="O47" s="34"/>
      <c r="U47" s="63"/>
      <c r="V47" s="63"/>
    </row>
    <row r="48" spans="1:24" x14ac:dyDescent="0.25">
      <c r="D48" s="35"/>
      <c r="E48" s="42"/>
      <c r="F48" s="34"/>
      <c r="G48" s="34"/>
      <c r="H48" s="34"/>
      <c r="K48" s="34"/>
      <c r="L48" s="34"/>
      <c r="M48" s="34"/>
      <c r="N48" s="34"/>
      <c r="O48" s="34"/>
      <c r="U48" s="63"/>
      <c r="V48" s="63"/>
    </row>
    <row r="49" spans="4:22" x14ac:dyDescent="0.25">
      <c r="D49" s="34"/>
      <c r="F49" s="34"/>
      <c r="G49" s="34"/>
      <c r="H49" s="34"/>
      <c r="K49" s="34"/>
      <c r="L49" s="34"/>
      <c r="M49" s="34"/>
      <c r="N49" s="34"/>
      <c r="O49" s="34"/>
      <c r="U49" s="63"/>
      <c r="V49" s="63"/>
    </row>
    <row r="54" spans="4:22" x14ac:dyDescent="0.25">
      <c r="R54" s="120"/>
    </row>
  </sheetData>
  <pageMargins left="0.7" right="0.7" top="0.75" bottom="0.75" header="0.3" footer="0.3"/>
  <pageSetup paperSize="9" orientation="portrait" r:id="rId1"/>
  <ignoredErrors>
    <ignoredError sqref="F10:H10 F11:H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AR53"/>
  <sheetViews>
    <sheetView zoomScale="70" zoomScaleNormal="70" workbookViewId="0">
      <selection activeCell="H8" sqref="H8"/>
    </sheetView>
  </sheetViews>
  <sheetFormatPr defaultRowHeight="15" x14ac:dyDescent="0.25"/>
  <cols>
    <col min="1" max="1" width="11.7109375" style="60" customWidth="1"/>
    <col min="2" max="2" width="18.5703125" style="60" bestFit="1" customWidth="1"/>
    <col min="3" max="3" width="17.140625" style="60" bestFit="1" customWidth="1"/>
    <col min="4" max="4" width="17.140625" style="60" customWidth="1"/>
    <col min="5" max="5" width="18.85546875" style="60" bestFit="1" customWidth="1"/>
    <col min="6" max="6" width="11.42578125" style="60" customWidth="1"/>
    <col min="7" max="7" width="13.5703125" style="4" bestFit="1" customWidth="1"/>
    <col min="8" max="8" width="11.7109375" style="4" customWidth="1"/>
    <col min="9" max="9" width="11.28515625" style="60" customWidth="1"/>
    <col min="10" max="13" width="20" style="4" customWidth="1"/>
    <col min="14" max="14" width="11.42578125" style="60" customWidth="1"/>
    <col min="15" max="18" width="18.28515625" style="4" customWidth="1"/>
    <col min="19" max="19" width="11.42578125" style="60" customWidth="1"/>
    <col min="20" max="23" width="18.28515625" style="4" customWidth="1"/>
    <col min="24" max="24" width="14.140625" style="60" customWidth="1"/>
    <col min="25" max="27" width="18.42578125" style="60" customWidth="1"/>
    <col min="28" max="28" width="18.42578125" style="4" customWidth="1"/>
    <col min="29" max="29" width="14.140625" style="60" customWidth="1"/>
    <col min="30" max="32" width="18.42578125" style="60" customWidth="1"/>
    <col min="33" max="33" width="18.42578125" style="4" customWidth="1"/>
    <col min="34" max="34" width="11.42578125" style="60" customWidth="1"/>
    <col min="35" max="35" width="26.28515625" style="60" bestFit="1" customWidth="1"/>
    <col min="36" max="37" width="18.85546875" style="60" customWidth="1"/>
    <col min="38" max="38" width="11.42578125" style="60" customWidth="1"/>
    <col min="39" max="39" width="19.28515625" style="60" bestFit="1" customWidth="1"/>
    <col min="40" max="40" width="21.5703125" style="60" bestFit="1" customWidth="1"/>
    <col min="41" max="41" width="20.7109375" style="60" bestFit="1" customWidth="1"/>
    <col min="42" max="42" width="20.28515625" style="60" bestFit="1" customWidth="1"/>
    <col min="43" max="43" width="9.85546875" style="60" customWidth="1"/>
    <col min="44" max="44" width="9.7109375" style="60" customWidth="1"/>
    <col min="45" max="16384" width="9.140625" style="4"/>
  </cols>
  <sheetData>
    <row r="1" spans="1:44" x14ac:dyDescent="0.25">
      <c r="G1" s="9"/>
      <c r="I1" s="45"/>
      <c r="J1" s="9"/>
      <c r="K1" s="9"/>
      <c r="L1" s="9"/>
      <c r="O1" s="60"/>
      <c r="P1" s="60"/>
      <c r="Q1" s="60"/>
      <c r="AM1" s="62"/>
      <c r="AN1" s="35"/>
      <c r="AO1" s="35"/>
      <c r="AP1" s="35"/>
    </row>
    <row r="2" spans="1:44" x14ac:dyDescent="0.25">
      <c r="A2" s="80" t="s">
        <v>100</v>
      </c>
      <c r="J2" s="2" t="s">
        <v>101</v>
      </c>
      <c r="K2" s="9"/>
      <c r="L2" s="9"/>
      <c r="M2" s="3"/>
      <c r="N2" s="62"/>
      <c r="O2" s="71" t="s">
        <v>92</v>
      </c>
      <c r="P2" s="62"/>
      <c r="Q2" s="62"/>
      <c r="T2" s="71" t="s">
        <v>91</v>
      </c>
      <c r="U2" s="3"/>
      <c r="V2" s="3"/>
      <c r="X2" s="62"/>
      <c r="Y2" s="71" t="s">
        <v>98</v>
      </c>
      <c r="Z2" s="3"/>
      <c r="AA2" s="3"/>
      <c r="AB2" s="3"/>
      <c r="AC2" s="62"/>
      <c r="AD2" s="71" t="s">
        <v>99</v>
      </c>
      <c r="AE2" s="3"/>
      <c r="AF2" s="3"/>
      <c r="AG2" s="3"/>
      <c r="AH2" s="62"/>
      <c r="AJ2" s="62" t="s">
        <v>0</v>
      </c>
      <c r="AK2" s="62"/>
      <c r="AL2" s="62"/>
      <c r="AN2" s="22" t="s">
        <v>118</v>
      </c>
    </row>
    <row r="3" spans="1:44" x14ac:dyDescent="0.25">
      <c r="A3" s="12" t="s">
        <v>7</v>
      </c>
      <c r="B3" s="12" t="s">
        <v>119</v>
      </c>
      <c r="C3" s="12" t="s">
        <v>120</v>
      </c>
      <c r="D3" s="12" t="s">
        <v>121</v>
      </c>
      <c r="E3" s="13" t="s">
        <v>122</v>
      </c>
      <c r="F3" s="80"/>
      <c r="G3" s="6" t="s">
        <v>7</v>
      </c>
      <c r="H3" s="5" t="s">
        <v>85</v>
      </c>
      <c r="I3" s="62"/>
      <c r="J3" s="6" t="s">
        <v>119</v>
      </c>
      <c r="K3" s="6" t="s">
        <v>120</v>
      </c>
      <c r="L3" s="6" t="s">
        <v>121</v>
      </c>
      <c r="M3" s="6" t="s">
        <v>122</v>
      </c>
      <c r="N3" s="62"/>
      <c r="O3" s="6" t="s">
        <v>119</v>
      </c>
      <c r="P3" s="6" t="s">
        <v>120</v>
      </c>
      <c r="Q3" s="6" t="s">
        <v>121</v>
      </c>
      <c r="R3" s="6" t="s">
        <v>122</v>
      </c>
      <c r="S3" s="62"/>
      <c r="T3" s="6" t="s">
        <v>119</v>
      </c>
      <c r="U3" s="6" t="s">
        <v>120</v>
      </c>
      <c r="V3" s="6" t="s">
        <v>121</v>
      </c>
      <c r="W3" s="6" t="s">
        <v>122</v>
      </c>
      <c r="X3" s="62"/>
      <c r="Y3" s="6" t="s">
        <v>119</v>
      </c>
      <c r="Z3" s="6" t="s">
        <v>120</v>
      </c>
      <c r="AA3" s="6" t="s">
        <v>121</v>
      </c>
      <c r="AB3" s="6" t="s">
        <v>122</v>
      </c>
      <c r="AC3" s="62"/>
      <c r="AD3" s="6" t="s">
        <v>119</v>
      </c>
      <c r="AE3" s="6" t="s">
        <v>120</v>
      </c>
      <c r="AF3" s="6" t="s">
        <v>121</v>
      </c>
      <c r="AG3" s="118" t="s">
        <v>122</v>
      </c>
      <c r="AH3" s="62"/>
      <c r="AI3" s="36" t="s">
        <v>123</v>
      </c>
      <c r="AJ3" s="116">
        <f>-CONFIG!B42</f>
        <v>-0.3</v>
      </c>
      <c r="AK3" s="116">
        <f>CONFIG!B42</f>
        <v>0.3</v>
      </c>
      <c r="AL3" s="62"/>
      <c r="AM3" s="94" t="s">
        <v>117</v>
      </c>
      <c r="AN3" s="105">
        <f>(1-CONFIG!$B$39)*INPUTS!$C$12</f>
        <v>20369.123339658439</v>
      </c>
      <c r="AO3" s="106">
        <f>INPUTS!$C$12</f>
        <v>29098.747628083485</v>
      </c>
      <c r="AP3" s="105">
        <f>(1+CONFIG!$B$39)*INPUTS!$C$12</f>
        <v>37828.371916508535</v>
      </c>
      <c r="AR3" s="62"/>
    </row>
    <row r="4" spans="1:44" x14ac:dyDescent="0.25">
      <c r="A4" s="162">
        <v>2023</v>
      </c>
      <c r="B4" s="163">
        <f>CAPEXREG!D8</f>
        <v>3000000</v>
      </c>
      <c r="C4" s="163">
        <f>CAPEXREG!E8</f>
        <v>1000000</v>
      </c>
      <c r="D4" s="113"/>
      <c r="E4" s="114">
        <f>SUM(B4:D4)</f>
        <v>4000000</v>
      </c>
      <c r="F4" s="61"/>
      <c r="G4" s="11">
        <v>2019</v>
      </c>
      <c r="H4" s="11" t="s">
        <v>156</v>
      </c>
      <c r="I4" s="61"/>
      <c r="J4" s="107">
        <f>IF(H4="Y",SUMIF($A$4:$A$29,G4,B$4:B$29),0)</f>
        <v>0</v>
      </c>
      <c r="K4" s="107">
        <f>IF(H4="Y",SUMIF($A$4:$A$29,G4,C$4:C$29),0)</f>
        <v>0</v>
      </c>
      <c r="L4" s="107">
        <f>IF(H4="Y",SUMIF($A$4:$A$29,G4,D$4:D$29),0)</f>
        <v>0</v>
      </c>
      <c r="M4" s="108">
        <f t="shared" ref="M4:M29" si="0">SUM(J4:L4)</f>
        <v>0</v>
      </c>
      <c r="N4" s="64"/>
      <c r="O4" s="108">
        <f>IF($H4="Y",J4,0)</f>
        <v>0</v>
      </c>
      <c r="P4" s="108">
        <f>IF($H4="Y",K4,0)</f>
        <v>0</v>
      </c>
      <c r="Q4" s="108">
        <f>IF($H4="Y",L4,0)</f>
        <v>0</v>
      </c>
      <c r="R4" s="108">
        <f t="shared" ref="R4:R29" si="1">SUM(O4:Q4)</f>
        <v>0</v>
      </c>
      <c r="S4" s="64"/>
      <c r="T4" s="108">
        <v>0</v>
      </c>
      <c r="U4" s="108">
        <v>0</v>
      </c>
      <c r="V4" s="108">
        <v>0</v>
      </c>
      <c r="W4" s="108">
        <f t="shared" ref="W4:W29" si="2">SUM(T4:V4)</f>
        <v>0</v>
      </c>
      <c r="X4" s="64"/>
      <c r="Y4" s="108">
        <v>0</v>
      </c>
      <c r="Z4" s="108">
        <v>0</v>
      </c>
      <c r="AA4" s="108">
        <v>0</v>
      </c>
      <c r="AB4" s="108">
        <f t="shared" ref="AB4:AB29" si="3">SUM(Y4:AA4)</f>
        <v>0</v>
      </c>
      <c r="AC4" s="64"/>
      <c r="AD4" s="108">
        <f>T4+Y4</f>
        <v>0</v>
      </c>
      <c r="AE4" s="108">
        <f t="shared" ref="AE4:AF4" si="4">U4+Z4</f>
        <v>0</v>
      </c>
      <c r="AF4" s="108">
        <f t="shared" si="4"/>
        <v>0</v>
      </c>
      <c r="AG4" s="108">
        <f t="shared" ref="AG4:AG29" si="5">SUM(AD4:AF4)</f>
        <v>0</v>
      </c>
      <c r="AH4" s="64"/>
      <c r="AI4" s="64"/>
      <c r="AJ4" s="108">
        <f>SUM($AD4:$AF4)*(1+AJ$3)</f>
        <v>0</v>
      </c>
      <c r="AK4" s="108">
        <f>SUM($AD4:$AF4)*(1+AK$3)</f>
        <v>0</v>
      </c>
      <c r="AL4" s="64"/>
      <c r="AM4" s="64"/>
      <c r="AN4" s="108">
        <f>IF($R3=$M$30,0,BASE!V15)</f>
        <v>0</v>
      </c>
      <c r="AO4" s="108">
        <f>IF($R3=$M$30,0,BASE!W15)</f>
        <v>0</v>
      </c>
      <c r="AP4" s="108">
        <f>IF($R3=$M$30,0,BASE!X15)</f>
        <v>0</v>
      </c>
      <c r="AQ4" s="32"/>
      <c r="AR4" s="32"/>
    </row>
    <row r="5" spans="1:44" x14ac:dyDescent="0.25">
      <c r="A5" s="162">
        <v>2024</v>
      </c>
      <c r="B5" s="163">
        <f>CAPEXREG!D9</f>
        <v>4875000</v>
      </c>
      <c r="C5" s="163">
        <f>CAPEXREG!E9</f>
        <v>1625000</v>
      </c>
      <c r="D5" s="113"/>
      <c r="E5" s="114">
        <f>SUM(B5:D5)</f>
        <v>6500000</v>
      </c>
      <c r="F5" s="61"/>
      <c r="G5" s="11">
        <v>2020</v>
      </c>
      <c r="H5" s="11" t="s">
        <v>156</v>
      </c>
      <c r="I5" s="61"/>
      <c r="J5" s="107">
        <f t="shared" ref="J5:J29" si="6">IF(H5="Y",SUMIF($A$4:$A$29,G5,B$4:B$29),0)</f>
        <v>0</v>
      </c>
      <c r="K5" s="107">
        <f t="shared" ref="K5:K29" si="7">IF(H5="Y",SUMIF($A$4:$A$29,G5,C$4:C$29),0)</f>
        <v>0</v>
      </c>
      <c r="L5" s="107">
        <f t="shared" ref="L5:L29" si="8">IF(H5="Y",SUMIF($A$4:$A$29,G5,D$4:D$29),0)</f>
        <v>0</v>
      </c>
      <c r="M5" s="108">
        <f t="shared" si="0"/>
        <v>0</v>
      </c>
      <c r="N5" s="64"/>
      <c r="O5" s="108">
        <f t="shared" ref="O5:O29" si="9">IF($H5="Y",O4+J5,0)</f>
        <v>0</v>
      </c>
      <c r="P5" s="108">
        <f t="shared" ref="P5:P29" si="10">IF($H5="Y",P4+K5,0)</f>
        <v>0</v>
      </c>
      <c r="Q5" s="108">
        <f t="shared" ref="Q5:Q29" si="11">IF($H5="Y",Q4+L5,0)</f>
        <v>0</v>
      </c>
      <c r="R5" s="108">
        <f t="shared" si="1"/>
        <v>0</v>
      </c>
      <c r="S5" s="64"/>
      <c r="T5" s="108">
        <f>IF($H5="Y",CONFIG!B$34*O4,0)</f>
        <v>0</v>
      </c>
      <c r="U5" s="108">
        <f>IF($H5="Y",CONFIG!C$34*P4,0)</f>
        <v>0</v>
      </c>
      <c r="V5" s="108">
        <f>IF($H5="Y",CONFIG!D$34*Q4,0)</f>
        <v>0</v>
      </c>
      <c r="W5" s="108">
        <f t="shared" si="2"/>
        <v>0</v>
      </c>
      <c r="X5" s="64"/>
      <c r="Y5" s="108">
        <f>IF($H5="Y",CONFIG!B$35*O4,0)</f>
        <v>0</v>
      </c>
      <c r="Z5" s="108">
        <f>IF($H5="Y",CONFIG!C$35*P4,0)</f>
        <v>0</v>
      </c>
      <c r="AA5" s="108">
        <f>IF($H5="Y",CONFIG!D$35*Q4,0)</f>
        <v>0</v>
      </c>
      <c r="AB5" s="108">
        <f t="shared" si="3"/>
        <v>0</v>
      </c>
      <c r="AC5" s="64"/>
      <c r="AD5" s="108">
        <f t="shared" ref="AD5:AD29" si="12">T5+Y5</f>
        <v>0</v>
      </c>
      <c r="AE5" s="108">
        <f t="shared" ref="AE5:AE29" si="13">U5+Z5</f>
        <v>0</v>
      </c>
      <c r="AF5" s="108">
        <f t="shared" ref="AF5:AF29" si="14">V5+AA5</f>
        <v>0</v>
      </c>
      <c r="AG5" s="108">
        <f t="shared" si="5"/>
        <v>0</v>
      </c>
      <c r="AH5" s="64"/>
      <c r="AI5" s="64"/>
      <c r="AJ5" s="108">
        <f>SUM($AD5:$AF5)*(1+AJ$3)</f>
        <v>0</v>
      </c>
      <c r="AK5" s="108">
        <f t="shared" ref="AJ5:AK28" si="15">SUM($AD5:$AF5)*(1+AK$3)</f>
        <v>0</v>
      </c>
      <c r="AL5" s="64"/>
      <c r="AM5" s="64"/>
      <c r="AN5" s="108">
        <f>IF($R4=$M$30,0,BASE!V16)</f>
        <v>0</v>
      </c>
      <c r="AO5" s="108">
        <f>IF($R4=$M$30,0,BASE!W16)</f>
        <v>0</v>
      </c>
      <c r="AP5" s="108">
        <f>IF($R4=$M$30,0,BASE!X16)</f>
        <v>0</v>
      </c>
      <c r="AQ5" s="32"/>
      <c r="AR5" s="32"/>
    </row>
    <row r="6" spans="1:44" x14ac:dyDescent="0.25">
      <c r="A6" s="162">
        <v>2025</v>
      </c>
      <c r="B6" s="163">
        <f>CAPEXREG!D10</f>
        <v>7870500</v>
      </c>
      <c r="C6" s="163">
        <f>CAPEXREG!E10</f>
        <v>2623500</v>
      </c>
      <c r="D6" s="113"/>
      <c r="E6" s="114">
        <f>SUM(B6:D6)</f>
        <v>10494000</v>
      </c>
      <c r="F6" s="61"/>
      <c r="G6" s="11">
        <v>2021</v>
      </c>
      <c r="H6" s="11" t="s">
        <v>156</v>
      </c>
      <c r="I6" s="61"/>
      <c r="J6" s="107">
        <f t="shared" si="6"/>
        <v>0</v>
      </c>
      <c r="K6" s="107">
        <f t="shared" si="7"/>
        <v>0</v>
      </c>
      <c r="L6" s="107">
        <f t="shared" si="8"/>
        <v>0</v>
      </c>
      <c r="M6" s="108">
        <f t="shared" si="0"/>
        <v>0</v>
      </c>
      <c r="N6" s="64"/>
      <c r="O6" s="108">
        <f t="shared" si="9"/>
        <v>0</v>
      </c>
      <c r="P6" s="108">
        <f t="shared" si="10"/>
        <v>0</v>
      </c>
      <c r="Q6" s="108">
        <f t="shared" si="11"/>
        <v>0</v>
      </c>
      <c r="R6" s="108">
        <f t="shared" si="1"/>
        <v>0</v>
      </c>
      <c r="S6" s="64"/>
      <c r="T6" s="108">
        <f>IF($H6="Y",CONFIG!B$34*O5,0)</f>
        <v>0</v>
      </c>
      <c r="U6" s="108">
        <f>IF($H6="Y",CONFIG!C$34*P5,0)</f>
        <v>0</v>
      </c>
      <c r="V6" s="108">
        <f>IF($H6="Y",CONFIG!D$34*Q5,0)</f>
        <v>0</v>
      </c>
      <c r="W6" s="108">
        <f t="shared" si="2"/>
        <v>0</v>
      </c>
      <c r="X6" s="64"/>
      <c r="Y6" s="108">
        <f>IF($H6="Y",CONFIG!B$35*O5,0)</f>
        <v>0</v>
      </c>
      <c r="Z6" s="108">
        <f>IF($H6="Y",CONFIG!C$35*P5,0)</f>
        <v>0</v>
      </c>
      <c r="AA6" s="108">
        <f>IF($H6="Y",CONFIG!D$35*Q5,0)</f>
        <v>0</v>
      </c>
      <c r="AB6" s="108">
        <f t="shared" si="3"/>
        <v>0</v>
      </c>
      <c r="AC6" s="64"/>
      <c r="AD6" s="108">
        <f t="shared" si="12"/>
        <v>0</v>
      </c>
      <c r="AE6" s="108">
        <f t="shared" si="13"/>
        <v>0</v>
      </c>
      <c r="AF6" s="108">
        <f t="shared" si="14"/>
        <v>0</v>
      </c>
      <c r="AG6" s="108">
        <f t="shared" si="5"/>
        <v>0</v>
      </c>
      <c r="AH6" s="64"/>
      <c r="AI6" s="64"/>
      <c r="AJ6" s="108">
        <f t="shared" si="15"/>
        <v>0</v>
      </c>
      <c r="AK6" s="108">
        <f t="shared" si="15"/>
        <v>0</v>
      </c>
      <c r="AL6" s="64"/>
      <c r="AM6" s="64"/>
      <c r="AN6" s="108">
        <f>IF($R5=$M$30,0,BASE!V17)</f>
        <v>0</v>
      </c>
      <c r="AO6" s="108">
        <f>IF($R5=$M$30,0,BASE!W17)</f>
        <v>0</v>
      </c>
      <c r="AP6" s="108">
        <f>IF($R5=$M$30,0,BASE!X17)</f>
        <v>0</v>
      </c>
      <c r="AQ6" s="32"/>
      <c r="AR6" s="32"/>
    </row>
    <row r="7" spans="1:44" x14ac:dyDescent="0.25">
      <c r="A7" s="82"/>
      <c r="B7" s="113"/>
      <c r="C7" s="113"/>
      <c r="D7" s="113"/>
      <c r="E7" s="114"/>
      <c r="F7" s="61"/>
      <c r="G7" s="11">
        <v>2022</v>
      </c>
      <c r="H7" s="11" t="s">
        <v>156</v>
      </c>
      <c r="I7" s="61"/>
      <c r="J7" s="107">
        <f>IF(H7="Y",SUMIF($A$4:$A$29,G7,B$4:B$29),0)</f>
        <v>0</v>
      </c>
      <c r="K7" s="107">
        <f t="shared" si="7"/>
        <v>0</v>
      </c>
      <c r="L7" s="107">
        <f t="shared" si="8"/>
        <v>0</v>
      </c>
      <c r="M7" s="108">
        <f t="shared" si="0"/>
        <v>0</v>
      </c>
      <c r="N7" s="64"/>
      <c r="O7" s="108">
        <f t="shared" si="9"/>
        <v>0</v>
      </c>
      <c r="P7" s="108">
        <f t="shared" si="10"/>
        <v>0</v>
      </c>
      <c r="Q7" s="108">
        <f t="shared" si="11"/>
        <v>0</v>
      </c>
      <c r="R7" s="108">
        <f t="shared" si="1"/>
        <v>0</v>
      </c>
      <c r="S7" s="64"/>
      <c r="T7" s="108">
        <f>IF($H7="Y",CONFIG!B$34*O6,0)</f>
        <v>0</v>
      </c>
      <c r="U7" s="108">
        <f>IF($H7="Y",CONFIG!C$34*P6,0)</f>
        <v>0</v>
      </c>
      <c r="V7" s="108">
        <f>IF($H7="Y",CONFIG!D$34*Q6,0)</f>
        <v>0</v>
      </c>
      <c r="W7" s="108">
        <f t="shared" si="2"/>
        <v>0</v>
      </c>
      <c r="X7" s="64"/>
      <c r="Y7" s="108">
        <f>IF($H7="Y",CONFIG!B$35*O6,0)</f>
        <v>0</v>
      </c>
      <c r="Z7" s="108">
        <f>IF($H7="Y",CONFIG!C$35*P6,0)</f>
        <v>0</v>
      </c>
      <c r="AA7" s="108">
        <f>IF($H7="Y",CONFIG!D$35*Q6,0)</f>
        <v>0</v>
      </c>
      <c r="AB7" s="108">
        <f t="shared" si="3"/>
        <v>0</v>
      </c>
      <c r="AC7" s="64"/>
      <c r="AD7" s="108">
        <f t="shared" si="12"/>
        <v>0</v>
      </c>
      <c r="AE7" s="108">
        <f t="shared" si="13"/>
        <v>0</v>
      </c>
      <c r="AF7" s="108">
        <f t="shared" si="14"/>
        <v>0</v>
      </c>
      <c r="AG7" s="108">
        <f t="shared" si="5"/>
        <v>0</v>
      </c>
      <c r="AH7" s="64"/>
      <c r="AI7" s="64"/>
      <c r="AJ7" s="108">
        <f t="shared" si="15"/>
        <v>0</v>
      </c>
      <c r="AK7" s="108">
        <f t="shared" si="15"/>
        <v>0</v>
      </c>
      <c r="AL7" s="64"/>
      <c r="AM7" s="64"/>
      <c r="AN7" s="108">
        <f>IF($R6=$M$30,0,BASE!V18)</f>
        <v>0</v>
      </c>
      <c r="AO7" s="108">
        <f>IF($R6=$M$30,0,BASE!W18)</f>
        <v>0</v>
      </c>
      <c r="AP7" s="108">
        <f>IF($R6=$M$30,0,BASE!X18)</f>
        <v>0</v>
      </c>
      <c r="AQ7" s="32"/>
      <c r="AR7" s="32"/>
    </row>
    <row r="8" spans="1:44" x14ac:dyDescent="0.25">
      <c r="A8" s="82"/>
      <c r="B8" s="113"/>
      <c r="C8" s="113"/>
      <c r="D8" s="113"/>
      <c r="E8" s="114"/>
      <c r="F8" s="61"/>
      <c r="G8" s="11">
        <v>2023</v>
      </c>
      <c r="H8" s="11" t="str">
        <f>IF(G8&lt;=(INPUTS!$C$2+INPUTS!$C$3),"Y","N")</f>
        <v>Y</v>
      </c>
      <c r="I8" s="61"/>
      <c r="J8" s="107">
        <f t="shared" si="6"/>
        <v>3000000</v>
      </c>
      <c r="K8" s="107">
        <f t="shared" si="7"/>
        <v>1000000</v>
      </c>
      <c r="L8" s="107">
        <f t="shared" si="8"/>
        <v>0</v>
      </c>
      <c r="M8" s="108">
        <f t="shared" si="0"/>
        <v>4000000</v>
      </c>
      <c r="N8" s="64"/>
      <c r="O8" s="108">
        <f t="shared" si="9"/>
        <v>3000000</v>
      </c>
      <c r="P8" s="108">
        <f t="shared" si="10"/>
        <v>1000000</v>
      </c>
      <c r="Q8" s="108">
        <f t="shared" si="11"/>
        <v>0</v>
      </c>
      <c r="R8" s="108">
        <f t="shared" si="1"/>
        <v>4000000</v>
      </c>
      <c r="S8" s="64"/>
      <c r="T8" s="108">
        <f>IF($H8="Y",CONFIG!B$34*O7,0)</f>
        <v>0</v>
      </c>
      <c r="U8" s="108">
        <f>IF($H8="Y",CONFIG!C$34*P7,0)</f>
        <v>0</v>
      </c>
      <c r="V8" s="108">
        <f>IF($H8="Y",CONFIG!D$34*Q7,0)</f>
        <v>0</v>
      </c>
      <c r="W8" s="108">
        <f t="shared" si="2"/>
        <v>0</v>
      </c>
      <c r="X8" s="64"/>
      <c r="Y8" s="108">
        <f>IF($H8="Y",CONFIG!B$35*O7,0)</f>
        <v>0</v>
      </c>
      <c r="Z8" s="108">
        <f>IF($H8="Y",CONFIG!C$35*P7,0)</f>
        <v>0</v>
      </c>
      <c r="AA8" s="108">
        <f>IF($H8="Y",CONFIG!D$35*Q7,0)</f>
        <v>0</v>
      </c>
      <c r="AB8" s="108">
        <f t="shared" si="3"/>
        <v>0</v>
      </c>
      <c r="AC8" s="64"/>
      <c r="AD8" s="108">
        <f t="shared" si="12"/>
        <v>0</v>
      </c>
      <c r="AE8" s="108">
        <f t="shared" si="13"/>
        <v>0</v>
      </c>
      <c r="AF8" s="108">
        <f t="shared" si="14"/>
        <v>0</v>
      </c>
      <c r="AG8" s="108">
        <f t="shared" si="5"/>
        <v>0</v>
      </c>
      <c r="AH8" s="64"/>
      <c r="AI8" s="64"/>
      <c r="AJ8" s="108">
        <f t="shared" si="15"/>
        <v>0</v>
      </c>
      <c r="AK8" s="108">
        <f t="shared" si="15"/>
        <v>0</v>
      </c>
      <c r="AL8" s="64"/>
      <c r="AM8" s="64"/>
      <c r="AN8" s="108">
        <f>IF($R7=$M$30,0,BASE!V19)</f>
        <v>638499.41796762589</v>
      </c>
      <c r="AO8" s="108">
        <f>IF($R7=$M$30,0,BASE!W19)</f>
        <v>912142.02566803689</v>
      </c>
      <c r="AP8" s="108">
        <f>IF($R7=$M$30,0,BASE!X19)</f>
        <v>1185784.6333684481</v>
      </c>
      <c r="AQ8" s="32"/>
      <c r="AR8" s="32"/>
    </row>
    <row r="9" spans="1:44" x14ac:dyDescent="0.25">
      <c r="A9" s="82"/>
      <c r="B9" s="113"/>
      <c r="C9" s="113"/>
      <c r="D9" s="113"/>
      <c r="E9" s="114"/>
      <c r="F9" s="61"/>
      <c r="G9" s="11">
        <v>2024</v>
      </c>
      <c r="H9" s="11" t="str">
        <f>IF(G9&lt;=(INPUTS!$C$2+INPUTS!$C$3),"Y","N")</f>
        <v>Y</v>
      </c>
      <c r="I9" s="61"/>
      <c r="J9" s="107">
        <f t="shared" si="6"/>
        <v>4875000</v>
      </c>
      <c r="K9" s="107">
        <f t="shared" si="7"/>
        <v>1625000</v>
      </c>
      <c r="L9" s="107">
        <f t="shared" si="8"/>
        <v>0</v>
      </c>
      <c r="M9" s="108">
        <f t="shared" si="0"/>
        <v>6500000</v>
      </c>
      <c r="N9" s="64"/>
      <c r="O9" s="108">
        <f t="shared" si="9"/>
        <v>7875000</v>
      </c>
      <c r="P9" s="108">
        <f t="shared" si="10"/>
        <v>2625000</v>
      </c>
      <c r="Q9" s="108">
        <f t="shared" si="11"/>
        <v>0</v>
      </c>
      <c r="R9" s="108">
        <f t="shared" si="1"/>
        <v>10500000</v>
      </c>
      <c r="S9" s="64"/>
      <c r="T9" s="108">
        <f>IF($H9="Y",CONFIG!B$34*O8,0)</f>
        <v>54545.454545454544</v>
      </c>
      <c r="U9" s="108">
        <f>IF($H9="Y",CONFIG!C$34*P8,0)</f>
        <v>22222.222222222223</v>
      </c>
      <c r="V9" s="108">
        <f>IF($H9="Y",CONFIG!D$34*Q8,0)</f>
        <v>0</v>
      </c>
      <c r="W9" s="108">
        <f t="shared" si="2"/>
        <v>76767.676767676763</v>
      </c>
      <c r="X9" s="64"/>
      <c r="Y9" s="108">
        <f>IF($H9="Y",CONFIG!B$35*O8,0)</f>
        <v>45000</v>
      </c>
      <c r="Z9" s="108">
        <f>IF($H9="Y",CONFIG!C$35*P8,0)</f>
        <v>15000</v>
      </c>
      <c r="AA9" s="108">
        <f>IF($H9="Y",CONFIG!D$35*Q8,0)</f>
        <v>0</v>
      </c>
      <c r="AB9" s="108">
        <f t="shared" si="3"/>
        <v>60000</v>
      </c>
      <c r="AC9" s="64"/>
      <c r="AD9" s="108">
        <f t="shared" si="12"/>
        <v>99545.454545454544</v>
      </c>
      <c r="AE9" s="108">
        <f t="shared" si="13"/>
        <v>37222.222222222219</v>
      </c>
      <c r="AF9" s="108">
        <f t="shared" si="14"/>
        <v>0</v>
      </c>
      <c r="AG9" s="108">
        <f t="shared" si="5"/>
        <v>136767.67676767678</v>
      </c>
      <c r="AH9" s="64"/>
      <c r="AI9" s="64"/>
      <c r="AJ9" s="108">
        <f t="shared" si="15"/>
        <v>95737.373737373739</v>
      </c>
      <c r="AK9" s="108">
        <f t="shared" si="15"/>
        <v>177797.97979797982</v>
      </c>
      <c r="AL9" s="64"/>
      <c r="AM9" s="64"/>
      <c r="AN9" s="108">
        <f>IF($R8=$M$30,0,BASE!V20)</f>
        <v>636611.00974072679</v>
      </c>
      <c r="AO9" s="108">
        <f>IF($R8=$M$30,0,BASE!W20)</f>
        <v>909444.29962960968</v>
      </c>
      <c r="AP9" s="108">
        <f>IF($R8=$M$30,0,BASE!X20)</f>
        <v>1182277.5895184928</v>
      </c>
      <c r="AQ9" s="32"/>
      <c r="AR9" s="32"/>
    </row>
    <row r="10" spans="1:44" x14ac:dyDescent="0.25">
      <c r="A10" s="82"/>
      <c r="B10" s="113"/>
      <c r="C10" s="113"/>
      <c r="D10" s="113"/>
      <c r="E10" s="114"/>
      <c r="F10" s="61"/>
      <c r="G10" s="11">
        <v>2025</v>
      </c>
      <c r="H10" s="11" t="str">
        <f>IF(G10&lt;=(INPUTS!$C$2+INPUTS!$C$3),"Y","N")</f>
        <v>Y</v>
      </c>
      <c r="I10" s="61"/>
      <c r="J10" s="107">
        <f t="shared" si="6"/>
        <v>7870500</v>
      </c>
      <c r="K10" s="107">
        <f t="shared" si="7"/>
        <v>2623500</v>
      </c>
      <c r="L10" s="107">
        <f t="shared" si="8"/>
        <v>0</v>
      </c>
      <c r="M10" s="108">
        <f t="shared" si="0"/>
        <v>10494000</v>
      </c>
      <c r="N10" s="64"/>
      <c r="O10" s="108">
        <f t="shared" si="9"/>
        <v>15745500</v>
      </c>
      <c r="P10" s="108">
        <f t="shared" si="10"/>
        <v>5248500</v>
      </c>
      <c r="Q10" s="108">
        <f t="shared" si="11"/>
        <v>0</v>
      </c>
      <c r="R10" s="108">
        <f t="shared" si="1"/>
        <v>20994000</v>
      </c>
      <c r="S10" s="64"/>
      <c r="T10" s="108">
        <f>IF($H10="Y",CONFIG!B$34*O9,0)</f>
        <v>143181.81818181818</v>
      </c>
      <c r="U10" s="108">
        <f>IF($H10="Y",CONFIG!C$34*P9,0)</f>
        <v>58333.333333333336</v>
      </c>
      <c r="V10" s="108">
        <f>IF($H10="Y",CONFIG!D$34*Q9,0)</f>
        <v>0</v>
      </c>
      <c r="W10" s="108">
        <f t="shared" si="2"/>
        <v>201515.15151515152</v>
      </c>
      <c r="X10" s="64"/>
      <c r="Y10" s="108">
        <f>IF($H10="Y",CONFIG!B$35*O9,0)</f>
        <v>118125</v>
      </c>
      <c r="Z10" s="108">
        <f>IF($H10="Y",CONFIG!C$35*P9,0)</f>
        <v>39375</v>
      </c>
      <c r="AA10" s="108">
        <f>IF($H10="Y",CONFIG!D$35*Q9,0)</f>
        <v>0</v>
      </c>
      <c r="AB10" s="108">
        <f t="shared" si="3"/>
        <v>157500</v>
      </c>
      <c r="AC10" s="64"/>
      <c r="AD10" s="108">
        <f t="shared" si="12"/>
        <v>261306.81818181818</v>
      </c>
      <c r="AE10" s="108">
        <f t="shared" si="13"/>
        <v>97708.333333333343</v>
      </c>
      <c r="AF10" s="108">
        <f t="shared" si="14"/>
        <v>0</v>
      </c>
      <c r="AG10" s="108">
        <f t="shared" si="5"/>
        <v>359015.15151515149</v>
      </c>
      <c r="AH10" s="64"/>
      <c r="AI10" s="64"/>
      <c r="AJ10" s="108">
        <f t="shared" si="15"/>
        <v>251310.60606060602</v>
      </c>
      <c r="AK10" s="108">
        <f t="shared" si="15"/>
        <v>466719.69696969696</v>
      </c>
      <c r="AL10" s="64"/>
      <c r="AM10" s="64"/>
      <c r="AN10" s="108">
        <f>IF($R9=$M$30,0,BASE!V21)</f>
        <v>635763.87661667785</v>
      </c>
      <c r="AO10" s="108">
        <f>IF($R9=$M$30,0,BASE!W21)</f>
        <v>908234.10945239698</v>
      </c>
      <c r="AP10" s="108">
        <f>IF($R9=$M$30,0,BASE!X21)</f>
        <v>1180704.3422881162</v>
      </c>
      <c r="AQ10" s="32"/>
      <c r="AR10" s="32"/>
    </row>
    <row r="11" spans="1:44" x14ac:dyDescent="0.25">
      <c r="A11" s="82"/>
      <c r="B11" s="113"/>
      <c r="C11" s="113"/>
      <c r="D11" s="113"/>
      <c r="E11" s="114"/>
      <c r="F11" s="61"/>
      <c r="G11" s="11">
        <v>2026</v>
      </c>
      <c r="H11" s="11" t="str">
        <f>IF(G11&lt;=(INPUTS!$C$2+INPUTS!$C$3),"Y","N")</f>
        <v>Y</v>
      </c>
      <c r="I11" s="61"/>
      <c r="J11" s="107">
        <f t="shared" si="6"/>
        <v>0</v>
      </c>
      <c r="K11" s="107">
        <f t="shared" si="7"/>
        <v>0</v>
      </c>
      <c r="L11" s="107">
        <f t="shared" si="8"/>
        <v>0</v>
      </c>
      <c r="M11" s="108">
        <f t="shared" si="0"/>
        <v>0</v>
      </c>
      <c r="N11" s="64"/>
      <c r="O11" s="108">
        <f t="shared" si="9"/>
        <v>15745500</v>
      </c>
      <c r="P11" s="108">
        <f t="shared" si="10"/>
        <v>5248500</v>
      </c>
      <c r="Q11" s="108">
        <f t="shared" si="11"/>
        <v>0</v>
      </c>
      <c r="R11" s="108">
        <f t="shared" si="1"/>
        <v>20994000</v>
      </c>
      <c r="S11" s="64"/>
      <c r="T11" s="108">
        <f>IF($H11="Y",CONFIG!B$34*O10,0)</f>
        <v>286281.81818181818</v>
      </c>
      <c r="U11" s="108">
        <f>IF($H11="Y",CONFIG!C$34*P10,0)</f>
        <v>116633.33333333334</v>
      </c>
      <c r="V11" s="108">
        <f>IF($H11="Y",CONFIG!D$34*Q10,0)</f>
        <v>0</v>
      </c>
      <c r="W11" s="108">
        <f t="shared" si="2"/>
        <v>402915.15151515149</v>
      </c>
      <c r="X11" s="64"/>
      <c r="Y11" s="108">
        <f>IF($H11="Y",CONFIG!B$35*O10,0)</f>
        <v>236182.5</v>
      </c>
      <c r="Z11" s="108">
        <f>IF($H11="Y",CONFIG!C$35*P10,0)</f>
        <v>78727.5</v>
      </c>
      <c r="AA11" s="108">
        <f>IF($H11="Y",CONFIG!D$35*Q10,0)</f>
        <v>0</v>
      </c>
      <c r="AB11" s="108">
        <f t="shared" si="3"/>
        <v>314910</v>
      </c>
      <c r="AC11" s="64"/>
      <c r="AD11" s="108">
        <f t="shared" si="12"/>
        <v>522464.31818181818</v>
      </c>
      <c r="AE11" s="108">
        <f t="shared" si="13"/>
        <v>195360.83333333334</v>
      </c>
      <c r="AF11" s="108">
        <f t="shared" si="14"/>
        <v>0</v>
      </c>
      <c r="AG11" s="108">
        <f t="shared" si="5"/>
        <v>717825.15151515149</v>
      </c>
      <c r="AH11" s="64"/>
      <c r="AI11" s="64"/>
      <c r="AJ11" s="108">
        <f t="shared" si="15"/>
        <v>502477.60606060602</v>
      </c>
      <c r="AK11" s="108">
        <f t="shared" si="15"/>
        <v>933172.69696969702</v>
      </c>
      <c r="AL11" s="64"/>
      <c r="AM11" s="64"/>
      <c r="AN11" s="108">
        <f>IF($R10=$M$30,0,BASE!V22)</f>
        <v>0</v>
      </c>
      <c r="AO11" s="108">
        <f>IF($R10=$M$30,0,BASE!W22)</f>
        <v>0</v>
      </c>
      <c r="AP11" s="108">
        <f>IF($R10=$M$30,0,BASE!X22)</f>
        <v>0</v>
      </c>
      <c r="AQ11" s="32"/>
      <c r="AR11" s="32"/>
    </row>
    <row r="12" spans="1:44" x14ac:dyDescent="0.25">
      <c r="A12" s="82"/>
      <c r="B12" s="113"/>
      <c r="C12" s="113"/>
      <c r="D12" s="113"/>
      <c r="E12" s="114"/>
      <c r="F12" s="61"/>
      <c r="G12" s="11">
        <v>2027</v>
      </c>
      <c r="H12" s="11" t="str">
        <f>IF(G12&lt;=(INPUTS!$C$2+INPUTS!$C$3),"Y","N")</f>
        <v>Y</v>
      </c>
      <c r="I12" s="61"/>
      <c r="J12" s="107">
        <f t="shared" si="6"/>
        <v>0</v>
      </c>
      <c r="K12" s="107">
        <f t="shared" si="7"/>
        <v>0</v>
      </c>
      <c r="L12" s="107">
        <f t="shared" si="8"/>
        <v>0</v>
      </c>
      <c r="M12" s="108">
        <f t="shared" si="0"/>
        <v>0</v>
      </c>
      <c r="N12" s="64"/>
      <c r="O12" s="108">
        <f t="shared" si="9"/>
        <v>15745500</v>
      </c>
      <c r="P12" s="108">
        <f t="shared" si="10"/>
        <v>5248500</v>
      </c>
      <c r="Q12" s="108">
        <f t="shared" si="11"/>
        <v>0</v>
      </c>
      <c r="R12" s="108">
        <f t="shared" si="1"/>
        <v>20994000</v>
      </c>
      <c r="S12" s="64"/>
      <c r="T12" s="108">
        <f>IF($H12="Y",CONFIG!B$34*O11,0)</f>
        <v>286281.81818181818</v>
      </c>
      <c r="U12" s="108">
        <f>IF($H12="Y",CONFIG!C$34*P11,0)</f>
        <v>116633.33333333334</v>
      </c>
      <c r="V12" s="108">
        <f>IF($H12="Y",CONFIG!D$34*Q11,0)</f>
        <v>0</v>
      </c>
      <c r="W12" s="108">
        <f t="shared" si="2"/>
        <v>402915.15151515149</v>
      </c>
      <c r="X12" s="64"/>
      <c r="Y12" s="108">
        <f>IF($H12="Y",CONFIG!B$35*O11,0)</f>
        <v>236182.5</v>
      </c>
      <c r="Z12" s="108">
        <f>IF($H12="Y",CONFIG!C$35*P11,0)</f>
        <v>78727.5</v>
      </c>
      <c r="AA12" s="108">
        <f>IF($H12="Y",CONFIG!D$35*Q11,0)</f>
        <v>0</v>
      </c>
      <c r="AB12" s="108">
        <f t="shared" si="3"/>
        <v>314910</v>
      </c>
      <c r="AC12" s="64"/>
      <c r="AD12" s="108">
        <f t="shared" si="12"/>
        <v>522464.31818181818</v>
      </c>
      <c r="AE12" s="108">
        <f t="shared" si="13"/>
        <v>195360.83333333334</v>
      </c>
      <c r="AF12" s="108">
        <f t="shared" si="14"/>
        <v>0</v>
      </c>
      <c r="AG12" s="108">
        <f t="shared" si="5"/>
        <v>717825.15151515149</v>
      </c>
      <c r="AH12" s="64"/>
      <c r="AI12" s="64"/>
      <c r="AJ12" s="108">
        <f t="shared" si="15"/>
        <v>502477.60606060602</v>
      </c>
      <c r="AK12" s="108">
        <f t="shared" si="15"/>
        <v>933172.69696969702</v>
      </c>
      <c r="AL12" s="64"/>
      <c r="AM12" s="64"/>
      <c r="AN12" s="108">
        <f>IF($R11=$M$30,0,BASE!V23)</f>
        <v>0</v>
      </c>
      <c r="AO12" s="108">
        <f>IF($R11=$M$30,0,BASE!W23)</f>
        <v>0</v>
      </c>
      <c r="AP12" s="108">
        <f>IF($R11=$M$30,0,BASE!X23)</f>
        <v>0</v>
      </c>
      <c r="AQ12" s="32"/>
      <c r="AR12" s="32"/>
    </row>
    <row r="13" spans="1:44" x14ac:dyDescent="0.25">
      <c r="A13" s="82"/>
      <c r="B13" s="113"/>
      <c r="C13" s="113"/>
      <c r="D13" s="113"/>
      <c r="E13" s="114"/>
      <c r="F13" s="61"/>
      <c r="G13" s="11">
        <v>2028</v>
      </c>
      <c r="H13" s="11" t="str">
        <f>IF(G13&lt;=(INPUTS!$C$2+INPUTS!$C$3),"Y","N")</f>
        <v>Y</v>
      </c>
      <c r="I13" s="61"/>
      <c r="J13" s="107">
        <f t="shared" si="6"/>
        <v>0</v>
      </c>
      <c r="K13" s="107">
        <f t="shared" si="7"/>
        <v>0</v>
      </c>
      <c r="L13" s="107">
        <f t="shared" si="8"/>
        <v>0</v>
      </c>
      <c r="M13" s="108">
        <f t="shared" si="0"/>
        <v>0</v>
      </c>
      <c r="N13" s="64"/>
      <c r="O13" s="108">
        <f t="shared" si="9"/>
        <v>15745500</v>
      </c>
      <c r="P13" s="108">
        <f t="shared" si="10"/>
        <v>5248500</v>
      </c>
      <c r="Q13" s="108">
        <f t="shared" si="11"/>
        <v>0</v>
      </c>
      <c r="R13" s="108">
        <f t="shared" si="1"/>
        <v>20994000</v>
      </c>
      <c r="S13" s="64"/>
      <c r="T13" s="108">
        <f>IF($H13="Y",CONFIG!B$34*O12,0)</f>
        <v>286281.81818181818</v>
      </c>
      <c r="U13" s="108">
        <f>IF($H13="Y",CONFIG!C$34*P12,0)</f>
        <v>116633.33333333334</v>
      </c>
      <c r="V13" s="108">
        <f>IF($H13="Y",CONFIG!D$34*Q12,0)</f>
        <v>0</v>
      </c>
      <c r="W13" s="108">
        <f t="shared" si="2"/>
        <v>402915.15151515149</v>
      </c>
      <c r="X13" s="64"/>
      <c r="Y13" s="108">
        <f>IF($H13="Y",CONFIG!B$35*O12,0)</f>
        <v>236182.5</v>
      </c>
      <c r="Z13" s="108">
        <f>IF($H13="Y",CONFIG!C$35*P12,0)</f>
        <v>78727.5</v>
      </c>
      <c r="AA13" s="108">
        <f>IF($H13="Y",CONFIG!D$35*Q12,0)</f>
        <v>0</v>
      </c>
      <c r="AB13" s="108">
        <f t="shared" si="3"/>
        <v>314910</v>
      </c>
      <c r="AC13" s="64"/>
      <c r="AD13" s="108">
        <f t="shared" si="12"/>
        <v>522464.31818181818</v>
      </c>
      <c r="AE13" s="108">
        <f t="shared" si="13"/>
        <v>195360.83333333334</v>
      </c>
      <c r="AF13" s="108">
        <f t="shared" si="14"/>
        <v>0</v>
      </c>
      <c r="AG13" s="108">
        <f t="shared" si="5"/>
        <v>717825.15151515149</v>
      </c>
      <c r="AH13" s="64"/>
      <c r="AI13" s="64"/>
      <c r="AJ13" s="108">
        <f t="shared" si="15"/>
        <v>502477.60606060602</v>
      </c>
      <c r="AK13" s="108">
        <f t="shared" si="15"/>
        <v>933172.69696969702</v>
      </c>
      <c r="AL13" s="64"/>
      <c r="AM13" s="64"/>
      <c r="AN13" s="108">
        <f>IF($R12=$M$30,0,BASE!V24)</f>
        <v>0</v>
      </c>
      <c r="AO13" s="108">
        <f>IF($R12=$M$30,0,BASE!W24)</f>
        <v>0</v>
      </c>
      <c r="AP13" s="108">
        <f>IF($R12=$M$30,0,BASE!X24)</f>
        <v>0</v>
      </c>
      <c r="AR13" s="32"/>
    </row>
    <row r="14" spans="1:44" x14ac:dyDescent="0.25">
      <c r="A14" s="82"/>
      <c r="B14" s="113"/>
      <c r="C14" s="113"/>
      <c r="D14" s="113"/>
      <c r="E14" s="114"/>
      <c r="F14" s="61"/>
      <c r="G14" s="11">
        <v>2029</v>
      </c>
      <c r="H14" s="11" t="str">
        <f>IF(G14&lt;=(INPUTS!$C$2+INPUTS!$C$3),"Y","N")</f>
        <v>Y</v>
      </c>
      <c r="I14" s="61"/>
      <c r="J14" s="107">
        <f t="shared" si="6"/>
        <v>0</v>
      </c>
      <c r="K14" s="107">
        <f t="shared" si="7"/>
        <v>0</v>
      </c>
      <c r="L14" s="107">
        <f t="shared" si="8"/>
        <v>0</v>
      </c>
      <c r="M14" s="108">
        <f t="shared" si="0"/>
        <v>0</v>
      </c>
      <c r="N14" s="64"/>
      <c r="O14" s="108">
        <f t="shared" si="9"/>
        <v>15745500</v>
      </c>
      <c r="P14" s="108">
        <f t="shared" si="10"/>
        <v>5248500</v>
      </c>
      <c r="Q14" s="108">
        <f t="shared" si="11"/>
        <v>0</v>
      </c>
      <c r="R14" s="108">
        <f t="shared" si="1"/>
        <v>20994000</v>
      </c>
      <c r="S14" s="64"/>
      <c r="T14" s="108">
        <f>IF($H14="Y",CONFIG!B$34*O13,0)</f>
        <v>286281.81818181818</v>
      </c>
      <c r="U14" s="108">
        <f>IF($H14="Y",CONFIG!C$34*P13,0)</f>
        <v>116633.33333333334</v>
      </c>
      <c r="V14" s="108">
        <f>IF($H14="Y",CONFIG!D$34*Q13,0)</f>
        <v>0</v>
      </c>
      <c r="W14" s="108">
        <f t="shared" si="2"/>
        <v>402915.15151515149</v>
      </c>
      <c r="X14" s="64"/>
      <c r="Y14" s="108">
        <f>IF($H14="Y",CONFIG!B$35*O13,0)</f>
        <v>236182.5</v>
      </c>
      <c r="Z14" s="108">
        <f>IF($H14="Y",CONFIG!C$35*P13,0)</f>
        <v>78727.5</v>
      </c>
      <c r="AA14" s="108">
        <f>IF($H14="Y",CONFIG!D$35*Q13,0)</f>
        <v>0</v>
      </c>
      <c r="AB14" s="108">
        <f t="shared" si="3"/>
        <v>314910</v>
      </c>
      <c r="AC14" s="64"/>
      <c r="AD14" s="108">
        <f t="shared" si="12"/>
        <v>522464.31818181818</v>
      </c>
      <c r="AE14" s="108">
        <f t="shared" si="13"/>
        <v>195360.83333333334</v>
      </c>
      <c r="AF14" s="108">
        <f t="shared" si="14"/>
        <v>0</v>
      </c>
      <c r="AG14" s="108">
        <f t="shared" si="5"/>
        <v>717825.15151515149</v>
      </c>
      <c r="AH14" s="64"/>
      <c r="AI14" s="64"/>
      <c r="AJ14" s="108">
        <f t="shared" si="15"/>
        <v>502477.60606060602</v>
      </c>
      <c r="AK14" s="108">
        <f t="shared" si="15"/>
        <v>933172.69696969702</v>
      </c>
      <c r="AL14" s="64"/>
      <c r="AM14" s="64"/>
      <c r="AN14" s="108">
        <f>IF($R13=$M$30,0,BASE!V25)</f>
        <v>0</v>
      </c>
      <c r="AO14" s="108">
        <f>IF($R13=$M$30,0,BASE!W25)</f>
        <v>0</v>
      </c>
      <c r="AP14" s="108">
        <f>IF($R13=$M$30,0,BASE!X25)</f>
        <v>0</v>
      </c>
      <c r="AR14" s="32"/>
    </row>
    <row r="15" spans="1:44" x14ac:dyDescent="0.25">
      <c r="A15" s="82"/>
      <c r="B15" s="113"/>
      <c r="C15" s="113"/>
      <c r="D15" s="113"/>
      <c r="E15" s="114"/>
      <c r="F15" s="61"/>
      <c r="G15" s="11">
        <v>2030</v>
      </c>
      <c r="H15" s="11" t="str">
        <f>IF(G15&lt;=(INPUTS!$C$2+INPUTS!$C$3),"Y","N")</f>
        <v>Y</v>
      </c>
      <c r="I15" s="61"/>
      <c r="J15" s="107">
        <f t="shared" si="6"/>
        <v>0</v>
      </c>
      <c r="K15" s="107">
        <f t="shared" si="7"/>
        <v>0</v>
      </c>
      <c r="L15" s="107">
        <f t="shared" si="8"/>
        <v>0</v>
      </c>
      <c r="M15" s="108">
        <f t="shared" si="0"/>
        <v>0</v>
      </c>
      <c r="N15" s="64"/>
      <c r="O15" s="108">
        <f t="shared" si="9"/>
        <v>15745500</v>
      </c>
      <c r="P15" s="108">
        <f t="shared" si="10"/>
        <v>5248500</v>
      </c>
      <c r="Q15" s="108">
        <f t="shared" si="11"/>
        <v>0</v>
      </c>
      <c r="R15" s="108">
        <f t="shared" si="1"/>
        <v>20994000</v>
      </c>
      <c r="S15" s="64"/>
      <c r="T15" s="108">
        <f>IF($H15="Y",CONFIG!B$34*O14,0)</f>
        <v>286281.81818181818</v>
      </c>
      <c r="U15" s="108">
        <f>IF($H15="Y",CONFIG!C$34*P14,0)</f>
        <v>116633.33333333334</v>
      </c>
      <c r="V15" s="108">
        <f>IF($H15="Y",CONFIG!D$34*Q14,0)</f>
        <v>0</v>
      </c>
      <c r="W15" s="108">
        <f t="shared" si="2"/>
        <v>402915.15151515149</v>
      </c>
      <c r="X15" s="64"/>
      <c r="Y15" s="108">
        <f>IF($H15="Y",CONFIG!B$35*O14,0)</f>
        <v>236182.5</v>
      </c>
      <c r="Z15" s="108">
        <f>IF($H15="Y",CONFIG!C$35*P14,0)</f>
        <v>78727.5</v>
      </c>
      <c r="AA15" s="108">
        <f>IF($H15="Y",CONFIG!D$35*Q14,0)</f>
        <v>0</v>
      </c>
      <c r="AB15" s="108">
        <f t="shared" si="3"/>
        <v>314910</v>
      </c>
      <c r="AC15" s="64"/>
      <c r="AD15" s="108">
        <f t="shared" si="12"/>
        <v>522464.31818181818</v>
      </c>
      <c r="AE15" s="108">
        <f t="shared" si="13"/>
        <v>195360.83333333334</v>
      </c>
      <c r="AF15" s="108">
        <f t="shared" si="14"/>
        <v>0</v>
      </c>
      <c r="AG15" s="108">
        <f t="shared" si="5"/>
        <v>717825.15151515149</v>
      </c>
      <c r="AH15" s="64"/>
      <c r="AI15" s="64"/>
      <c r="AJ15" s="108">
        <f t="shared" si="15"/>
        <v>502477.60606060602</v>
      </c>
      <c r="AK15" s="108">
        <f t="shared" si="15"/>
        <v>933172.69696969702</v>
      </c>
      <c r="AL15" s="64"/>
      <c r="AM15" s="64"/>
      <c r="AN15" s="108">
        <f>IF($R14=$M$30,0,BASE!V26)</f>
        <v>0</v>
      </c>
      <c r="AO15" s="108">
        <f>IF($R14=$M$30,0,BASE!W26)</f>
        <v>0</v>
      </c>
      <c r="AP15" s="108">
        <f>IF($R14=$M$30,0,BASE!X26)</f>
        <v>0</v>
      </c>
      <c r="AR15" s="32"/>
    </row>
    <row r="16" spans="1:44" x14ac:dyDescent="0.25">
      <c r="A16" s="82"/>
      <c r="B16" s="113"/>
      <c r="C16" s="113"/>
      <c r="D16" s="113"/>
      <c r="E16" s="114"/>
      <c r="F16" s="61"/>
      <c r="G16" s="11">
        <v>2031</v>
      </c>
      <c r="H16" s="11" t="str">
        <f>IF(G16&lt;=(INPUTS!$C$2+INPUTS!$C$3),"Y","N")</f>
        <v>Y</v>
      </c>
      <c r="I16" s="61"/>
      <c r="J16" s="107">
        <f t="shared" si="6"/>
        <v>0</v>
      </c>
      <c r="K16" s="107">
        <f t="shared" si="7"/>
        <v>0</v>
      </c>
      <c r="L16" s="107">
        <f t="shared" si="8"/>
        <v>0</v>
      </c>
      <c r="M16" s="108">
        <f t="shared" si="0"/>
        <v>0</v>
      </c>
      <c r="N16" s="64"/>
      <c r="O16" s="108">
        <f t="shared" si="9"/>
        <v>15745500</v>
      </c>
      <c r="P16" s="108">
        <f t="shared" si="10"/>
        <v>5248500</v>
      </c>
      <c r="Q16" s="108">
        <f t="shared" si="11"/>
        <v>0</v>
      </c>
      <c r="R16" s="108">
        <f t="shared" si="1"/>
        <v>20994000</v>
      </c>
      <c r="S16" s="64"/>
      <c r="T16" s="108">
        <f>IF($H16="Y",CONFIG!B$34*O15,0)</f>
        <v>286281.81818181818</v>
      </c>
      <c r="U16" s="108">
        <f>IF($H16="Y",CONFIG!C$34*P15,0)</f>
        <v>116633.33333333334</v>
      </c>
      <c r="V16" s="108">
        <f>IF($H16="Y",CONFIG!D$34*Q15,0)</f>
        <v>0</v>
      </c>
      <c r="W16" s="108">
        <f t="shared" si="2"/>
        <v>402915.15151515149</v>
      </c>
      <c r="X16" s="64"/>
      <c r="Y16" s="108">
        <f>IF($H16="Y",CONFIG!B$35*O15,0)</f>
        <v>236182.5</v>
      </c>
      <c r="Z16" s="108">
        <f>IF($H16="Y",CONFIG!C$35*P15,0)</f>
        <v>78727.5</v>
      </c>
      <c r="AA16" s="108">
        <f>IF($H16="Y",CONFIG!D$35*Q15,0)</f>
        <v>0</v>
      </c>
      <c r="AB16" s="108">
        <f t="shared" si="3"/>
        <v>314910</v>
      </c>
      <c r="AC16" s="64"/>
      <c r="AD16" s="108">
        <f t="shared" si="12"/>
        <v>522464.31818181818</v>
      </c>
      <c r="AE16" s="108">
        <f t="shared" si="13"/>
        <v>195360.83333333334</v>
      </c>
      <c r="AF16" s="108">
        <f t="shared" si="14"/>
        <v>0</v>
      </c>
      <c r="AG16" s="108">
        <f t="shared" si="5"/>
        <v>717825.15151515149</v>
      </c>
      <c r="AH16" s="64"/>
      <c r="AI16" s="64"/>
      <c r="AJ16" s="108">
        <f t="shared" si="15"/>
        <v>502477.60606060602</v>
      </c>
      <c r="AK16" s="108">
        <f t="shared" si="15"/>
        <v>933172.69696969702</v>
      </c>
      <c r="AL16" s="64"/>
      <c r="AM16" s="64"/>
      <c r="AN16" s="108">
        <f>IF($R15=$M$30,0,BASE!V27)</f>
        <v>0</v>
      </c>
      <c r="AO16" s="108">
        <f>IF($R15=$M$30,0,BASE!W27)</f>
        <v>0</v>
      </c>
      <c r="AP16" s="108">
        <f>IF($R15=$M$30,0,BASE!X27)</f>
        <v>0</v>
      </c>
      <c r="AR16" s="32"/>
    </row>
    <row r="17" spans="1:44" x14ac:dyDescent="0.25">
      <c r="A17" s="82"/>
      <c r="B17" s="113"/>
      <c r="C17" s="113"/>
      <c r="D17" s="113"/>
      <c r="E17" s="114"/>
      <c r="F17" s="61"/>
      <c r="G17" s="11">
        <v>2032</v>
      </c>
      <c r="H17" s="11" t="str">
        <f>IF(G17&lt;=(INPUTS!$C$2+INPUTS!$C$3),"Y","N")</f>
        <v>Y</v>
      </c>
      <c r="I17" s="61"/>
      <c r="J17" s="107">
        <f t="shared" si="6"/>
        <v>0</v>
      </c>
      <c r="K17" s="107">
        <f t="shared" si="7"/>
        <v>0</v>
      </c>
      <c r="L17" s="107">
        <f t="shared" si="8"/>
        <v>0</v>
      </c>
      <c r="M17" s="108">
        <f t="shared" si="0"/>
        <v>0</v>
      </c>
      <c r="N17" s="64"/>
      <c r="O17" s="108">
        <f t="shared" si="9"/>
        <v>15745500</v>
      </c>
      <c r="P17" s="108">
        <f t="shared" si="10"/>
        <v>5248500</v>
      </c>
      <c r="Q17" s="108">
        <f t="shared" si="11"/>
        <v>0</v>
      </c>
      <c r="R17" s="108">
        <f t="shared" si="1"/>
        <v>20994000</v>
      </c>
      <c r="S17" s="64"/>
      <c r="T17" s="108">
        <f>IF($H17="Y",CONFIG!B$34*O16,0)</f>
        <v>286281.81818181818</v>
      </c>
      <c r="U17" s="108">
        <f>IF($H17="Y",CONFIG!C$34*P16,0)</f>
        <v>116633.33333333334</v>
      </c>
      <c r="V17" s="108">
        <f>IF($H17="Y",CONFIG!D$34*Q16,0)</f>
        <v>0</v>
      </c>
      <c r="W17" s="108">
        <f t="shared" si="2"/>
        <v>402915.15151515149</v>
      </c>
      <c r="X17" s="64"/>
      <c r="Y17" s="108">
        <f>IF($H17="Y",CONFIG!B$35*O16,0)</f>
        <v>236182.5</v>
      </c>
      <c r="Z17" s="108">
        <f>IF($H17="Y",CONFIG!C$35*P16,0)</f>
        <v>78727.5</v>
      </c>
      <c r="AA17" s="108">
        <f>IF($H17="Y",CONFIG!D$35*Q16,0)</f>
        <v>0</v>
      </c>
      <c r="AB17" s="108">
        <f t="shared" si="3"/>
        <v>314910</v>
      </c>
      <c r="AC17" s="64"/>
      <c r="AD17" s="108">
        <f t="shared" si="12"/>
        <v>522464.31818181818</v>
      </c>
      <c r="AE17" s="108">
        <f t="shared" si="13"/>
        <v>195360.83333333334</v>
      </c>
      <c r="AF17" s="108">
        <f t="shared" si="14"/>
        <v>0</v>
      </c>
      <c r="AG17" s="108">
        <f t="shared" si="5"/>
        <v>717825.15151515149</v>
      </c>
      <c r="AH17" s="64"/>
      <c r="AI17" s="64"/>
      <c r="AJ17" s="108">
        <f t="shared" si="15"/>
        <v>502477.60606060602</v>
      </c>
      <c r="AK17" s="108">
        <f t="shared" si="15"/>
        <v>933172.69696969702</v>
      </c>
      <c r="AL17" s="64"/>
      <c r="AM17" s="64"/>
      <c r="AN17" s="108">
        <f>IF($R16=$M$30,0,BASE!V28)</f>
        <v>0</v>
      </c>
      <c r="AO17" s="108">
        <f>IF($R16=$M$30,0,BASE!W28)</f>
        <v>0</v>
      </c>
      <c r="AP17" s="108">
        <f>IF($R16=$M$30,0,BASE!X28)</f>
        <v>0</v>
      </c>
      <c r="AR17" s="32"/>
    </row>
    <row r="18" spans="1:44" x14ac:dyDescent="0.25">
      <c r="A18" s="82"/>
      <c r="B18" s="113"/>
      <c r="C18" s="113"/>
      <c r="D18" s="113"/>
      <c r="E18" s="114"/>
      <c r="F18" s="61"/>
      <c r="G18" s="11">
        <v>2033</v>
      </c>
      <c r="H18" s="11" t="str">
        <f>IF(G18&lt;=(INPUTS!$C$2+INPUTS!$C$3),"Y","N")</f>
        <v>Y</v>
      </c>
      <c r="I18" s="61"/>
      <c r="J18" s="107">
        <f t="shared" si="6"/>
        <v>0</v>
      </c>
      <c r="K18" s="107">
        <f t="shared" si="7"/>
        <v>0</v>
      </c>
      <c r="L18" s="107">
        <f t="shared" si="8"/>
        <v>0</v>
      </c>
      <c r="M18" s="108">
        <f t="shared" si="0"/>
        <v>0</v>
      </c>
      <c r="N18" s="64"/>
      <c r="O18" s="108">
        <f t="shared" si="9"/>
        <v>15745500</v>
      </c>
      <c r="P18" s="108">
        <f t="shared" si="10"/>
        <v>5248500</v>
      </c>
      <c r="Q18" s="108">
        <f t="shared" si="11"/>
        <v>0</v>
      </c>
      <c r="R18" s="108">
        <f t="shared" si="1"/>
        <v>20994000</v>
      </c>
      <c r="S18" s="64"/>
      <c r="T18" s="108">
        <f>IF($H18="Y",CONFIG!B$34*O17,0)</f>
        <v>286281.81818181818</v>
      </c>
      <c r="U18" s="108">
        <f>IF($H18="Y",CONFIG!C$34*P17,0)</f>
        <v>116633.33333333334</v>
      </c>
      <c r="V18" s="108">
        <f>IF($H18="Y",CONFIG!D$34*Q17,0)</f>
        <v>0</v>
      </c>
      <c r="W18" s="108">
        <f t="shared" si="2"/>
        <v>402915.15151515149</v>
      </c>
      <c r="X18" s="64"/>
      <c r="Y18" s="108">
        <f>IF($H18="Y",CONFIG!B$35*O17,0)</f>
        <v>236182.5</v>
      </c>
      <c r="Z18" s="108">
        <f>IF($H18="Y",CONFIG!C$35*P17,0)</f>
        <v>78727.5</v>
      </c>
      <c r="AA18" s="108">
        <f>IF($H18="Y",CONFIG!D$35*Q17,0)</f>
        <v>0</v>
      </c>
      <c r="AB18" s="108">
        <f t="shared" si="3"/>
        <v>314910</v>
      </c>
      <c r="AC18" s="64"/>
      <c r="AD18" s="108">
        <f t="shared" si="12"/>
        <v>522464.31818181818</v>
      </c>
      <c r="AE18" s="108">
        <f t="shared" si="13"/>
        <v>195360.83333333334</v>
      </c>
      <c r="AF18" s="108">
        <f t="shared" si="14"/>
        <v>0</v>
      </c>
      <c r="AG18" s="108">
        <f t="shared" si="5"/>
        <v>717825.15151515149</v>
      </c>
      <c r="AH18" s="64"/>
      <c r="AI18" s="64"/>
      <c r="AJ18" s="108">
        <f t="shared" si="15"/>
        <v>502477.60606060602</v>
      </c>
      <c r="AK18" s="108">
        <f t="shared" si="15"/>
        <v>933172.69696969702</v>
      </c>
      <c r="AL18" s="64"/>
      <c r="AM18" s="64"/>
      <c r="AN18" s="108">
        <f>IF($R17=$M$30,0,BASE!V29)</f>
        <v>0</v>
      </c>
      <c r="AO18" s="108">
        <f>IF($R17=$M$30,0,BASE!W29)</f>
        <v>0</v>
      </c>
      <c r="AP18" s="108">
        <f>IF($R17=$M$30,0,BASE!X29)</f>
        <v>0</v>
      </c>
      <c r="AR18" s="32"/>
    </row>
    <row r="19" spans="1:44" x14ac:dyDescent="0.25">
      <c r="A19" s="82"/>
      <c r="B19" s="113"/>
      <c r="C19" s="113"/>
      <c r="D19" s="113"/>
      <c r="E19" s="114"/>
      <c r="F19" s="61"/>
      <c r="G19" s="11">
        <v>2034</v>
      </c>
      <c r="H19" s="11" t="str">
        <f>IF(G19&lt;=(INPUTS!$C$2+INPUTS!$C$3),"Y","N")</f>
        <v>N</v>
      </c>
      <c r="I19" s="61"/>
      <c r="J19" s="107">
        <f t="shared" si="6"/>
        <v>0</v>
      </c>
      <c r="K19" s="107">
        <f t="shared" si="7"/>
        <v>0</v>
      </c>
      <c r="L19" s="107">
        <f t="shared" si="8"/>
        <v>0</v>
      </c>
      <c r="M19" s="108">
        <f t="shared" si="0"/>
        <v>0</v>
      </c>
      <c r="N19" s="64"/>
      <c r="O19" s="108">
        <f t="shared" si="9"/>
        <v>0</v>
      </c>
      <c r="P19" s="108">
        <f t="shared" si="10"/>
        <v>0</v>
      </c>
      <c r="Q19" s="108">
        <f t="shared" si="11"/>
        <v>0</v>
      </c>
      <c r="R19" s="108">
        <f t="shared" si="1"/>
        <v>0</v>
      </c>
      <c r="S19" s="64"/>
      <c r="T19" s="108">
        <f>IF($H19="Y",CONFIG!B$34*O18,0)</f>
        <v>0</v>
      </c>
      <c r="U19" s="108">
        <f>IF($H19="Y",CONFIG!C$34*P18,0)</f>
        <v>0</v>
      </c>
      <c r="V19" s="108">
        <f>IF($H19="Y",CONFIG!D$34*Q18,0)</f>
        <v>0</v>
      </c>
      <c r="W19" s="108">
        <f t="shared" si="2"/>
        <v>0</v>
      </c>
      <c r="X19" s="64"/>
      <c r="Y19" s="108">
        <f>IF($H19="Y",CONFIG!B$35*O18,0)</f>
        <v>0</v>
      </c>
      <c r="Z19" s="108">
        <f>IF($H19="Y",CONFIG!C$35*P18,0)</f>
        <v>0</v>
      </c>
      <c r="AA19" s="108">
        <f>IF($H19="Y",CONFIG!D$35*Q18,0)</f>
        <v>0</v>
      </c>
      <c r="AB19" s="108">
        <f t="shared" si="3"/>
        <v>0</v>
      </c>
      <c r="AC19" s="64"/>
      <c r="AD19" s="108">
        <f t="shared" si="12"/>
        <v>0</v>
      </c>
      <c r="AE19" s="108">
        <f t="shared" si="13"/>
        <v>0</v>
      </c>
      <c r="AF19" s="108">
        <f t="shared" si="14"/>
        <v>0</v>
      </c>
      <c r="AG19" s="108">
        <f t="shared" si="5"/>
        <v>0</v>
      </c>
      <c r="AH19" s="64"/>
      <c r="AI19" s="64"/>
      <c r="AJ19" s="108">
        <f t="shared" si="15"/>
        <v>0</v>
      </c>
      <c r="AK19" s="108">
        <f t="shared" si="15"/>
        <v>0</v>
      </c>
      <c r="AL19" s="64"/>
      <c r="AM19" s="64"/>
      <c r="AN19" s="108">
        <f>IF($R18=$M$30,0,BASE!V30)</f>
        <v>0</v>
      </c>
      <c r="AO19" s="108">
        <f>IF($R18=$M$30,0,BASE!W30)</f>
        <v>0</v>
      </c>
      <c r="AP19" s="108">
        <f>IF($R18=$M$30,0,BASE!X30)</f>
        <v>0</v>
      </c>
      <c r="AR19" s="32"/>
    </row>
    <row r="20" spans="1:44" x14ac:dyDescent="0.25">
      <c r="A20" s="82"/>
      <c r="B20" s="113"/>
      <c r="C20" s="113"/>
      <c r="D20" s="113"/>
      <c r="E20" s="114"/>
      <c r="F20" s="61"/>
      <c r="G20" s="11">
        <v>2035</v>
      </c>
      <c r="H20" s="11" t="str">
        <f>IF(G20&lt;=(INPUTS!$C$2+INPUTS!$C$3),"Y","N")</f>
        <v>N</v>
      </c>
      <c r="I20" s="61"/>
      <c r="J20" s="107">
        <f t="shared" si="6"/>
        <v>0</v>
      </c>
      <c r="K20" s="107">
        <f t="shared" si="7"/>
        <v>0</v>
      </c>
      <c r="L20" s="107">
        <f t="shared" si="8"/>
        <v>0</v>
      </c>
      <c r="M20" s="108">
        <f t="shared" si="0"/>
        <v>0</v>
      </c>
      <c r="N20" s="64"/>
      <c r="O20" s="108">
        <f t="shared" si="9"/>
        <v>0</v>
      </c>
      <c r="P20" s="108">
        <f t="shared" si="10"/>
        <v>0</v>
      </c>
      <c r="Q20" s="108">
        <f t="shared" si="11"/>
        <v>0</v>
      </c>
      <c r="R20" s="108">
        <f t="shared" si="1"/>
        <v>0</v>
      </c>
      <c r="S20" s="64"/>
      <c r="T20" s="108">
        <f>IF($H20="Y",CONFIG!B$34*O19,0)</f>
        <v>0</v>
      </c>
      <c r="U20" s="108">
        <f>IF($H20="Y",CONFIG!C$34*P19,0)</f>
        <v>0</v>
      </c>
      <c r="V20" s="108">
        <f>IF($H20="Y",CONFIG!D$34*Q19,0)</f>
        <v>0</v>
      </c>
      <c r="W20" s="108">
        <f t="shared" si="2"/>
        <v>0</v>
      </c>
      <c r="X20" s="64"/>
      <c r="Y20" s="108">
        <f>IF($H20="Y",CONFIG!B$35*O19,0)</f>
        <v>0</v>
      </c>
      <c r="Z20" s="108">
        <f>IF($H20="Y",CONFIG!C$35*P19,0)</f>
        <v>0</v>
      </c>
      <c r="AA20" s="108">
        <f>IF($H20="Y",CONFIG!D$35*Q19,0)</f>
        <v>0</v>
      </c>
      <c r="AB20" s="108">
        <f t="shared" si="3"/>
        <v>0</v>
      </c>
      <c r="AC20" s="64"/>
      <c r="AD20" s="108">
        <f t="shared" si="12"/>
        <v>0</v>
      </c>
      <c r="AE20" s="108">
        <f t="shared" si="13"/>
        <v>0</v>
      </c>
      <c r="AF20" s="108">
        <f t="shared" si="14"/>
        <v>0</v>
      </c>
      <c r="AG20" s="108">
        <f t="shared" si="5"/>
        <v>0</v>
      </c>
      <c r="AH20" s="64"/>
      <c r="AI20" s="64"/>
      <c r="AJ20" s="108">
        <f t="shared" si="15"/>
        <v>0</v>
      </c>
      <c r="AK20" s="108">
        <f t="shared" si="15"/>
        <v>0</v>
      </c>
      <c r="AL20" s="64"/>
      <c r="AM20" s="64"/>
      <c r="AN20" s="108">
        <f>IF($R19=$M$30,0,BASE!V31)</f>
        <v>0</v>
      </c>
      <c r="AO20" s="108">
        <f>IF($R19=$M$30,0,BASE!W31)</f>
        <v>0</v>
      </c>
      <c r="AP20" s="108">
        <f>IF($R19=$M$30,0,BASE!X31)</f>
        <v>0</v>
      </c>
      <c r="AR20" s="32"/>
    </row>
    <row r="21" spans="1:44" x14ac:dyDescent="0.25">
      <c r="A21" s="82"/>
      <c r="B21" s="113"/>
      <c r="C21" s="113"/>
      <c r="D21" s="113"/>
      <c r="E21" s="114"/>
      <c r="F21" s="61"/>
      <c r="G21" s="11">
        <v>2036</v>
      </c>
      <c r="H21" s="11" t="str">
        <f>IF(G21&lt;=(INPUTS!$C$2+INPUTS!$C$3),"Y","N")</f>
        <v>N</v>
      </c>
      <c r="I21" s="61"/>
      <c r="J21" s="107">
        <f t="shared" si="6"/>
        <v>0</v>
      </c>
      <c r="K21" s="107">
        <f t="shared" si="7"/>
        <v>0</v>
      </c>
      <c r="L21" s="107">
        <f t="shared" si="8"/>
        <v>0</v>
      </c>
      <c r="M21" s="108">
        <f t="shared" si="0"/>
        <v>0</v>
      </c>
      <c r="N21" s="64"/>
      <c r="O21" s="108">
        <f t="shared" si="9"/>
        <v>0</v>
      </c>
      <c r="P21" s="108">
        <f t="shared" si="10"/>
        <v>0</v>
      </c>
      <c r="Q21" s="108">
        <f t="shared" si="11"/>
        <v>0</v>
      </c>
      <c r="R21" s="108">
        <f t="shared" si="1"/>
        <v>0</v>
      </c>
      <c r="S21" s="64"/>
      <c r="T21" s="108">
        <f>IF($H21="Y",CONFIG!B$34*O20,0)</f>
        <v>0</v>
      </c>
      <c r="U21" s="108">
        <f>IF($H21="Y",CONFIG!C$34*P20,0)</f>
        <v>0</v>
      </c>
      <c r="V21" s="108">
        <f>IF($H21="Y",CONFIG!D$34*Q20,0)</f>
        <v>0</v>
      </c>
      <c r="W21" s="108">
        <f t="shared" si="2"/>
        <v>0</v>
      </c>
      <c r="X21" s="64"/>
      <c r="Y21" s="108">
        <f>IF($H21="Y",CONFIG!B$35*O20,0)</f>
        <v>0</v>
      </c>
      <c r="Z21" s="108">
        <f>IF($H21="Y",CONFIG!C$35*P20,0)</f>
        <v>0</v>
      </c>
      <c r="AA21" s="108">
        <f>IF($H21="Y",CONFIG!D$35*Q20,0)</f>
        <v>0</v>
      </c>
      <c r="AB21" s="108">
        <f t="shared" si="3"/>
        <v>0</v>
      </c>
      <c r="AC21" s="64"/>
      <c r="AD21" s="108">
        <f t="shared" si="12"/>
        <v>0</v>
      </c>
      <c r="AE21" s="108">
        <f t="shared" si="13"/>
        <v>0</v>
      </c>
      <c r="AF21" s="108">
        <f t="shared" si="14"/>
        <v>0</v>
      </c>
      <c r="AG21" s="108">
        <f t="shared" si="5"/>
        <v>0</v>
      </c>
      <c r="AH21" s="64"/>
      <c r="AI21" s="64"/>
      <c r="AJ21" s="108">
        <f t="shared" si="15"/>
        <v>0</v>
      </c>
      <c r="AK21" s="108">
        <f t="shared" si="15"/>
        <v>0</v>
      </c>
      <c r="AL21" s="64"/>
      <c r="AM21" s="64"/>
      <c r="AN21" s="108">
        <f>IF($R20=$M$30,0,BASE!V32)</f>
        <v>0</v>
      </c>
      <c r="AO21" s="108">
        <f>IF($R20=$M$30,0,BASE!W32)</f>
        <v>0</v>
      </c>
      <c r="AP21" s="108">
        <f>IF($R20=$M$30,0,BASE!X32)</f>
        <v>0</v>
      </c>
      <c r="AR21" s="32"/>
    </row>
    <row r="22" spans="1:44" x14ac:dyDescent="0.25">
      <c r="A22" s="82"/>
      <c r="B22" s="113"/>
      <c r="C22" s="113"/>
      <c r="D22" s="113"/>
      <c r="E22" s="114"/>
      <c r="F22" s="61"/>
      <c r="G22" s="11">
        <v>2037</v>
      </c>
      <c r="H22" s="11" t="str">
        <f>IF(G22&lt;=(INPUTS!$C$2+INPUTS!$C$3),"Y","N")</f>
        <v>N</v>
      </c>
      <c r="I22" s="61"/>
      <c r="J22" s="107">
        <f t="shared" si="6"/>
        <v>0</v>
      </c>
      <c r="K22" s="107">
        <f t="shared" si="7"/>
        <v>0</v>
      </c>
      <c r="L22" s="107">
        <f t="shared" si="8"/>
        <v>0</v>
      </c>
      <c r="M22" s="108">
        <f t="shared" si="0"/>
        <v>0</v>
      </c>
      <c r="N22" s="64"/>
      <c r="O22" s="108">
        <f t="shared" si="9"/>
        <v>0</v>
      </c>
      <c r="P22" s="108">
        <f t="shared" si="10"/>
        <v>0</v>
      </c>
      <c r="Q22" s="108">
        <f t="shared" si="11"/>
        <v>0</v>
      </c>
      <c r="R22" s="108">
        <f t="shared" si="1"/>
        <v>0</v>
      </c>
      <c r="S22" s="64"/>
      <c r="T22" s="108">
        <f>IF($H22="Y",CONFIG!B$34*O21,0)</f>
        <v>0</v>
      </c>
      <c r="U22" s="108">
        <f>IF($H22="Y",CONFIG!C$34*P21,0)</f>
        <v>0</v>
      </c>
      <c r="V22" s="108">
        <f>IF($H22="Y",CONFIG!D$34*Q21,0)</f>
        <v>0</v>
      </c>
      <c r="W22" s="108">
        <f t="shared" si="2"/>
        <v>0</v>
      </c>
      <c r="X22" s="64"/>
      <c r="Y22" s="108">
        <f>IF($H22="Y",CONFIG!B$35*O21,0)</f>
        <v>0</v>
      </c>
      <c r="Z22" s="108">
        <f>IF($H22="Y",CONFIG!C$35*P21,0)</f>
        <v>0</v>
      </c>
      <c r="AA22" s="108">
        <f>IF($H22="Y",CONFIG!D$35*Q21,0)</f>
        <v>0</v>
      </c>
      <c r="AB22" s="108">
        <f t="shared" si="3"/>
        <v>0</v>
      </c>
      <c r="AC22" s="64"/>
      <c r="AD22" s="108">
        <f t="shared" si="12"/>
        <v>0</v>
      </c>
      <c r="AE22" s="108">
        <f t="shared" si="13"/>
        <v>0</v>
      </c>
      <c r="AF22" s="108">
        <f t="shared" si="14"/>
        <v>0</v>
      </c>
      <c r="AG22" s="108">
        <f t="shared" si="5"/>
        <v>0</v>
      </c>
      <c r="AH22" s="64"/>
      <c r="AI22" s="64"/>
      <c r="AJ22" s="108">
        <f t="shared" si="15"/>
        <v>0</v>
      </c>
      <c r="AK22" s="108">
        <f t="shared" si="15"/>
        <v>0</v>
      </c>
      <c r="AL22" s="64"/>
      <c r="AM22" s="64"/>
      <c r="AN22" s="108">
        <f>IF($R21=$M$30,0,BASE!V33)</f>
        <v>0</v>
      </c>
      <c r="AO22" s="108">
        <f>IF($R21=$M$30,0,BASE!W33)</f>
        <v>0</v>
      </c>
      <c r="AP22" s="108">
        <f>IF($R21=$M$30,0,BASE!X33)</f>
        <v>0</v>
      </c>
      <c r="AR22" s="32"/>
    </row>
    <row r="23" spans="1:44" x14ac:dyDescent="0.25">
      <c r="A23" s="82"/>
      <c r="B23" s="113"/>
      <c r="C23" s="113"/>
      <c r="D23" s="113"/>
      <c r="E23" s="114"/>
      <c r="F23" s="61"/>
      <c r="G23" s="11">
        <v>2038</v>
      </c>
      <c r="H23" s="11" t="str">
        <f>IF(G23&lt;=(INPUTS!$C$2+INPUTS!$C$3),"Y","N")</f>
        <v>N</v>
      </c>
      <c r="I23" s="61"/>
      <c r="J23" s="107">
        <f t="shared" si="6"/>
        <v>0</v>
      </c>
      <c r="K23" s="107">
        <f t="shared" si="7"/>
        <v>0</v>
      </c>
      <c r="L23" s="107">
        <f t="shared" si="8"/>
        <v>0</v>
      </c>
      <c r="M23" s="108">
        <f t="shared" si="0"/>
        <v>0</v>
      </c>
      <c r="N23" s="64"/>
      <c r="O23" s="108">
        <f t="shared" si="9"/>
        <v>0</v>
      </c>
      <c r="P23" s="108">
        <f t="shared" si="10"/>
        <v>0</v>
      </c>
      <c r="Q23" s="108">
        <f t="shared" si="11"/>
        <v>0</v>
      </c>
      <c r="R23" s="108">
        <f t="shared" si="1"/>
        <v>0</v>
      </c>
      <c r="S23" s="64"/>
      <c r="T23" s="108">
        <f>IF($H23="Y",CONFIG!B$34*O22,0)</f>
        <v>0</v>
      </c>
      <c r="U23" s="108">
        <f>IF($H23="Y",CONFIG!C$34*P22,0)</f>
        <v>0</v>
      </c>
      <c r="V23" s="108">
        <f>IF($H23="Y",CONFIG!D$34*Q22,0)</f>
        <v>0</v>
      </c>
      <c r="W23" s="108">
        <f t="shared" si="2"/>
        <v>0</v>
      </c>
      <c r="X23" s="64"/>
      <c r="Y23" s="108">
        <f>IF($H23="Y",CONFIG!B$35*O22,0)</f>
        <v>0</v>
      </c>
      <c r="Z23" s="108">
        <f>IF($H23="Y",CONFIG!C$35*P22,0)</f>
        <v>0</v>
      </c>
      <c r="AA23" s="108">
        <f>IF($H23="Y",CONFIG!D$35*Q22,0)</f>
        <v>0</v>
      </c>
      <c r="AB23" s="108">
        <f t="shared" si="3"/>
        <v>0</v>
      </c>
      <c r="AC23" s="64"/>
      <c r="AD23" s="108">
        <f t="shared" si="12"/>
        <v>0</v>
      </c>
      <c r="AE23" s="108">
        <f t="shared" si="13"/>
        <v>0</v>
      </c>
      <c r="AF23" s="108">
        <f t="shared" si="14"/>
        <v>0</v>
      </c>
      <c r="AG23" s="108">
        <f t="shared" si="5"/>
        <v>0</v>
      </c>
      <c r="AH23" s="64"/>
      <c r="AI23" s="64"/>
      <c r="AJ23" s="108">
        <f t="shared" si="15"/>
        <v>0</v>
      </c>
      <c r="AK23" s="108">
        <f t="shared" si="15"/>
        <v>0</v>
      </c>
      <c r="AL23" s="64"/>
      <c r="AM23" s="64"/>
      <c r="AN23" s="108">
        <f>IF($R22=$M$30,0,BASE!V34)</f>
        <v>0</v>
      </c>
      <c r="AO23" s="108">
        <f>IF($R22=$M$30,0,BASE!W34)</f>
        <v>0</v>
      </c>
      <c r="AP23" s="108">
        <f>IF($R22=$M$30,0,BASE!X34)</f>
        <v>0</v>
      </c>
      <c r="AR23" s="32"/>
    </row>
    <row r="24" spans="1:44" x14ac:dyDescent="0.25">
      <c r="A24" s="82"/>
      <c r="B24" s="113"/>
      <c r="C24" s="113"/>
      <c r="D24" s="113"/>
      <c r="E24" s="114"/>
      <c r="F24" s="61"/>
      <c r="G24" s="11">
        <v>2039</v>
      </c>
      <c r="H24" s="11" t="str">
        <f>IF(G24&lt;=(INPUTS!$C$2+INPUTS!$C$3),"Y","N")</f>
        <v>N</v>
      </c>
      <c r="I24" s="61"/>
      <c r="J24" s="107">
        <f t="shared" si="6"/>
        <v>0</v>
      </c>
      <c r="K24" s="107">
        <f t="shared" si="7"/>
        <v>0</v>
      </c>
      <c r="L24" s="107">
        <f t="shared" si="8"/>
        <v>0</v>
      </c>
      <c r="M24" s="108">
        <f t="shared" si="0"/>
        <v>0</v>
      </c>
      <c r="N24" s="64"/>
      <c r="O24" s="108">
        <f t="shared" si="9"/>
        <v>0</v>
      </c>
      <c r="P24" s="108">
        <f t="shared" si="10"/>
        <v>0</v>
      </c>
      <c r="Q24" s="108">
        <f t="shared" si="11"/>
        <v>0</v>
      </c>
      <c r="R24" s="108">
        <f t="shared" si="1"/>
        <v>0</v>
      </c>
      <c r="S24" s="64"/>
      <c r="T24" s="108">
        <f>IF($H24="Y",CONFIG!B$34*O23,0)</f>
        <v>0</v>
      </c>
      <c r="U24" s="108">
        <f>IF($H24="Y",CONFIG!C$34*P23,0)</f>
        <v>0</v>
      </c>
      <c r="V24" s="108">
        <f>IF($H24="Y",CONFIG!D$34*Q23,0)</f>
        <v>0</v>
      </c>
      <c r="W24" s="108">
        <f t="shared" si="2"/>
        <v>0</v>
      </c>
      <c r="X24" s="64"/>
      <c r="Y24" s="108">
        <f>IF($H24="Y",CONFIG!B$35*O23,0)</f>
        <v>0</v>
      </c>
      <c r="Z24" s="108">
        <f>IF($H24="Y",CONFIG!C$35*P23,0)</f>
        <v>0</v>
      </c>
      <c r="AA24" s="108">
        <f>IF($H24="Y",CONFIG!D$35*Q23,0)</f>
        <v>0</v>
      </c>
      <c r="AB24" s="108">
        <f t="shared" si="3"/>
        <v>0</v>
      </c>
      <c r="AC24" s="64"/>
      <c r="AD24" s="108">
        <f t="shared" si="12"/>
        <v>0</v>
      </c>
      <c r="AE24" s="108">
        <f t="shared" si="13"/>
        <v>0</v>
      </c>
      <c r="AF24" s="108">
        <f t="shared" si="14"/>
        <v>0</v>
      </c>
      <c r="AG24" s="108">
        <f t="shared" si="5"/>
        <v>0</v>
      </c>
      <c r="AH24" s="64"/>
      <c r="AI24" s="64"/>
      <c r="AJ24" s="108">
        <f t="shared" si="15"/>
        <v>0</v>
      </c>
      <c r="AK24" s="108">
        <f t="shared" si="15"/>
        <v>0</v>
      </c>
      <c r="AL24" s="64"/>
      <c r="AM24" s="64"/>
      <c r="AN24" s="108">
        <f>IF($R23=$M$30,0,BASE!V35)</f>
        <v>0</v>
      </c>
      <c r="AO24" s="108">
        <f>IF($R23=$M$30,0,BASE!W35)</f>
        <v>0</v>
      </c>
      <c r="AP24" s="108">
        <f>IF($R23=$M$30,0,BASE!X35)</f>
        <v>0</v>
      </c>
      <c r="AR24" s="32"/>
    </row>
    <row r="25" spans="1:44" x14ac:dyDescent="0.25">
      <c r="A25" s="82"/>
      <c r="B25" s="113"/>
      <c r="C25" s="113"/>
      <c r="D25" s="113"/>
      <c r="E25" s="114"/>
      <c r="F25" s="61"/>
      <c r="G25" s="11">
        <v>2040</v>
      </c>
      <c r="H25" s="11" t="str">
        <f>IF(G25&lt;=(INPUTS!$C$2+INPUTS!$C$3),"Y","N")</f>
        <v>N</v>
      </c>
      <c r="I25" s="61"/>
      <c r="J25" s="107">
        <f t="shared" si="6"/>
        <v>0</v>
      </c>
      <c r="K25" s="107">
        <f t="shared" si="7"/>
        <v>0</v>
      </c>
      <c r="L25" s="107">
        <f t="shared" si="8"/>
        <v>0</v>
      </c>
      <c r="M25" s="108">
        <f t="shared" si="0"/>
        <v>0</v>
      </c>
      <c r="N25" s="64"/>
      <c r="O25" s="108">
        <f t="shared" si="9"/>
        <v>0</v>
      </c>
      <c r="P25" s="108">
        <f t="shared" si="10"/>
        <v>0</v>
      </c>
      <c r="Q25" s="108">
        <f t="shared" si="11"/>
        <v>0</v>
      </c>
      <c r="R25" s="108">
        <f t="shared" si="1"/>
        <v>0</v>
      </c>
      <c r="S25" s="64"/>
      <c r="T25" s="108">
        <f>IF($H25="Y",CONFIG!B$34*O24,0)</f>
        <v>0</v>
      </c>
      <c r="U25" s="108">
        <f>IF($H25="Y",CONFIG!C$34*P24,0)</f>
        <v>0</v>
      </c>
      <c r="V25" s="108">
        <f>IF($H25="Y",CONFIG!D$34*Q24,0)</f>
        <v>0</v>
      </c>
      <c r="W25" s="108">
        <f t="shared" si="2"/>
        <v>0</v>
      </c>
      <c r="X25" s="64"/>
      <c r="Y25" s="108">
        <f>IF($H25="Y",CONFIG!B$35*O24,0)</f>
        <v>0</v>
      </c>
      <c r="Z25" s="108">
        <f>IF($H25="Y",CONFIG!C$35*P24,0)</f>
        <v>0</v>
      </c>
      <c r="AA25" s="108">
        <f>IF($H25="Y",CONFIG!D$35*Q24,0)</f>
        <v>0</v>
      </c>
      <c r="AB25" s="108">
        <f t="shared" si="3"/>
        <v>0</v>
      </c>
      <c r="AC25" s="64"/>
      <c r="AD25" s="108">
        <f t="shared" si="12"/>
        <v>0</v>
      </c>
      <c r="AE25" s="108">
        <f t="shared" si="13"/>
        <v>0</v>
      </c>
      <c r="AF25" s="108">
        <f t="shared" si="14"/>
        <v>0</v>
      </c>
      <c r="AG25" s="108">
        <f t="shared" si="5"/>
        <v>0</v>
      </c>
      <c r="AH25" s="64"/>
      <c r="AI25" s="64"/>
      <c r="AJ25" s="108">
        <f t="shared" si="15"/>
        <v>0</v>
      </c>
      <c r="AK25" s="108">
        <f t="shared" si="15"/>
        <v>0</v>
      </c>
      <c r="AL25" s="64"/>
      <c r="AM25" s="64"/>
      <c r="AN25" s="108">
        <f>IF($R24=$M$30,0,BASE!V36)</f>
        <v>0</v>
      </c>
      <c r="AO25" s="108">
        <f>IF($R24=$M$30,0,BASE!W36)</f>
        <v>0</v>
      </c>
      <c r="AP25" s="108">
        <f>IF($R24=$M$30,0,BASE!X36)</f>
        <v>0</v>
      </c>
      <c r="AR25" s="32"/>
    </row>
    <row r="26" spans="1:44" x14ac:dyDescent="0.25">
      <c r="A26" s="82"/>
      <c r="B26" s="113"/>
      <c r="C26" s="113"/>
      <c r="D26" s="113"/>
      <c r="E26" s="114"/>
      <c r="F26" s="61"/>
      <c r="G26" s="11">
        <v>2041</v>
      </c>
      <c r="H26" s="11" t="str">
        <f>IF(G26&lt;=(INPUTS!$C$2+INPUTS!$C$3),"Y","N")</f>
        <v>N</v>
      </c>
      <c r="I26" s="61"/>
      <c r="J26" s="107">
        <f t="shared" si="6"/>
        <v>0</v>
      </c>
      <c r="K26" s="107">
        <f t="shared" si="7"/>
        <v>0</v>
      </c>
      <c r="L26" s="107">
        <f t="shared" si="8"/>
        <v>0</v>
      </c>
      <c r="M26" s="108">
        <f t="shared" si="0"/>
        <v>0</v>
      </c>
      <c r="N26" s="64"/>
      <c r="O26" s="108">
        <f t="shared" si="9"/>
        <v>0</v>
      </c>
      <c r="P26" s="108">
        <f t="shared" si="10"/>
        <v>0</v>
      </c>
      <c r="Q26" s="108">
        <f t="shared" si="11"/>
        <v>0</v>
      </c>
      <c r="R26" s="108">
        <f t="shared" si="1"/>
        <v>0</v>
      </c>
      <c r="S26" s="64"/>
      <c r="T26" s="108">
        <f>IF($H26="Y",CONFIG!B$34*O25,0)</f>
        <v>0</v>
      </c>
      <c r="U26" s="108">
        <f>IF($H26="Y",CONFIG!C$34*P25,0)</f>
        <v>0</v>
      </c>
      <c r="V26" s="108">
        <f>IF($H26="Y",CONFIG!D$34*Q25,0)</f>
        <v>0</v>
      </c>
      <c r="W26" s="108">
        <f t="shared" si="2"/>
        <v>0</v>
      </c>
      <c r="X26" s="64"/>
      <c r="Y26" s="108">
        <f>IF($H26="Y",CONFIG!B$35*O25,0)</f>
        <v>0</v>
      </c>
      <c r="Z26" s="108">
        <f>IF($H26="Y",CONFIG!C$35*P25,0)</f>
        <v>0</v>
      </c>
      <c r="AA26" s="108">
        <f>IF($H26="Y",CONFIG!D$35*Q25,0)</f>
        <v>0</v>
      </c>
      <c r="AB26" s="108">
        <f t="shared" si="3"/>
        <v>0</v>
      </c>
      <c r="AC26" s="64"/>
      <c r="AD26" s="108">
        <f t="shared" si="12"/>
        <v>0</v>
      </c>
      <c r="AE26" s="108">
        <f t="shared" si="13"/>
        <v>0</v>
      </c>
      <c r="AF26" s="108">
        <f t="shared" si="14"/>
        <v>0</v>
      </c>
      <c r="AG26" s="108">
        <f t="shared" si="5"/>
        <v>0</v>
      </c>
      <c r="AH26" s="64"/>
      <c r="AI26" s="64"/>
      <c r="AJ26" s="108">
        <f t="shared" si="15"/>
        <v>0</v>
      </c>
      <c r="AK26" s="108">
        <f t="shared" si="15"/>
        <v>0</v>
      </c>
      <c r="AL26" s="64"/>
      <c r="AM26" s="64"/>
      <c r="AN26" s="108">
        <f>IF($R25=$M$30,0,BASE!V37)</f>
        <v>0</v>
      </c>
      <c r="AO26" s="108">
        <f>IF($R25=$M$30,0,BASE!W37)</f>
        <v>0</v>
      </c>
      <c r="AP26" s="108">
        <f>IF($R25=$M$30,0,BASE!X37)</f>
        <v>0</v>
      </c>
      <c r="AR26" s="32"/>
    </row>
    <row r="27" spans="1:44" x14ac:dyDescent="0.25">
      <c r="A27" s="82"/>
      <c r="B27" s="113"/>
      <c r="C27" s="113"/>
      <c r="D27" s="113"/>
      <c r="E27" s="114"/>
      <c r="F27" s="61"/>
      <c r="G27" s="11">
        <v>2042</v>
      </c>
      <c r="H27" s="11" t="str">
        <f>IF(G27&lt;=(INPUTS!$C$2+INPUTS!$C$3),"Y","N")</f>
        <v>N</v>
      </c>
      <c r="I27" s="61"/>
      <c r="J27" s="107">
        <f t="shared" si="6"/>
        <v>0</v>
      </c>
      <c r="K27" s="107">
        <f t="shared" si="7"/>
        <v>0</v>
      </c>
      <c r="L27" s="107">
        <f t="shared" si="8"/>
        <v>0</v>
      </c>
      <c r="M27" s="108">
        <f t="shared" si="0"/>
        <v>0</v>
      </c>
      <c r="N27" s="64"/>
      <c r="O27" s="108">
        <f t="shared" si="9"/>
        <v>0</v>
      </c>
      <c r="P27" s="108">
        <f t="shared" si="10"/>
        <v>0</v>
      </c>
      <c r="Q27" s="108">
        <f t="shared" si="11"/>
        <v>0</v>
      </c>
      <c r="R27" s="108">
        <f t="shared" si="1"/>
        <v>0</v>
      </c>
      <c r="S27" s="64"/>
      <c r="T27" s="108">
        <f>IF($H27="Y",CONFIG!B$34*O26,0)</f>
        <v>0</v>
      </c>
      <c r="U27" s="108">
        <f>IF($H27="Y",CONFIG!C$34*P26,0)</f>
        <v>0</v>
      </c>
      <c r="V27" s="108">
        <f>IF($H27="Y",CONFIG!D$34*Q26,0)</f>
        <v>0</v>
      </c>
      <c r="W27" s="108">
        <f t="shared" si="2"/>
        <v>0</v>
      </c>
      <c r="X27" s="64"/>
      <c r="Y27" s="108">
        <f>IF($H27="Y",CONFIG!B$35*O26,0)</f>
        <v>0</v>
      </c>
      <c r="Z27" s="108">
        <f>IF($H27="Y",CONFIG!C$35*P26,0)</f>
        <v>0</v>
      </c>
      <c r="AA27" s="108">
        <f>IF($H27="Y",CONFIG!D$35*Q26,0)</f>
        <v>0</v>
      </c>
      <c r="AB27" s="108">
        <f t="shared" si="3"/>
        <v>0</v>
      </c>
      <c r="AC27" s="64"/>
      <c r="AD27" s="108">
        <f t="shared" si="12"/>
        <v>0</v>
      </c>
      <c r="AE27" s="108">
        <f t="shared" si="13"/>
        <v>0</v>
      </c>
      <c r="AF27" s="108">
        <f t="shared" si="14"/>
        <v>0</v>
      </c>
      <c r="AG27" s="108">
        <f t="shared" si="5"/>
        <v>0</v>
      </c>
      <c r="AH27" s="64"/>
      <c r="AI27" s="64"/>
      <c r="AJ27" s="108">
        <f t="shared" si="15"/>
        <v>0</v>
      </c>
      <c r="AK27" s="108">
        <f t="shared" si="15"/>
        <v>0</v>
      </c>
      <c r="AL27" s="64"/>
      <c r="AM27" s="64"/>
      <c r="AN27" s="108">
        <f>IF($R26=$M$30,0,BASE!V38)</f>
        <v>0</v>
      </c>
      <c r="AO27" s="108">
        <f>IF($R26=$M$30,0,BASE!W38)</f>
        <v>0</v>
      </c>
      <c r="AP27" s="108">
        <f>IF($R26=$M$30,0,BASE!X38)</f>
        <v>0</v>
      </c>
      <c r="AR27" s="32"/>
    </row>
    <row r="28" spans="1:44" x14ac:dyDescent="0.25">
      <c r="A28" s="82"/>
      <c r="B28" s="113"/>
      <c r="C28" s="113"/>
      <c r="D28" s="113"/>
      <c r="E28" s="114"/>
      <c r="F28" s="61"/>
      <c r="G28" s="11">
        <v>2043</v>
      </c>
      <c r="H28" s="11" t="str">
        <f>IF(G28&lt;=(INPUTS!$C$2+INPUTS!$C$3),"Y","N")</f>
        <v>N</v>
      </c>
      <c r="I28" s="61"/>
      <c r="J28" s="107">
        <f t="shared" si="6"/>
        <v>0</v>
      </c>
      <c r="K28" s="107">
        <f t="shared" si="7"/>
        <v>0</v>
      </c>
      <c r="L28" s="107">
        <f t="shared" si="8"/>
        <v>0</v>
      </c>
      <c r="M28" s="108">
        <f t="shared" si="0"/>
        <v>0</v>
      </c>
      <c r="N28" s="64"/>
      <c r="O28" s="108">
        <f t="shared" si="9"/>
        <v>0</v>
      </c>
      <c r="P28" s="108">
        <f t="shared" si="10"/>
        <v>0</v>
      </c>
      <c r="Q28" s="108">
        <f t="shared" si="11"/>
        <v>0</v>
      </c>
      <c r="R28" s="108">
        <f t="shared" si="1"/>
        <v>0</v>
      </c>
      <c r="S28" s="64"/>
      <c r="T28" s="108">
        <f>IF($H28="Y",CONFIG!B$34*O27,0)</f>
        <v>0</v>
      </c>
      <c r="U28" s="108">
        <f>IF($H28="Y",CONFIG!C$34*P27,0)</f>
        <v>0</v>
      </c>
      <c r="V28" s="108">
        <f>IF($H28="Y",CONFIG!D$34*Q27,0)</f>
        <v>0</v>
      </c>
      <c r="W28" s="108">
        <f t="shared" si="2"/>
        <v>0</v>
      </c>
      <c r="X28" s="64"/>
      <c r="Y28" s="108">
        <f>IF($H28="Y",CONFIG!B$35*O27,0)</f>
        <v>0</v>
      </c>
      <c r="Z28" s="108">
        <f>IF($H28="Y",CONFIG!C$35*P27,0)</f>
        <v>0</v>
      </c>
      <c r="AA28" s="108">
        <f>IF($H28="Y",CONFIG!D$35*Q27,0)</f>
        <v>0</v>
      </c>
      <c r="AB28" s="108">
        <f t="shared" si="3"/>
        <v>0</v>
      </c>
      <c r="AC28" s="64"/>
      <c r="AD28" s="108">
        <f t="shared" si="12"/>
        <v>0</v>
      </c>
      <c r="AE28" s="108">
        <f t="shared" si="13"/>
        <v>0</v>
      </c>
      <c r="AF28" s="108">
        <f t="shared" si="14"/>
        <v>0</v>
      </c>
      <c r="AG28" s="108">
        <f t="shared" si="5"/>
        <v>0</v>
      </c>
      <c r="AH28" s="64"/>
      <c r="AI28" s="64"/>
      <c r="AJ28" s="108">
        <f t="shared" si="15"/>
        <v>0</v>
      </c>
      <c r="AK28" s="108">
        <f t="shared" si="15"/>
        <v>0</v>
      </c>
      <c r="AL28" s="64"/>
      <c r="AM28" s="64"/>
      <c r="AN28" s="108">
        <f>IF($R27=$M$30,0,BASE!V39)</f>
        <v>0</v>
      </c>
      <c r="AO28" s="108">
        <f>IF($R27=$M$30,0,BASE!W39)</f>
        <v>0</v>
      </c>
      <c r="AP28" s="108">
        <f>IF($R27=$M$30,0,BASE!X39)</f>
        <v>0</v>
      </c>
      <c r="AR28" s="32"/>
    </row>
    <row r="29" spans="1:44" x14ac:dyDescent="0.25">
      <c r="A29" s="82"/>
      <c r="B29" s="113"/>
      <c r="C29" s="113"/>
      <c r="D29" s="113"/>
      <c r="E29" s="114"/>
      <c r="F29" s="61"/>
      <c r="G29" s="11">
        <v>2044</v>
      </c>
      <c r="H29" s="11" t="str">
        <f>IF(G29&lt;=(INPUTS!$C$2+INPUTS!$C$3),"Y","N")</f>
        <v>N</v>
      </c>
      <c r="I29" s="61"/>
      <c r="J29" s="107">
        <f t="shared" si="6"/>
        <v>0</v>
      </c>
      <c r="K29" s="107">
        <f t="shared" si="7"/>
        <v>0</v>
      </c>
      <c r="L29" s="107">
        <f t="shared" si="8"/>
        <v>0</v>
      </c>
      <c r="M29" s="108">
        <f t="shared" si="0"/>
        <v>0</v>
      </c>
      <c r="N29" s="64"/>
      <c r="O29" s="108">
        <f t="shared" si="9"/>
        <v>0</v>
      </c>
      <c r="P29" s="108">
        <f t="shared" si="10"/>
        <v>0</v>
      </c>
      <c r="Q29" s="108">
        <f t="shared" si="11"/>
        <v>0</v>
      </c>
      <c r="R29" s="108">
        <f t="shared" si="1"/>
        <v>0</v>
      </c>
      <c r="S29" s="64"/>
      <c r="T29" s="108">
        <f>IF($H29="Y",CONFIG!B$34*O28,0)</f>
        <v>0</v>
      </c>
      <c r="U29" s="108">
        <f>IF($H29="Y",CONFIG!C$34*P28,0)</f>
        <v>0</v>
      </c>
      <c r="V29" s="108">
        <f>IF($H29="Y",CONFIG!D$34*Q28,0)</f>
        <v>0</v>
      </c>
      <c r="W29" s="108">
        <f t="shared" si="2"/>
        <v>0</v>
      </c>
      <c r="X29" s="64"/>
      <c r="Y29" s="108">
        <f>IF($H29="Y",CONFIG!B$35*O28,0)</f>
        <v>0</v>
      </c>
      <c r="Z29" s="108">
        <f>IF($H29="Y",CONFIG!C$35*P28,0)</f>
        <v>0</v>
      </c>
      <c r="AA29" s="108">
        <f>IF($H29="Y",CONFIG!D$35*Q28,0)</f>
        <v>0</v>
      </c>
      <c r="AB29" s="108">
        <f t="shared" si="3"/>
        <v>0</v>
      </c>
      <c r="AC29" s="64"/>
      <c r="AD29" s="108">
        <f t="shared" si="12"/>
        <v>0</v>
      </c>
      <c r="AE29" s="108">
        <f t="shared" si="13"/>
        <v>0</v>
      </c>
      <c r="AF29" s="108">
        <f t="shared" si="14"/>
        <v>0</v>
      </c>
      <c r="AG29" s="108">
        <f t="shared" si="5"/>
        <v>0</v>
      </c>
      <c r="AH29" s="64"/>
      <c r="AI29" s="64"/>
      <c r="AJ29" s="108">
        <f>SUM($AD29:$AF29)*(1+AJ$3)</f>
        <v>0</v>
      </c>
      <c r="AK29" s="108">
        <f t="shared" ref="AK29" si="16">SUM($AD29:$AF29)*(1+AK$3)</f>
        <v>0</v>
      </c>
      <c r="AL29" s="64"/>
      <c r="AM29" s="64"/>
      <c r="AN29" s="108">
        <f>IF($R28=$M$30,0,BASE!V40)</f>
        <v>0</v>
      </c>
      <c r="AO29" s="108">
        <f>IF($R28=$M$30,0,BASE!W40)</f>
        <v>0</v>
      </c>
      <c r="AP29" s="108">
        <f>IF($R28=$M$30,0,BASE!X40)</f>
        <v>0</v>
      </c>
      <c r="AR29" s="32"/>
    </row>
    <row r="30" spans="1:44" x14ac:dyDescent="0.25">
      <c r="A30" s="6" t="s">
        <v>37</v>
      </c>
      <c r="B30" s="109">
        <f>SUM(B4:B29)</f>
        <v>15745500</v>
      </c>
      <c r="C30" s="109">
        <f>SUM(C4:C29)</f>
        <v>5248500</v>
      </c>
      <c r="D30" s="109">
        <f>SUM(D4:D29)</f>
        <v>0</v>
      </c>
      <c r="E30" s="109">
        <f>SUM(E4:E29)</f>
        <v>20994000</v>
      </c>
      <c r="G30" s="6"/>
      <c r="H30" s="7"/>
      <c r="I30" s="62"/>
      <c r="J30" s="109">
        <f>SUM(J4:J29)</f>
        <v>15745500</v>
      </c>
      <c r="K30" s="109">
        <f>SUM(K4:K29)</f>
        <v>5248500</v>
      </c>
      <c r="L30" s="109">
        <f>SUM(L4:L29)</f>
        <v>0</v>
      </c>
      <c r="M30" s="109">
        <f>SUM(M4:M29)</f>
        <v>20994000</v>
      </c>
      <c r="N30" s="65"/>
      <c r="O30" s="109"/>
      <c r="P30" s="109"/>
      <c r="Q30" s="109"/>
      <c r="R30" s="109"/>
      <c r="S30" s="65"/>
      <c r="T30" s="109">
        <f>SUM(T4:T29)</f>
        <v>2487981.8181818184</v>
      </c>
      <c r="U30" s="109">
        <f>SUM(U4:U29)</f>
        <v>1013622.2222222225</v>
      </c>
      <c r="V30" s="109">
        <f>SUM(V4:V29)</f>
        <v>0</v>
      </c>
      <c r="W30" s="109">
        <f>SUM(W4:W29)</f>
        <v>3501604.0404040394</v>
      </c>
      <c r="X30" s="65"/>
      <c r="Y30" s="109">
        <f>SUM(Y4:Y29)</f>
        <v>2052585</v>
      </c>
      <c r="Z30" s="109">
        <f>SUM(Z4:Z29)</f>
        <v>684195</v>
      </c>
      <c r="AA30" s="109">
        <f>SUM(AA4:AA29)</f>
        <v>0</v>
      </c>
      <c r="AB30" s="109">
        <f>SUM(AB4:AB29)</f>
        <v>2736780</v>
      </c>
      <c r="AC30" s="65"/>
      <c r="AD30" s="109">
        <f>SUM(AD4:AD29)</f>
        <v>4540566.8181818184</v>
      </c>
      <c r="AE30" s="109">
        <f>SUM(AE4:AE29)</f>
        <v>1697817.222222222</v>
      </c>
      <c r="AF30" s="109">
        <f>SUM(AF4:AF29)</f>
        <v>0</v>
      </c>
      <c r="AG30" s="109">
        <f>SUM(AG4:AG29)</f>
        <v>6238384.0404040394</v>
      </c>
      <c r="AH30" s="65"/>
      <c r="AI30" s="65"/>
      <c r="AJ30" s="109">
        <f>SUM(AJ4:AJ29)</f>
        <v>4366868.8282828275</v>
      </c>
      <c r="AK30" s="109">
        <f>SUM(AK4:AK29)</f>
        <v>8109899.2525252542</v>
      </c>
      <c r="AL30" s="65"/>
      <c r="AN30" s="109">
        <f t="shared" ref="AN30:AP30" si="17">SUM(AN4:AN29)</f>
        <v>1910874.3043250307</v>
      </c>
      <c r="AO30" s="109">
        <f t="shared" si="17"/>
        <v>2729820.4347500438</v>
      </c>
      <c r="AP30" s="109">
        <f t="shared" si="17"/>
        <v>3548766.5651750574</v>
      </c>
      <c r="AR30" s="65"/>
    </row>
    <row r="31" spans="1:44" s="60" customFormat="1" x14ac:dyDescent="0.25">
      <c r="A31" s="62"/>
      <c r="B31" s="65"/>
      <c r="C31" s="65"/>
      <c r="D31" s="65"/>
      <c r="E31" s="65"/>
      <c r="G31" s="62"/>
      <c r="I31" s="62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N31" s="93"/>
      <c r="AO31" s="93"/>
      <c r="AP31" s="93"/>
      <c r="AR31" s="65"/>
    </row>
    <row r="32" spans="1:44" x14ac:dyDescent="0.25">
      <c r="G32" s="14"/>
      <c r="I32" s="81"/>
      <c r="J32" s="14"/>
      <c r="K32" s="14"/>
      <c r="L32" s="14"/>
      <c r="AM32" s="4"/>
      <c r="AN32" s="4"/>
      <c r="AO32" s="4"/>
      <c r="AP32" s="4"/>
    </row>
    <row r="33" spans="28:42" x14ac:dyDescent="0.25">
      <c r="AB33" s="14"/>
      <c r="AC33" s="81"/>
      <c r="AD33" s="81"/>
      <c r="AE33" s="81"/>
      <c r="AF33" s="81"/>
      <c r="AH33" s="4"/>
      <c r="AI33" s="4"/>
      <c r="AJ33" s="4"/>
      <c r="AK33" s="4"/>
      <c r="AL33" s="4"/>
    </row>
    <row r="34" spans="28:42" x14ac:dyDescent="0.25">
      <c r="AH34" s="4"/>
      <c r="AI34" s="4"/>
      <c r="AJ34" s="4"/>
      <c r="AK34" s="4"/>
      <c r="AL34" s="4"/>
    </row>
    <row r="35" spans="28:42" x14ac:dyDescent="0.25">
      <c r="AN35" s="53"/>
      <c r="AO35" s="53"/>
      <c r="AP35" s="53"/>
    </row>
    <row r="36" spans="28:42" x14ac:dyDescent="0.25">
      <c r="AN36" s="53"/>
      <c r="AO36" s="53"/>
      <c r="AP36" s="53"/>
    </row>
    <row r="37" spans="28:42" x14ac:dyDescent="0.25">
      <c r="AJ37" s="117"/>
      <c r="AK37" s="117"/>
      <c r="AN37" s="53"/>
      <c r="AO37" s="53"/>
      <c r="AP37" s="53"/>
    </row>
    <row r="38" spans="28:42" x14ac:dyDescent="0.25">
      <c r="AN38" s="53"/>
      <c r="AO38" s="53"/>
      <c r="AP38" s="53"/>
    </row>
    <row r="39" spans="28:42" x14ac:dyDescent="0.25">
      <c r="AN39" s="53"/>
      <c r="AO39" s="53"/>
      <c r="AP39" s="53"/>
    </row>
    <row r="41" spans="28:42" x14ac:dyDescent="0.25">
      <c r="AN41" s="34"/>
      <c r="AO41" s="34"/>
      <c r="AP41" s="34"/>
    </row>
    <row r="42" spans="28:42" x14ac:dyDescent="0.25">
      <c r="AN42" s="34"/>
      <c r="AO42" s="34"/>
      <c r="AP42" s="34"/>
    </row>
    <row r="43" spans="28:42" x14ac:dyDescent="0.25">
      <c r="AN43" s="34"/>
      <c r="AO43" s="34"/>
      <c r="AP43" s="34"/>
    </row>
    <row r="44" spans="28:42" x14ac:dyDescent="0.25">
      <c r="AN44" s="34"/>
      <c r="AO44" s="34"/>
      <c r="AP44" s="34"/>
    </row>
    <row r="45" spans="28:42" x14ac:dyDescent="0.25">
      <c r="AN45" s="34"/>
      <c r="AO45" s="34"/>
      <c r="AP45" s="34"/>
    </row>
    <row r="46" spans="28:42" x14ac:dyDescent="0.25">
      <c r="AN46" s="34"/>
      <c r="AO46" s="34"/>
      <c r="AP46" s="34"/>
    </row>
    <row r="47" spans="28:42" x14ac:dyDescent="0.25">
      <c r="AN47" s="34"/>
      <c r="AO47" s="34"/>
      <c r="AP47" s="34"/>
    </row>
    <row r="48" spans="28:42" x14ac:dyDescent="0.25">
      <c r="AN48" s="34"/>
      <c r="AO48" s="34"/>
      <c r="AP48" s="34"/>
    </row>
    <row r="49" spans="40:42" x14ac:dyDescent="0.25">
      <c r="AN49" s="34"/>
      <c r="AO49" s="34"/>
      <c r="AP49" s="34"/>
    </row>
    <row r="50" spans="40:42" x14ac:dyDescent="0.25">
      <c r="AN50" s="34"/>
      <c r="AO50" s="34"/>
      <c r="AP50" s="34"/>
    </row>
    <row r="51" spans="40:42" x14ac:dyDescent="0.25">
      <c r="AN51" s="34"/>
      <c r="AO51" s="34"/>
      <c r="AP51" s="34"/>
    </row>
    <row r="52" spans="40:42" x14ac:dyDescent="0.25">
      <c r="AN52" s="34"/>
      <c r="AO52" s="34"/>
      <c r="AP52" s="34"/>
    </row>
    <row r="53" spans="40:42" x14ac:dyDescent="0.25">
      <c r="AN53" s="34"/>
      <c r="AO53" s="34"/>
      <c r="AP53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R53"/>
  <sheetViews>
    <sheetView zoomScale="70" zoomScaleNormal="70" workbookViewId="0">
      <selection activeCell="H8" sqref="H8"/>
    </sheetView>
  </sheetViews>
  <sheetFormatPr defaultRowHeight="15" x14ac:dyDescent="0.25"/>
  <cols>
    <col min="1" max="1" width="11.7109375" style="60" customWidth="1"/>
    <col min="2" max="2" width="18.5703125" style="60" customWidth="1"/>
    <col min="3" max="4" width="17.140625" style="60" customWidth="1"/>
    <col min="5" max="5" width="18.85546875" style="60" customWidth="1"/>
    <col min="6" max="6" width="11.42578125" style="60" customWidth="1"/>
    <col min="7" max="7" width="13.5703125" style="4" customWidth="1"/>
    <col min="8" max="8" width="11.7109375" style="4" customWidth="1"/>
    <col min="9" max="9" width="11.28515625" style="60" customWidth="1"/>
    <col min="10" max="13" width="20" style="4" customWidth="1"/>
    <col min="14" max="14" width="11.42578125" style="60" customWidth="1"/>
    <col min="15" max="18" width="18.28515625" style="4" customWidth="1"/>
    <col min="19" max="19" width="11.42578125" style="60" customWidth="1"/>
    <col min="20" max="23" width="18.28515625" style="4" customWidth="1"/>
    <col min="24" max="24" width="14.140625" style="60" customWidth="1"/>
    <col min="25" max="27" width="18.42578125" style="60" customWidth="1"/>
    <col min="28" max="28" width="18.42578125" style="4" customWidth="1"/>
    <col min="29" max="29" width="14.140625" style="60" customWidth="1"/>
    <col min="30" max="32" width="18.42578125" style="60" customWidth="1"/>
    <col min="33" max="33" width="18.42578125" style="4" customWidth="1"/>
    <col min="34" max="34" width="11.42578125" style="60" customWidth="1"/>
    <col min="35" max="35" width="26.28515625" style="60" customWidth="1"/>
    <col min="36" max="37" width="18.85546875" style="60" customWidth="1"/>
    <col min="38" max="38" width="11.42578125" style="60" customWidth="1"/>
    <col min="39" max="39" width="19.28515625" style="60" customWidth="1"/>
    <col min="40" max="40" width="21.5703125" style="60" customWidth="1"/>
    <col min="41" max="41" width="20.7109375" style="60" customWidth="1"/>
    <col min="42" max="42" width="20.28515625" style="60" customWidth="1"/>
    <col min="43" max="43" width="9.85546875" style="60" customWidth="1"/>
    <col min="44" max="44" width="9.7109375" style="60" customWidth="1"/>
    <col min="45" max="16384" width="9.140625" style="4"/>
  </cols>
  <sheetData>
    <row r="1" spans="1:44" x14ac:dyDescent="0.25">
      <c r="G1" s="9"/>
      <c r="I1" s="45"/>
      <c r="J1" s="9"/>
      <c r="K1" s="9"/>
      <c r="L1" s="9"/>
      <c r="O1" s="60"/>
      <c r="P1" s="60"/>
      <c r="Q1" s="60"/>
      <c r="AM1" s="62"/>
      <c r="AN1" s="35"/>
      <c r="AO1" s="35"/>
      <c r="AP1" s="35"/>
    </row>
    <row r="2" spans="1:44" x14ac:dyDescent="0.25">
      <c r="A2" s="80" t="s">
        <v>100</v>
      </c>
      <c r="J2" s="2" t="s">
        <v>101</v>
      </c>
      <c r="K2" s="9"/>
      <c r="L2" s="9"/>
      <c r="M2" s="3"/>
      <c r="N2" s="62"/>
      <c r="O2" s="71" t="s">
        <v>92</v>
      </c>
      <c r="P2" s="62"/>
      <c r="Q2" s="62"/>
      <c r="T2" s="71" t="s">
        <v>91</v>
      </c>
      <c r="U2" s="3"/>
      <c r="V2" s="3"/>
      <c r="X2" s="62"/>
      <c r="Y2" s="71" t="s">
        <v>98</v>
      </c>
      <c r="Z2" s="3"/>
      <c r="AA2" s="3"/>
      <c r="AB2" s="3"/>
      <c r="AC2" s="62"/>
      <c r="AD2" s="71" t="s">
        <v>99</v>
      </c>
      <c r="AE2" s="3"/>
      <c r="AF2" s="3"/>
      <c r="AG2" s="3"/>
      <c r="AH2" s="62"/>
      <c r="AJ2" s="62" t="s">
        <v>0</v>
      </c>
      <c r="AK2" s="62"/>
      <c r="AL2" s="62"/>
      <c r="AN2" s="22" t="s">
        <v>118</v>
      </c>
    </row>
    <row r="3" spans="1:44" x14ac:dyDescent="0.25">
      <c r="A3" s="12" t="s">
        <v>7</v>
      </c>
      <c r="B3" s="12" t="s">
        <v>119</v>
      </c>
      <c r="C3" s="12" t="s">
        <v>120</v>
      </c>
      <c r="D3" s="12" t="s">
        <v>121</v>
      </c>
      <c r="E3" s="13" t="s">
        <v>122</v>
      </c>
      <c r="F3" s="80"/>
      <c r="G3" s="6" t="s">
        <v>7</v>
      </c>
      <c r="H3" s="5" t="s">
        <v>85</v>
      </c>
      <c r="I3" s="62"/>
      <c r="J3" s="6" t="s">
        <v>119</v>
      </c>
      <c r="K3" s="6" t="s">
        <v>120</v>
      </c>
      <c r="L3" s="6" t="s">
        <v>121</v>
      </c>
      <c r="M3" s="6" t="s">
        <v>122</v>
      </c>
      <c r="N3" s="62"/>
      <c r="O3" s="6" t="s">
        <v>119</v>
      </c>
      <c r="P3" s="6" t="s">
        <v>120</v>
      </c>
      <c r="Q3" s="6" t="s">
        <v>121</v>
      </c>
      <c r="R3" s="6" t="s">
        <v>122</v>
      </c>
      <c r="S3" s="62"/>
      <c r="T3" s="6" t="s">
        <v>119</v>
      </c>
      <c r="U3" s="6" t="s">
        <v>120</v>
      </c>
      <c r="V3" s="6" t="s">
        <v>121</v>
      </c>
      <c r="W3" s="6" t="s">
        <v>122</v>
      </c>
      <c r="X3" s="62"/>
      <c r="Y3" s="6" t="s">
        <v>119</v>
      </c>
      <c r="Z3" s="6" t="s">
        <v>120</v>
      </c>
      <c r="AA3" s="6" t="s">
        <v>121</v>
      </c>
      <c r="AB3" s="6" t="s">
        <v>122</v>
      </c>
      <c r="AC3" s="62"/>
      <c r="AD3" s="6" t="s">
        <v>119</v>
      </c>
      <c r="AE3" s="6" t="s">
        <v>120</v>
      </c>
      <c r="AF3" s="6" t="s">
        <v>121</v>
      </c>
      <c r="AG3" s="118" t="s">
        <v>122</v>
      </c>
      <c r="AH3" s="62"/>
      <c r="AI3" s="36" t="s">
        <v>123</v>
      </c>
      <c r="AJ3" s="116">
        <f>-CONFIG!B42</f>
        <v>-0.3</v>
      </c>
      <c r="AK3" s="116">
        <f>CONFIG!B42</f>
        <v>0.3</v>
      </c>
      <c r="AL3" s="62"/>
      <c r="AM3" s="94" t="s">
        <v>117</v>
      </c>
      <c r="AN3" s="105">
        <f>(1-CONFIG!$B$39)*INPUTS!$C$12</f>
        <v>20369.123339658439</v>
      </c>
      <c r="AO3" s="106">
        <f>INPUTS!$C$12</f>
        <v>29098.747628083485</v>
      </c>
      <c r="AP3" s="105">
        <f>(1+CONFIG!$B$39)*INPUTS!$C$12</f>
        <v>37828.371916508535</v>
      </c>
      <c r="AR3" s="62"/>
    </row>
    <row r="4" spans="1:44" x14ac:dyDescent="0.25">
      <c r="A4" s="82"/>
      <c r="B4" s="113"/>
      <c r="C4" s="113"/>
      <c r="D4" s="113"/>
      <c r="E4" s="114">
        <f>SUM(B4:D4)</f>
        <v>0</v>
      </c>
      <c r="F4" s="61"/>
      <c r="G4" s="11">
        <v>2019</v>
      </c>
      <c r="H4" s="11" t="s">
        <v>156</v>
      </c>
      <c r="I4" s="61"/>
      <c r="J4" s="107">
        <f>IF(H4="Y",SUMIF($A$4:$A$29,G4,B$4:B$29),0)</f>
        <v>0</v>
      </c>
      <c r="K4" s="107">
        <f>IF(H4="Y",SUMIF($A$4:$A$29,G4,C$4:C$29),0)</f>
        <v>0</v>
      </c>
      <c r="L4" s="107">
        <f>IF(H4="Y",SUMIF($A$4:$A$29,G4,D$4:D$29),0)</f>
        <v>0</v>
      </c>
      <c r="M4" s="108">
        <f t="shared" ref="M4:M29" si="0">SUM(J4:L4)</f>
        <v>0</v>
      </c>
      <c r="N4" s="64"/>
      <c r="O4" s="108">
        <f>IF($H4="Y",J4,0)</f>
        <v>0</v>
      </c>
      <c r="P4" s="108">
        <f>IF($H4="Y",K4,0)</f>
        <v>0</v>
      </c>
      <c r="Q4" s="108">
        <f>IF($H4="Y",L4,0)</f>
        <v>0</v>
      </c>
      <c r="R4" s="108">
        <f t="shared" ref="R4:R29" si="1">SUM(O4:Q4)</f>
        <v>0</v>
      </c>
      <c r="S4" s="64"/>
      <c r="T4" s="108">
        <v>0</v>
      </c>
      <c r="U4" s="108">
        <v>0</v>
      </c>
      <c r="V4" s="108">
        <v>0</v>
      </c>
      <c r="W4" s="108">
        <f t="shared" ref="W4:W29" si="2">SUM(T4:V4)</f>
        <v>0</v>
      </c>
      <c r="X4" s="64"/>
      <c r="Y4" s="108">
        <v>0</v>
      </c>
      <c r="Z4" s="108">
        <v>0</v>
      </c>
      <c r="AA4" s="108">
        <v>0</v>
      </c>
      <c r="AB4" s="108">
        <f t="shared" ref="AB4:AB29" si="3">SUM(Y4:AA4)</f>
        <v>0</v>
      </c>
      <c r="AC4" s="64"/>
      <c r="AD4" s="108">
        <f>T4+Y4</f>
        <v>0</v>
      </c>
      <c r="AE4" s="108">
        <f t="shared" ref="AE4:AF19" si="4">U4+Z4</f>
        <v>0</v>
      </c>
      <c r="AF4" s="108">
        <f t="shared" si="4"/>
        <v>0</v>
      </c>
      <c r="AG4" s="108">
        <f t="shared" ref="AG4:AG29" si="5">SUM(AD4:AF4)</f>
        <v>0</v>
      </c>
      <c r="AH4" s="64"/>
      <c r="AI4" s="64"/>
      <c r="AJ4" s="108">
        <f>SUM($AD4:$AF4)*(1+AJ$3)</f>
        <v>0</v>
      </c>
      <c r="AK4" s="108">
        <f>SUM($AD4:$AF4)*(1+AK$3)</f>
        <v>0</v>
      </c>
      <c r="AL4" s="64"/>
      <c r="AM4" s="64"/>
      <c r="AN4" s="130">
        <f>IF($R3=$M$30,CONFIG!$B$46/INPUTS!$C$19,1)*BASE!V15</f>
        <v>0</v>
      </c>
      <c r="AO4" s="130">
        <f>IF($R3=$M$30,CONFIG!$B$46/INPUTS!$C$19,1)*BASE!W15</f>
        <v>0</v>
      </c>
      <c r="AP4" s="130">
        <f>IF($R3=$M$30,CONFIG!$B$46/INPUTS!$C$19,1)*BASE!X15</f>
        <v>0</v>
      </c>
      <c r="AQ4" s="32"/>
      <c r="AR4" s="32"/>
    </row>
    <row r="5" spans="1:44" x14ac:dyDescent="0.25">
      <c r="A5" s="162">
        <v>2023</v>
      </c>
      <c r="B5" s="113">
        <f>CAPEXREG!C37</f>
        <v>5353972</v>
      </c>
      <c r="C5" s="113"/>
      <c r="D5" s="113"/>
      <c r="E5" s="114">
        <f>SUM(B5:D5)</f>
        <v>5353972</v>
      </c>
      <c r="F5" s="61"/>
      <c r="G5" s="11">
        <v>2020</v>
      </c>
      <c r="H5" s="11" t="s">
        <v>156</v>
      </c>
      <c r="I5" s="61"/>
      <c r="J5" s="107">
        <f t="shared" ref="J5:J29" si="6">IF(H5="Y",SUMIF($A$4:$A$29,G5,B$4:B$29),0)</f>
        <v>0</v>
      </c>
      <c r="K5" s="107">
        <f t="shared" ref="K5:K29" si="7">IF(H5="Y",SUMIF($A$4:$A$29,G5,C$4:C$29),0)</f>
        <v>0</v>
      </c>
      <c r="L5" s="107">
        <f t="shared" ref="L5:L29" si="8">IF(H5="Y",SUMIF($A$4:$A$29,G5,D$4:D$29),0)</f>
        <v>0</v>
      </c>
      <c r="M5" s="108">
        <f t="shared" si="0"/>
        <v>0</v>
      </c>
      <c r="N5" s="64"/>
      <c r="O5" s="108">
        <f t="shared" ref="O5:Q20" si="9">IF($H5="Y",O4+J5,0)</f>
        <v>0</v>
      </c>
      <c r="P5" s="108">
        <f t="shared" si="9"/>
        <v>0</v>
      </c>
      <c r="Q5" s="108">
        <f t="shared" si="9"/>
        <v>0</v>
      </c>
      <c r="R5" s="108">
        <f t="shared" si="1"/>
        <v>0</v>
      </c>
      <c r="S5" s="64"/>
      <c r="T5" s="108">
        <f>IF($H5="Y",CONFIG!B$34*O4,0)</f>
        <v>0</v>
      </c>
      <c r="U5" s="108">
        <f>IF($H5="Y",CONFIG!C$34*P4,0)</f>
        <v>0</v>
      </c>
      <c r="V5" s="108">
        <f>IF($H5="Y",CONFIG!D$34*Q4,0)</f>
        <v>0</v>
      </c>
      <c r="W5" s="108">
        <f t="shared" si="2"/>
        <v>0</v>
      </c>
      <c r="X5" s="64"/>
      <c r="Y5" s="108">
        <f>IF($H5="Y",CONFIG!B$35*O4,0)</f>
        <v>0</v>
      </c>
      <c r="Z5" s="108">
        <f>IF($H5="Y",CONFIG!C$35*P4,0)</f>
        <v>0</v>
      </c>
      <c r="AA5" s="108">
        <f>IF($H5="Y",CONFIG!D$35*Q4,0)</f>
        <v>0</v>
      </c>
      <c r="AB5" s="108">
        <f t="shared" si="3"/>
        <v>0</v>
      </c>
      <c r="AC5" s="64"/>
      <c r="AD5" s="108">
        <f t="shared" ref="AD5:AF29" si="10">T5+Y5</f>
        <v>0</v>
      </c>
      <c r="AE5" s="108">
        <f t="shared" si="4"/>
        <v>0</v>
      </c>
      <c r="AF5" s="108">
        <f t="shared" si="4"/>
        <v>0</v>
      </c>
      <c r="AG5" s="108">
        <f t="shared" si="5"/>
        <v>0</v>
      </c>
      <c r="AH5" s="64"/>
      <c r="AI5" s="64"/>
      <c r="AJ5" s="108">
        <f>SUM($AD5:$AF5)*(1+AJ$3)</f>
        <v>0</v>
      </c>
      <c r="AK5" s="108">
        <f t="shared" ref="AJ5:AK28" si="11">SUM($AD5:$AF5)*(1+AK$3)</f>
        <v>0</v>
      </c>
      <c r="AL5" s="64"/>
      <c r="AM5" s="64"/>
      <c r="AN5" s="130">
        <f>IF($R4=$M$30,CONFIG!$B$46/INPUTS!$C$19,1)*BASE!V16</f>
        <v>0</v>
      </c>
      <c r="AO5" s="130">
        <f>IF($R4=$M$30,CONFIG!$B$46/INPUTS!$C$19,1)*BASE!W16</f>
        <v>0</v>
      </c>
      <c r="AP5" s="130">
        <f>IF($R4=$M$30,CONFIG!$B$46/INPUTS!$C$19,1)*BASE!X16</f>
        <v>0</v>
      </c>
      <c r="AQ5" s="32"/>
      <c r="AR5" s="32"/>
    </row>
    <row r="6" spans="1:44" x14ac:dyDescent="0.25">
      <c r="A6" s="82"/>
      <c r="B6" s="113"/>
      <c r="C6" s="113"/>
      <c r="D6" s="113"/>
      <c r="E6" s="114">
        <f>SUM(B6:D6)</f>
        <v>0</v>
      </c>
      <c r="F6" s="61"/>
      <c r="G6" s="11">
        <v>2021</v>
      </c>
      <c r="H6" s="11" t="s">
        <v>156</v>
      </c>
      <c r="I6" s="61"/>
      <c r="J6" s="107">
        <f t="shared" si="6"/>
        <v>0</v>
      </c>
      <c r="K6" s="107">
        <f t="shared" si="7"/>
        <v>0</v>
      </c>
      <c r="L6" s="107">
        <f t="shared" si="8"/>
        <v>0</v>
      </c>
      <c r="M6" s="108">
        <f t="shared" si="0"/>
        <v>0</v>
      </c>
      <c r="N6" s="64"/>
      <c r="O6" s="108">
        <f t="shared" si="9"/>
        <v>0</v>
      </c>
      <c r="P6" s="108">
        <f t="shared" si="9"/>
        <v>0</v>
      </c>
      <c r="Q6" s="108">
        <f t="shared" si="9"/>
        <v>0</v>
      </c>
      <c r="R6" s="108">
        <f t="shared" si="1"/>
        <v>0</v>
      </c>
      <c r="S6" s="64"/>
      <c r="T6" s="108">
        <f>IF($H6="Y",CONFIG!B$34*O5,0)</f>
        <v>0</v>
      </c>
      <c r="U6" s="108">
        <f>IF($H6="Y",CONFIG!C$34*P5,0)</f>
        <v>0</v>
      </c>
      <c r="V6" s="108">
        <f>IF($H6="Y",CONFIG!D$34*Q5,0)</f>
        <v>0</v>
      </c>
      <c r="W6" s="108">
        <f t="shared" si="2"/>
        <v>0</v>
      </c>
      <c r="X6" s="64"/>
      <c r="Y6" s="108">
        <f>IF($H6="Y",CONFIG!B$35*O5,0)</f>
        <v>0</v>
      </c>
      <c r="Z6" s="108">
        <f>IF($H6="Y",CONFIG!C$35*P5,0)</f>
        <v>0</v>
      </c>
      <c r="AA6" s="108">
        <f>IF($H6="Y",CONFIG!D$35*Q5,0)</f>
        <v>0</v>
      </c>
      <c r="AB6" s="108">
        <f t="shared" si="3"/>
        <v>0</v>
      </c>
      <c r="AC6" s="64"/>
      <c r="AD6" s="108">
        <f>T6+Y6</f>
        <v>0</v>
      </c>
      <c r="AE6" s="108">
        <f t="shared" si="4"/>
        <v>0</v>
      </c>
      <c r="AF6" s="108">
        <f t="shared" si="4"/>
        <v>0</v>
      </c>
      <c r="AG6" s="108">
        <f t="shared" si="5"/>
        <v>0</v>
      </c>
      <c r="AH6" s="64"/>
      <c r="AI6" s="64"/>
      <c r="AJ6" s="108">
        <f>SUM($AD6:$AF6)*(1+AJ$3)</f>
        <v>0</v>
      </c>
      <c r="AK6" s="108">
        <f t="shared" si="11"/>
        <v>0</v>
      </c>
      <c r="AL6" s="64"/>
      <c r="AM6" s="64"/>
      <c r="AN6" s="130">
        <f>IF($R5=$M$30,CONFIG!$B$46/INPUTS!$C$19,1)*BASE!V17</f>
        <v>0</v>
      </c>
      <c r="AO6" s="130">
        <f>IF($R5=$M$30,CONFIG!$B$46/INPUTS!$C$19,1)*BASE!W17</f>
        <v>0</v>
      </c>
      <c r="AP6" s="130">
        <f>IF($R5=$M$30,CONFIG!$B$46/INPUTS!$C$19,1)*BASE!X17</f>
        <v>0</v>
      </c>
      <c r="AQ6" s="32"/>
      <c r="AR6" s="32"/>
    </row>
    <row r="7" spans="1:44" x14ac:dyDescent="0.25">
      <c r="A7" s="82"/>
      <c r="B7" s="113"/>
      <c r="C7" s="113"/>
      <c r="D7" s="113"/>
      <c r="E7" s="114"/>
      <c r="F7" s="61"/>
      <c r="G7" s="11">
        <v>2022</v>
      </c>
      <c r="H7" s="11" t="s">
        <v>156</v>
      </c>
      <c r="I7" s="61"/>
      <c r="J7" s="107">
        <f>IF(H7="Y",SUMIF($A$4:$A$29,G7,B$4:B$29),0)</f>
        <v>0</v>
      </c>
      <c r="K7" s="107">
        <f t="shared" si="7"/>
        <v>0</v>
      </c>
      <c r="L7" s="107">
        <f t="shared" si="8"/>
        <v>0</v>
      </c>
      <c r="M7" s="108">
        <f t="shared" si="0"/>
        <v>0</v>
      </c>
      <c r="N7" s="64"/>
      <c r="O7" s="108">
        <f t="shared" si="9"/>
        <v>0</v>
      </c>
      <c r="P7" s="108">
        <f t="shared" si="9"/>
        <v>0</v>
      </c>
      <c r="Q7" s="108">
        <f t="shared" si="9"/>
        <v>0</v>
      </c>
      <c r="R7" s="108">
        <f t="shared" si="1"/>
        <v>0</v>
      </c>
      <c r="S7" s="64"/>
      <c r="T7" s="108">
        <f>IF($H7="Y",CONFIG!B$34*O6,0)</f>
        <v>0</v>
      </c>
      <c r="U7" s="108">
        <f>IF($H7="Y",CONFIG!C$34*P6,0)</f>
        <v>0</v>
      </c>
      <c r="V7" s="108">
        <f>IF($H7="Y",CONFIG!D$34*Q6,0)</f>
        <v>0</v>
      </c>
      <c r="W7" s="108">
        <f t="shared" si="2"/>
        <v>0</v>
      </c>
      <c r="X7" s="64"/>
      <c r="Y7" s="108">
        <f>IF($H7="Y",CONFIG!B$35*O6,0)</f>
        <v>0</v>
      </c>
      <c r="Z7" s="108">
        <f>IF($H7="Y",CONFIG!C$35*P6,0)</f>
        <v>0</v>
      </c>
      <c r="AA7" s="108">
        <f>IF($H7="Y",CONFIG!D$35*Q6,0)</f>
        <v>0</v>
      </c>
      <c r="AB7" s="108">
        <f t="shared" si="3"/>
        <v>0</v>
      </c>
      <c r="AC7" s="64"/>
      <c r="AD7" s="108">
        <f t="shared" si="10"/>
        <v>0</v>
      </c>
      <c r="AE7" s="108">
        <f t="shared" si="4"/>
        <v>0</v>
      </c>
      <c r="AF7" s="108">
        <f t="shared" si="4"/>
        <v>0</v>
      </c>
      <c r="AG7" s="108">
        <f>SUM(AD7:AF7)</f>
        <v>0</v>
      </c>
      <c r="AH7" s="64"/>
      <c r="AI7" s="64"/>
      <c r="AJ7" s="108">
        <f>SUM($AD7:$AF7)*(1+AJ$3)</f>
        <v>0</v>
      </c>
      <c r="AK7" s="108">
        <f t="shared" si="11"/>
        <v>0</v>
      </c>
      <c r="AL7" s="64"/>
      <c r="AM7" s="64"/>
      <c r="AN7" s="130">
        <f>IF($R6=$M$30,CONFIG!$B$46/INPUTS!$C$19,1)*BASE!V18</f>
        <v>0</v>
      </c>
      <c r="AO7" s="130">
        <f>IF($R6=$M$30,CONFIG!$B$46/INPUTS!$C$19,1)*BASE!W18</f>
        <v>0</v>
      </c>
      <c r="AP7" s="130">
        <f>IF($R6=$M$30,CONFIG!$B$46/INPUTS!$C$19,1)*BASE!X18</f>
        <v>0</v>
      </c>
      <c r="AQ7" s="32"/>
      <c r="AR7" s="32"/>
    </row>
    <row r="8" spans="1:44" x14ac:dyDescent="0.25">
      <c r="A8" s="82"/>
      <c r="B8" s="113"/>
      <c r="C8" s="113"/>
      <c r="D8" s="113"/>
      <c r="E8" s="114"/>
      <c r="F8" s="61"/>
      <c r="G8" s="11">
        <v>2023</v>
      </c>
      <c r="H8" s="11" t="str">
        <f>IF(G8&lt;=(INPUTS!$C$2+INPUTS!$C$3),"Y","N")</f>
        <v>Y</v>
      </c>
      <c r="I8" s="61"/>
      <c r="J8" s="107">
        <f t="shared" si="6"/>
        <v>5353972</v>
      </c>
      <c r="K8" s="107">
        <f t="shared" si="7"/>
        <v>0</v>
      </c>
      <c r="L8" s="107">
        <f t="shared" si="8"/>
        <v>0</v>
      </c>
      <c r="M8" s="108">
        <f t="shared" si="0"/>
        <v>5353972</v>
      </c>
      <c r="N8" s="64"/>
      <c r="O8" s="108">
        <f t="shared" si="9"/>
        <v>5353972</v>
      </c>
      <c r="P8" s="108">
        <f t="shared" si="9"/>
        <v>0</v>
      </c>
      <c r="Q8" s="108">
        <f t="shared" si="9"/>
        <v>0</v>
      </c>
      <c r="R8" s="108">
        <f t="shared" si="1"/>
        <v>5353972</v>
      </c>
      <c r="S8" s="64"/>
      <c r="T8" s="108">
        <f>IF($H8="Y",CONFIG!B$34*O7,0)</f>
        <v>0</v>
      </c>
      <c r="U8" s="108">
        <f>IF($H8="Y",CONFIG!C$34*P7,0)</f>
        <v>0</v>
      </c>
      <c r="V8" s="108">
        <f>IF($H8="Y",CONFIG!D$34*Q7,0)</f>
        <v>0</v>
      </c>
      <c r="W8" s="108">
        <f t="shared" si="2"/>
        <v>0</v>
      </c>
      <c r="X8" s="64"/>
      <c r="Y8" s="108">
        <f>IF($H8="Y",CONFIG!B$35*O7,0)</f>
        <v>0</v>
      </c>
      <c r="Z8" s="108">
        <f>IF($H8="Y",CONFIG!C$35*P7,0)</f>
        <v>0</v>
      </c>
      <c r="AA8" s="108">
        <f>IF($H8="Y",CONFIG!D$35*Q7,0)</f>
        <v>0</v>
      </c>
      <c r="AB8" s="108">
        <f t="shared" si="3"/>
        <v>0</v>
      </c>
      <c r="AC8" s="64"/>
      <c r="AD8" s="108">
        <f t="shared" si="10"/>
        <v>0</v>
      </c>
      <c r="AE8" s="108">
        <f t="shared" si="4"/>
        <v>0</v>
      </c>
      <c r="AF8" s="108">
        <f t="shared" si="4"/>
        <v>0</v>
      </c>
      <c r="AG8" s="108">
        <f t="shared" si="5"/>
        <v>0</v>
      </c>
      <c r="AH8" s="64"/>
      <c r="AI8" s="64"/>
      <c r="AJ8" s="108">
        <f t="shared" si="11"/>
        <v>0</v>
      </c>
      <c r="AK8" s="108">
        <f t="shared" si="11"/>
        <v>0</v>
      </c>
      <c r="AL8" s="64"/>
      <c r="AM8" s="64"/>
      <c r="AN8" s="130">
        <f>IF($R7=$M$30,CONFIG!$B$46/INPUTS!$C$19,1)*BASE!V19</f>
        <v>638499.41796762589</v>
      </c>
      <c r="AO8" s="130">
        <f>IF($R7=$M$30,CONFIG!$B$46/INPUTS!$C$19,1)*BASE!W19</f>
        <v>912142.02566803689</v>
      </c>
      <c r="AP8" s="130">
        <f>IF($R7=$M$30,CONFIG!$B$46/INPUTS!$C$19,1)*BASE!X19</f>
        <v>1185784.6333684481</v>
      </c>
      <c r="AQ8" s="32"/>
      <c r="AR8" s="32"/>
    </row>
    <row r="9" spans="1:44" x14ac:dyDescent="0.25">
      <c r="A9" s="82"/>
      <c r="B9" s="113"/>
      <c r="C9" s="113"/>
      <c r="D9" s="113"/>
      <c r="E9" s="114"/>
      <c r="F9" s="61"/>
      <c r="G9" s="11">
        <v>2024</v>
      </c>
      <c r="H9" s="11" t="str">
        <f>IF(G9&lt;=(INPUTS!$C$2+INPUTS!$C$3),"Y","N")</f>
        <v>Y</v>
      </c>
      <c r="I9" s="61"/>
      <c r="J9" s="107">
        <f t="shared" si="6"/>
        <v>0</v>
      </c>
      <c r="K9" s="107">
        <f t="shared" si="7"/>
        <v>0</v>
      </c>
      <c r="L9" s="107">
        <f t="shared" si="8"/>
        <v>0</v>
      </c>
      <c r="M9" s="108">
        <f t="shared" si="0"/>
        <v>0</v>
      </c>
      <c r="N9" s="64"/>
      <c r="O9" s="108">
        <f t="shared" si="9"/>
        <v>5353972</v>
      </c>
      <c r="P9" s="108">
        <f t="shared" si="9"/>
        <v>0</v>
      </c>
      <c r="Q9" s="108">
        <f t="shared" si="9"/>
        <v>0</v>
      </c>
      <c r="R9" s="108">
        <f t="shared" si="1"/>
        <v>5353972</v>
      </c>
      <c r="S9" s="64"/>
      <c r="T9" s="108">
        <f>IF($H9="Y",CONFIG!B$34*O8,0)</f>
        <v>97344.94545454545</v>
      </c>
      <c r="U9" s="108">
        <f>IF($H9="Y",CONFIG!C$34*P8,0)</f>
        <v>0</v>
      </c>
      <c r="V9" s="108">
        <f>IF($H9="Y",CONFIG!D$34*Q8,0)</f>
        <v>0</v>
      </c>
      <c r="W9" s="108">
        <f t="shared" si="2"/>
        <v>97344.94545454545</v>
      </c>
      <c r="X9" s="64"/>
      <c r="Y9" s="108">
        <f>IF($H9="Y",CONFIG!B$35*O8,0)</f>
        <v>80309.58</v>
      </c>
      <c r="Z9" s="108">
        <f>IF($H9="Y",CONFIG!C$35*P8,0)</f>
        <v>0</v>
      </c>
      <c r="AA9" s="108">
        <f>IF($H9="Y",CONFIG!D$35*Q8,0)</f>
        <v>0</v>
      </c>
      <c r="AB9" s="108">
        <f t="shared" si="3"/>
        <v>80309.58</v>
      </c>
      <c r="AC9" s="64"/>
      <c r="AD9" s="108">
        <f t="shared" si="10"/>
        <v>177654.52545454545</v>
      </c>
      <c r="AE9" s="108">
        <f t="shared" si="4"/>
        <v>0</v>
      </c>
      <c r="AF9" s="108">
        <f t="shared" si="4"/>
        <v>0</v>
      </c>
      <c r="AG9" s="108">
        <f t="shared" si="5"/>
        <v>177654.52545454545</v>
      </c>
      <c r="AH9" s="64"/>
      <c r="AI9" s="64"/>
      <c r="AJ9" s="108">
        <f t="shared" si="11"/>
        <v>124358.16781818181</v>
      </c>
      <c r="AK9" s="108">
        <f t="shared" si="11"/>
        <v>230950.8830909091</v>
      </c>
      <c r="AL9" s="64"/>
      <c r="AM9" s="64"/>
      <c r="AN9" s="130">
        <f>IF($R8=$M$30,CONFIG!$B$46/INPUTS!$C$19,1)*BASE!V20</f>
        <v>424407.33982715121</v>
      </c>
      <c r="AO9" s="130">
        <f>IF($R8=$M$30,CONFIG!$B$46/INPUTS!$C$19,1)*BASE!W20</f>
        <v>606296.19975307316</v>
      </c>
      <c r="AP9" s="130">
        <f>IF($R8=$M$30,CONFIG!$B$46/INPUTS!$C$19,1)*BASE!X20</f>
        <v>788185.05967899528</v>
      </c>
      <c r="AQ9" s="32"/>
      <c r="AR9" s="32"/>
    </row>
    <row r="10" spans="1:44" x14ac:dyDescent="0.25">
      <c r="A10" s="82"/>
      <c r="B10" s="113"/>
      <c r="C10" s="113"/>
      <c r="D10" s="113"/>
      <c r="E10" s="114"/>
      <c r="F10" s="61"/>
      <c r="G10" s="11">
        <v>2025</v>
      </c>
      <c r="H10" s="11" t="str">
        <f>IF(G10&lt;=(INPUTS!$C$2+INPUTS!$C$3),"Y","N")</f>
        <v>Y</v>
      </c>
      <c r="I10" s="61"/>
      <c r="J10" s="107">
        <f t="shared" si="6"/>
        <v>0</v>
      </c>
      <c r="K10" s="107">
        <f t="shared" si="7"/>
        <v>0</v>
      </c>
      <c r="L10" s="107">
        <f t="shared" si="8"/>
        <v>0</v>
      </c>
      <c r="M10" s="108">
        <f t="shared" si="0"/>
        <v>0</v>
      </c>
      <c r="N10" s="64"/>
      <c r="O10" s="108">
        <f t="shared" si="9"/>
        <v>5353972</v>
      </c>
      <c r="P10" s="108">
        <f t="shared" si="9"/>
        <v>0</v>
      </c>
      <c r="Q10" s="108">
        <f t="shared" si="9"/>
        <v>0</v>
      </c>
      <c r="R10" s="108">
        <f t="shared" si="1"/>
        <v>5353972</v>
      </c>
      <c r="S10" s="64"/>
      <c r="T10" s="108">
        <f>IF($H10="Y",CONFIG!B$34*O9,0)</f>
        <v>97344.94545454545</v>
      </c>
      <c r="U10" s="108">
        <f>IF($H10="Y",CONFIG!C$34*P9,0)</f>
        <v>0</v>
      </c>
      <c r="V10" s="108">
        <f>IF($H10="Y",CONFIG!D$34*Q9,0)</f>
        <v>0</v>
      </c>
      <c r="W10" s="108">
        <f t="shared" si="2"/>
        <v>97344.94545454545</v>
      </c>
      <c r="X10" s="64"/>
      <c r="Y10" s="108">
        <f>IF($H10="Y",CONFIG!B$35*O9,0)</f>
        <v>80309.58</v>
      </c>
      <c r="Z10" s="108">
        <f>IF($H10="Y",CONFIG!C$35*P9,0)</f>
        <v>0</v>
      </c>
      <c r="AA10" s="108">
        <f>IF($H10="Y",CONFIG!D$35*Q9,0)</f>
        <v>0</v>
      </c>
      <c r="AB10" s="108">
        <f t="shared" si="3"/>
        <v>80309.58</v>
      </c>
      <c r="AC10" s="64"/>
      <c r="AD10" s="108">
        <f t="shared" si="10"/>
        <v>177654.52545454545</v>
      </c>
      <c r="AE10" s="108">
        <f t="shared" si="4"/>
        <v>0</v>
      </c>
      <c r="AF10" s="108">
        <f t="shared" si="4"/>
        <v>0</v>
      </c>
      <c r="AG10" s="108">
        <f t="shared" si="5"/>
        <v>177654.52545454545</v>
      </c>
      <c r="AH10" s="64"/>
      <c r="AI10" s="64"/>
      <c r="AJ10" s="108">
        <f t="shared" si="11"/>
        <v>124358.16781818181</v>
      </c>
      <c r="AK10" s="108">
        <f t="shared" si="11"/>
        <v>230950.8830909091</v>
      </c>
      <c r="AL10" s="64"/>
      <c r="AM10" s="64"/>
      <c r="AN10" s="130">
        <f>IF($R9=$M$30,CONFIG!$B$46/INPUTS!$C$19,1)*BASE!V21</f>
        <v>423842.58441111859</v>
      </c>
      <c r="AO10" s="130">
        <f>IF($R9=$M$30,CONFIG!$B$46/INPUTS!$C$19,1)*BASE!W21</f>
        <v>605489.40630159806</v>
      </c>
      <c r="AP10" s="130">
        <f>IF($R9=$M$30,CONFIG!$B$46/INPUTS!$C$19,1)*BASE!X21</f>
        <v>787136.2281920776</v>
      </c>
      <c r="AQ10" s="32"/>
      <c r="AR10" s="32"/>
    </row>
    <row r="11" spans="1:44" x14ac:dyDescent="0.25">
      <c r="A11" s="82"/>
      <c r="B11" s="113"/>
      <c r="C11" s="113"/>
      <c r="D11" s="113"/>
      <c r="E11" s="114"/>
      <c r="F11" s="61"/>
      <c r="G11" s="11">
        <v>2026</v>
      </c>
      <c r="H11" s="11" t="str">
        <f>IF(G11&lt;=(INPUTS!$C$2+INPUTS!$C$3),"Y","N")</f>
        <v>Y</v>
      </c>
      <c r="I11" s="61"/>
      <c r="J11" s="107">
        <f t="shared" si="6"/>
        <v>0</v>
      </c>
      <c r="K11" s="107">
        <f t="shared" si="7"/>
        <v>0</v>
      </c>
      <c r="L11" s="107">
        <f t="shared" si="8"/>
        <v>0</v>
      </c>
      <c r="M11" s="108">
        <f t="shared" si="0"/>
        <v>0</v>
      </c>
      <c r="N11" s="64"/>
      <c r="O11" s="108">
        <f t="shared" si="9"/>
        <v>5353972</v>
      </c>
      <c r="P11" s="108">
        <f t="shared" si="9"/>
        <v>0</v>
      </c>
      <c r="Q11" s="108">
        <f t="shared" si="9"/>
        <v>0</v>
      </c>
      <c r="R11" s="108">
        <f t="shared" si="1"/>
        <v>5353972</v>
      </c>
      <c r="S11" s="64"/>
      <c r="T11" s="108">
        <f>IF($H11="Y",CONFIG!B$34*O10,0)</f>
        <v>97344.94545454545</v>
      </c>
      <c r="U11" s="108">
        <f>IF($H11="Y",CONFIG!C$34*P10,0)</f>
        <v>0</v>
      </c>
      <c r="V11" s="108">
        <f>IF($H11="Y",CONFIG!D$34*Q10,0)</f>
        <v>0</v>
      </c>
      <c r="W11" s="108">
        <f t="shared" si="2"/>
        <v>97344.94545454545</v>
      </c>
      <c r="X11" s="64"/>
      <c r="Y11" s="108">
        <f>IF($H11="Y",CONFIG!B$35*O10,0)</f>
        <v>80309.58</v>
      </c>
      <c r="Z11" s="108">
        <f>IF($H11="Y",CONFIG!C$35*P10,0)</f>
        <v>0</v>
      </c>
      <c r="AA11" s="108">
        <f>IF($H11="Y",CONFIG!D$35*Q10,0)</f>
        <v>0</v>
      </c>
      <c r="AB11" s="108">
        <f t="shared" si="3"/>
        <v>80309.58</v>
      </c>
      <c r="AC11" s="64"/>
      <c r="AD11" s="108">
        <f t="shared" si="10"/>
        <v>177654.52545454545</v>
      </c>
      <c r="AE11" s="108">
        <f t="shared" si="4"/>
        <v>0</v>
      </c>
      <c r="AF11" s="108">
        <f t="shared" si="4"/>
        <v>0</v>
      </c>
      <c r="AG11" s="108">
        <f t="shared" si="5"/>
        <v>177654.52545454545</v>
      </c>
      <c r="AH11" s="64"/>
      <c r="AI11" s="64"/>
      <c r="AJ11" s="108">
        <f t="shared" si="11"/>
        <v>124358.16781818181</v>
      </c>
      <c r="AK11" s="108">
        <f t="shared" si="11"/>
        <v>230950.8830909091</v>
      </c>
      <c r="AL11" s="64"/>
      <c r="AM11" s="64"/>
      <c r="AN11" s="130">
        <f>IF($R10=$M$30,CONFIG!$B$46/INPUTS!$C$19,1)*BASE!V22</f>
        <v>423292.48100960103</v>
      </c>
      <c r="AO11" s="130">
        <f>IF($R10=$M$30,CONFIG!$B$46/INPUTS!$C$19,1)*BASE!W22</f>
        <v>604703.5442994301</v>
      </c>
      <c r="AP11" s="130">
        <f>IF($R10=$M$30,CONFIG!$B$46/INPUTS!$C$19,1)*BASE!X22</f>
        <v>786114.60758925916</v>
      </c>
      <c r="AQ11" s="32"/>
      <c r="AR11" s="32"/>
    </row>
    <row r="12" spans="1:44" x14ac:dyDescent="0.25">
      <c r="A12" s="82"/>
      <c r="B12" s="113"/>
      <c r="C12" s="113"/>
      <c r="D12" s="113"/>
      <c r="E12" s="114"/>
      <c r="F12" s="61"/>
      <c r="G12" s="11">
        <v>2027</v>
      </c>
      <c r="H12" s="11" t="str">
        <f>IF(G12&lt;=(INPUTS!$C$2+INPUTS!$C$3),"Y","N")</f>
        <v>Y</v>
      </c>
      <c r="I12" s="61"/>
      <c r="J12" s="107">
        <f t="shared" si="6"/>
        <v>0</v>
      </c>
      <c r="K12" s="107">
        <f t="shared" si="7"/>
        <v>0</v>
      </c>
      <c r="L12" s="107">
        <f t="shared" si="8"/>
        <v>0</v>
      </c>
      <c r="M12" s="108">
        <f t="shared" si="0"/>
        <v>0</v>
      </c>
      <c r="N12" s="64"/>
      <c r="O12" s="108">
        <f t="shared" si="9"/>
        <v>5353972</v>
      </c>
      <c r="P12" s="108">
        <f t="shared" si="9"/>
        <v>0</v>
      </c>
      <c r="Q12" s="108">
        <f t="shared" si="9"/>
        <v>0</v>
      </c>
      <c r="R12" s="108">
        <f t="shared" si="1"/>
        <v>5353972</v>
      </c>
      <c r="S12" s="64"/>
      <c r="T12" s="108">
        <f>IF($H12="Y",CONFIG!B$34*O11,0)</f>
        <v>97344.94545454545</v>
      </c>
      <c r="U12" s="108">
        <f>IF($H12="Y",CONFIG!C$34*P11,0)</f>
        <v>0</v>
      </c>
      <c r="V12" s="108">
        <f>IF($H12="Y",CONFIG!D$34*Q11,0)</f>
        <v>0</v>
      </c>
      <c r="W12" s="108">
        <f t="shared" si="2"/>
        <v>97344.94545454545</v>
      </c>
      <c r="X12" s="64"/>
      <c r="Y12" s="108">
        <f>IF($H12="Y",CONFIG!B$35*O11,0)</f>
        <v>80309.58</v>
      </c>
      <c r="Z12" s="108">
        <f>IF($H12="Y",CONFIG!C$35*P11,0)</f>
        <v>0</v>
      </c>
      <c r="AA12" s="108">
        <f>IF($H12="Y",CONFIG!D$35*Q11,0)</f>
        <v>0</v>
      </c>
      <c r="AB12" s="108">
        <f t="shared" si="3"/>
        <v>80309.58</v>
      </c>
      <c r="AC12" s="64"/>
      <c r="AD12" s="108">
        <f t="shared" si="10"/>
        <v>177654.52545454545</v>
      </c>
      <c r="AE12" s="108">
        <f t="shared" si="4"/>
        <v>0</v>
      </c>
      <c r="AF12" s="108">
        <f t="shared" si="4"/>
        <v>0</v>
      </c>
      <c r="AG12" s="108">
        <f t="shared" si="5"/>
        <v>177654.52545454545</v>
      </c>
      <c r="AH12" s="64"/>
      <c r="AI12" s="64"/>
      <c r="AJ12" s="108">
        <f t="shared" si="11"/>
        <v>124358.16781818181</v>
      </c>
      <c r="AK12" s="108">
        <f t="shared" si="11"/>
        <v>230950.8830909091</v>
      </c>
      <c r="AL12" s="64"/>
      <c r="AM12" s="64"/>
      <c r="AN12" s="130">
        <f>IF($R11=$M$30,CONFIG!$B$46/INPUTS!$C$19,1)*BASE!V23</f>
        <v>422760.26680004963</v>
      </c>
      <c r="AO12" s="130">
        <f>IF($R11=$M$30,CONFIG!$B$46/INPUTS!$C$19,1)*BASE!W23</f>
        <v>603943.23828578531</v>
      </c>
      <c r="AP12" s="130">
        <f>IF($R11=$M$30,CONFIG!$B$46/INPUTS!$C$19,1)*BASE!X23</f>
        <v>785126.20977152104</v>
      </c>
      <c r="AQ12" s="32"/>
      <c r="AR12" s="32"/>
    </row>
    <row r="13" spans="1:44" x14ac:dyDescent="0.25">
      <c r="A13" s="82"/>
      <c r="B13" s="113"/>
      <c r="C13" s="113"/>
      <c r="D13" s="113"/>
      <c r="E13" s="114"/>
      <c r="F13" s="61"/>
      <c r="G13" s="11">
        <v>2028</v>
      </c>
      <c r="H13" s="11" t="str">
        <f>IF(G13&lt;=(INPUTS!$C$2+INPUTS!$C$3),"Y","N")</f>
        <v>Y</v>
      </c>
      <c r="I13" s="61"/>
      <c r="J13" s="107">
        <f t="shared" si="6"/>
        <v>0</v>
      </c>
      <c r="K13" s="107">
        <f t="shared" si="7"/>
        <v>0</v>
      </c>
      <c r="L13" s="107">
        <f t="shared" si="8"/>
        <v>0</v>
      </c>
      <c r="M13" s="108">
        <f t="shared" si="0"/>
        <v>0</v>
      </c>
      <c r="N13" s="64"/>
      <c r="O13" s="108">
        <f t="shared" si="9"/>
        <v>5353972</v>
      </c>
      <c r="P13" s="108">
        <f t="shared" si="9"/>
        <v>0</v>
      </c>
      <c r="Q13" s="108">
        <f t="shared" si="9"/>
        <v>0</v>
      </c>
      <c r="R13" s="108">
        <f t="shared" si="1"/>
        <v>5353972</v>
      </c>
      <c r="S13" s="64"/>
      <c r="T13" s="108">
        <f>IF($H13="Y",CONFIG!B$34*O12,0)</f>
        <v>97344.94545454545</v>
      </c>
      <c r="U13" s="108">
        <f>IF($H13="Y",CONFIG!C$34*P12,0)</f>
        <v>0</v>
      </c>
      <c r="V13" s="108">
        <f>IF($H13="Y",CONFIG!D$34*Q12,0)</f>
        <v>0</v>
      </c>
      <c r="W13" s="108">
        <f t="shared" si="2"/>
        <v>97344.94545454545</v>
      </c>
      <c r="X13" s="64"/>
      <c r="Y13" s="108">
        <f>IF($H13="Y",CONFIG!B$35*O12,0)</f>
        <v>80309.58</v>
      </c>
      <c r="Z13" s="108">
        <f>IF($H13="Y",CONFIG!C$35*P12,0)</f>
        <v>0</v>
      </c>
      <c r="AA13" s="108">
        <f>IF($H13="Y",CONFIG!D$35*Q12,0)</f>
        <v>0</v>
      </c>
      <c r="AB13" s="108">
        <f t="shared" si="3"/>
        <v>80309.58</v>
      </c>
      <c r="AC13" s="64"/>
      <c r="AD13" s="108">
        <f t="shared" si="10"/>
        <v>177654.52545454545</v>
      </c>
      <c r="AE13" s="108">
        <f t="shared" si="4"/>
        <v>0</v>
      </c>
      <c r="AF13" s="108">
        <f t="shared" si="4"/>
        <v>0</v>
      </c>
      <c r="AG13" s="108">
        <f t="shared" si="5"/>
        <v>177654.52545454545</v>
      </c>
      <c r="AH13" s="64"/>
      <c r="AI13" s="64"/>
      <c r="AJ13" s="108">
        <f t="shared" si="11"/>
        <v>124358.16781818181</v>
      </c>
      <c r="AK13" s="108">
        <f t="shared" si="11"/>
        <v>230950.8830909091</v>
      </c>
      <c r="AL13" s="64"/>
      <c r="AM13" s="64"/>
      <c r="AN13" s="130">
        <f>IF($R12=$M$30,CONFIG!$B$46/INPUTS!$C$19,1)*BASE!V24</f>
        <v>422246.23283850675</v>
      </c>
      <c r="AO13" s="130">
        <f>IF($R12=$M$30,CONFIG!$B$46/INPUTS!$C$19,1)*BASE!W24</f>
        <v>603208.90405500971</v>
      </c>
      <c r="AP13" s="130">
        <f>IF($R12=$M$30,CONFIG!$B$46/INPUTS!$C$19,1)*BASE!X24</f>
        <v>784171.57527151273</v>
      </c>
      <c r="AR13" s="32"/>
    </row>
    <row r="14" spans="1:44" x14ac:dyDescent="0.25">
      <c r="A14" s="82"/>
      <c r="B14" s="113"/>
      <c r="C14" s="113"/>
      <c r="D14" s="113"/>
      <c r="E14" s="114"/>
      <c r="F14" s="61"/>
      <c r="G14" s="11">
        <v>2029</v>
      </c>
      <c r="H14" s="11" t="str">
        <f>IF(G14&lt;=(INPUTS!$C$2+INPUTS!$C$3),"Y","N")</f>
        <v>Y</v>
      </c>
      <c r="I14" s="61"/>
      <c r="J14" s="107">
        <f t="shared" si="6"/>
        <v>0</v>
      </c>
      <c r="K14" s="107">
        <f t="shared" si="7"/>
        <v>0</v>
      </c>
      <c r="L14" s="107">
        <f t="shared" si="8"/>
        <v>0</v>
      </c>
      <c r="M14" s="108">
        <f t="shared" si="0"/>
        <v>0</v>
      </c>
      <c r="N14" s="64"/>
      <c r="O14" s="108">
        <f t="shared" si="9"/>
        <v>5353972</v>
      </c>
      <c r="P14" s="108">
        <f t="shared" si="9"/>
        <v>0</v>
      </c>
      <c r="Q14" s="108">
        <f t="shared" si="9"/>
        <v>0</v>
      </c>
      <c r="R14" s="108">
        <f t="shared" si="1"/>
        <v>5353972</v>
      </c>
      <c r="S14" s="64"/>
      <c r="T14" s="108">
        <f>IF($H14="Y",CONFIG!B$34*O13,0)</f>
        <v>97344.94545454545</v>
      </c>
      <c r="U14" s="108">
        <f>IF($H14="Y",CONFIG!C$34*P13,0)</f>
        <v>0</v>
      </c>
      <c r="V14" s="108">
        <f>IF($H14="Y",CONFIG!D$34*Q13,0)</f>
        <v>0</v>
      </c>
      <c r="W14" s="108">
        <f t="shared" si="2"/>
        <v>97344.94545454545</v>
      </c>
      <c r="X14" s="64"/>
      <c r="Y14" s="108">
        <f>IF($H14="Y",CONFIG!B$35*O13,0)</f>
        <v>80309.58</v>
      </c>
      <c r="Z14" s="108">
        <f>IF($H14="Y",CONFIG!C$35*P13,0)</f>
        <v>0</v>
      </c>
      <c r="AA14" s="108">
        <f>IF($H14="Y",CONFIG!D$35*Q13,0)</f>
        <v>0</v>
      </c>
      <c r="AB14" s="108">
        <f t="shared" si="3"/>
        <v>80309.58</v>
      </c>
      <c r="AC14" s="64"/>
      <c r="AD14" s="108">
        <f t="shared" si="10"/>
        <v>177654.52545454545</v>
      </c>
      <c r="AE14" s="108">
        <f t="shared" si="4"/>
        <v>0</v>
      </c>
      <c r="AF14" s="108">
        <f t="shared" si="4"/>
        <v>0</v>
      </c>
      <c r="AG14" s="108">
        <f t="shared" si="5"/>
        <v>177654.52545454545</v>
      </c>
      <c r="AH14" s="64"/>
      <c r="AI14" s="64"/>
      <c r="AJ14" s="108">
        <f t="shared" si="11"/>
        <v>124358.16781818181</v>
      </c>
      <c r="AK14" s="108">
        <f t="shared" si="11"/>
        <v>230950.8830909091</v>
      </c>
      <c r="AL14" s="64"/>
      <c r="AM14" s="64"/>
      <c r="AN14" s="130">
        <f>IF($R13=$M$30,CONFIG!$B$46/INPUTS!$C$19,1)*BASE!V25</f>
        <v>421756.68989612447</v>
      </c>
      <c r="AO14" s="130">
        <f>IF($R13=$M$30,CONFIG!$B$46/INPUTS!$C$19,1)*BASE!W25</f>
        <v>602509.55699446343</v>
      </c>
      <c r="AP14" s="130">
        <f>IF($R13=$M$30,CONFIG!$B$46/INPUTS!$C$19,1)*BASE!X25</f>
        <v>783262.42409280257</v>
      </c>
      <c r="AR14" s="32"/>
    </row>
    <row r="15" spans="1:44" x14ac:dyDescent="0.25">
      <c r="A15" s="82"/>
      <c r="B15" s="113"/>
      <c r="C15" s="113"/>
      <c r="D15" s="113"/>
      <c r="E15" s="114"/>
      <c r="F15" s="61"/>
      <c r="G15" s="11">
        <v>2030</v>
      </c>
      <c r="H15" s="11" t="str">
        <f>IF(G15&lt;=(INPUTS!$C$2+INPUTS!$C$3),"Y","N")</f>
        <v>Y</v>
      </c>
      <c r="I15" s="61"/>
      <c r="J15" s="107">
        <f t="shared" si="6"/>
        <v>0</v>
      </c>
      <c r="K15" s="107">
        <f t="shared" si="7"/>
        <v>0</v>
      </c>
      <c r="L15" s="107">
        <f t="shared" si="8"/>
        <v>0</v>
      </c>
      <c r="M15" s="108">
        <f t="shared" si="0"/>
        <v>0</v>
      </c>
      <c r="N15" s="64"/>
      <c r="O15" s="108">
        <f t="shared" si="9"/>
        <v>5353972</v>
      </c>
      <c r="P15" s="108">
        <f t="shared" si="9"/>
        <v>0</v>
      </c>
      <c r="Q15" s="108">
        <f t="shared" si="9"/>
        <v>0</v>
      </c>
      <c r="R15" s="108">
        <f t="shared" si="1"/>
        <v>5353972</v>
      </c>
      <c r="S15" s="64"/>
      <c r="T15" s="108">
        <f>IF($H15="Y",CONFIG!B$34*O14,0)</f>
        <v>97344.94545454545</v>
      </c>
      <c r="U15" s="108">
        <f>IF($H15="Y",CONFIG!C$34*P14,0)</f>
        <v>0</v>
      </c>
      <c r="V15" s="108">
        <f>IF($H15="Y",CONFIG!D$34*Q14,0)</f>
        <v>0</v>
      </c>
      <c r="W15" s="108">
        <f t="shared" si="2"/>
        <v>97344.94545454545</v>
      </c>
      <c r="X15" s="64"/>
      <c r="Y15" s="108">
        <f>IF($H15="Y",CONFIG!B$35*O14,0)</f>
        <v>80309.58</v>
      </c>
      <c r="Z15" s="108">
        <f>IF($H15="Y",CONFIG!C$35*P14,0)</f>
        <v>0</v>
      </c>
      <c r="AA15" s="108">
        <f>IF($H15="Y",CONFIG!D$35*Q14,0)</f>
        <v>0</v>
      </c>
      <c r="AB15" s="108">
        <f t="shared" si="3"/>
        <v>80309.58</v>
      </c>
      <c r="AC15" s="64"/>
      <c r="AD15" s="108">
        <f t="shared" si="10"/>
        <v>177654.52545454545</v>
      </c>
      <c r="AE15" s="108">
        <f t="shared" si="4"/>
        <v>0</v>
      </c>
      <c r="AF15" s="108">
        <f t="shared" si="4"/>
        <v>0</v>
      </c>
      <c r="AG15" s="108">
        <f t="shared" si="5"/>
        <v>177654.52545454545</v>
      </c>
      <c r="AH15" s="64"/>
      <c r="AI15" s="64"/>
      <c r="AJ15" s="108">
        <f t="shared" si="11"/>
        <v>124358.16781818181</v>
      </c>
      <c r="AK15" s="108">
        <f t="shared" si="11"/>
        <v>230950.8830909091</v>
      </c>
      <c r="AL15" s="64"/>
      <c r="AM15" s="64"/>
      <c r="AN15" s="130">
        <f>IF($R14=$M$30,CONFIG!$B$46/INPUTS!$C$19,1)*BASE!V26</f>
        <v>420786.17785218952</v>
      </c>
      <c r="AO15" s="130">
        <f>IF($R14=$M$30,CONFIG!$B$46/INPUTS!$C$19,1)*BASE!W26</f>
        <v>601123.11121741368</v>
      </c>
      <c r="AP15" s="130">
        <f>IF($R14=$M$30,CONFIG!$B$46/INPUTS!$C$19,1)*BASE!X26</f>
        <v>781460.04458263784</v>
      </c>
      <c r="AR15" s="32"/>
    </row>
    <row r="16" spans="1:44" x14ac:dyDescent="0.25">
      <c r="A16" s="82"/>
      <c r="B16" s="113"/>
      <c r="C16" s="113"/>
      <c r="D16" s="113"/>
      <c r="E16" s="114"/>
      <c r="F16" s="61"/>
      <c r="G16" s="11">
        <v>2031</v>
      </c>
      <c r="H16" s="11" t="str">
        <f>IF(G16&lt;=(INPUTS!$C$2+INPUTS!$C$3),"Y","N")</f>
        <v>Y</v>
      </c>
      <c r="I16" s="61"/>
      <c r="J16" s="107">
        <f t="shared" si="6"/>
        <v>0</v>
      </c>
      <c r="K16" s="107">
        <f t="shared" si="7"/>
        <v>0</v>
      </c>
      <c r="L16" s="107">
        <f t="shared" si="8"/>
        <v>0</v>
      </c>
      <c r="M16" s="108">
        <f t="shared" si="0"/>
        <v>0</v>
      </c>
      <c r="N16" s="64"/>
      <c r="O16" s="108">
        <f t="shared" si="9"/>
        <v>5353972</v>
      </c>
      <c r="P16" s="108">
        <f t="shared" si="9"/>
        <v>0</v>
      </c>
      <c r="Q16" s="108">
        <f t="shared" si="9"/>
        <v>0</v>
      </c>
      <c r="R16" s="108">
        <f t="shared" si="1"/>
        <v>5353972</v>
      </c>
      <c r="S16" s="64"/>
      <c r="T16" s="108">
        <f>IF($H16="Y",CONFIG!B$34*O15,0)</f>
        <v>97344.94545454545</v>
      </c>
      <c r="U16" s="108">
        <f>IF($H16="Y",CONFIG!C$34*P15,0)</f>
        <v>0</v>
      </c>
      <c r="V16" s="108">
        <f>IF($H16="Y",CONFIG!D$34*Q15,0)</f>
        <v>0</v>
      </c>
      <c r="W16" s="108">
        <f t="shared" si="2"/>
        <v>97344.94545454545</v>
      </c>
      <c r="X16" s="64"/>
      <c r="Y16" s="108">
        <f>IF($H16="Y",CONFIG!B$35*O15,0)</f>
        <v>80309.58</v>
      </c>
      <c r="Z16" s="108">
        <f>IF($H16="Y",CONFIG!C$35*P15,0)</f>
        <v>0</v>
      </c>
      <c r="AA16" s="108">
        <f>IF($H16="Y",CONFIG!D$35*Q15,0)</f>
        <v>0</v>
      </c>
      <c r="AB16" s="108">
        <f t="shared" si="3"/>
        <v>80309.58</v>
      </c>
      <c r="AC16" s="64"/>
      <c r="AD16" s="108">
        <f t="shared" si="10"/>
        <v>177654.52545454545</v>
      </c>
      <c r="AE16" s="108">
        <f t="shared" si="4"/>
        <v>0</v>
      </c>
      <c r="AF16" s="108">
        <f t="shared" si="4"/>
        <v>0</v>
      </c>
      <c r="AG16" s="108">
        <f t="shared" si="5"/>
        <v>177654.52545454545</v>
      </c>
      <c r="AH16" s="64"/>
      <c r="AI16" s="64"/>
      <c r="AJ16" s="108">
        <f t="shared" si="11"/>
        <v>124358.16781818181</v>
      </c>
      <c r="AK16" s="108">
        <f t="shared" si="11"/>
        <v>230950.8830909091</v>
      </c>
      <c r="AL16" s="64"/>
      <c r="AM16" s="64"/>
      <c r="AN16" s="130">
        <f>IF($R15=$M$30,CONFIG!$B$46/INPUTS!$C$19,1)*BASE!V27</f>
        <v>419817.8990712947</v>
      </c>
      <c r="AO16" s="130">
        <f>IF($R15=$M$30,CONFIG!$B$46/INPUTS!$C$19,1)*BASE!W27</f>
        <v>599739.8558161353</v>
      </c>
      <c r="AP16" s="130">
        <f>IF($R15=$M$30,CONFIG!$B$46/INPUTS!$C$19,1)*BASE!X27</f>
        <v>779661.81256097613</v>
      </c>
      <c r="AR16" s="32"/>
    </row>
    <row r="17" spans="1:44" x14ac:dyDescent="0.25">
      <c r="A17" s="82"/>
      <c r="B17" s="113"/>
      <c r="C17" s="113"/>
      <c r="D17" s="113"/>
      <c r="E17" s="114"/>
      <c r="F17" s="61"/>
      <c r="G17" s="11">
        <v>2032</v>
      </c>
      <c r="H17" s="11" t="str">
        <f>IF(G17&lt;=(INPUTS!$C$2+INPUTS!$C$3),"Y","N")</f>
        <v>Y</v>
      </c>
      <c r="I17" s="61"/>
      <c r="J17" s="107">
        <f t="shared" si="6"/>
        <v>0</v>
      </c>
      <c r="K17" s="107">
        <f t="shared" si="7"/>
        <v>0</v>
      </c>
      <c r="L17" s="107">
        <f t="shared" si="8"/>
        <v>0</v>
      </c>
      <c r="M17" s="108">
        <f t="shared" si="0"/>
        <v>0</v>
      </c>
      <c r="N17" s="64"/>
      <c r="O17" s="108">
        <f t="shared" si="9"/>
        <v>5353972</v>
      </c>
      <c r="P17" s="108">
        <f t="shared" si="9"/>
        <v>0</v>
      </c>
      <c r="Q17" s="108">
        <f t="shared" si="9"/>
        <v>0</v>
      </c>
      <c r="R17" s="108">
        <f t="shared" si="1"/>
        <v>5353972</v>
      </c>
      <c r="S17" s="64"/>
      <c r="T17" s="108">
        <f>IF($H17="Y",CONFIG!B$34*O16,0)</f>
        <v>97344.94545454545</v>
      </c>
      <c r="U17" s="108">
        <f>IF($H17="Y",CONFIG!C$34*P16,0)</f>
        <v>0</v>
      </c>
      <c r="V17" s="108">
        <f>IF($H17="Y",CONFIG!D$34*Q16,0)</f>
        <v>0</v>
      </c>
      <c r="W17" s="108">
        <f t="shared" si="2"/>
        <v>97344.94545454545</v>
      </c>
      <c r="X17" s="64"/>
      <c r="Y17" s="108">
        <f>IF($H17="Y",CONFIG!B$35*O16,0)</f>
        <v>80309.58</v>
      </c>
      <c r="Z17" s="108">
        <f>IF($H17="Y",CONFIG!C$35*P16,0)</f>
        <v>0</v>
      </c>
      <c r="AA17" s="108">
        <f>IF($H17="Y",CONFIG!D$35*Q16,0)</f>
        <v>0</v>
      </c>
      <c r="AB17" s="108">
        <f t="shared" si="3"/>
        <v>80309.58</v>
      </c>
      <c r="AC17" s="64"/>
      <c r="AD17" s="108">
        <f t="shared" si="10"/>
        <v>177654.52545454545</v>
      </c>
      <c r="AE17" s="108">
        <f t="shared" si="4"/>
        <v>0</v>
      </c>
      <c r="AF17" s="108">
        <f t="shared" si="4"/>
        <v>0</v>
      </c>
      <c r="AG17" s="108">
        <f t="shared" si="5"/>
        <v>177654.52545454545</v>
      </c>
      <c r="AH17" s="64"/>
      <c r="AI17" s="64"/>
      <c r="AJ17" s="108">
        <f t="shared" si="11"/>
        <v>124358.16781818181</v>
      </c>
      <c r="AK17" s="108">
        <f t="shared" si="11"/>
        <v>230950.8830909091</v>
      </c>
      <c r="AL17" s="64"/>
      <c r="AM17" s="64"/>
      <c r="AN17" s="130">
        <f>IF($R16=$M$30,CONFIG!$B$46/INPUTS!$C$19,1)*BASE!V28</f>
        <v>418851.84841443744</v>
      </c>
      <c r="AO17" s="130">
        <f>IF($R16=$M$30,CONFIG!$B$46/INPUTS!$C$19,1)*BASE!W28</f>
        <v>598359.78344919637</v>
      </c>
      <c r="AP17" s="130">
        <f>IF($R16=$M$30,CONFIG!$B$46/INPUTS!$C$19,1)*BASE!X28</f>
        <v>777867.71848395537</v>
      </c>
      <c r="AR17" s="32"/>
    </row>
    <row r="18" spans="1:44" x14ac:dyDescent="0.25">
      <c r="A18" s="82"/>
      <c r="B18" s="113"/>
      <c r="C18" s="113"/>
      <c r="D18" s="113"/>
      <c r="E18" s="114"/>
      <c r="F18" s="61"/>
      <c r="G18" s="11">
        <v>2033</v>
      </c>
      <c r="H18" s="11" t="str">
        <f>IF(G18&lt;=(INPUTS!$C$2+INPUTS!$C$3),"Y","N")</f>
        <v>Y</v>
      </c>
      <c r="I18" s="61"/>
      <c r="J18" s="107">
        <f t="shared" si="6"/>
        <v>0</v>
      </c>
      <c r="K18" s="107">
        <f t="shared" si="7"/>
        <v>0</v>
      </c>
      <c r="L18" s="107">
        <f t="shared" si="8"/>
        <v>0</v>
      </c>
      <c r="M18" s="108">
        <f t="shared" si="0"/>
        <v>0</v>
      </c>
      <c r="N18" s="64"/>
      <c r="O18" s="108">
        <f t="shared" si="9"/>
        <v>5353972</v>
      </c>
      <c r="P18" s="108">
        <f t="shared" si="9"/>
        <v>0</v>
      </c>
      <c r="Q18" s="108">
        <f t="shared" si="9"/>
        <v>0</v>
      </c>
      <c r="R18" s="108">
        <f t="shared" si="1"/>
        <v>5353972</v>
      </c>
      <c r="S18" s="64"/>
      <c r="T18" s="108">
        <f>IF($H18="Y",CONFIG!B$34*O17,0)</f>
        <v>97344.94545454545</v>
      </c>
      <c r="U18" s="108">
        <f>IF($H18="Y",CONFIG!C$34*P17,0)</f>
        <v>0</v>
      </c>
      <c r="V18" s="108">
        <f>IF($H18="Y",CONFIG!D$34*Q17,0)</f>
        <v>0</v>
      </c>
      <c r="W18" s="108">
        <f t="shared" si="2"/>
        <v>97344.94545454545</v>
      </c>
      <c r="X18" s="64"/>
      <c r="Y18" s="108">
        <f>IF($H18="Y",CONFIG!B$35*O17,0)</f>
        <v>80309.58</v>
      </c>
      <c r="Z18" s="108">
        <f>IF($H18="Y",CONFIG!C$35*P17,0)</f>
        <v>0</v>
      </c>
      <c r="AA18" s="108">
        <f>IF($H18="Y",CONFIG!D$35*Q17,0)</f>
        <v>0</v>
      </c>
      <c r="AB18" s="108">
        <f t="shared" si="3"/>
        <v>80309.58</v>
      </c>
      <c r="AC18" s="64"/>
      <c r="AD18" s="108">
        <f t="shared" si="10"/>
        <v>177654.52545454545</v>
      </c>
      <c r="AE18" s="108">
        <f t="shared" si="4"/>
        <v>0</v>
      </c>
      <c r="AF18" s="108">
        <f t="shared" si="4"/>
        <v>0</v>
      </c>
      <c r="AG18" s="108">
        <f t="shared" si="5"/>
        <v>177654.52545454545</v>
      </c>
      <c r="AH18" s="64"/>
      <c r="AI18" s="64"/>
      <c r="AJ18" s="108">
        <f t="shared" si="11"/>
        <v>124358.16781818181</v>
      </c>
      <c r="AK18" s="108">
        <f t="shared" si="11"/>
        <v>230950.8830909091</v>
      </c>
      <c r="AL18" s="64"/>
      <c r="AM18" s="64"/>
      <c r="AN18" s="130">
        <f>IF($R17=$M$30,CONFIG!$B$46/INPUTS!$C$19,1)*BASE!V29</f>
        <v>417888.02075444057</v>
      </c>
      <c r="AO18" s="130">
        <f>IF($R17=$M$30,CONFIG!$B$46/INPUTS!$C$19,1)*BASE!W29</f>
        <v>596982.88679205801</v>
      </c>
      <c r="AP18" s="130">
        <f>IF($R17=$M$30,CONFIG!$B$46/INPUTS!$C$19,1)*BASE!X29</f>
        <v>776077.75282967545</v>
      </c>
      <c r="AR18" s="32"/>
    </row>
    <row r="19" spans="1:44" x14ac:dyDescent="0.25">
      <c r="A19" s="82"/>
      <c r="B19" s="113"/>
      <c r="C19" s="113"/>
      <c r="D19" s="113"/>
      <c r="E19" s="114"/>
      <c r="F19" s="61"/>
      <c r="G19" s="11">
        <v>2034</v>
      </c>
      <c r="H19" s="11" t="str">
        <f>IF(G19&lt;=(INPUTS!$C$2+INPUTS!$C$3),"Y","N")</f>
        <v>N</v>
      </c>
      <c r="I19" s="61"/>
      <c r="J19" s="107">
        <f t="shared" si="6"/>
        <v>0</v>
      </c>
      <c r="K19" s="107">
        <f t="shared" si="7"/>
        <v>0</v>
      </c>
      <c r="L19" s="107">
        <f t="shared" si="8"/>
        <v>0</v>
      </c>
      <c r="M19" s="108">
        <f t="shared" si="0"/>
        <v>0</v>
      </c>
      <c r="N19" s="64"/>
      <c r="O19" s="108">
        <f t="shared" si="9"/>
        <v>0</v>
      </c>
      <c r="P19" s="108">
        <f t="shared" si="9"/>
        <v>0</v>
      </c>
      <c r="Q19" s="108">
        <f t="shared" si="9"/>
        <v>0</v>
      </c>
      <c r="R19" s="108">
        <f t="shared" si="1"/>
        <v>0</v>
      </c>
      <c r="S19" s="64"/>
      <c r="T19" s="108">
        <f>IF($H19="Y",CONFIG!B$34*O18,0)</f>
        <v>0</v>
      </c>
      <c r="U19" s="108">
        <f>IF($H19="Y",CONFIG!C$34*P18,0)</f>
        <v>0</v>
      </c>
      <c r="V19" s="108">
        <f>IF($H19="Y",CONFIG!D$34*Q18,0)</f>
        <v>0</v>
      </c>
      <c r="W19" s="108">
        <f t="shared" si="2"/>
        <v>0</v>
      </c>
      <c r="X19" s="64"/>
      <c r="Y19" s="108">
        <f>IF($H19="Y",CONFIG!B$35*O18,0)</f>
        <v>0</v>
      </c>
      <c r="Z19" s="108">
        <f>IF($H19="Y",CONFIG!C$35*P18,0)</f>
        <v>0</v>
      </c>
      <c r="AA19" s="108">
        <f>IF($H19="Y",CONFIG!D$35*Q18,0)</f>
        <v>0</v>
      </c>
      <c r="AB19" s="108">
        <f t="shared" si="3"/>
        <v>0</v>
      </c>
      <c r="AC19" s="64"/>
      <c r="AD19" s="108">
        <f t="shared" si="10"/>
        <v>0</v>
      </c>
      <c r="AE19" s="108">
        <f t="shared" si="4"/>
        <v>0</v>
      </c>
      <c r="AF19" s="108">
        <f t="shared" si="4"/>
        <v>0</v>
      </c>
      <c r="AG19" s="108">
        <f t="shared" si="5"/>
        <v>0</v>
      </c>
      <c r="AH19" s="64"/>
      <c r="AI19" s="64"/>
      <c r="AJ19" s="108">
        <f t="shared" si="11"/>
        <v>0</v>
      </c>
      <c r="AK19" s="108">
        <f t="shared" si="11"/>
        <v>0</v>
      </c>
      <c r="AL19" s="64"/>
      <c r="AM19" s="64"/>
      <c r="AN19" s="130">
        <f>IF($R18=$M$30,CONFIG!$B$46/INPUTS!$C$19,1)*BASE!V30</f>
        <v>0</v>
      </c>
      <c r="AO19" s="130">
        <f>IF($R18=$M$30,CONFIG!$B$46/INPUTS!$C$19,1)*BASE!W30</f>
        <v>0</v>
      </c>
      <c r="AP19" s="130">
        <f>IF($R18=$M$30,CONFIG!$B$46/INPUTS!$C$19,1)*BASE!X30</f>
        <v>0</v>
      </c>
      <c r="AR19" s="32"/>
    </row>
    <row r="20" spans="1:44" x14ac:dyDescent="0.25">
      <c r="A20" s="82"/>
      <c r="B20" s="113"/>
      <c r="C20" s="113"/>
      <c r="D20" s="113"/>
      <c r="E20" s="114"/>
      <c r="F20" s="61"/>
      <c r="G20" s="11">
        <v>2035</v>
      </c>
      <c r="H20" s="11" t="str">
        <f>IF(G20&lt;=(INPUTS!$C$2+INPUTS!$C$3),"Y","N")</f>
        <v>N</v>
      </c>
      <c r="I20" s="61"/>
      <c r="J20" s="107">
        <f t="shared" si="6"/>
        <v>0</v>
      </c>
      <c r="K20" s="107">
        <f t="shared" si="7"/>
        <v>0</v>
      </c>
      <c r="L20" s="107">
        <f t="shared" si="8"/>
        <v>0</v>
      </c>
      <c r="M20" s="108">
        <f t="shared" si="0"/>
        <v>0</v>
      </c>
      <c r="N20" s="64"/>
      <c r="O20" s="108">
        <f t="shared" si="9"/>
        <v>0</v>
      </c>
      <c r="P20" s="108">
        <f t="shared" si="9"/>
        <v>0</v>
      </c>
      <c r="Q20" s="108">
        <f t="shared" si="9"/>
        <v>0</v>
      </c>
      <c r="R20" s="108">
        <f t="shared" si="1"/>
        <v>0</v>
      </c>
      <c r="S20" s="64"/>
      <c r="T20" s="108">
        <f>IF($H20="Y",CONFIG!B$34*O19,0)</f>
        <v>0</v>
      </c>
      <c r="U20" s="108">
        <f>IF($H20="Y",CONFIG!C$34*P19,0)</f>
        <v>0</v>
      </c>
      <c r="V20" s="108">
        <f>IF($H20="Y",CONFIG!D$34*Q19,0)</f>
        <v>0</v>
      </c>
      <c r="W20" s="108">
        <f t="shared" si="2"/>
        <v>0</v>
      </c>
      <c r="X20" s="64"/>
      <c r="Y20" s="108">
        <f>IF($H20="Y",CONFIG!B$35*O19,0)</f>
        <v>0</v>
      </c>
      <c r="Z20" s="108">
        <f>IF($H20="Y",CONFIG!C$35*P19,0)</f>
        <v>0</v>
      </c>
      <c r="AA20" s="108">
        <f>IF($H20="Y",CONFIG!D$35*Q19,0)</f>
        <v>0</v>
      </c>
      <c r="AB20" s="108">
        <f t="shared" si="3"/>
        <v>0</v>
      </c>
      <c r="AC20" s="64"/>
      <c r="AD20" s="108">
        <f t="shared" si="10"/>
        <v>0</v>
      </c>
      <c r="AE20" s="108">
        <f t="shared" si="10"/>
        <v>0</v>
      </c>
      <c r="AF20" s="108">
        <f t="shared" si="10"/>
        <v>0</v>
      </c>
      <c r="AG20" s="108">
        <f t="shared" si="5"/>
        <v>0</v>
      </c>
      <c r="AH20" s="64"/>
      <c r="AI20" s="64"/>
      <c r="AJ20" s="108">
        <f t="shared" si="11"/>
        <v>0</v>
      </c>
      <c r="AK20" s="108">
        <f t="shared" si="11"/>
        <v>0</v>
      </c>
      <c r="AL20" s="64"/>
      <c r="AM20" s="64"/>
      <c r="AN20" s="130">
        <f>IF($R19=$M$30,CONFIG!$B$46/INPUTS!$C$19,1)*BASE!V31</f>
        <v>0</v>
      </c>
      <c r="AO20" s="130">
        <f>IF($R19=$M$30,CONFIG!$B$46/INPUTS!$C$19,1)*BASE!W31</f>
        <v>0</v>
      </c>
      <c r="AP20" s="130">
        <f>IF($R19=$M$30,CONFIG!$B$46/INPUTS!$C$19,1)*BASE!X31</f>
        <v>0</v>
      </c>
      <c r="AR20" s="32"/>
    </row>
    <row r="21" spans="1:44" x14ac:dyDescent="0.25">
      <c r="A21" s="82"/>
      <c r="B21" s="113"/>
      <c r="C21" s="113"/>
      <c r="D21" s="113"/>
      <c r="E21" s="114"/>
      <c r="F21" s="61"/>
      <c r="G21" s="11">
        <v>2036</v>
      </c>
      <c r="H21" s="11" t="str">
        <f>IF(G21&lt;=(INPUTS!$C$2+INPUTS!$C$3),"Y","N")</f>
        <v>N</v>
      </c>
      <c r="I21" s="61"/>
      <c r="J21" s="107">
        <f t="shared" si="6"/>
        <v>0</v>
      </c>
      <c r="K21" s="107">
        <f t="shared" si="7"/>
        <v>0</v>
      </c>
      <c r="L21" s="107">
        <f t="shared" si="8"/>
        <v>0</v>
      </c>
      <c r="M21" s="108">
        <f t="shared" si="0"/>
        <v>0</v>
      </c>
      <c r="N21" s="64"/>
      <c r="O21" s="108">
        <f t="shared" ref="O21:Q29" si="12">IF($H21="Y",O20+J21,0)</f>
        <v>0</v>
      </c>
      <c r="P21" s="108">
        <f t="shared" si="12"/>
        <v>0</v>
      </c>
      <c r="Q21" s="108">
        <f t="shared" si="12"/>
        <v>0</v>
      </c>
      <c r="R21" s="108">
        <f t="shared" si="1"/>
        <v>0</v>
      </c>
      <c r="S21" s="64"/>
      <c r="T21" s="108">
        <f>IF($H21="Y",CONFIG!B$34*O20,0)</f>
        <v>0</v>
      </c>
      <c r="U21" s="108">
        <f>IF($H21="Y",CONFIG!C$34*P20,0)</f>
        <v>0</v>
      </c>
      <c r="V21" s="108">
        <f>IF($H21="Y",CONFIG!D$34*Q20,0)</f>
        <v>0</v>
      </c>
      <c r="W21" s="108">
        <f t="shared" si="2"/>
        <v>0</v>
      </c>
      <c r="X21" s="64"/>
      <c r="Y21" s="108">
        <f>IF($H21="Y",CONFIG!B$35*O20,0)</f>
        <v>0</v>
      </c>
      <c r="Z21" s="108">
        <f>IF($H21="Y",CONFIG!C$35*P20,0)</f>
        <v>0</v>
      </c>
      <c r="AA21" s="108">
        <f>IF($H21="Y",CONFIG!D$35*Q20,0)</f>
        <v>0</v>
      </c>
      <c r="AB21" s="108">
        <f t="shared" si="3"/>
        <v>0</v>
      </c>
      <c r="AC21" s="64"/>
      <c r="AD21" s="108">
        <f t="shared" si="10"/>
        <v>0</v>
      </c>
      <c r="AE21" s="108">
        <f t="shared" si="10"/>
        <v>0</v>
      </c>
      <c r="AF21" s="108">
        <f t="shared" si="10"/>
        <v>0</v>
      </c>
      <c r="AG21" s="108">
        <f t="shared" si="5"/>
        <v>0</v>
      </c>
      <c r="AH21" s="64"/>
      <c r="AI21" s="64"/>
      <c r="AJ21" s="108">
        <f t="shared" si="11"/>
        <v>0</v>
      </c>
      <c r="AK21" s="108">
        <f t="shared" si="11"/>
        <v>0</v>
      </c>
      <c r="AL21" s="64"/>
      <c r="AM21" s="64"/>
      <c r="AN21" s="130">
        <f>IF($R20=$M$30,CONFIG!$B$46/INPUTS!$C$19,1)*BASE!V32</f>
        <v>0</v>
      </c>
      <c r="AO21" s="130">
        <f>IF($R20=$M$30,CONFIG!$B$46/INPUTS!$C$19,1)*BASE!W32</f>
        <v>0</v>
      </c>
      <c r="AP21" s="130">
        <f>IF($R20=$M$30,CONFIG!$B$46/INPUTS!$C$19,1)*BASE!X32</f>
        <v>0</v>
      </c>
      <c r="AR21" s="32"/>
    </row>
    <row r="22" spans="1:44" x14ac:dyDescent="0.25">
      <c r="A22" s="82"/>
      <c r="B22" s="113"/>
      <c r="C22" s="113"/>
      <c r="D22" s="113"/>
      <c r="E22" s="114"/>
      <c r="F22" s="61"/>
      <c r="G22" s="11">
        <v>2037</v>
      </c>
      <c r="H22" s="11" t="str">
        <f>IF(G22&lt;=(INPUTS!$C$2+INPUTS!$C$3),"Y","N")</f>
        <v>N</v>
      </c>
      <c r="I22" s="61"/>
      <c r="J22" s="107">
        <f t="shared" si="6"/>
        <v>0</v>
      </c>
      <c r="K22" s="107">
        <f t="shared" si="7"/>
        <v>0</v>
      </c>
      <c r="L22" s="107">
        <f t="shared" si="8"/>
        <v>0</v>
      </c>
      <c r="M22" s="108">
        <f t="shared" si="0"/>
        <v>0</v>
      </c>
      <c r="N22" s="64"/>
      <c r="O22" s="108">
        <f t="shared" si="12"/>
        <v>0</v>
      </c>
      <c r="P22" s="108">
        <f t="shared" si="12"/>
        <v>0</v>
      </c>
      <c r="Q22" s="108">
        <f t="shared" si="12"/>
        <v>0</v>
      </c>
      <c r="R22" s="108">
        <f t="shared" si="1"/>
        <v>0</v>
      </c>
      <c r="S22" s="64"/>
      <c r="T22" s="108">
        <f>IF($H22="Y",CONFIG!B$34*O21,0)</f>
        <v>0</v>
      </c>
      <c r="U22" s="108">
        <f>IF($H22="Y",CONFIG!C$34*P21,0)</f>
        <v>0</v>
      </c>
      <c r="V22" s="108">
        <f>IF($H22="Y",CONFIG!D$34*Q21,0)</f>
        <v>0</v>
      </c>
      <c r="W22" s="108">
        <f t="shared" si="2"/>
        <v>0</v>
      </c>
      <c r="X22" s="64"/>
      <c r="Y22" s="108">
        <f>IF($H22="Y",CONFIG!B$35*O21,0)</f>
        <v>0</v>
      </c>
      <c r="Z22" s="108">
        <f>IF($H22="Y",CONFIG!C$35*P21,0)</f>
        <v>0</v>
      </c>
      <c r="AA22" s="108">
        <f>IF($H22="Y",CONFIG!D$35*Q21,0)</f>
        <v>0</v>
      </c>
      <c r="AB22" s="108">
        <f t="shared" si="3"/>
        <v>0</v>
      </c>
      <c r="AC22" s="64"/>
      <c r="AD22" s="108">
        <f t="shared" si="10"/>
        <v>0</v>
      </c>
      <c r="AE22" s="108">
        <f t="shared" si="10"/>
        <v>0</v>
      </c>
      <c r="AF22" s="108">
        <f t="shared" si="10"/>
        <v>0</v>
      </c>
      <c r="AG22" s="108">
        <f t="shared" si="5"/>
        <v>0</v>
      </c>
      <c r="AH22" s="64"/>
      <c r="AI22" s="64"/>
      <c r="AJ22" s="108">
        <f t="shared" si="11"/>
        <v>0</v>
      </c>
      <c r="AK22" s="108">
        <f t="shared" si="11"/>
        <v>0</v>
      </c>
      <c r="AL22" s="64"/>
      <c r="AM22" s="64"/>
      <c r="AN22" s="130">
        <f>IF($R21=$M$30,CONFIG!$B$46/INPUTS!$C$19,1)*BASE!V33</f>
        <v>0</v>
      </c>
      <c r="AO22" s="130">
        <f>IF($R21=$M$30,CONFIG!$B$46/INPUTS!$C$19,1)*BASE!W33</f>
        <v>0</v>
      </c>
      <c r="AP22" s="130">
        <f>IF($R21=$M$30,CONFIG!$B$46/INPUTS!$C$19,1)*BASE!X33</f>
        <v>0</v>
      </c>
      <c r="AR22" s="32"/>
    </row>
    <row r="23" spans="1:44" x14ac:dyDescent="0.25">
      <c r="A23" s="82"/>
      <c r="B23" s="113"/>
      <c r="C23" s="113"/>
      <c r="D23" s="113"/>
      <c r="E23" s="114"/>
      <c r="F23" s="61"/>
      <c r="G23" s="11">
        <v>2038</v>
      </c>
      <c r="H23" s="11" t="str">
        <f>IF(G23&lt;=(INPUTS!$C$2+INPUTS!$C$3),"Y","N")</f>
        <v>N</v>
      </c>
      <c r="I23" s="61"/>
      <c r="J23" s="107">
        <f t="shared" si="6"/>
        <v>0</v>
      </c>
      <c r="K23" s="107">
        <f t="shared" si="7"/>
        <v>0</v>
      </c>
      <c r="L23" s="107">
        <f t="shared" si="8"/>
        <v>0</v>
      </c>
      <c r="M23" s="108">
        <f t="shared" si="0"/>
        <v>0</v>
      </c>
      <c r="N23" s="64"/>
      <c r="O23" s="108">
        <f t="shared" si="12"/>
        <v>0</v>
      </c>
      <c r="P23" s="108">
        <f t="shared" si="12"/>
        <v>0</v>
      </c>
      <c r="Q23" s="108">
        <f t="shared" si="12"/>
        <v>0</v>
      </c>
      <c r="R23" s="108">
        <f t="shared" si="1"/>
        <v>0</v>
      </c>
      <c r="S23" s="64"/>
      <c r="T23" s="108">
        <f>IF($H23="Y",CONFIG!B$34*O22,0)</f>
        <v>0</v>
      </c>
      <c r="U23" s="108">
        <f>IF($H23="Y",CONFIG!C$34*P22,0)</f>
        <v>0</v>
      </c>
      <c r="V23" s="108">
        <f>IF($H23="Y",CONFIG!D$34*Q22,0)</f>
        <v>0</v>
      </c>
      <c r="W23" s="108">
        <f t="shared" si="2"/>
        <v>0</v>
      </c>
      <c r="X23" s="64"/>
      <c r="Y23" s="108">
        <f>IF($H23="Y",CONFIG!B$35*O22,0)</f>
        <v>0</v>
      </c>
      <c r="Z23" s="108">
        <f>IF($H23="Y",CONFIG!C$35*P22,0)</f>
        <v>0</v>
      </c>
      <c r="AA23" s="108">
        <f>IF($H23="Y",CONFIG!D$35*Q22,0)</f>
        <v>0</v>
      </c>
      <c r="AB23" s="108">
        <f t="shared" si="3"/>
        <v>0</v>
      </c>
      <c r="AC23" s="64"/>
      <c r="AD23" s="108">
        <f t="shared" si="10"/>
        <v>0</v>
      </c>
      <c r="AE23" s="108">
        <f t="shared" si="10"/>
        <v>0</v>
      </c>
      <c r="AF23" s="108">
        <f t="shared" si="10"/>
        <v>0</v>
      </c>
      <c r="AG23" s="108">
        <f t="shared" si="5"/>
        <v>0</v>
      </c>
      <c r="AH23" s="64"/>
      <c r="AI23" s="64"/>
      <c r="AJ23" s="108">
        <f t="shared" si="11"/>
        <v>0</v>
      </c>
      <c r="AK23" s="108">
        <f t="shared" si="11"/>
        <v>0</v>
      </c>
      <c r="AL23" s="64"/>
      <c r="AM23" s="64"/>
      <c r="AN23" s="130">
        <f>IF($R22=$M$30,CONFIG!$B$46/INPUTS!$C$19,1)*BASE!V34</f>
        <v>0</v>
      </c>
      <c r="AO23" s="130">
        <f>IF($R22=$M$30,CONFIG!$B$46/INPUTS!$C$19,1)*BASE!W34</f>
        <v>0</v>
      </c>
      <c r="AP23" s="130">
        <f>IF($R22=$M$30,CONFIG!$B$46/INPUTS!$C$19,1)*BASE!X34</f>
        <v>0</v>
      </c>
      <c r="AR23" s="32"/>
    </row>
    <row r="24" spans="1:44" x14ac:dyDescent="0.25">
      <c r="A24" s="82"/>
      <c r="B24" s="113"/>
      <c r="C24" s="113"/>
      <c r="D24" s="113"/>
      <c r="E24" s="114"/>
      <c r="F24" s="61"/>
      <c r="G24" s="11">
        <v>2039</v>
      </c>
      <c r="H24" s="11" t="str">
        <f>IF(G24&lt;=(INPUTS!$C$2+INPUTS!$C$3),"Y","N")</f>
        <v>N</v>
      </c>
      <c r="I24" s="61"/>
      <c r="J24" s="107">
        <f t="shared" si="6"/>
        <v>0</v>
      </c>
      <c r="K24" s="107">
        <f t="shared" si="7"/>
        <v>0</v>
      </c>
      <c r="L24" s="107">
        <f t="shared" si="8"/>
        <v>0</v>
      </c>
      <c r="M24" s="108">
        <f t="shared" si="0"/>
        <v>0</v>
      </c>
      <c r="N24" s="64"/>
      <c r="O24" s="108">
        <f t="shared" si="12"/>
        <v>0</v>
      </c>
      <c r="P24" s="108">
        <f t="shared" si="12"/>
        <v>0</v>
      </c>
      <c r="Q24" s="108">
        <f t="shared" si="12"/>
        <v>0</v>
      </c>
      <c r="R24" s="108">
        <f t="shared" si="1"/>
        <v>0</v>
      </c>
      <c r="S24" s="64"/>
      <c r="T24" s="108">
        <f>IF($H24="Y",CONFIG!B$34*O23,0)</f>
        <v>0</v>
      </c>
      <c r="U24" s="108">
        <f>IF($H24="Y",CONFIG!C$34*P23,0)</f>
        <v>0</v>
      </c>
      <c r="V24" s="108">
        <f>IF($H24="Y",CONFIG!D$34*Q23,0)</f>
        <v>0</v>
      </c>
      <c r="W24" s="108">
        <f t="shared" si="2"/>
        <v>0</v>
      </c>
      <c r="X24" s="64"/>
      <c r="Y24" s="108">
        <f>IF($H24="Y",CONFIG!B$35*O23,0)</f>
        <v>0</v>
      </c>
      <c r="Z24" s="108">
        <f>IF($H24="Y",CONFIG!C$35*P23,0)</f>
        <v>0</v>
      </c>
      <c r="AA24" s="108">
        <f>IF($H24="Y",CONFIG!D$35*Q23,0)</f>
        <v>0</v>
      </c>
      <c r="AB24" s="108">
        <f t="shared" si="3"/>
        <v>0</v>
      </c>
      <c r="AC24" s="64"/>
      <c r="AD24" s="108">
        <f t="shared" si="10"/>
        <v>0</v>
      </c>
      <c r="AE24" s="108">
        <f t="shared" si="10"/>
        <v>0</v>
      </c>
      <c r="AF24" s="108">
        <f t="shared" si="10"/>
        <v>0</v>
      </c>
      <c r="AG24" s="108">
        <f t="shared" si="5"/>
        <v>0</v>
      </c>
      <c r="AH24" s="64"/>
      <c r="AI24" s="64"/>
      <c r="AJ24" s="108">
        <f t="shared" si="11"/>
        <v>0</v>
      </c>
      <c r="AK24" s="108">
        <f t="shared" si="11"/>
        <v>0</v>
      </c>
      <c r="AL24" s="64"/>
      <c r="AM24" s="64"/>
      <c r="AN24" s="130">
        <f>IF($R23=$M$30,CONFIG!$B$46/INPUTS!$C$19,1)*BASE!V35</f>
        <v>0</v>
      </c>
      <c r="AO24" s="130">
        <f>IF($R23=$M$30,CONFIG!$B$46/INPUTS!$C$19,1)*BASE!W35</f>
        <v>0</v>
      </c>
      <c r="AP24" s="130">
        <f>IF($R23=$M$30,CONFIG!$B$46/INPUTS!$C$19,1)*BASE!X35</f>
        <v>0</v>
      </c>
      <c r="AR24" s="32"/>
    </row>
    <row r="25" spans="1:44" x14ac:dyDescent="0.25">
      <c r="A25" s="82"/>
      <c r="B25" s="113"/>
      <c r="C25" s="113"/>
      <c r="D25" s="113"/>
      <c r="E25" s="114"/>
      <c r="F25" s="61"/>
      <c r="G25" s="11">
        <v>2040</v>
      </c>
      <c r="H25" s="11" t="str">
        <f>IF(G25&lt;=(INPUTS!$C$2+INPUTS!$C$3),"Y","N")</f>
        <v>N</v>
      </c>
      <c r="I25" s="61"/>
      <c r="J25" s="107">
        <f t="shared" si="6"/>
        <v>0</v>
      </c>
      <c r="K25" s="107">
        <f t="shared" si="7"/>
        <v>0</v>
      </c>
      <c r="L25" s="107">
        <f t="shared" si="8"/>
        <v>0</v>
      </c>
      <c r="M25" s="108">
        <f t="shared" si="0"/>
        <v>0</v>
      </c>
      <c r="N25" s="64"/>
      <c r="O25" s="108">
        <f t="shared" si="12"/>
        <v>0</v>
      </c>
      <c r="P25" s="108">
        <f t="shared" si="12"/>
        <v>0</v>
      </c>
      <c r="Q25" s="108">
        <f t="shared" si="12"/>
        <v>0</v>
      </c>
      <c r="R25" s="108">
        <f t="shared" si="1"/>
        <v>0</v>
      </c>
      <c r="S25" s="64"/>
      <c r="T25" s="108">
        <f>IF($H25="Y",CONFIG!B$34*O24,0)</f>
        <v>0</v>
      </c>
      <c r="U25" s="108">
        <f>IF($H25="Y",CONFIG!C$34*P24,0)</f>
        <v>0</v>
      </c>
      <c r="V25" s="108">
        <f>IF($H25="Y",CONFIG!D$34*Q24,0)</f>
        <v>0</v>
      </c>
      <c r="W25" s="108">
        <f t="shared" si="2"/>
        <v>0</v>
      </c>
      <c r="X25" s="64"/>
      <c r="Y25" s="108">
        <f>IF($H25="Y",CONFIG!B$35*O24,0)</f>
        <v>0</v>
      </c>
      <c r="Z25" s="108">
        <f>IF($H25="Y",CONFIG!C$35*P24,0)</f>
        <v>0</v>
      </c>
      <c r="AA25" s="108">
        <f>IF($H25="Y",CONFIG!D$35*Q24,0)</f>
        <v>0</v>
      </c>
      <c r="AB25" s="108">
        <f t="shared" si="3"/>
        <v>0</v>
      </c>
      <c r="AC25" s="64"/>
      <c r="AD25" s="108">
        <f t="shared" si="10"/>
        <v>0</v>
      </c>
      <c r="AE25" s="108">
        <f t="shared" si="10"/>
        <v>0</v>
      </c>
      <c r="AF25" s="108">
        <f t="shared" si="10"/>
        <v>0</v>
      </c>
      <c r="AG25" s="108">
        <f t="shared" si="5"/>
        <v>0</v>
      </c>
      <c r="AH25" s="64"/>
      <c r="AI25" s="64"/>
      <c r="AJ25" s="108">
        <f t="shared" si="11"/>
        <v>0</v>
      </c>
      <c r="AK25" s="108">
        <f t="shared" si="11"/>
        <v>0</v>
      </c>
      <c r="AL25" s="64"/>
      <c r="AM25" s="64"/>
      <c r="AN25" s="130">
        <f>IF($R24=$M$30,CONFIG!$B$46/INPUTS!$C$19,1)*BASE!V36</f>
        <v>0</v>
      </c>
      <c r="AO25" s="130">
        <f>IF($R24=$M$30,CONFIG!$B$46/INPUTS!$C$19,1)*BASE!W36</f>
        <v>0</v>
      </c>
      <c r="AP25" s="130">
        <f>IF($R24=$M$30,CONFIG!$B$46/INPUTS!$C$19,1)*BASE!X36</f>
        <v>0</v>
      </c>
      <c r="AR25" s="32"/>
    </row>
    <row r="26" spans="1:44" x14ac:dyDescent="0.25">
      <c r="A26" s="82"/>
      <c r="B26" s="113"/>
      <c r="C26" s="113"/>
      <c r="D26" s="113"/>
      <c r="E26" s="114"/>
      <c r="F26" s="61"/>
      <c r="G26" s="11">
        <v>2041</v>
      </c>
      <c r="H26" s="11" t="str">
        <f>IF(G26&lt;=(INPUTS!$C$2+INPUTS!$C$3),"Y","N")</f>
        <v>N</v>
      </c>
      <c r="I26" s="61"/>
      <c r="J26" s="107">
        <f t="shared" si="6"/>
        <v>0</v>
      </c>
      <c r="K26" s="107">
        <f t="shared" si="7"/>
        <v>0</v>
      </c>
      <c r="L26" s="107">
        <f t="shared" si="8"/>
        <v>0</v>
      </c>
      <c r="M26" s="108">
        <f t="shared" si="0"/>
        <v>0</v>
      </c>
      <c r="N26" s="64"/>
      <c r="O26" s="108">
        <f t="shared" si="12"/>
        <v>0</v>
      </c>
      <c r="P26" s="108">
        <f t="shared" si="12"/>
        <v>0</v>
      </c>
      <c r="Q26" s="108">
        <f t="shared" si="12"/>
        <v>0</v>
      </c>
      <c r="R26" s="108">
        <f t="shared" si="1"/>
        <v>0</v>
      </c>
      <c r="S26" s="64"/>
      <c r="T26" s="108">
        <f>IF($H26="Y",CONFIG!B$34*O25,0)</f>
        <v>0</v>
      </c>
      <c r="U26" s="108">
        <f>IF($H26="Y",CONFIG!C$34*P25,0)</f>
        <v>0</v>
      </c>
      <c r="V26" s="108">
        <f>IF($H26="Y",CONFIG!D$34*Q25,0)</f>
        <v>0</v>
      </c>
      <c r="W26" s="108">
        <f t="shared" si="2"/>
        <v>0</v>
      </c>
      <c r="X26" s="64"/>
      <c r="Y26" s="108">
        <f>IF($H26="Y",CONFIG!B$35*O25,0)</f>
        <v>0</v>
      </c>
      <c r="Z26" s="108">
        <f>IF($H26="Y",CONFIG!C$35*P25,0)</f>
        <v>0</v>
      </c>
      <c r="AA26" s="108">
        <f>IF($H26="Y",CONFIG!D$35*Q25,0)</f>
        <v>0</v>
      </c>
      <c r="AB26" s="108">
        <f t="shared" si="3"/>
        <v>0</v>
      </c>
      <c r="AC26" s="64"/>
      <c r="AD26" s="108">
        <f t="shared" si="10"/>
        <v>0</v>
      </c>
      <c r="AE26" s="108">
        <f t="shared" si="10"/>
        <v>0</v>
      </c>
      <c r="AF26" s="108">
        <f t="shared" si="10"/>
        <v>0</v>
      </c>
      <c r="AG26" s="108">
        <f t="shared" si="5"/>
        <v>0</v>
      </c>
      <c r="AH26" s="64"/>
      <c r="AI26" s="64"/>
      <c r="AJ26" s="108">
        <f t="shared" si="11"/>
        <v>0</v>
      </c>
      <c r="AK26" s="108">
        <f t="shared" si="11"/>
        <v>0</v>
      </c>
      <c r="AL26" s="64"/>
      <c r="AM26" s="64"/>
      <c r="AN26" s="130">
        <f>IF($R25=$M$30,CONFIG!$B$46/INPUTS!$C$19,1)*BASE!V37</f>
        <v>0</v>
      </c>
      <c r="AO26" s="130">
        <f>IF($R25=$M$30,CONFIG!$B$46/INPUTS!$C$19,1)*BASE!W37</f>
        <v>0</v>
      </c>
      <c r="AP26" s="130">
        <f>IF($R25=$M$30,CONFIG!$B$46/INPUTS!$C$19,1)*BASE!X37</f>
        <v>0</v>
      </c>
      <c r="AR26" s="32"/>
    </row>
    <row r="27" spans="1:44" x14ac:dyDescent="0.25">
      <c r="A27" s="82"/>
      <c r="B27" s="113"/>
      <c r="C27" s="113"/>
      <c r="D27" s="113"/>
      <c r="E27" s="114"/>
      <c r="F27" s="61"/>
      <c r="G27" s="11">
        <v>2042</v>
      </c>
      <c r="H27" s="11" t="str">
        <f>IF(G27&lt;=(INPUTS!$C$2+INPUTS!$C$3),"Y","N")</f>
        <v>N</v>
      </c>
      <c r="I27" s="61"/>
      <c r="J27" s="107">
        <f t="shared" si="6"/>
        <v>0</v>
      </c>
      <c r="K27" s="107">
        <f t="shared" si="7"/>
        <v>0</v>
      </c>
      <c r="L27" s="107">
        <f t="shared" si="8"/>
        <v>0</v>
      </c>
      <c r="M27" s="108">
        <f t="shared" si="0"/>
        <v>0</v>
      </c>
      <c r="N27" s="64"/>
      <c r="O27" s="108">
        <f t="shared" si="12"/>
        <v>0</v>
      </c>
      <c r="P27" s="108">
        <f t="shared" si="12"/>
        <v>0</v>
      </c>
      <c r="Q27" s="108">
        <f t="shared" si="12"/>
        <v>0</v>
      </c>
      <c r="R27" s="108">
        <f t="shared" si="1"/>
        <v>0</v>
      </c>
      <c r="S27" s="64"/>
      <c r="T27" s="108">
        <f>IF($H27="Y",CONFIG!B$34*O26,0)</f>
        <v>0</v>
      </c>
      <c r="U27" s="108">
        <f>IF($H27="Y",CONFIG!C$34*P26,0)</f>
        <v>0</v>
      </c>
      <c r="V27" s="108">
        <f>IF($H27="Y",CONFIG!D$34*Q26,0)</f>
        <v>0</v>
      </c>
      <c r="W27" s="108">
        <f t="shared" si="2"/>
        <v>0</v>
      </c>
      <c r="X27" s="64"/>
      <c r="Y27" s="108">
        <f>IF($H27="Y",CONFIG!B$35*O26,0)</f>
        <v>0</v>
      </c>
      <c r="Z27" s="108">
        <f>IF($H27="Y",CONFIG!C$35*P26,0)</f>
        <v>0</v>
      </c>
      <c r="AA27" s="108">
        <f>IF($H27="Y",CONFIG!D$35*Q26,0)</f>
        <v>0</v>
      </c>
      <c r="AB27" s="108">
        <f t="shared" si="3"/>
        <v>0</v>
      </c>
      <c r="AC27" s="64"/>
      <c r="AD27" s="108">
        <f t="shared" si="10"/>
        <v>0</v>
      </c>
      <c r="AE27" s="108">
        <f t="shared" si="10"/>
        <v>0</v>
      </c>
      <c r="AF27" s="108">
        <f t="shared" si="10"/>
        <v>0</v>
      </c>
      <c r="AG27" s="108">
        <f t="shared" si="5"/>
        <v>0</v>
      </c>
      <c r="AH27" s="64"/>
      <c r="AI27" s="64"/>
      <c r="AJ27" s="108">
        <f t="shared" si="11"/>
        <v>0</v>
      </c>
      <c r="AK27" s="108">
        <f t="shared" si="11"/>
        <v>0</v>
      </c>
      <c r="AL27" s="64"/>
      <c r="AM27" s="64"/>
      <c r="AN27" s="130">
        <f>IF($R26=$M$30,CONFIG!$B$46/INPUTS!$C$19,1)*BASE!V38</f>
        <v>0</v>
      </c>
      <c r="AO27" s="130">
        <f>IF($R26=$M$30,CONFIG!$B$46/INPUTS!$C$19,1)*BASE!W38</f>
        <v>0</v>
      </c>
      <c r="AP27" s="130">
        <f>IF($R26=$M$30,CONFIG!$B$46/INPUTS!$C$19,1)*BASE!X38</f>
        <v>0</v>
      </c>
      <c r="AR27" s="32"/>
    </row>
    <row r="28" spans="1:44" x14ac:dyDescent="0.25">
      <c r="A28" s="82"/>
      <c r="B28" s="113"/>
      <c r="C28" s="113"/>
      <c r="D28" s="113"/>
      <c r="E28" s="114"/>
      <c r="F28" s="61"/>
      <c r="G28" s="11">
        <v>2043</v>
      </c>
      <c r="H28" s="11" t="str">
        <f>IF(G28&lt;=(INPUTS!$C$2+INPUTS!$C$3),"Y","N")</f>
        <v>N</v>
      </c>
      <c r="I28" s="61"/>
      <c r="J28" s="107">
        <f t="shared" si="6"/>
        <v>0</v>
      </c>
      <c r="K28" s="107">
        <f t="shared" si="7"/>
        <v>0</v>
      </c>
      <c r="L28" s="107">
        <f t="shared" si="8"/>
        <v>0</v>
      </c>
      <c r="M28" s="108">
        <f t="shared" si="0"/>
        <v>0</v>
      </c>
      <c r="N28" s="64"/>
      <c r="O28" s="108">
        <f t="shared" si="12"/>
        <v>0</v>
      </c>
      <c r="P28" s="108">
        <f t="shared" si="12"/>
        <v>0</v>
      </c>
      <c r="Q28" s="108">
        <f t="shared" si="12"/>
        <v>0</v>
      </c>
      <c r="R28" s="108">
        <f t="shared" si="1"/>
        <v>0</v>
      </c>
      <c r="S28" s="64"/>
      <c r="T28" s="108">
        <f>IF($H28="Y",CONFIG!B$34*O27,0)</f>
        <v>0</v>
      </c>
      <c r="U28" s="108">
        <f>IF($H28="Y",CONFIG!C$34*P27,0)</f>
        <v>0</v>
      </c>
      <c r="V28" s="108">
        <f>IF($H28="Y",CONFIG!D$34*Q27,0)</f>
        <v>0</v>
      </c>
      <c r="W28" s="108">
        <f t="shared" si="2"/>
        <v>0</v>
      </c>
      <c r="X28" s="64"/>
      <c r="Y28" s="108">
        <f>IF($H28="Y",CONFIG!B$35*O27,0)</f>
        <v>0</v>
      </c>
      <c r="Z28" s="108">
        <f>IF($H28="Y",CONFIG!C$35*P27,0)</f>
        <v>0</v>
      </c>
      <c r="AA28" s="108">
        <f>IF($H28="Y",CONFIG!D$35*Q27,0)</f>
        <v>0</v>
      </c>
      <c r="AB28" s="108">
        <f t="shared" si="3"/>
        <v>0</v>
      </c>
      <c r="AC28" s="64"/>
      <c r="AD28" s="108">
        <f t="shared" si="10"/>
        <v>0</v>
      </c>
      <c r="AE28" s="108">
        <f t="shared" si="10"/>
        <v>0</v>
      </c>
      <c r="AF28" s="108">
        <f t="shared" si="10"/>
        <v>0</v>
      </c>
      <c r="AG28" s="108">
        <f t="shared" si="5"/>
        <v>0</v>
      </c>
      <c r="AH28" s="64"/>
      <c r="AI28" s="64"/>
      <c r="AJ28" s="108">
        <f t="shared" si="11"/>
        <v>0</v>
      </c>
      <c r="AK28" s="108">
        <f t="shared" si="11"/>
        <v>0</v>
      </c>
      <c r="AL28" s="64"/>
      <c r="AM28" s="64"/>
      <c r="AN28" s="130">
        <f>IF($R27=$M$30,CONFIG!$B$46/INPUTS!$C$19,1)*BASE!V39</f>
        <v>0</v>
      </c>
      <c r="AO28" s="130">
        <f>IF($R27=$M$30,CONFIG!$B$46/INPUTS!$C$19,1)*BASE!W39</f>
        <v>0</v>
      </c>
      <c r="AP28" s="130">
        <f>IF($R27=$M$30,CONFIG!$B$46/INPUTS!$C$19,1)*BASE!X39</f>
        <v>0</v>
      </c>
      <c r="AR28" s="32"/>
    </row>
    <row r="29" spans="1:44" x14ac:dyDescent="0.25">
      <c r="A29" s="82"/>
      <c r="B29" s="113"/>
      <c r="C29" s="113"/>
      <c r="D29" s="113"/>
      <c r="E29" s="114"/>
      <c r="F29" s="61"/>
      <c r="G29" s="11">
        <v>2044</v>
      </c>
      <c r="H29" s="11" t="str">
        <f>IF(G29&lt;=(INPUTS!$C$2+INPUTS!$C$3),"Y","N")</f>
        <v>N</v>
      </c>
      <c r="I29" s="61"/>
      <c r="J29" s="107">
        <f t="shared" si="6"/>
        <v>0</v>
      </c>
      <c r="K29" s="107">
        <f t="shared" si="7"/>
        <v>0</v>
      </c>
      <c r="L29" s="107">
        <f t="shared" si="8"/>
        <v>0</v>
      </c>
      <c r="M29" s="108">
        <f t="shared" si="0"/>
        <v>0</v>
      </c>
      <c r="N29" s="64"/>
      <c r="O29" s="108">
        <f t="shared" si="12"/>
        <v>0</v>
      </c>
      <c r="P29" s="108">
        <f t="shared" si="12"/>
        <v>0</v>
      </c>
      <c r="Q29" s="108">
        <f t="shared" si="12"/>
        <v>0</v>
      </c>
      <c r="R29" s="108">
        <f t="shared" si="1"/>
        <v>0</v>
      </c>
      <c r="S29" s="64"/>
      <c r="T29" s="108">
        <f>IF($H29="Y",CONFIG!B$34*O28,0)</f>
        <v>0</v>
      </c>
      <c r="U29" s="108">
        <f>IF($H29="Y",CONFIG!C$34*P28,0)</f>
        <v>0</v>
      </c>
      <c r="V29" s="108">
        <f>IF($H29="Y",CONFIG!D$34*Q28,0)</f>
        <v>0</v>
      </c>
      <c r="W29" s="108">
        <f t="shared" si="2"/>
        <v>0</v>
      </c>
      <c r="X29" s="64"/>
      <c r="Y29" s="108">
        <f>IF($H29="Y",CONFIG!B$35*O28,0)</f>
        <v>0</v>
      </c>
      <c r="Z29" s="108">
        <f>IF($H29="Y",CONFIG!C$35*P28,0)</f>
        <v>0</v>
      </c>
      <c r="AA29" s="108">
        <f>IF($H29="Y",CONFIG!D$35*Q28,0)</f>
        <v>0</v>
      </c>
      <c r="AB29" s="108">
        <f t="shared" si="3"/>
        <v>0</v>
      </c>
      <c r="AC29" s="64"/>
      <c r="AD29" s="108">
        <f t="shared" si="10"/>
        <v>0</v>
      </c>
      <c r="AE29" s="108">
        <f t="shared" si="10"/>
        <v>0</v>
      </c>
      <c r="AF29" s="108">
        <f t="shared" si="10"/>
        <v>0</v>
      </c>
      <c r="AG29" s="108">
        <f t="shared" si="5"/>
        <v>0</v>
      </c>
      <c r="AH29" s="64"/>
      <c r="AI29" s="64"/>
      <c r="AJ29" s="108">
        <f>SUM($AD29:$AF29)*(1+AJ$3)</f>
        <v>0</v>
      </c>
      <c r="AK29" s="108">
        <f t="shared" ref="AK29" si="13">SUM($AD29:$AF29)*(1+AK$3)</f>
        <v>0</v>
      </c>
      <c r="AL29" s="64"/>
      <c r="AM29" s="64"/>
      <c r="AN29" s="130">
        <f>IF($R28=$M$30,CONFIG!$B$46/INPUTS!$C$19,1)*BASE!V40</f>
        <v>0</v>
      </c>
      <c r="AO29" s="130">
        <f>IF($R28=$M$30,CONFIG!$B$46/INPUTS!$C$19,1)*BASE!W40</f>
        <v>0</v>
      </c>
      <c r="AP29" s="130">
        <f>IF($R28=$M$30,CONFIG!$B$46/INPUTS!$C$19,1)*BASE!X40</f>
        <v>0</v>
      </c>
      <c r="AR29" s="32"/>
    </row>
    <row r="30" spans="1:44" x14ac:dyDescent="0.25">
      <c r="A30" s="6" t="s">
        <v>37</v>
      </c>
      <c r="B30" s="109">
        <f>SUM(B4:B29)</f>
        <v>5353972</v>
      </c>
      <c r="C30" s="109">
        <f>SUM(C4:C29)</f>
        <v>0</v>
      </c>
      <c r="D30" s="109">
        <f>SUM(D4:D29)</f>
        <v>0</v>
      </c>
      <c r="E30" s="109">
        <f>SUM(E4:E29)</f>
        <v>5353972</v>
      </c>
      <c r="G30" s="6"/>
      <c r="H30" s="7"/>
      <c r="I30" s="62"/>
      <c r="J30" s="109">
        <f>SUM(J4:J29)</f>
        <v>5353972</v>
      </c>
      <c r="K30" s="109">
        <f>SUM(K4:K29)</f>
        <v>0</v>
      </c>
      <c r="L30" s="109">
        <f>SUM(L4:L29)</f>
        <v>0</v>
      </c>
      <c r="M30" s="109">
        <f>SUM(M4:M29)</f>
        <v>5353972</v>
      </c>
      <c r="N30" s="65"/>
      <c r="O30" s="109"/>
      <c r="P30" s="109"/>
      <c r="Q30" s="109"/>
      <c r="R30" s="109"/>
      <c r="S30" s="65"/>
      <c r="T30" s="109">
        <f>SUM(T4:T29)</f>
        <v>973449.45454545447</v>
      </c>
      <c r="U30" s="109">
        <f>SUM(U4:U29)</f>
        <v>0</v>
      </c>
      <c r="V30" s="109">
        <f>SUM(V4:V29)</f>
        <v>0</v>
      </c>
      <c r="W30" s="109">
        <f>SUM(W4:W29)</f>
        <v>973449.45454545447</v>
      </c>
      <c r="X30" s="65"/>
      <c r="Y30" s="109">
        <f>SUM(Y4:Y29)</f>
        <v>803095.79999999993</v>
      </c>
      <c r="Z30" s="109">
        <f>SUM(Z4:Z29)</f>
        <v>0</v>
      </c>
      <c r="AA30" s="109">
        <f>SUM(AA4:AA29)</f>
        <v>0</v>
      </c>
      <c r="AB30" s="109">
        <f>SUM(AB4:AB29)</f>
        <v>803095.79999999993</v>
      </c>
      <c r="AC30" s="65"/>
      <c r="AD30" s="109">
        <f>SUM(AD4:AD29)</f>
        <v>1776545.2545454542</v>
      </c>
      <c r="AE30" s="109">
        <f>SUM(AE4:AE29)</f>
        <v>0</v>
      </c>
      <c r="AF30" s="109">
        <f>SUM(AF4:AF29)</f>
        <v>0</v>
      </c>
      <c r="AG30" s="109">
        <f>SUM(AG4:AG29)</f>
        <v>1776545.2545454542</v>
      </c>
      <c r="AH30" s="65"/>
      <c r="AI30" s="65"/>
      <c r="AJ30" s="109">
        <f>SUM(AJ4:AJ29)</f>
        <v>1243581.6781818182</v>
      </c>
      <c r="AK30" s="109">
        <f>SUM(AK4:AK29)</f>
        <v>2309508.830909091</v>
      </c>
      <c r="AL30" s="65"/>
      <c r="AN30" s="109">
        <f t="shared" ref="AN30:AP30" si="14">SUM(AN4:AN29)</f>
        <v>4854148.9588425402</v>
      </c>
      <c r="AO30" s="109">
        <f t="shared" si="14"/>
        <v>6934498.5126322005</v>
      </c>
      <c r="AP30" s="109">
        <f t="shared" si="14"/>
        <v>9014848.0664218608</v>
      </c>
      <c r="AR30" s="65"/>
    </row>
    <row r="31" spans="1:44" s="60" customFormat="1" x14ac:dyDescent="0.25">
      <c r="A31" s="62"/>
      <c r="B31" s="65"/>
      <c r="C31" s="65"/>
      <c r="D31" s="65"/>
      <c r="E31" s="65"/>
      <c r="G31" s="62"/>
      <c r="I31" s="62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N31" s="93"/>
      <c r="AO31" s="93"/>
      <c r="AP31" s="93"/>
      <c r="AR31" s="65"/>
    </row>
    <row r="32" spans="1:44" x14ac:dyDescent="0.25">
      <c r="G32" s="14"/>
      <c r="I32" s="81"/>
      <c r="J32" s="14"/>
      <c r="K32" s="14"/>
      <c r="L32" s="14"/>
      <c r="AM32" s="4"/>
      <c r="AN32" s="4"/>
      <c r="AO32" s="4"/>
      <c r="AP32" s="4"/>
    </row>
    <row r="33" spans="28:42" x14ac:dyDescent="0.25">
      <c r="AB33" s="14"/>
      <c r="AC33" s="81"/>
      <c r="AD33" s="81"/>
      <c r="AE33" s="81"/>
      <c r="AF33" s="81"/>
      <c r="AH33" s="4"/>
      <c r="AI33" s="4"/>
      <c r="AJ33" s="4"/>
      <c r="AK33" s="4"/>
      <c r="AL33" s="4"/>
    </row>
    <row r="34" spans="28:42" x14ac:dyDescent="0.25">
      <c r="AH34" s="4"/>
      <c r="AI34" s="4"/>
      <c r="AJ34" s="4"/>
      <c r="AK34" s="4"/>
      <c r="AL34" s="4"/>
    </row>
    <row r="35" spans="28:42" x14ac:dyDescent="0.25">
      <c r="AN35" s="53"/>
      <c r="AO35" s="53"/>
      <c r="AP35" s="53"/>
    </row>
    <row r="36" spans="28:42" x14ac:dyDescent="0.25">
      <c r="AN36" s="53"/>
      <c r="AO36" s="53"/>
      <c r="AP36" s="53"/>
    </row>
    <row r="37" spans="28:42" x14ac:dyDescent="0.25">
      <c r="AJ37" s="117"/>
      <c r="AK37" s="117"/>
      <c r="AN37" s="53"/>
      <c r="AO37" s="53"/>
      <c r="AP37" s="53"/>
    </row>
    <row r="38" spans="28:42" x14ac:dyDescent="0.25">
      <c r="AN38" s="53"/>
      <c r="AO38" s="53"/>
      <c r="AP38" s="53"/>
    </row>
    <row r="39" spans="28:42" x14ac:dyDescent="0.25">
      <c r="AN39" s="53"/>
      <c r="AO39" s="53"/>
      <c r="AP39" s="53"/>
    </row>
    <row r="41" spans="28:42" x14ac:dyDescent="0.25">
      <c r="AN41" s="34"/>
      <c r="AO41" s="34"/>
      <c r="AP41" s="34"/>
    </row>
    <row r="42" spans="28:42" x14ac:dyDescent="0.25">
      <c r="AN42" s="34"/>
      <c r="AO42" s="34"/>
      <c r="AP42" s="34"/>
    </row>
    <row r="43" spans="28:42" x14ac:dyDescent="0.25">
      <c r="AN43" s="34"/>
      <c r="AO43" s="34"/>
      <c r="AP43" s="34"/>
    </row>
    <row r="44" spans="28:42" x14ac:dyDescent="0.25">
      <c r="AN44" s="34"/>
      <c r="AO44" s="34"/>
      <c r="AP44" s="34"/>
    </row>
    <row r="45" spans="28:42" x14ac:dyDescent="0.25">
      <c r="AN45" s="34"/>
      <c r="AO45" s="34"/>
      <c r="AP45" s="34"/>
    </row>
    <row r="46" spans="28:42" x14ac:dyDescent="0.25">
      <c r="AN46" s="34"/>
      <c r="AO46" s="34"/>
      <c r="AP46" s="34"/>
    </row>
    <row r="47" spans="28:42" x14ac:dyDescent="0.25">
      <c r="AN47" s="34"/>
      <c r="AO47" s="34"/>
      <c r="AP47" s="34"/>
    </row>
    <row r="48" spans="28:42" x14ac:dyDescent="0.25">
      <c r="AN48" s="34"/>
      <c r="AO48" s="34"/>
      <c r="AP48" s="34"/>
    </row>
    <row r="49" spans="40:42" x14ac:dyDescent="0.25">
      <c r="AN49" s="34"/>
      <c r="AO49" s="34"/>
      <c r="AP49" s="34"/>
    </row>
    <row r="50" spans="40:42" x14ac:dyDescent="0.25">
      <c r="AN50" s="34"/>
      <c r="AO50" s="34"/>
      <c r="AP50" s="34"/>
    </row>
    <row r="51" spans="40:42" x14ac:dyDescent="0.25">
      <c r="AN51" s="34"/>
      <c r="AO51" s="34"/>
      <c r="AP51" s="34"/>
    </row>
    <row r="52" spans="40:42" x14ac:dyDescent="0.25">
      <c r="AN52" s="34"/>
      <c r="AO52" s="34"/>
      <c r="AP52" s="34"/>
    </row>
    <row r="53" spans="40:42" x14ac:dyDescent="0.25">
      <c r="AN53" s="34"/>
      <c r="AO53" s="34"/>
      <c r="AP53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AT53"/>
  <sheetViews>
    <sheetView zoomScale="70" zoomScaleNormal="70" workbookViewId="0">
      <selection activeCell="H8" sqref="H8"/>
    </sheetView>
  </sheetViews>
  <sheetFormatPr defaultRowHeight="15" x14ac:dyDescent="0.25"/>
  <cols>
    <col min="1" max="1" width="11.7109375" style="60" customWidth="1"/>
    <col min="2" max="2" width="18.5703125" style="60" customWidth="1"/>
    <col min="3" max="4" width="17.140625" style="60" customWidth="1"/>
    <col min="5" max="5" width="18.85546875" style="60" customWidth="1"/>
    <col min="6" max="6" width="11.42578125" style="60" customWidth="1"/>
    <col min="7" max="7" width="13.5703125" style="4" customWidth="1"/>
    <col min="8" max="8" width="11.7109375" style="4" customWidth="1"/>
    <col min="9" max="10" width="11.7109375" style="60" customWidth="1"/>
    <col min="11" max="11" width="11.28515625" style="60" customWidth="1"/>
    <col min="12" max="15" width="20" style="4" customWidth="1"/>
    <col min="16" max="16" width="11.42578125" style="60" customWidth="1"/>
    <col min="17" max="20" width="18.28515625" style="4" customWidth="1"/>
    <col min="21" max="21" width="11.42578125" style="60" customWidth="1"/>
    <col min="22" max="25" width="18.28515625" style="4" customWidth="1"/>
    <col min="26" max="26" width="14.140625" style="60" customWidth="1"/>
    <col min="27" max="29" width="18.42578125" style="60" customWidth="1"/>
    <col min="30" max="30" width="18.42578125" style="4" customWidth="1"/>
    <col min="31" max="31" width="14.140625" style="60" customWidth="1"/>
    <col min="32" max="34" width="18.42578125" style="60" customWidth="1"/>
    <col min="35" max="35" width="18.42578125" style="4" customWidth="1"/>
    <col min="36" max="36" width="11.42578125" style="60" customWidth="1"/>
    <col min="37" max="37" width="26.28515625" style="60" customWidth="1"/>
    <col min="38" max="39" width="18.85546875" style="60" customWidth="1"/>
    <col min="40" max="40" width="11.42578125" style="60" customWidth="1"/>
    <col min="41" max="41" width="19.28515625" style="60" customWidth="1"/>
    <col min="42" max="42" width="21.5703125" style="60" customWidth="1"/>
    <col min="43" max="43" width="20.7109375" style="60" customWidth="1"/>
    <col min="44" max="44" width="20.28515625" style="60" customWidth="1"/>
    <col min="45" max="45" width="9.85546875" style="60" customWidth="1"/>
    <col min="46" max="46" width="9.7109375" style="60" customWidth="1"/>
    <col min="47" max="16384" width="9.140625" style="4"/>
  </cols>
  <sheetData>
    <row r="1" spans="1:46" x14ac:dyDescent="0.25">
      <c r="G1" s="9"/>
      <c r="K1" s="147"/>
      <c r="L1" s="9"/>
      <c r="M1" s="9"/>
      <c r="N1" s="9"/>
      <c r="Q1" s="60"/>
      <c r="R1" s="60"/>
      <c r="S1" s="60"/>
      <c r="AO1" s="62"/>
      <c r="AP1" s="35"/>
      <c r="AQ1" s="35"/>
      <c r="AR1" s="35"/>
    </row>
    <row r="2" spans="1:46" x14ac:dyDescent="0.25">
      <c r="A2" s="80" t="s">
        <v>100</v>
      </c>
      <c r="J2" s="80" t="s">
        <v>154</v>
      </c>
      <c r="L2" s="2" t="s">
        <v>101</v>
      </c>
      <c r="M2" s="9"/>
      <c r="N2" s="9"/>
      <c r="O2" s="3"/>
      <c r="P2" s="62"/>
      <c r="Q2" s="71" t="s">
        <v>92</v>
      </c>
      <c r="R2" s="62"/>
      <c r="S2" s="62"/>
      <c r="V2" s="71" t="s">
        <v>91</v>
      </c>
      <c r="W2" s="3"/>
      <c r="X2" s="3"/>
      <c r="Z2" s="62"/>
      <c r="AA2" s="71" t="s">
        <v>98</v>
      </c>
      <c r="AB2" s="3"/>
      <c r="AC2" s="3"/>
      <c r="AD2" s="3"/>
      <c r="AE2" s="62"/>
      <c r="AF2" s="71" t="s">
        <v>99</v>
      </c>
      <c r="AG2" s="3"/>
      <c r="AH2" s="3"/>
      <c r="AI2" s="3"/>
      <c r="AJ2" s="62"/>
      <c r="AL2" s="62" t="s">
        <v>0</v>
      </c>
      <c r="AM2" s="62"/>
      <c r="AN2" s="62"/>
      <c r="AP2" s="22" t="s">
        <v>118</v>
      </c>
    </row>
    <row r="3" spans="1:46" x14ac:dyDescent="0.25">
      <c r="A3" s="12" t="s">
        <v>7</v>
      </c>
      <c r="B3" s="12" t="s">
        <v>119</v>
      </c>
      <c r="C3" s="12" t="s">
        <v>120</v>
      </c>
      <c r="D3" s="12" t="s">
        <v>121</v>
      </c>
      <c r="E3" s="13" t="s">
        <v>122</v>
      </c>
      <c r="F3" s="80"/>
      <c r="G3" s="6" t="s">
        <v>7</v>
      </c>
      <c r="H3" s="5" t="s">
        <v>85</v>
      </c>
      <c r="I3" s="80"/>
      <c r="J3" s="6" t="s">
        <v>152</v>
      </c>
      <c r="K3" s="62"/>
      <c r="L3" s="6" t="s">
        <v>119</v>
      </c>
      <c r="M3" s="6" t="s">
        <v>120</v>
      </c>
      <c r="N3" s="6" t="s">
        <v>121</v>
      </c>
      <c r="O3" s="6" t="s">
        <v>122</v>
      </c>
      <c r="P3" s="62"/>
      <c r="Q3" s="6" t="s">
        <v>119</v>
      </c>
      <c r="R3" s="6" t="s">
        <v>120</v>
      </c>
      <c r="S3" s="6" t="s">
        <v>121</v>
      </c>
      <c r="T3" s="6" t="s">
        <v>122</v>
      </c>
      <c r="U3" s="62"/>
      <c r="V3" s="6" t="s">
        <v>119</v>
      </c>
      <c r="W3" s="6" t="s">
        <v>120</v>
      </c>
      <c r="X3" s="6" t="s">
        <v>121</v>
      </c>
      <c r="Y3" s="6" t="s">
        <v>122</v>
      </c>
      <c r="Z3" s="62"/>
      <c r="AA3" s="6" t="s">
        <v>119</v>
      </c>
      <c r="AB3" s="6" t="s">
        <v>120</v>
      </c>
      <c r="AC3" s="6" t="s">
        <v>121</v>
      </c>
      <c r="AD3" s="6" t="s">
        <v>122</v>
      </c>
      <c r="AE3" s="62"/>
      <c r="AF3" s="6" t="s">
        <v>119</v>
      </c>
      <c r="AG3" s="6" t="s">
        <v>120</v>
      </c>
      <c r="AH3" s="6" t="s">
        <v>121</v>
      </c>
      <c r="AI3" s="118" t="s">
        <v>122</v>
      </c>
      <c r="AJ3" s="62"/>
      <c r="AK3" s="36" t="s">
        <v>123</v>
      </c>
      <c r="AL3" s="116">
        <f>-CONFIG!B42</f>
        <v>-0.3</v>
      </c>
      <c r="AM3" s="116">
        <f>CONFIG!B42</f>
        <v>0.3</v>
      </c>
      <c r="AN3" s="62"/>
      <c r="AO3" s="94" t="s">
        <v>117</v>
      </c>
      <c r="AP3" s="105">
        <f>(1-CONFIG!$B$39)*INPUTS!$C$12</f>
        <v>20369.123339658439</v>
      </c>
      <c r="AQ3" s="106">
        <f>INPUTS!$C$12</f>
        <v>29098.747628083485</v>
      </c>
      <c r="AR3" s="105">
        <f>(1+CONFIG!$B$39)*INPUTS!$C$12</f>
        <v>37828.371916508535</v>
      </c>
      <c r="AT3" s="62"/>
    </row>
    <row r="4" spans="1:46" x14ac:dyDescent="0.25">
      <c r="A4" s="82"/>
      <c r="B4" s="113"/>
      <c r="C4" s="113"/>
      <c r="D4" s="113"/>
      <c r="E4" s="114">
        <f>SUM(B4:D4)</f>
        <v>0</v>
      </c>
      <c r="F4" s="61"/>
      <c r="G4" s="11">
        <v>2019</v>
      </c>
      <c r="H4" s="11" t="s">
        <v>156</v>
      </c>
      <c r="I4" s="61"/>
      <c r="J4" s="122">
        <f>FORECASTS!G2</f>
        <v>8.7698900000000002</v>
      </c>
      <c r="K4" s="61"/>
      <c r="L4" s="107">
        <f t="shared" ref="L4:L29" si="0">IF(H4="Y",SUMIF($A$4:$A$29,G4,B$4:B$29),0)</f>
        <v>0</v>
      </c>
      <c r="M4" s="107">
        <f t="shared" ref="M4:M29" si="1">IF(H4="Y",SUMIF($A$4:$A$29,G4,C$4:C$29),0)</f>
        <v>0</v>
      </c>
      <c r="N4" s="107">
        <f t="shared" ref="N4:N29" si="2">IF(H4="Y",SUMIF($A$4:$A$29,G4,D$4:D$29),0)</f>
        <v>0</v>
      </c>
      <c r="O4" s="108">
        <f t="shared" ref="O4:O29" si="3">SUM(L4:N4)</f>
        <v>0</v>
      </c>
      <c r="P4" s="64"/>
      <c r="Q4" s="108">
        <f>IF($H4="Y",L4,0)</f>
        <v>0</v>
      </c>
      <c r="R4" s="108">
        <f>IF($H4="Y",M4,0)</f>
        <v>0</v>
      </c>
      <c r="S4" s="108">
        <f>IF($H4="Y",N4,0)</f>
        <v>0</v>
      </c>
      <c r="T4" s="108">
        <f t="shared" ref="T4:T29" si="4">SUM(Q4:S4)</f>
        <v>0</v>
      </c>
      <c r="U4" s="64"/>
      <c r="V4" s="108">
        <v>0</v>
      </c>
      <c r="W4" s="108">
        <v>0</v>
      </c>
      <c r="X4" s="108">
        <v>0</v>
      </c>
      <c r="Y4" s="108">
        <f t="shared" ref="Y4:Y29" si="5">SUM(V4:X4)</f>
        <v>0</v>
      </c>
      <c r="Z4" s="64"/>
      <c r="AA4" s="108">
        <v>0</v>
      </c>
      <c r="AB4" s="108">
        <v>0</v>
      </c>
      <c r="AC4" s="108">
        <v>0</v>
      </c>
      <c r="AD4" s="108">
        <f t="shared" ref="AD4:AD29" si="6">SUM(AA4:AC4)</f>
        <v>0</v>
      </c>
      <c r="AE4" s="64"/>
      <c r="AF4" s="108">
        <f>V4+AA4</f>
        <v>0</v>
      </c>
      <c r="AG4" s="108">
        <f t="shared" ref="AG4:AH19" si="7">W4+AB4</f>
        <v>0</v>
      </c>
      <c r="AH4" s="108">
        <f t="shared" si="7"/>
        <v>0</v>
      </c>
      <c r="AI4" s="108">
        <f t="shared" ref="AI4:AI29" si="8">SUM(AF4:AH4)</f>
        <v>0</v>
      </c>
      <c r="AJ4" s="64"/>
      <c r="AK4" s="64"/>
      <c r="AL4" s="108">
        <f>SUM($AF4:$AH4)*(1+AL$3)</f>
        <v>0</v>
      </c>
      <c r="AM4" s="108">
        <f>SUM($AF4:$AH4)*(1+AM$3)</f>
        <v>0</v>
      </c>
      <c r="AN4" s="64"/>
      <c r="AO4" s="64"/>
      <c r="AP4" s="130">
        <f>BASE!V15-IF($T4=$O$30,AP$3*BASE!$G$7*BASE!$G$10*OPTION3!$J4*(1-BASE!$G$11),0)</f>
        <v>0</v>
      </c>
      <c r="AQ4" s="130">
        <f>BASE!W15-IF($T4=$O$30,AQ$3*BASE!$G$7*BASE!$G$10*OPTION3!$J4*(1-BASE!$G$11),0)</f>
        <v>0</v>
      </c>
      <c r="AR4" s="130">
        <f>BASE!X15-IF($T4=$O$30,AR$3*BASE!$G$7*BASE!$G$10*OPTION3!$J4*(1-BASE!$G$11),0)</f>
        <v>0</v>
      </c>
      <c r="AS4" s="32"/>
      <c r="AT4" s="32"/>
    </row>
    <row r="5" spans="1:46" x14ac:dyDescent="0.25">
      <c r="A5" s="162">
        <v>2023</v>
      </c>
      <c r="B5" s="113"/>
      <c r="C5" s="113">
        <v>3000000</v>
      </c>
      <c r="D5" s="113"/>
      <c r="E5" s="114">
        <f>SUM(B5:D5)</f>
        <v>3000000</v>
      </c>
      <c r="F5" s="61"/>
      <c r="G5" s="11">
        <v>2020</v>
      </c>
      <c r="H5" s="11" t="s">
        <v>156</v>
      </c>
      <c r="I5" s="61"/>
      <c r="J5" s="122">
        <f>FORECASTS!G3</f>
        <v>7.5550799088658085</v>
      </c>
      <c r="K5" s="61"/>
      <c r="L5" s="107">
        <f t="shared" si="0"/>
        <v>0</v>
      </c>
      <c r="M5" s="107">
        <f t="shared" si="1"/>
        <v>0</v>
      </c>
      <c r="N5" s="107">
        <f t="shared" si="2"/>
        <v>0</v>
      </c>
      <c r="O5" s="108">
        <f t="shared" si="3"/>
        <v>0</v>
      </c>
      <c r="P5" s="64"/>
      <c r="Q5" s="108">
        <f t="shared" ref="Q5:S20" si="9">IF($H5="Y",Q4+L5,0)</f>
        <v>0</v>
      </c>
      <c r="R5" s="108">
        <f t="shared" si="9"/>
        <v>0</v>
      </c>
      <c r="S5" s="108">
        <f t="shared" si="9"/>
        <v>0</v>
      </c>
      <c r="T5" s="108">
        <f t="shared" si="4"/>
        <v>0</v>
      </c>
      <c r="U5" s="64"/>
      <c r="V5" s="108">
        <f>IF($H5="Y",CONFIG!B$34*Q4,0)</f>
        <v>0</v>
      </c>
      <c r="W5" s="108">
        <f>IF($H5="Y",CONFIG!C$34*R4,0)</f>
        <v>0</v>
      </c>
      <c r="X5" s="108">
        <f>IF($H5="Y",CONFIG!D$34*S4,0)</f>
        <v>0</v>
      </c>
      <c r="Y5" s="108">
        <f t="shared" si="5"/>
        <v>0</v>
      </c>
      <c r="Z5" s="64"/>
      <c r="AA5" s="108">
        <f>IF($H5="Y",CONFIG!B$35*Q4,0)</f>
        <v>0</v>
      </c>
      <c r="AB5" s="108">
        <f>IF($H5="Y",CONFIG!C$35*R4,0)</f>
        <v>0</v>
      </c>
      <c r="AC5" s="108">
        <f>IF($H5="Y",CONFIG!D$35*S4,0)</f>
        <v>0</v>
      </c>
      <c r="AD5" s="108">
        <f t="shared" si="6"/>
        <v>0</v>
      </c>
      <c r="AE5" s="64"/>
      <c r="AF5" s="108">
        <f t="shared" ref="AF5:AH29" si="10">V5+AA5</f>
        <v>0</v>
      </c>
      <c r="AG5" s="108">
        <f t="shared" si="7"/>
        <v>0</v>
      </c>
      <c r="AH5" s="108">
        <f t="shared" si="7"/>
        <v>0</v>
      </c>
      <c r="AI5" s="108">
        <f t="shared" si="8"/>
        <v>0</v>
      </c>
      <c r="AJ5" s="64"/>
      <c r="AK5" s="64"/>
      <c r="AL5" s="108">
        <f>SUM($AF5:$AH5)*(1+AL$3)</f>
        <v>0</v>
      </c>
      <c r="AM5" s="108">
        <f t="shared" ref="AL5:AM28" si="11">SUM($AF5:$AH5)*(1+AM$3)</f>
        <v>0</v>
      </c>
      <c r="AN5" s="64"/>
      <c r="AO5" s="64"/>
      <c r="AP5" s="130">
        <f>BASE!V16-IF($T5=$O$30,AP$3*BASE!$G$7*BASE!$G$10*OPTION3!$J5*(1-BASE!$G$11),0)</f>
        <v>0</v>
      </c>
      <c r="AQ5" s="130">
        <f>BASE!W16-IF($T5=$O$30,AQ$3*BASE!$G$7*BASE!$G$10*OPTION3!$J5*(1-BASE!$G$11),0)</f>
        <v>0</v>
      </c>
      <c r="AR5" s="130">
        <f>BASE!X16-IF($T5=$O$30,AR$3*BASE!$G$7*BASE!$G$10*OPTION3!$J5*(1-BASE!$G$11),0)</f>
        <v>0</v>
      </c>
      <c r="AS5" s="32"/>
      <c r="AT5" s="32"/>
    </row>
    <row r="6" spans="1:46" x14ac:dyDescent="0.25">
      <c r="A6" s="82"/>
      <c r="B6" s="113"/>
      <c r="C6" s="113"/>
      <c r="D6" s="113"/>
      <c r="E6" s="114">
        <f>SUM(B6:D6)</f>
        <v>0</v>
      </c>
      <c r="F6" s="61"/>
      <c r="G6" s="11">
        <v>2021</v>
      </c>
      <c r="H6" s="11" t="s">
        <v>156</v>
      </c>
      <c r="I6" s="61"/>
      <c r="J6" s="122">
        <f>FORECASTS!G4</f>
        <v>7.4811907044628567</v>
      </c>
      <c r="K6" s="61"/>
      <c r="L6" s="107">
        <f t="shared" si="0"/>
        <v>0</v>
      </c>
      <c r="M6" s="107">
        <f t="shared" si="1"/>
        <v>0</v>
      </c>
      <c r="N6" s="107">
        <f t="shared" si="2"/>
        <v>0</v>
      </c>
      <c r="O6" s="108">
        <f t="shared" si="3"/>
        <v>0</v>
      </c>
      <c r="P6" s="64"/>
      <c r="Q6" s="108">
        <f t="shared" si="9"/>
        <v>0</v>
      </c>
      <c r="R6" s="108">
        <f t="shared" si="9"/>
        <v>0</v>
      </c>
      <c r="S6" s="108">
        <f t="shared" si="9"/>
        <v>0</v>
      </c>
      <c r="T6" s="108">
        <f t="shared" si="4"/>
        <v>0</v>
      </c>
      <c r="U6" s="64"/>
      <c r="V6" s="108">
        <f>IF($H6="Y",CONFIG!B$34*Q5,0)</f>
        <v>0</v>
      </c>
      <c r="W6" s="108">
        <f>IF($H6="Y",CONFIG!C$34*R5,0)</f>
        <v>0</v>
      </c>
      <c r="X6" s="108">
        <f>IF($H6="Y",CONFIG!D$34*S5,0)</f>
        <v>0</v>
      </c>
      <c r="Y6" s="108">
        <f t="shared" si="5"/>
        <v>0</v>
      </c>
      <c r="Z6" s="64"/>
      <c r="AA6" s="108">
        <f>IF($H6="Y",CONFIG!B$35*Q5,0)</f>
        <v>0</v>
      </c>
      <c r="AB6" s="108">
        <f>IF($H6="Y",CONFIG!C$35*R5,0)</f>
        <v>0</v>
      </c>
      <c r="AC6" s="108">
        <f>IF($H6="Y",CONFIG!D$35*S5,0)</f>
        <v>0</v>
      </c>
      <c r="AD6" s="108">
        <f t="shared" si="6"/>
        <v>0</v>
      </c>
      <c r="AE6" s="64"/>
      <c r="AF6" s="108">
        <f>V6+AA6</f>
        <v>0</v>
      </c>
      <c r="AG6" s="108">
        <f t="shared" si="7"/>
        <v>0</v>
      </c>
      <c r="AH6" s="108">
        <f t="shared" si="7"/>
        <v>0</v>
      </c>
      <c r="AI6" s="108">
        <f t="shared" si="8"/>
        <v>0</v>
      </c>
      <c r="AJ6" s="64"/>
      <c r="AK6" s="64"/>
      <c r="AL6" s="108">
        <f>SUM($AF6:$AH6)*(1+AL$3)</f>
        <v>0</v>
      </c>
      <c r="AM6" s="108">
        <f t="shared" si="11"/>
        <v>0</v>
      </c>
      <c r="AN6" s="64"/>
      <c r="AO6" s="64"/>
      <c r="AP6" s="130">
        <f>BASE!V17-IF($T6=$O$30,AP$3*BASE!$G$7*BASE!$G$10*OPTION3!$J6*(1-BASE!$G$11),0)</f>
        <v>0</v>
      </c>
      <c r="AQ6" s="130">
        <f>BASE!W17-IF($T6=$O$30,AQ$3*BASE!$G$7*BASE!$G$10*OPTION3!$J6*(1-BASE!$G$11),0)</f>
        <v>0</v>
      </c>
      <c r="AR6" s="130">
        <f>BASE!X17-IF($T6=$O$30,AR$3*BASE!$G$7*BASE!$G$10*OPTION3!$J6*(1-BASE!$G$11),0)</f>
        <v>0</v>
      </c>
      <c r="AS6" s="32"/>
      <c r="AT6" s="32"/>
    </row>
    <row r="7" spans="1:46" x14ac:dyDescent="0.25">
      <c r="A7" s="82"/>
      <c r="B7" s="113"/>
      <c r="C7" s="113"/>
      <c r="D7" s="113"/>
      <c r="E7" s="114"/>
      <c r="F7" s="61"/>
      <c r="G7" s="11">
        <v>2022</v>
      </c>
      <c r="H7" s="11" t="s">
        <v>156</v>
      </c>
      <c r="I7" s="61"/>
      <c r="J7" s="122">
        <f>FORECASTS!G5</f>
        <v>7.4075121952819138</v>
      </c>
      <c r="K7" s="61"/>
      <c r="L7" s="107">
        <f t="shared" si="0"/>
        <v>0</v>
      </c>
      <c r="M7" s="107">
        <f t="shared" si="1"/>
        <v>0</v>
      </c>
      <c r="N7" s="107">
        <f t="shared" si="2"/>
        <v>0</v>
      </c>
      <c r="O7" s="108">
        <f t="shared" si="3"/>
        <v>0</v>
      </c>
      <c r="P7" s="64"/>
      <c r="Q7" s="108">
        <f t="shared" si="9"/>
        <v>0</v>
      </c>
      <c r="R7" s="108">
        <f t="shared" si="9"/>
        <v>0</v>
      </c>
      <c r="S7" s="108">
        <f t="shared" si="9"/>
        <v>0</v>
      </c>
      <c r="T7" s="108">
        <f t="shared" si="4"/>
        <v>0</v>
      </c>
      <c r="U7" s="64"/>
      <c r="V7" s="108">
        <f>IF($H7="Y",CONFIG!B$34*Q6,0)</f>
        <v>0</v>
      </c>
      <c r="W7" s="108">
        <f>IF($H7="Y",CONFIG!C$34*R6,0)</f>
        <v>0</v>
      </c>
      <c r="X7" s="108">
        <f>IF($H7="Y",CONFIG!D$34*S6,0)</f>
        <v>0</v>
      </c>
      <c r="Y7" s="108">
        <f t="shared" si="5"/>
        <v>0</v>
      </c>
      <c r="Z7" s="64"/>
      <c r="AA7" s="108">
        <f>IF($H7="Y",CONFIG!B$35*Q6,0)</f>
        <v>0</v>
      </c>
      <c r="AB7" s="108">
        <f>IF($H7="Y",CONFIG!C$35*R6,0)</f>
        <v>0</v>
      </c>
      <c r="AC7" s="108">
        <f>IF($H7="Y",CONFIG!D$35*S6,0)</f>
        <v>0</v>
      </c>
      <c r="AD7" s="108">
        <f t="shared" si="6"/>
        <v>0</v>
      </c>
      <c r="AE7" s="64"/>
      <c r="AF7" s="108">
        <f t="shared" si="10"/>
        <v>0</v>
      </c>
      <c r="AG7" s="108">
        <f t="shared" si="7"/>
        <v>0</v>
      </c>
      <c r="AH7" s="108">
        <f t="shared" si="7"/>
        <v>0</v>
      </c>
      <c r="AI7" s="108">
        <f>SUM(AF7:AH7)</f>
        <v>0</v>
      </c>
      <c r="AJ7" s="64"/>
      <c r="AK7" s="64"/>
      <c r="AL7" s="108">
        <f>SUM($AF7:$AH7)*(1+AL$3)</f>
        <v>0</v>
      </c>
      <c r="AM7" s="108">
        <f t="shared" si="11"/>
        <v>0</v>
      </c>
      <c r="AN7" s="64"/>
      <c r="AO7" s="64"/>
      <c r="AP7" s="130">
        <f>BASE!V18-IF($T7=$O$30,AP$3*BASE!$G$7*BASE!$G$10*OPTION3!$J7*(1-BASE!$G$11),0)</f>
        <v>0</v>
      </c>
      <c r="AQ7" s="130">
        <f>BASE!W18-IF($T7=$O$30,AQ$3*BASE!$G$7*BASE!$G$10*OPTION3!$J7*(1-BASE!$G$11),0)</f>
        <v>0</v>
      </c>
      <c r="AR7" s="130">
        <f>BASE!X18-IF($T7=$O$30,AR$3*BASE!$G$7*BASE!$G$10*OPTION3!$J7*(1-BASE!$G$11),0)</f>
        <v>0</v>
      </c>
      <c r="AS7" s="32"/>
      <c r="AT7" s="32"/>
    </row>
    <row r="8" spans="1:46" x14ac:dyDescent="0.25">
      <c r="A8" s="82"/>
      <c r="B8" s="113"/>
      <c r="C8" s="113"/>
      <c r="D8" s="113"/>
      <c r="E8" s="114"/>
      <c r="F8" s="61"/>
      <c r="G8" s="11">
        <v>2023</v>
      </c>
      <c r="H8" s="11" t="str">
        <f>IF(G8&lt;=(INPUTS!$C$2+INPUTS!$C$3),"Y","N")</f>
        <v>Y</v>
      </c>
      <c r="I8" s="61"/>
      <c r="J8" s="122">
        <f>FORECASTS!G6</f>
        <v>7.3154568166967557</v>
      </c>
      <c r="K8" s="61"/>
      <c r="L8" s="107">
        <f t="shared" si="0"/>
        <v>0</v>
      </c>
      <c r="M8" s="107">
        <f t="shared" si="1"/>
        <v>3000000</v>
      </c>
      <c r="N8" s="107">
        <f t="shared" si="2"/>
        <v>0</v>
      </c>
      <c r="O8" s="108">
        <f t="shared" si="3"/>
        <v>3000000</v>
      </c>
      <c r="P8" s="64"/>
      <c r="Q8" s="108">
        <f t="shared" si="9"/>
        <v>0</v>
      </c>
      <c r="R8" s="108">
        <f t="shared" si="9"/>
        <v>3000000</v>
      </c>
      <c r="S8" s="108">
        <f t="shared" si="9"/>
        <v>0</v>
      </c>
      <c r="T8" s="108">
        <f t="shared" si="4"/>
        <v>3000000</v>
      </c>
      <c r="U8" s="64"/>
      <c r="V8" s="108">
        <f>IF($H8="Y",CONFIG!B$34*Q7,0)</f>
        <v>0</v>
      </c>
      <c r="W8" s="108">
        <f>IF($H8="Y",CONFIG!C$34*R7,0)</f>
        <v>0</v>
      </c>
      <c r="X8" s="108">
        <f>IF($H8="Y",CONFIG!D$34*S7,0)</f>
        <v>0</v>
      </c>
      <c r="Y8" s="108">
        <f t="shared" si="5"/>
        <v>0</v>
      </c>
      <c r="Z8" s="64"/>
      <c r="AA8" s="108">
        <f>IF($H8="Y",CONFIG!B$35*Q7,0)</f>
        <v>0</v>
      </c>
      <c r="AB8" s="108">
        <f>IF($H8="Y",CONFIG!C$35*R7,0)</f>
        <v>0</v>
      </c>
      <c r="AC8" s="108">
        <f>IF($H8="Y",CONFIG!D$35*S7,0)</f>
        <v>0</v>
      </c>
      <c r="AD8" s="108">
        <f t="shared" si="6"/>
        <v>0</v>
      </c>
      <c r="AE8" s="64"/>
      <c r="AF8" s="108">
        <f t="shared" si="10"/>
        <v>0</v>
      </c>
      <c r="AG8" s="108">
        <f t="shared" si="7"/>
        <v>0</v>
      </c>
      <c r="AH8" s="108">
        <f t="shared" si="7"/>
        <v>0</v>
      </c>
      <c r="AI8" s="108">
        <f t="shared" si="8"/>
        <v>0</v>
      </c>
      <c r="AJ8" s="64"/>
      <c r="AK8" s="64"/>
      <c r="AL8" s="108">
        <f t="shared" si="11"/>
        <v>0</v>
      </c>
      <c r="AM8" s="108">
        <f t="shared" si="11"/>
        <v>0</v>
      </c>
      <c r="AN8" s="64"/>
      <c r="AO8" s="64"/>
      <c r="AP8" s="130">
        <f>BASE!V19-IF($T8=$O$30,AP$3*BASE!$G$7*BASE!$G$10*OPTION3!$J8*(1-BASE!$G$11),0)</f>
        <v>547542.56758253311</v>
      </c>
      <c r="AQ8" s="130">
        <f>BASE!W19-IF($T8=$O$30,AQ$3*BASE!$G$7*BASE!$G$10*OPTION3!$J8*(1-BASE!$G$11),0)</f>
        <v>782203.66797504714</v>
      </c>
      <c r="AR8" s="130">
        <f>BASE!X19-IF($T8=$O$30,AR$3*BASE!$G$7*BASE!$G$10*OPTION3!$J8*(1-BASE!$G$11),0)</f>
        <v>1016864.7683675615</v>
      </c>
      <c r="AS8" s="32"/>
      <c r="AT8" s="32"/>
    </row>
    <row r="9" spans="1:46" x14ac:dyDescent="0.25">
      <c r="A9" s="82"/>
      <c r="B9" s="113"/>
      <c r="C9" s="113"/>
      <c r="D9" s="113"/>
      <c r="E9" s="114"/>
      <c r="F9" s="61"/>
      <c r="G9" s="11">
        <v>2024</v>
      </c>
      <c r="H9" s="11" t="str">
        <f>IF(G9&lt;=(INPUTS!$C$2+INPUTS!$C$3),"Y","N")</f>
        <v>Y</v>
      </c>
      <c r="I9" s="61"/>
      <c r="J9" s="122">
        <f>FORECASTS!G7</f>
        <v>7.2204067700688537</v>
      </c>
      <c r="K9" s="61"/>
      <c r="L9" s="107">
        <f t="shared" si="0"/>
        <v>0</v>
      </c>
      <c r="M9" s="107">
        <f t="shared" si="1"/>
        <v>0</v>
      </c>
      <c r="N9" s="107">
        <f t="shared" si="2"/>
        <v>0</v>
      </c>
      <c r="O9" s="108">
        <f t="shared" si="3"/>
        <v>0</v>
      </c>
      <c r="P9" s="64"/>
      <c r="Q9" s="108">
        <f t="shared" si="9"/>
        <v>0</v>
      </c>
      <c r="R9" s="108">
        <f t="shared" si="9"/>
        <v>3000000</v>
      </c>
      <c r="S9" s="108">
        <f t="shared" si="9"/>
        <v>0</v>
      </c>
      <c r="T9" s="108">
        <f t="shared" si="4"/>
        <v>3000000</v>
      </c>
      <c r="U9" s="64"/>
      <c r="V9" s="108">
        <f>IF($H9="Y",CONFIG!B$34*Q8,0)</f>
        <v>0</v>
      </c>
      <c r="W9" s="108">
        <f>IF($H9="Y",CONFIG!C$34*R8,0)</f>
        <v>66666.666666666672</v>
      </c>
      <c r="X9" s="108">
        <f>IF($H9="Y",CONFIG!D$34*S8,0)</f>
        <v>0</v>
      </c>
      <c r="Y9" s="108">
        <f t="shared" si="5"/>
        <v>66666.666666666672</v>
      </c>
      <c r="Z9" s="64"/>
      <c r="AA9" s="108">
        <f>IF($H9="Y",CONFIG!B$35*Q8,0)</f>
        <v>0</v>
      </c>
      <c r="AB9" s="108">
        <f>IF($H9="Y",CONFIG!C$35*R8,0)</f>
        <v>45000</v>
      </c>
      <c r="AC9" s="108">
        <f>IF($H9="Y",CONFIG!D$35*S8,0)</f>
        <v>0</v>
      </c>
      <c r="AD9" s="108">
        <f t="shared" si="6"/>
        <v>45000</v>
      </c>
      <c r="AE9" s="64"/>
      <c r="AF9" s="108">
        <f t="shared" si="10"/>
        <v>0</v>
      </c>
      <c r="AG9" s="108">
        <f t="shared" si="7"/>
        <v>111666.66666666667</v>
      </c>
      <c r="AH9" s="108">
        <f t="shared" si="7"/>
        <v>0</v>
      </c>
      <c r="AI9" s="108">
        <f t="shared" si="8"/>
        <v>111666.66666666667</v>
      </c>
      <c r="AJ9" s="64"/>
      <c r="AK9" s="64"/>
      <c r="AL9" s="108">
        <f t="shared" si="11"/>
        <v>78166.666666666672</v>
      </c>
      <c r="AM9" s="108">
        <f t="shared" si="11"/>
        <v>145166.66666666669</v>
      </c>
      <c r="AN9" s="64"/>
      <c r="AO9" s="64"/>
      <c r="AP9" s="130">
        <f>BASE!V20-IF($T9=$O$30,AP$3*BASE!$G$7*BASE!$G$10*OPTION3!$J9*(1-BASE!$G$11),0)</f>
        <v>546835.9656442717</v>
      </c>
      <c r="AQ9" s="130">
        <f>BASE!W20-IF($T9=$O$30,AQ$3*BASE!$G$7*BASE!$G$10*OPTION3!$J9*(1-BASE!$G$11),0)</f>
        <v>781194.2366346739</v>
      </c>
      <c r="AR9" s="130">
        <f>BASE!X20-IF($T9=$O$30,AR$3*BASE!$G$7*BASE!$G$10*OPTION3!$J9*(1-BASE!$G$11),0)</f>
        <v>1015552.5076250762</v>
      </c>
      <c r="AS9" s="32"/>
      <c r="AT9" s="32"/>
    </row>
    <row r="10" spans="1:46" x14ac:dyDescent="0.25">
      <c r="A10" s="82"/>
      <c r="B10" s="113"/>
      <c r="C10" s="113"/>
      <c r="D10" s="113"/>
      <c r="E10" s="114"/>
      <c r="F10" s="61"/>
      <c r="G10" s="11">
        <v>2025</v>
      </c>
      <c r="H10" s="11" t="str">
        <f>IF(G10&lt;=(INPUTS!$C$2+INPUTS!$C$3),"Y","N")</f>
        <v>Y</v>
      </c>
      <c r="I10" s="61"/>
      <c r="J10" s="122">
        <f>FORECASTS!G8</f>
        <v>7.1390641076732084</v>
      </c>
      <c r="K10" s="61"/>
      <c r="L10" s="107">
        <f t="shared" si="0"/>
        <v>0</v>
      </c>
      <c r="M10" s="107">
        <f t="shared" si="1"/>
        <v>0</v>
      </c>
      <c r="N10" s="107">
        <f t="shared" si="2"/>
        <v>0</v>
      </c>
      <c r="O10" s="108">
        <f t="shared" si="3"/>
        <v>0</v>
      </c>
      <c r="P10" s="64"/>
      <c r="Q10" s="108">
        <f t="shared" si="9"/>
        <v>0</v>
      </c>
      <c r="R10" s="108">
        <f t="shared" si="9"/>
        <v>3000000</v>
      </c>
      <c r="S10" s="108">
        <f t="shared" si="9"/>
        <v>0</v>
      </c>
      <c r="T10" s="108">
        <f t="shared" si="4"/>
        <v>3000000</v>
      </c>
      <c r="U10" s="64"/>
      <c r="V10" s="108">
        <f>IF($H10="Y",CONFIG!B$34*Q9,0)</f>
        <v>0</v>
      </c>
      <c r="W10" s="108">
        <f>IF($H10="Y",CONFIG!C$34*R9,0)</f>
        <v>66666.666666666672</v>
      </c>
      <c r="X10" s="108">
        <f>IF($H10="Y",CONFIG!D$34*S9,0)</f>
        <v>0</v>
      </c>
      <c r="Y10" s="108">
        <f t="shared" si="5"/>
        <v>66666.666666666672</v>
      </c>
      <c r="Z10" s="64"/>
      <c r="AA10" s="108">
        <f>IF($H10="Y",CONFIG!B$35*Q9,0)</f>
        <v>0</v>
      </c>
      <c r="AB10" s="108">
        <f>IF($H10="Y",CONFIG!C$35*R9,0)</f>
        <v>45000</v>
      </c>
      <c r="AC10" s="108">
        <f>IF($H10="Y",CONFIG!D$35*S9,0)</f>
        <v>0</v>
      </c>
      <c r="AD10" s="108">
        <f t="shared" si="6"/>
        <v>45000</v>
      </c>
      <c r="AE10" s="64"/>
      <c r="AF10" s="108">
        <f t="shared" si="10"/>
        <v>0</v>
      </c>
      <c r="AG10" s="108">
        <f t="shared" si="7"/>
        <v>111666.66666666667</v>
      </c>
      <c r="AH10" s="108">
        <f t="shared" si="7"/>
        <v>0</v>
      </c>
      <c r="AI10" s="108">
        <f t="shared" si="8"/>
        <v>111666.66666666667</v>
      </c>
      <c r="AJ10" s="64"/>
      <c r="AK10" s="64"/>
      <c r="AL10" s="108">
        <f t="shared" si="11"/>
        <v>78166.666666666672</v>
      </c>
      <c r="AM10" s="108">
        <f t="shared" si="11"/>
        <v>145166.66666666669</v>
      </c>
      <c r="AN10" s="64"/>
      <c r="AO10" s="64"/>
      <c r="AP10" s="130">
        <f>BASE!V21-IF($T10=$O$30,AP$3*BASE!$G$7*BASE!$G$10*OPTION3!$J10*(1-BASE!$G$11),0)</f>
        <v>547000.20782580308</v>
      </c>
      <c r="AQ10" s="130">
        <f>BASE!W21-IF($T10=$O$30,AQ$3*BASE!$G$7*BASE!$G$10*OPTION3!$J10*(1-BASE!$G$11),0)</f>
        <v>781428.86832257581</v>
      </c>
      <c r="AR10" s="130">
        <f>BASE!X21-IF($T10=$O$30,AR$3*BASE!$G$7*BASE!$G$10*OPTION3!$J10*(1-BASE!$G$11),0)</f>
        <v>1015857.5288193487</v>
      </c>
      <c r="AS10" s="32"/>
      <c r="AT10" s="32"/>
    </row>
    <row r="11" spans="1:46" x14ac:dyDescent="0.25">
      <c r="A11" s="82"/>
      <c r="B11" s="113"/>
      <c r="C11" s="113"/>
      <c r="D11" s="113"/>
      <c r="E11" s="114"/>
      <c r="F11" s="61"/>
      <c r="G11" s="11">
        <v>2026</v>
      </c>
      <c r="H11" s="11" t="str">
        <f>IF(G11&lt;=(INPUTS!$C$2+INPUTS!$C$3),"Y","N")</f>
        <v>Y</v>
      </c>
      <c r="I11" s="61"/>
      <c r="J11" s="122">
        <f>FORECASTS!G9</f>
        <v>7.0592873384141264</v>
      </c>
      <c r="K11" s="61"/>
      <c r="L11" s="107">
        <f t="shared" si="0"/>
        <v>0</v>
      </c>
      <c r="M11" s="107">
        <f t="shared" si="1"/>
        <v>0</v>
      </c>
      <c r="N11" s="107">
        <f t="shared" si="2"/>
        <v>0</v>
      </c>
      <c r="O11" s="108">
        <f t="shared" si="3"/>
        <v>0</v>
      </c>
      <c r="P11" s="64"/>
      <c r="Q11" s="108">
        <f t="shared" si="9"/>
        <v>0</v>
      </c>
      <c r="R11" s="108">
        <f t="shared" si="9"/>
        <v>3000000</v>
      </c>
      <c r="S11" s="108">
        <f t="shared" si="9"/>
        <v>0</v>
      </c>
      <c r="T11" s="108">
        <f t="shared" si="4"/>
        <v>3000000</v>
      </c>
      <c r="U11" s="64"/>
      <c r="V11" s="108">
        <f>IF($H11="Y",CONFIG!B$34*Q10,0)</f>
        <v>0</v>
      </c>
      <c r="W11" s="108">
        <f>IF($H11="Y",CONFIG!C$34*R10,0)</f>
        <v>66666.666666666672</v>
      </c>
      <c r="X11" s="108">
        <f>IF($H11="Y",CONFIG!D$34*S10,0)</f>
        <v>0</v>
      </c>
      <c r="Y11" s="108">
        <f t="shared" si="5"/>
        <v>66666.666666666672</v>
      </c>
      <c r="Z11" s="64"/>
      <c r="AA11" s="108">
        <f>IF($H11="Y",CONFIG!B$35*Q10,0)</f>
        <v>0</v>
      </c>
      <c r="AB11" s="108">
        <f>IF($H11="Y",CONFIG!C$35*R10,0)</f>
        <v>45000</v>
      </c>
      <c r="AC11" s="108">
        <f>IF($H11="Y",CONFIG!D$35*S10,0)</f>
        <v>0</v>
      </c>
      <c r="AD11" s="108">
        <f t="shared" si="6"/>
        <v>45000</v>
      </c>
      <c r="AE11" s="64"/>
      <c r="AF11" s="108">
        <f t="shared" si="10"/>
        <v>0</v>
      </c>
      <c r="AG11" s="108">
        <f t="shared" si="7"/>
        <v>111666.66666666667</v>
      </c>
      <c r="AH11" s="108">
        <f t="shared" si="7"/>
        <v>0</v>
      </c>
      <c r="AI11" s="108">
        <f t="shared" si="8"/>
        <v>111666.66666666667</v>
      </c>
      <c r="AJ11" s="64"/>
      <c r="AK11" s="64"/>
      <c r="AL11" s="108">
        <f t="shared" si="11"/>
        <v>78166.666666666672</v>
      </c>
      <c r="AM11" s="108">
        <f t="shared" si="11"/>
        <v>145166.66666666669</v>
      </c>
      <c r="AN11" s="64"/>
      <c r="AO11" s="64"/>
      <c r="AP11" s="130">
        <f>BASE!V22-IF($T11=$O$30,AP$3*BASE!$G$7*BASE!$G$10*OPTION3!$J11*(1-BASE!$G$11),0)</f>
        <v>547166.9584715236</v>
      </c>
      <c r="AQ11" s="130">
        <f>BASE!W22-IF($T11=$O$30,AQ$3*BASE!$G$7*BASE!$G$10*OPTION3!$J11*(1-BASE!$G$11),0)</f>
        <v>781667.08353074803</v>
      </c>
      <c r="AR11" s="130">
        <f>BASE!X22-IF($T11=$O$30,AR$3*BASE!$G$7*BASE!$G$10*OPTION3!$J11*(1-BASE!$G$11),0)</f>
        <v>1016167.2085899725</v>
      </c>
      <c r="AS11" s="32"/>
      <c r="AT11" s="32"/>
    </row>
    <row r="12" spans="1:46" x14ac:dyDescent="0.25">
      <c r="A12" s="82"/>
      <c r="B12" s="113"/>
      <c r="C12" s="113"/>
      <c r="D12" s="113"/>
      <c r="E12" s="114"/>
      <c r="F12" s="61"/>
      <c r="G12" s="11">
        <v>2027</v>
      </c>
      <c r="H12" s="11" t="str">
        <f>IF(G12&lt;=(INPUTS!$C$2+INPUTS!$C$3),"Y","N")</f>
        <v>Y</v>
      </c>
      <c r="I12" s="61"/>
      <c r="J12" s="122">
        <f>FORECASTS!G10</f>
        <v>6.9810761686001168</v>
      </c>
      <c r="K12" s="61"/>
      <c r="L12" s="107">
        <f t="shared" si="0"/>
        <v>0</v>
      </c>
      <c r="M12" s="107">
        <f t="shared" si="1"/>
        <v>0</v>
      </c>
      <c r="N12" s="107">
        <f t="shared" si="2"/>
        <v>0</v>
      </c>
      <c r="O12" s="108">
        <f t="shared" si="3"/>
        <v>0</v>
      </c>
      <c r="P12" s="64"/>
      <c r="Q12" s="108">
        <f t="shared" si="9"/>
        <v>0</v>
      </c>
      <c r="R12" s="108">
        <f t="shared" si="9"/>
        <v>3000000</v>
      </c>
      <c r="S12" s="108">
        <f t="shared" si="9"/>
        <v>0</v>
      </c>
      <c r="T12" s="108">
        <f t="shared" si="4"/>
        <v>3000000</v>
      </c>
      <c r="U12" s="64"/>
      <c r="V12" s="108">
        <f>IF($H12="Y",CONFIG!B$34*Q11,0)</f>
        <v>0</v>
      </c>
      <c r="W12" s="108">
        <f>IF($H12="Y",CONFIG!C$34*R11,0)</f>
        <v>66666.666666666672</v>
      </c>
      <c r="X12" s="108">
        <f>IF($H12="Y",CONFIG!D$34*S11,0)</f>
        <v>0</v>
      </c>
      <c r="Y12" s="108">
        <f t="shared" si="5"/>
        <v>66666.666666666672</v>
      </c>
      <c r="Z12" s="64"/>
      <c r="AA12" s="108">
        <f>IF($H12="Y",CONFIG!B$35*Q11,0)</f>
        <v>0</v>
      </c>
      <c r="AB12" s="108">
        <f>IF($H12="Y",CONFIG!C$35*R11,0)</f>
        <v>45000</v>
      </c>
      <c r="AC12" s="108">
        <f>IF($H12="Y",CONFIG!D$35*S11,0)</f>
        <v>0</v>
      </c>
      <c r="AD12" s="108">
        <f t="shared" si="6"/>
        <v>45000</v>
      </c>
      <c r="AE12" s="64"/>
      <c r="AF12" s="108">
        <f t="shared" si="10"/>
        <v>0</v>
      </c>
      <c r="AG12" s="108">
        <f t="shared" si="7"/>
        <v>111666.66666666667</v>
      </c>
      <c r="AH12" s="108">
        <f t="shared" si="7"/>
        <v>0</v>
      </c>
      <c r="AI12" s="108">
        <f t="shared" si="8"/>
        <v>111666.66666666667</v>
      </c>
      <c r="AJ12" s="64"/>
      <c r="AK12" s="64"/>
      <c r="AL12" s="108">
        <f t="shared" si="11"/>
        <v>78166.666666666672</v>
      </c>
      <c r="AM12" s="108">
        <f t="shared" si="11"/>
        <v>145166.66666666669</v>
      </c>
      <c r="AN12" s="64"/>
      <c r="AO12" s="64"/>
      <c r="AP12" s="130">
        <f>BASE!V23-IF($T12=$O$30,AP$3*BASE!$G$7*BASE!$G$10*OPTION3!$J12*(1-BASE!$G$11),0)</f>
        <v>547341.07699922787</v>
      </c>
      <c r="AQ12" s="130">
        <f>BASE!W23-IF($T12=$O$30,AQ$3*BASE!$G$7*BASE!$G$10*OPTION3!$J12*(1-BASE!$G$11),0)</f>
        <v>781915.82428461127</v>
      </c>
      <c r="AR12" s="130">
        <f>BASE!X23-IF($T12=$O$30,AR$3*BASE!$G$7*BASE!$G$10*OPTION3!$J12*(1-BASE!$G$11),0)</f>
        <v>1016490.5715699949</v>
      </c>
      <c r="AS12" s="32"/>
      <c r="AT12" s="32"/>
    </row>
    <row r="13" spans="1:46" x14ac:dyDescent="0.25">
      <c r="A13" s="82"/>
      <c r="B13" s="113"/>
      <c r="C13" s="113"/>
      <c r="D13" s="113"/>
      <c r="E13" s="114"/>
      <c r="F13" s="61"/>
      <c r="G13" s="11">
        <v>2028</v>
      </c>
      <c r="H13" s="11" t="str">
        <f>IF(G13&lt;=(INPUTS!$C$2+INPUTS!$C$3),"Y","N")</f>
        <v>Y</v>
      </c>
      <c r="I13" s="61"/>
      <c r="J13" s="122">
        <f>FORECASTS!G11</f>
        <v>6.9043927258519968</v>
      </c>
      <c r="K13" s="61"/>
      <c r="L13" s="107">
        <f t="shared" si="0"/>
        <v>0</v>
      </c>
      <c r="M13" s="107">
        <f t="shared" si="1"/>
        <v>0</v>
      </c>
      <c r="N13" s="107">
        <f t="shared" si="2"/>
        <v>0</v>
      </c>
      <c r="O13" s="108">
        <f t="shared" si="3"/>
        <v>0</v>
      </c>
      <c r="P13" s="64"/>
      <c r="Q13" s="108">
        <f t="shared" si="9"/>
        <v>0</v>
      </c>
      <c r="R13" s="108">
        <f t="shared" si="9"/>
        <v>3000000</v>
      </c>
      <c r="S13" s="108">
        <f t="shared" si="9"/>
        <v>0</v>
      </c>
      <c r="T13" s="108">
        <f t="shared" si="4"/>
        <v>3000000</v>
      </c>
      <c r="U13" s="64"/>
      <c r="V13" s="108">
        <f>IF($H13="Y",CONFIG!B$34*Q12,0)</f>
        <v>0</v>
      </c>
      <c r="W13" s="108">
        <f>IF($H13="Y",CONFIG!C$34*R12,0)</f>
        <v>66666.666666666672</v>
      </c>
      <c r="X13" s="108">
        <f>IF($H13="Y",CONFIG!D$34*S12,0)</f>
        <v>0</v>
      </c>
      <c r="Y13" s="108">
        <f t="shared" si="5"/>
        <v>66666.666666666672</v>
      </c>
      <c r="Z13" s="64"/>
      <c r="AA13" s="108">
        <f>IF($H13="Y",CONFIG!B$35*Q12,0)</f>
        <v>0</v>
      </c>
      <c r="AB13" s="108">
        <f>IF($H13="Y",CONFIG!C$35*R12,0)</f>
        <v>45000</v>
      </c>
      <c r="AC13" s="108">
        <f>IF($H13="Y",CONFIG!D$35*S12,0)</f>
        <v>0</v>
      </c>
      <c r="AD13" s="108">
        <f t="shared" si="6"/>
        <v>45000</v>
      </c>
      <c r="AE13" s="64"/>
      <c r="AF13" s="108">
        <f t="shared" si="10"/>
        <v>0</v>
      </c>
      <c r="AG13" s="108">
        <f t="shared" si="7"/>
        <v>111666.66666666667</v>
      </c>
      <c r="AH13" s="108">
        <f t="shared" si="7"/>
        <v>0</v>
      </c>
      <c r="AI13" s="108">
        <f t="shared" si="8"/>
        <v>111666.66666666667</v>
      </c>
      <c r="AJ13" s="64"/>
      <c r="AK13" s="64"/>
      <c r="AL13" s="108">
        <f t="shared" si="11"/>
        <v>78166.666666666672</v>
      </c>
      <c r="AM13" s="108">
        <f t="shared" si="11"/>
        <v>145166.66666666669</v>
      </c>
      <c r="AN13" s="64"/>
      <c r="AO13" s="64"/>
      <c r="AP13" s="130">
        <f>BASE!V24-IF($T13=$O$30,AP$3*BASE!$G$7*BASE!$G$10*OPTION3!$J13*(1-BASE!$G$11),0)</f>
        <v>547523.47087981715</v>
      </c>
      <c r="AQ13" s="130">
        <f>BASE!W24-IF($T13=$O$30,AQ$3*BASE!$G$7*BASE!$G$10*OPTION3!$J13*(1-BASE!$G$11),0)</f>
        <v>782176.38697116741</v>
      </c>
      <c r="AR13" s="130">
        <f>BASE!X24-IF($T13=$O$30,AR$3*BASE!$G$7*BASE!$G$10*OPTION3!$J13*(1-BASE!$G$11),0)</f>
        <v>1016829.3030625179</v>
      </c>
      <c r="AT13" s="32"/>
    </row>
    <row r="14" spans="1:46" x14ac:dyDescent="0.25">
      <c r="A14" s="82"/>
      <c r="B14" s="113"/>
      <c r="C14" s="113"/>
      <c r="D14" s="113"/>
      <c r="E14" s="114"/>
      <c r="F14" s="61"/>
      <c r="G14" s="11">
        <v>2029</v>
      </c>
      <c r="H14" s="11" t="str">
        <f>IF(G14&lt;=(INPUTS!$C$2+INPUTS!$C$3),"Y","N")</f>
        <v>Y</v>
      </c>
      <c r="I14" s="61"/>
      <c r="J14" s="122">
        <f>FORECASTS!G12</f>
        <v>6.8291723615744004</v>
      </c>
      <c r="K14" s="61"/>
      <c r="L14" s="107">
        <f t="shared" si="0"/>
        <v>0</v>
      </c>
      <c r="M14" s="107">
        <f t="shared" si="1"/>
        <v>0</v>
      </c>
      <c r="N14" s="107">
        <f t="shared" si="2"/>
        <v>0</v>
      </c>
      <c r="O14" s="108">
        <f t="shared" si="3"/>
        <v>0</v>
      </c>
      <c r="P14" s="64"/>
      <c r="Q14" s="108">
        <f t="shared" si="9"/>
        <v>0</v>
      </c>
      <c r="R14" s="108">
        <f t="shared" si="9"/>
        <v>3000000</v>
      </c>
      <c r="S14" s="108">
        <f t="shared" si="9"/>
        <v>0</v>
      </c>
      <c r="T14" s="108">
        <f t="shared" si="4"/>
        <v>3000000</v>
      </c>
      <c r="U14" s="64"/>
      <c r="V14" s="108">
        <f>IF($H14="Y",CONFIG!B$34*Q13,0)</f>
        <v>0</v>
      </c>
      <c r="W14" s="108">
        <f>IF($H14="Y",CONFIG!C$34*R13,0)</f>
        <v>66666.666666666672</v>
      </c>
      <c r="X14" s="108">
        <f>IF($H14="Y",CONFIG!D$34*S13,0)</f>
        <v>0</v>
      </c>
      <c r="Y14" s="108">
        <f t="shared" si="5"/>
        <v>66666.666666666672</v>
      </c>
      <c r="Z14" s="64"/>
      <c r="AA14" s="108">
        <f>IF($H14="Y",CONFIG!B$35*Q13,0)</f>
        <v>0</v>
      </c>
      <c r="AB14" s="108">
        <f>IF($H14="Y",CONFIG!C$35*R13,0)</f>
        <v>45000</v>
      </c>
      <c r="AC14" s="108">
        <f>IF($H14="Y",CONFIG!D$35*S13,0)</f>
        <v>0</v>
      </c>
      <c r="AD14" s="108">
        <f t="shared" si="6"/>
        <v>45000</v>
      </c>
      <c r="AE14" s="64"/>
      <c r="AF14" s="108">
        <f t="shared" si="10"/>
        <v>0</v>
      </c>
      <c r="AG14" s="108">
        <f t="shared" si="7"/>
        <v>111666.66666666667</v>
      </c>
      <c r="AH14" s="108">
        <f t="shared" si="7"/>
        <v>0</v>
      </c>
      <c r="AI14" s="108">
        <f t="shared" si="8"/>
        <v>111666.66666666667</v>
      </c>
      <c r="AJ14" s="64"/>
      <c r="AK14" s="64"/>
      <c r="AL14" s="108">
        <f t="shared" si="11"/>
        <v>78166.666666666672</v>
      </c>
      <c r="AM14" s="108">
        <f t="shared" si="11"/>
        <v>145166.66666666669</v>
      </c>
      <c r="AN14" s="64"/>
      <c r="AO14" s="64"/>
      <c r="AP14" s="130">
        <f>BASE!V25-IF($T14=$O$30,AP$3*BASE!$G$7*BASE!$G$10*OPTION3!$J14*(1-BASE!$G$11),0)</f>
        <v>547724.41007937328</v>
      </c>
      <c r="AQ14" s="130">
        <f>BASE!W25-IF($T14=$O$30,AQ$3*BASE!$G$7*BASE!$G$10*OPTION3!$J14*(1-BASE!$G$11),0)</f>
        <v>782463.44297053327</v>
      </c>
      <c r="AR14" s="130">
        <f>BASE!X25-IF($T14=$O$30,AR$3*BASE!$G$7*BASE!$G$10*OPTION3!$J14*(1-BASE!$G$11),0)</f>
        <v>1017202.4758616934</v>
      </c>
      <c r="AT14" s="32"/>
    </row>
    <row r="15" spans="1:46" x14ac:dyDescent="0.25">
      <c r="A15" s="82"/>
      <c r="B15" s="113"/>
      <c r="C15" s="113"/>
      <c r="D15" s="113"/>
      <c r="E15" s="114"/>
      <c r="F15" s="61"/>
      <c r="G15" s="11">
        <v>2030</v>
      </c>
      <c r="H15" s="11" t="str">
        <f>IF(G15&lt;=(INPUTS!$C$2+INPUTS!$C$3),"Y","N")</f>
        <v>Y</v>
      </c>
      <c r="I15" s="61"/>
      <c r="J15" s="122">
        <f>FORECASTS!G13</f>
        <v>6.8134576279713661</v>
      </c>
      <c r="K15" s="61"/>
      <c r="L15" s="107">
        <f t="shared" si="0"/>
        <v>0</v>
      </c>
      <c r="M15" s="107">
        <f t="shared" si="1"/>
        <v>0</v>
      </c>
      <c r="N15" s="107">
        <f t="shared" si="2"/>
        <v>0</v>
      </c>
      <c r="O15" s="108">
        <f t="shared" si="3"/>
        <v>0</v>
      </c>
      <c r="P15" s="64"/>
      <c r="Q15" s="108">
        <f t="shared" si="9"/>
        <v>0</v>
      </c>
      <c r="R15" s="108">
        <f t="shared" si="9"/>
        <v>3000000</v>
      </c>
      <c r="S15" s="108">
        <f t="shared" si="9"/>
        <v>0</v>
      </c>
      <c r="T15" s="108">
        <f t="shared" si="4"/>
        <v>3000000</v>
      </c>
      <c r="U15" s="64"/>
      <c r="V15" s="108">
        <f>IF($H15="Y",CONFIG!B$34*Q14,0)</f>
        <v>0</v>
      </c>
      <c r="W15" s="108">
        <f>IF($H15="Y",CONFIG!C$34*R14,0)</f>
        <v>66666.666666666672</v>
      </c>
      <c r="X15" s="108">
        <f>IF($H15="Y",CONFIG!D$34*S14,0)</f>
        <v>0</v>
      </c>
      <c r="Y15" s="108">
        <f t="shared" si="5"/>
        <v>66666.666666666672</v>
      </c>
      <c r="Z15" s="64"/>
      <c r="AA15" s="108">
        <f>IF($H15="Y",CONFIG!B$35*Q14,0)</f>
        <v>0</v>
      </c>
      <c r="AB15" s="108">
        <f>IF($H15="Y",CONFIG!C$35*R14,0)</f>
        <v>45000</v>
      </c>
      <c r="AC15" s="108">
        <f>IF($H15="Y",CONFIG!D$35*S14,0)</f>
        <v>0</v>
      </c>
      <c r="AD15" s="108">
        <f t="shared" si="6"/>
        <v>45000</v>
      </c>
      <c r="AE15" s="64"/>
      <c r="AF15" s="108">
        <f t="shared" si="10"/>
        <v>0</v>
      </c>
      <c r="AG15" s="108">
        <f t="shared" si="7"/>
        <v>111666.66666666667</v>
      </c>
      <c r="AH15" s="108">
        <f t="shared" si="7"/>
        <v>0</v>
      </c>
      <c r="AI15" s="108">
        <f t="shared" si="8"/>
        <v>111666.66666666667</v>
      </c>
      <c r="AJ15" s="64"/>
      <c r="AK15" s="64"/>
      <c r="AL15" s="108">
        <f t="shared" si="11"/>
        <v>78166.666666666672</v>
      </c>
      <c r="AM15" s="108">
        <f t="shared" si="11"/>
        <v>145166.66666666669</v>
      </c>
      <c r="AN15" s="64"/>
      <c r="AO15" s="64"/>
      <c r="AP15" s="130">
        <f>BASE!V26-IF($T15=$O$30,AP$3*BASE!$G$7*BASE!$G$10*OPTION3!$J15*(1-BASE!$G$11),0)</f>
        <v>546464.03140732402</v>
      </c>
      <c r="AQ15" s="130">
        <f>BASE!W26-IF($T15=$O$30,AQ$3*BASE!$G$7*BASE!$G$10*OPTION3!$J15*(1-BASE!$G$11),0)</f>
        <v>780662.90201046306</v>
      </c>
      <c r="AR15" s="130">
        <f>BASE!X26-IF($T15=$O$30,AR$3*BASE!$G$7*BASE!$G$10*OPTION3!$J15*(1-BASE!$G$11),0)</f>
        <v>1014861.772613602</v>
      </c>
      <c r="AT15" s="32"/>
    </row>
    <row r="16" spans="1:46" x14ac:dyDescent="0.25">
      <c r="A16" s="82"/>
      <c r="B16" s="113"/>
      <c r="C16" s="113"/>
      <c r="D16" s="113"/>
      <c r="E16" s="114"/>
      <c r="F16" s="61"/>
      <c r="G16" s="11">
        <v>2031</v>
      </c>
      <c r="H16" s="11" t="str">
        <f>IF(G16&lt;=(INPUTS!$C$2+INPUTS!$C$3),"Y","N")</f>
        <v>Y</v>
      </c>
      <c r="I16" s="61"/>
      <c r="J16" s="122">
        <f>FORECASTS!G14</f>
        <v>6.797779055829654</v>
      </c>
      <c r="K16" s="61"/>
      <c r="L16" s="107">
        <f t="shared" si="0"/>
        <v>0</v>
      </c>
      <c r="M16" s="107">
        <f t="shared" si="1"/>
        <v>0</v>
      </c>
      <c r="N16" s="107">
        <f t="shared" si="2"/>
        <v>0</v>
      </c>
      <c r="O16" s="108">
        <f t="shared" si="3"/>
        <v>0</v>
      </c>
      <c r="P16" s="64"/>
      <c r="Q16" s="108">
        <f t="shared" si="9"/>
        <v>0</v>
      </c>
      <c r="R16" s="108">
        <f t="shared" si="9"/>
        <v>3000000</v>
      </c>
      <c r="S16" s="108">
        <f t="shared" si="9"/>
        <v>0</v>
      </c>
      <c r="T16" s="108">
        <f t="shared" si="4"/>
        <v>3000000</v>
      </c>
      <c r="U16" s="64"/>
      <c r="V16" s="108">
        <f>IF($H16="Y",CONFIG!B$34*Q15,0)</f>
        <v>0</v>
      </c>
      <c r="W16" s="108">
        <f>IF($H16="Y",CONFIG!C$34*R15,0)</f>
        <v>66666.666666666672</v>
      </c>
      <c r="X16" s="108">
        <f>IF($H16="Y",CONFIG!D$34*S15,0)</f>
        <v>0</v>
      </c>
      <c r="Y16" s="108">
        <f t="shared" si="5"/>
        <v>66666.666666666672</v>
      </c>
      <c r="Z16" s="64"/>
      <c r="AA16" s="108">
        <f>IF($H16="Y",CONFIG!B$35*Q15,0)</f>
        <v>0</v>
      </c>
      <c r="AB16" s="108">
        <f>IF($H16="Y",CONFIG!C$35*R15,0)</f>
        <v>45000</v>
      </c>
      <c r="AC16" s="108">
        <f>IF($H16="Y",CONFIG!D$35*S15,0)</f>
        <v>0</v>
      </c>
      <c r="AD16" s="108">
        <f t="shared" si="6"/>
        <v>45000</v>
      </c>
      <c r="AE16" s="64"/>
      <c r="AF16" s="108">
        <f t="shared" si="10"/>
        <v>0</v>
      </c>
      <c r="AG16" s="108">
        <f t="shared" si="7"/>
        <v>111666.66666666667</v>
      </c>
      <c r="AH16" s="108">
        <f t="shared" si="7"/>
        <v>0</v>
      </c>
      <c r="AI16" s="108">
        <f t="shared" si="8"/>
        <v>111666.66666666667</v>
      </c>
      <c r="AJ16" s="64"/>
      <c r="AK16" s="64"/>
      <c r="AL16" s="108">
        <f t="shared" si="11"/>
        <v>78166.666666666672</v>
      </c>
      <c r="AM16" s="108">
        <f t="shared" si="11"/>
        <v>145166.66666666669</v>
      </c>
      <c r="AN16" s="64"/>
      <c r="AO16" s="64"/>
      <c r="AP16" s="130">
        <f>BASE!V27-IF($T16=$O$30,AP$3*BASE!$G$7*BASE!$G$10*OPTION3!$J16*(1-BASE!$G$11),0)</f>
        <v>545206.55301572196</v>
      </c>
      <c r="AQ16" s="130">
        <f>BASE!W27-IF($T16=$O$30,AQ$3*BASE!$G$7*BASE!$G$10*OPTION3!$J16*(1-BASE!$G$11),0)</f>
        <v>778866.50430817425</v>
      </c>
      <c r="AR16" s="130">
        <f>BASE!X27-IF($T16=$O$30,AR$3*BASE!$G$7*BASE!$G$10*OPTION3!$J16*(1-BASE!$G$11),0)</f>
        <v>1012526.4556006268</v>
      </c>
      <c r="AT16" s="32"/>
    </row>
    <row r="17" spans="1:46" x14ac:dyDescent="0.25">
      <c r="A17" s="82"/>
      <c r="B17" s="113"/>
      <c r="C17" s="113"/>
      <c r="D17" s="113"/>
      <c r="E17" s="114"/>
      <c r="F17" s="61"/>
      <c r="G17" s="11">
        <v>2032</v>
      </c>
      <c r="H17" s="11" t="str">
        <f>IF(G17&lt;=(INPUTS!$C$2+INPUTS!$C$3),"Y","N")</f>
        <v>Y</v>
      </c>
      <c r="I17" s="61"/>
      <c r="J17" s="122">
        <f>FORECASTS!G15</f>
        <v>6.7821365619374632</v>
      </c>
      <c r="K17" s="61"/>
      <c r="L17" s="107">
        <f t="shared" si="0"/>
        <v>0</v>
      </c>
      <c r="M17" s="107">
        <f t="shared" si="1"/>
        <v>0</v>
      </c>
      <c r="N17" s="107">
        <f t="shared" si="2"/>
        <v>0</v>
      </c>
      <c r="O17" s="108">
        <f t="shared" si="3"/>
        <v>0</v>
      </c>
      <c r="P17" s="64"/>
      <c r="Q17" s="108">
        <f t="shared" si="9"/>
        <v>0</v>
      </c>
      <c r="R17" s="108">
        <f t="shared" si="9"/>
        <v>3000000</v>
      </c>
      <c r="S17" s="108">
        <f t="shared" si="9"/>
        <v>0</v>
      </c>
      <c r="T17" s="108">
        <f t="shared" si="4"/>
        <v>3000000</v>
      </c>
      <c r="U17" s="64"/>
      <c r="V17" s="108">
        <f>IF($H17="Y",CONFIG!B$34*Q16,0)</f>
        <v>0</v>
      </c>
      <c r="W17" s="108">
        <f>IF($H17="Y",CONFIG!C$34*R16,0)</f>
        <v>66666.666666666672</v>
      </c>
      <c r="X17" s="108">
        <f>IF($H17="Y",CONFIG!D$34*S16,0)</f>
        <v>0</v>
      </c>
      <c r="Y17" s="108">
        <f t="shared" si="5"/>
        <v>66666.666666666672</v>
      </c>
      <c r="Z17" s="64"/>
      <c r="AA17" s="108">
        <f>IF($H17="Y",CONFIG!B$35*Q16,0)</f>
        <v>0</v>
      </c>
      <c r="AB17" s="108">
        <f>IF($H17="Y",CONFIG!C$35*R16,0)</f>
        <v>45000</v>
      </c>
      <c r="AC17" s="108">
        <f>IF($H17="Y",CONFIG!D$35*S16,0)</f>
        <v>0</v>
      </c>
      <c r="AD17" s="108">
        <f t="shared" si="6"/>
        <v>45000</v>
      </c>
      <c r="AE17" s="64"/>
      <c r="AF17" s="108">
        <f t="shared" si="10"/>
        <v>0</v>
      </c>
      <c r="AG17" s="108">
        <f t="shared" si="7"/>
        <v>111666.66666666667</v>
      </c>
      <c r="AH17" s="108">
        <f t="shared" si="7"/>
        <v>0</v>
      </c>
      <c r="AI17" s="108">
        <f t="shared" si="8"/>
        <v>111666.66666666667</v>
      </c>
      <c r="AJ17" s="64"/>
      <c r="AK17" s="64"/>
      <c r="AL17" s="108">
        <f t="shared" si="11"/>
        <v>78166.666666666672</v>
      </c>
      <c r="AM17" s="108">
        <f t="shared" si="11"/>
        <v>145166.66666666669</v>
      </c>
      <c r="AN17" s="64"/>
      <c r="AO17" s="64"/>
      <c r="AP17" s="130">
        <f>BASE!V28-IF($T17=$O$30,AP$3*BASE!$G$7*BASE!$G$10*OPTION3!$J17*(1-BASE!$G$11),0)</f>
        <v>543951.96823067858</v>
      </c>
      <c r="AQ17" s="130">
        <f>BASE!W28-IF($T17=$O$30,AQ$3*BASE!$G$7*BASE!$G$10*OPTION3!$J17*(1-BASE!$G$11),0)</f>
        <v>777074.24032954092</v>
      </c>
      <c r="AR17" s="130">
        <f>BASE!X28-IF($T17=$O$30,AR$3*BASE!$G$7*BASE!$G$10*OPTION3!$J17*(1-BASE!$G$11),0)</f>
        <v>1010196.5124284032</v>
      </c>
      <c r="AT17" s="32"/>
    </row>
    <row r="18" spans="1:46" x14ac:dyDescent="0.25">
      <c r="A18" s="82"/>
      <c r="B18" s="113"/>
      <c r="C18" s="113"/>
      <c r="D18" s="113"/>
      <c r="E18" s="114"/>
      <c r="F18" s="61"/>
      <c r="G18" s="11">
        <v>2033</v>
      </c>
      <c r="H18" s="11" t="str">
        <f>IF(G18&lt;=(INPUTS!$C$2+INPUTS!$C$3),"Y","N")</f>
        <v>Y</v>
      </c>
      <c r="I18" s="61"/>
      <c r="J18" s="122">
        <f>FORECASTS!G16</f>
        <v>6.7665300632744723</v>
      </c>
      <c r="K18" s="61"/>
      <c r="L18" s="107">
        <f t="shared" si="0"/>
        <v>0</v>
      </c>
      <c r="M18" s="107">
        <f t="shared" si="1"/>
        <v>0</v>
      </c>
      <c r="N18" s="107">
        <f t="shared" si="2"/>
        <v>0</v>
      </c>
      <c r="O18" s="108">
        <f t="shared" si="3"/>
        <v>0</v>
      </c>
      <c r="P18" s="64"/>
      <c r="Q18" s="108">
        <f t="shared" si="9"/>
        <v>0</v>
      </c>
      <c r="R18" s="108">
        <f t="shared" si="9"/>
        <v>3000000</v>
      </c>
      <c r="S18" s="108">
        <f t="shared" si="9"/>
        <v>0</v>
      </c>
      <c r="T18" s="108">
        <f t="shared" si="4"/>
        <v>3000000</v>
      </c>
      <c r="U18" s="64"/>
      <c r="V18" s="108">
        <f>IF($H18="Y",CONFIG!B$34*Q17,0)</f>
        <v>0</v>
      </c>
      <c r="W18" s="108">
        <f>IF($H18="Y",CONFIG!C$34*R17,0)</f>
        <v>66666.666666666672</v>
      </c>
      <c r="X18" s="108">
        <f>IF($H18="Y",CONFIG!D$34*S17,0)</f>
        <v>0</v>
      </c>
      <c r="Y18" s="108">
        <f t="shared" si="5"/>
        <v>66666.666666666672</v>
      </c>
      <c r="Z18" s="64"/>
      <c r="AA18" s="108">
        <f>IF($H18="Y",CONFIG!B$35*Q17,0)</f>
        <v>0</v>
      </c>
      <c r="AB18" s="108">
        <f>IF($H18="Y",CONFIG!C$35*R17,0)</f>
        <v>45000</v>
      </c>
      <c r="AC18" s="108">
        <f>IF($H18="Y",CONFIG!D$35*S17,0)</f>
        <v>0</v>
      </c>
      <c r="AD18" s="108">
        <f t="shared" si="6"/>
        <v>45000</v>
      </c>
      <c r="AE18" s="64"/>
      <c r="AF18" s="108">
        <f t="shared" si="10"/>
        <v>0</v>
      </c>
      <c r="AG18" s="108">
        <f t="shared" si="7"/>
        <v>111666.66666666667</v>
      </c>
      <c r="AH18" s="108">
        <f t="shared" si="7"/>
        <v>0</v>
      </c>
      <c r="AI18" s="108">
        <f t="shared" si="8"/>
        <v>111666.66666666667</v>
      </c>
      <c r="AJ18" s="64"/>
      <c r="AK18" s="64"/>
      <c r="AL18" s="108">
        <f t="shared" si="11"/>
        <v>78166.666666666672</v>
      </c>
      <c r="AM18" s="108">
        <f t="shared" si="11"/>
        <v>145166.66666666669</v>
      </c>
      <c r="AN18" s="64"/>
      <c r="AO18" s="64"/>
      <c r="AP18" s="130">
        <f>BASE!V29-IF($T18=$O$30,AP$3*BASE!$G$7*BASE!$G$10*OPTION3!$J18*(1-BASE!$G$11),0)</f>
        <v>542700.27039366262</v>
      </c>
      <c r="AQ18" s="130">
        <f>BASE!W29-IF($T18=$O$30,AQ$3*BASE!$G$7*BASE!$G$10*OPTION3!$J18*(1-BASE!$G$11),0)</f>
        <v>775286.10056237539</v>
      </c>
      <c r="AR18" s="130">
        <f>BASE!X29-IF($T18=$O$30,AR$3*BASE!$G$7*BASE!$G$10*OPTION3!$J18*(1-BASE!$G$11),0)</f>
        <v>1007871.930731088</v>
      </c>
      <c r="AT18" s="32"/>
    </row>
    <row r="19" spans="1:46" x14ac:dyDescent="0.25">
      <c r="A19" s="82"/>
      <c r="B19" s="113"/>
      <c r="C19" s="113"/>
      <c r="D19" s="113"/>
      <c r="E19" s="114"/>
      <c r="F19" s="61"/>
      <c r="G19" s="11">
        <v>2034</v>
      </c>
      <c r="H19" s="11" t="str">
        <f>IF(G19&lt;=(INPUTS!$C$2+INPUTS!$C$3),"Y","N")</f>
        <v>N</v>
      </c>
      <c r="I19" s="61"/>
      <c r="J19" s="122">
        <f>FORECASTS!G17</f>
        <v>6.7509594770114001</v>
      </c>
      <c r="K19" s="61"/>
      <c r="L19" s="107">
        <f t="shared" si="0"/>
        <v>0</v>
      </c>
      <c r="M19" s="107">
        <f t="shared" si="1"/>
        <v>0</v>
      </c>
      <c r="N19" s="107">
        <f t="shared" si="2"/>
        <v>0</v>
      </c>
      <c r="O19" s="108">
        <f t="shared" si="3"/>
        <v>0</v>
      </c>
      <c r="P19" s="64"/>
      <c r="Q19" s="108">
        <f t="shared" si="9"/>
        <v>0</v>
      </c>
      <c r="R19" s="108">
        <f t="shared" si="9"/>
        <v>0</v>
      </c>
      <c r="S19" s="108">
        <f t="shared" si="9"/>
        <v>0</v>
      </c>
      <c r="T19" s="108">
        <f t="shared" si="4"/>
        <v>0</v>
      </c>
      <c r="U19" s="64"/>
      <c r="V19" s="108">
        <f>IF($H19="Y",CONFIG!B$34*Q18,0)</f>
        <v>0</v>
      </c>
      <c r="W19" s="108">
        <f>IF($H19="Y",CONFIG!C$34*R18,0)</f>
        <v>0</v>
      </c>
      <c r="X19" s="108">
        <f>IF($H19="Y",CONFIG!D$34*S18,0)</f>
        <v>0</v>
      </c>
      <c r="Y19" s="108">
        <f t="shared" si="5"/>
        <v>0</v>
      </c>
      <c r="Z19" s="64"/>
      <c r="AA19" s="108">
        <f>IF($H19="Y",CONFIG!B$35*Q18,0)</f>
        <v>0</v>
      </c>
      <c r="AB19" s="108">
        <f>IF($H19="Y",CONFIG!C$35*R18,0)</f>
        <v>0</v>
      </c>
      <c r="AC19" s="108">
        <f>IF($H19="Y",CONFIG!D$35*S18,0)</f>
        <v>0</v>
      </c>
      <c r="AD19" s="108">
        <f t="shared" si="6"/>
        <v>0</v>
      </c>
      <c r="AE19" s="64"/>
      <c r="AF19" s="108">
        <f t="shared" si="10"/>
        <v>0</v>
      </c>
      <c r="AG19" s="108">
        <f t="shared" si="7"/>
        <v>0</v>
      </c>
      <c r="AH19" s="108">
        <f t="shared" si="7"/>
        <v>0</v>
      </c>
      <c r="AI19" s="108">
        <f t="shared" si="8"/>
        <v>0</v>
      </c>
      <c r="AJ19" s="64"/>
      <c r="AK19" s="64"/>
      <c r="AL19" s="108">
        <f t="shared" si="11"/>
        <v>0</v>
      </c>
      <c r="AM19" s="108">
        <f t="shared" si="11"/>
        <v>0</v>
      </c>
      <c r="AN19" s="64"/>
      <c r="AO19" s="64"/>
      <c r="AP19" s="130">
        <f>BASE!V30-IF($T19=$O$30,AP$3*BASE!$G$7*BASE!$G$10*OPTION3!$J19*(1-BASE!$G$11),0)</f>
        <v>0</v>
      </c>
      <c r="AQ19" s="130">
        <f>BASE!W30-IF($T19=$O$30,AQ$3*BASE!$G$7*BASE!$G$10*OPTION3!$J19*(1-BASE!$G$11),0)</f>
        <v>0</v>
      </c>
      <c r="AR19" s="130">
        <f>BASE!X30-IF($T19=$O$30,AR$3*BASE!$G$7*BASE!$G$10*OPTION3!$J19*(1-BASE!$G$11),0)</f>
        <v>0</v>
      </c>
      <c r="AT19" s="32"/>
    </row>
    <row r="20" spans="1:46" x14ac:dyDescent="0.25">
      <c r="A20" s="82"/>
      <c r="B20" s="113"/>
      <c r="C20" s="113"/>
      <c r="D20" s="113"/>
      <c r="E20" s="114"/>
      <c r="F20" s="61"/>
      <c r="G20" s="11">
        <v>2035</v>
      </c>
      <c r="H20" s="11" t="str">
        <f>IF(G20&lt;=(INPUTS!$C$2+INPUTS!$C$3),"Y","N")</f>
        <v>N</v>
      </c>
      <c r="I20" s="61"/>
      <c r="J20" s="122">
        <f>FORECASTS!G18</f>
        <v>6.7354247205095659</v>
      </c>
      <c r="K20" s="61"/>
      <c r="L20" s="107">
        <f t="shared" si="0"/>
        <v>0</v>
      </c>
      <c r="M20" s="107">
        <f t="shared" si="1"/>
        <v>0</v>
      </c>
      <c r="N20" s="107">
        <f t="shared" si="2"/>
        <v>0</v>
      </c>
      <c r="O20" s="108">
        <f t="shared" si="3"/>
        <v>0</v>
      </c>
      <c r="P20" s="64"/>
      <c r="Q20" s="108">
        <f t="shared" si="9"/>
        <v>0</v>
      </c>
      <c r="R20" s="108">
        <f t="shared" si="9"/>
        <v>0</v>
      </c>
      <c r="S20" s="108">
        <f t="shared" si="9"/>
        <v>0</v>
      </c>
      <c r="T20" s="108">
        <f t="shared" si="4"/>
        <v>0</v>
      </c>
      <c r="U20" s="64"/>
      <c r="V20" s="108">
        <f>IF($H20="Y",CONFIG!B$34*Q19,0)</f>
        <v>0</v>
      </c>
      <c r="W20" s="108">
        <f>IF($H20="Y",CONFIG!C$34*R19,0)</f>
        <v>0</v>
      </c>
      <c r="X20" s="108">
        <f>IF($H20="Y",CONFIG!D$34*S19,0)</f>
        <v>0</v>
      </c>
      <c r="Y20" s="108">
        <f t="shared" si="5"/>
        <v>0</v>
      </c>
      <c r="Z20" s="64"/>
      <c r="AA20" s="108">
        <f>IF($H20="Y",CONFIG!B$35*Q19,0)</f>
        <v>0</v>
      </c>
      <c r="AB20" s="108">
        <f>IF($H20="Y",CONFIG!C$35*R19,0)</f>
        <v>0</v>
      </c>
      <c r="AC20" s="108">
        <f>IF($H20="Y",CONFIG!D$35*S19,0)</f>
        <v>0</v>
      </c>
      <c r="AD20" s="108">
        <f t="shared" si="6"/>
        <v>0</v>
      </c>
      <c r="AE20" s="64"/>
      <c r="AF20" s="108">
        <f t="shared" si="10"/>
        <v>0</v>
      </c>
      <c r="AG20" s="108">
        <f t="shared" si="10"/>
        <v>0</v>
      </c>
      <c r="AH20" s="108">
        <f t="shared" si="10"/>
        <v>0</v>
      </c>
      <c r="AI20" s="108">
        <f t="shared" si="8"/>
        <v>0</v>
      </c>
      <c r="AJ20" s="64"/>
      <c r="AK20" s="64"/>
      <c r="AL20" s="108">
        <f t="shared" si="11"/>
        <v>0</v>
      </c>
      <c r="AM20" s="108">
        <f t="shared" si="11"/>
        <v>0</v>
      </c>
      <c r="AN20" s="64"/>
      <c r="AO20" s="64"/>
      <c r="AP20" s="130">
        <f>BASE!V31-IF($T20=$O$30,AP$3*BASE!$G$7*BASE!$G$10*OPTION3!$J20*(1-BASE!$G$11),0)</f>
        <v>0</v>
      </c>
      <c r="AQ20" s="130">
        <f>BASE!W31-IF($T20=$O$30,AQ$3*BASE!$G$7*BASE!$G$10*OPTION3!$J20*(1-BASE!$G$11),0)</f>
        <v>0</v>
      </c>
      <c r="AR20" s="130">
        <f>BASE!X31-IF($T20=$O$30,AR$3*BASE!$G$7*BASE!$G$10*OPTION3!$J20*(1-BASE!$G$11),0)</f>
        <v>0</v>
      </c>
      <c r="AT20" s="32"/>
    </row>
    <row r="21" spans="1:46" x14ac:dyDescent="0.25">
      <c r="A21" s="82"/>
      <c r="B21" s="113"/>
      <c r="C21" s="113"/>
      <c r="D21" s="113"/>
      <c r="E21" s="114"/>
      <c r="F21" s="61"/>
      <c r="G21" s="11">
        <v>2036</v>
      </c>
      <c r="H21" s="11" t="str">
        <f>IF(G21&lt;=(INPUTS!$C$2+INPUTS!$C$3),"Y","N")</f>
        <v>N</v>
      </c>
      <c r="I21" s="61"/>
      <c r="J21" s="122">
        <f>FORECASTS!G19</f>
        <v>6.7199257113204496</v>
      </c>
      <c r="K21" s="61"/>
      <c r="L21" s="107">
        <f t="shared" si="0"/>
        <v>0</v>
      </c>
      <c r="M21" s="107">
        <f t="shared" si="1"/>
        <v>0</v>
      </c>
      <c r="N21" s="107">
        <f t="shared" si="2"/>
        <v>0</v>
      </c>
      <c r="O21" s="108">
        <f t="shared" si="3"/>
        <v>0</v>
      </c>
      <c r="P21" s="64"/>
      <c r="Q21" s="108">
        <f t="shared" ref="Q21:S29" si="12">IF($H21="Y",Q20+L21,0)</f>
        <v>0</v>
      </c>
      <c r="R21" s="108">
        <f t="shared" si="12"/>
        <v>0</v>
      </c>
      <c r="S21" s="108">
        <f t="shared" si="12"/>
        <v>0</v>
      </c>
      <c r="T21" s="108">
        <f t="shared" si="4"/>
        <v>0</v>
      </c>
      <c r="U21" s="64"/>
      <c r="V21" s="108">
        <f>IF($H21="Y",CONFIG!B$34*Q20,0)</f>
        <v>0</v>
      </c>
      <c r="W21" s="108">
        <f>IF($H21="Y",CONFIG!C$34*R20,0)</f>
        <v>0</v>
      </c>
      <c r="X21" s="108">
        <f>IF($H21="Y",CONFIG!D$34*S20,0)</f>
        <v>0</v>
      </c>
      <c r="Y21" s="108">
        <f t="shared" si="5"/>
        <v>0</v>
      </c>
      <c r="Z21" s="64"/>
      <c r="AA21" s="108">
        <f>IF($H21="Y",CONFIG!B$35*Q20,0)</f>
        <v>0</v>
      </c>
      <c r="AB21" s="108">
        <f>IF($H21="Y",CONFIG!C$35*R20,0)</f>
        <v>0</v>
      </c>
      <c r="AC21" s="108">
        <f>IF($H21="Y",CONFIG!D$35*S20,0)</f>
        <v>0</v>
      </c>
      <c r="AD21" s="108">
        <f t="shared" si="6"/>
        <v>0</v>
      </c>
      <c r="AE21" s="64"/>
      <c r="AF21" s="108">
        <f t="shared" si="10"/>
        <v>0</v>
      </c>
      <c r="AG21" s="108">
        <f t="shared" si="10"/>
        <v>0</v>
      </c>
      <c r="AH21" s="108">
        <f t="shared" si="10"/>
        <v>0</v>
      </c>
      <c r="AI21" s="108">
        <f t="shared" si="8"/>
        <v>0</v>
      </c>
      <c r="AJ21" s="64"/>
      <c r="AK21" s="64"/>
      <c r="AL21" s="108">
        <f t="shared" si="11"/>
        <v>0</v>
      </c>
      <c r="AM21" s="108">
        <f t="shared" si="11"/>
        <v>0</v>
      </c>
      <c r="AN21" s="64"/>
      <c r="AO21" s="64"/>
      <c r="AP21" s="130">
        <f>BASE!V32-IF($T21=$O$30,AP$3*BASE!$G$7*BASE!$G$10*OPTION3!$J21*(1-BASE!$G$11),0)</f>
        <v>0</v>
      </c>
      <c r="AQ21" s="130">
        <f>BASE!W32-IF($T21=$O$30,AQ$3*BASE!$G$7*BASE!$G$10*OPTION3!$J21*(1-BASE!$G$11),0)</f>
        <v>0</v>
      </c>
      <c r="AR21" s="130">
        <f>BASE!X32-IF($T21=$O$30,AR$3*BASE!$G$7*BASE!$G$10*OPTION3!$J21*(1-BASE!$G$11),0)</f>
        <v>0</v>
      </c>
      <c r="AT21" s="32"/>
    </row>
    <row r="22" spans="1:46" x14ac:dyDescent="0.25">
      <c r="A22" s="82"/>
      <c r="B22" s="113"/>
      <c r="C22" s="113"/>
      <c r="D22" s="113"/>
      <c r="E22" s="114"/>
      <c r="F22" s="61"/>
      <c r="G22" s="11">
        <v>2037</v>
      </c>
      <c r="H22" s="11" t="str">
        <f>IF(G22&lt;=(INPUTS!$C$2+INPUTS!$C$3),"Y","N")</f>
        <v>N</v>
      </c>
      <c r="I22" s="61"/>
      <c r="J22" s="122">
        <f>FORECASTS!G20</f>
        <v>6.7044623671852559</v>
      </c>
      <c r="K22" s="61"/>
      <c r="L22" s="107">
        <f t="shared" si="0"/>
        <v>0</v>
      </c>
      <c r="M22" s="107">
        <f t="shared" si="1"/>
        <v>0</v>
      </c>
      <c r="N22" s="107">
        <f t="shared" si="2"/>
        <v>0</v>
      </c>
      <c r="O22" s="108">
        <f t="shared" si="3"/>
        <v>0</v>
      </c>
      <c r="P22" s="64"/>
      <c r="Q22" s="108">
        <f t="shared" si="12"/>
        <v>0</v>
      </c>
      <c r="R22" s="108">
        <f t="shared" si="12"/>
        <v>0</v>
      </c>
      <c r="S22" s="108">
        <f t="shared" si="12"/>
        <v>0</v>
      </c>
      <c r="T22" s="108">
        <f t="shared" si="4"/>
        <v>0</v>
      </c>
      <c r="U22" s="64"/>
      <c r="V22" s="108">
        <f>IF($H22="Y",CONFIG!B$34*Q21,0)</f>
        <v>0</v>
      </c>
      <c r="W22" s="108">
        <f>IF($H22="Y",CONFIG!C$34*R21,0)</f>
        <v>0</v>
      </c>
      <c r="X22" s="108">
        <f>IF($H22="Y",CONFIG!D$34*S21,0)</f>
        <v>0</v>
      </c>
      <c r="Y22" s="108">
        <f t="shared" si="5"/>
        <v>0</v>
      </c>
      <c r="Z22" s="64"/>
      <c r="AA22" s="108">
        <f>IF($H22="Y",CONFIG!B$35*Q21,0)</f>
        <v>0</v>
      </c>
      <c r="AB22" s="108">
        <f>IF($H22="Y",CONFIG!C$35*R21,0)</f>
        <v>0</v>
      </c>
      <c r="AC22" s="108">
        <f>IF($H22="Y",CONFIG!D$35*S21,0)</f>
        <v>0</v>
      </c>
      <c r="AD22" s="108">
        <f t="shared" si="6"/>
        <v>0</v>
      </c>
      <c r="AE22" s="64"/>
      <c r="AF22" s="108">
        <f t="shared" si="10"/>
        <v>0</v>
      </c>
      <c r="AG22" s="108">
        <f t="shared" si="10"/>
        <v>0</v>
      </c>
      <c r="AH22" s="108">
        <f t="shared" si="10"/>
        <v>0</v>
      </c>
      <c r="AI22" s="108">
        <f t="shared" si="8"/>
        <v>0</v>
      </c>
      <c r="AJ22" s="64"/>
      <c r="AK22" s="64"/>
      <c r="AL22" s="108">
        <f t="shared" si="11"/>
        <v>0</v>
      </c>
      <c r="AM22" s="108">
        <f t="shared" si="11"/>
        <v>0</v>
      </c>
      <c r="AN22" s="64"/>
      <c r="AO22" s="64"/>
      <c r="AP22" s="130">
        <f>BASE!V33-IF($T22=$O$30,AP$3*BASE!$G$7*BASE!$G$10*OPTION3!$J22*(1-BASE!$G$11),0)</f>
        <v>0</v>
      </c>
      <c r="AQ22" s="130">
        <f>BASE!W33-IF($T22=$O$30,AQ$3*BASE!$G$7*BASE!$G$10*OPTION3!$J22*(1-BASE!$G$11),0)</f>
        <v>0</v>
      </c>
      <c r="AR22" s="130">
        <f>BASE!X33-IF($T22=$O$30,AR$3*BASE!$G$7*BASE!$G$10*OPTION3!$J22*(1-BASE!$G$11),0)</f>
        <v>0</v>
      </c>
      <c r="AT22" s="32"/>
    </row>
    <row r="23" spans="1:46" x14ac:dyDescent="0.25">
      <c r="A23" s="82"/>
      <c r="B23" s="113"/>
      <c r="C23" s="113"/>
      <c r="D23" s="113"/>
      <c r="E23" s="114"/>
      <c r="F23" s="61"/>
      <c r="G23" s="11">
        <v>2038</v>
      </c>
      <c r="H23" s="11" t="str">
        <f>IF(G23&lt;=(INPUTS!$C$2+INPUTS!$C$3),"Y","N")</f>
        <v>N</v>
      </c>
      <c r="I23" s="61"/>
      <c r="J23" s="122">
        <f>FORECASTS!G21</f>
        <v>6.6890346060344754</v>
      </c>
      <c r="K23" s="61"/>
      <c r="L23" s="107">
        <f t="shared" si="0"/>
        <v>0</v>
      </c>
      <c r="M23" s="107">
        <f t="shared" si="1"/>
        <v>0</v>
      </c>
      <c r="N23" s="107">
        <f t="shared" si="2"/>
        <v>0</v>
      </c>
      <c r="O23" s="108">
        <f t="shared" si="3"/>
        <v>0</v>
      </c>
      <c r="P23" s="64"/>
      <c r="Q23" s="108">
        <f t="shared" si="12"/>
        <v>0</v>
      </c>
      <c r="R23" s="108">
        <f t="shared" si="12"/>
        <v>0</v>
      </c>
      <c r="S23" s="108">
        <f t="shared" si="12"/>
        <v>0</v>
      </c>
      <c r="T23" s="108">
        <f t="shared" si="4"/>
        <v>0</v>
      </c>
      <c r="U23" s="64"/>
      <c r="V23" s="108">
        <f>IF($H23="Y",CONFIG!B$34*Q22,0)</f>
        <v>0</v>
      </c>
      <c r="W23" s="108">
        <f>IF($H23="Y",CONFIG!C$34*R22,0)</f>
        <v>0</v>
      </c>
      <c r="X23" s="108">
        <f>IF($H23="Y",CONFIG!D$34*S22,0)</f>
        <v>0</v>
      </c>
      <c r="Y23" s="108">
        <f t="shared" si="5"/>
        <v>0</v>
      </c>
      <c r="Z23" s="64"/>
      <c r="AA23" s="108">
        <f>IF($H23="Y",CONFIG!B$35*Q22,0)</f>
        <v>0</v>
      </c>
      <c r="AB23" s="108">
        <f>IF($H23="Y",CONFIG!C$35*R22,0)</f>
        <v>0</v>
      </c>
      <c r="AC23" s="108">
        <f>IF($H23="Y",CONFIG!D$35*S22,0)</f>
        <v>0</v>
      </c>
      <c r="AD23" s="108">
        <f t="shared" si="6"/>
        <v>0</v>
      </c>
      <c r="AE23" s="64"/>
      <c r="AF23" s="108">
        <f t="shared" si="10"/>
        <v>0</v>
      </c>
      <c r="AG23" s="108">
        <f t="shared" si="10"/>
        <v>0</v>
      </c>
      <c r="AH23" s="108">
        <f t="shared" si="10"/>
        <v>0</v>
      </c>
      <c r="AI23" s="108">
        <f t="shared" si="8"/>
        <v>0</v>
      </c>
      <c r="AJ23" s="64"/>
      <c r="AK23" s="64"/>
      <c r="AL23" s="108">
        <f t="shared" si="11"/>
        <v>0</v>
      </c>
      <c r="AM23" s="108">
        <f t="shared" si="11"/>
        <v>0</v>
      </c>
      <c r="AN23" s="64"/>
      <c r="AO23" s="64"/>
      <c r="AP23" s="130">
        <f>BASE!V34-IF($T23=$O$30,AP$3*BASE!$G$7*BASE!$G$10*OPTION3!$J23*(1-BASE!$G$11),0)</f>
        <v>0</v>
      </c>
      <c r="AQ23" s="130">
        <f>BASE!W34-IF($T23=$O$30,AQ$3*BASE!$G$7*BASE!$G$10*OPTION3!$J23*(1-BASE!$G$11),0)</f>
        <v>0</v>
      </c>
      <c r="AR23" s="130">
        <f>BASE!X34-IF($T23=$O$30,AR$3*BASE!$G$7*BASE!$G$10*OPTION3!$J23*(1-BASE!$G$11),0)</f>
        <v>0</v>
      </c>
      <c r="AT23" s="32"/>
    </row>
    <row r="24" spans="1:46" x14ac:dyDescent="0.25">
      <c r="A24" s="82"/>
      <c r="B24" s="113"/>
      <c r="C24" s="113"/>
      <c r="D24" s="113"/>
      <c r="E24" s="114"/>
      <c r="F24" s="61"/>
      <c r="G24" s="11">
        <v>2039</v>
      </c>
      <c r="H24" s="11" t="str">
        <f>IF(G24&lt;=(INPUTS!$C$2+INPUTS!$C$3),"Y","N")</f>
        <v>N</v>
      </c>
      <c r="I24" s="61"/>
      <c r="J24" s="122">
        <f>FORECASTS!G22</f>
        <v>6.6736423459874503</v>
      </c>
      <c r="K24" s="61"/>
      <c r="L24" s="107">
        <f t="shared" si="0"/>
        <v>0</v>
      </c>
      <c r="M24" s="107">
        <f t="shared" si="1"/>
        <v>0</v>
      </c>
      <c r="N24" s="107">
        <f t="shared" si="2"/>
        <v>0</v>
      </c>
      <c r="O24" s="108">
        <f t="shared" si="3"/>
        <v>0</v>
      </c>
      <c r="P24" s="64"/>
      <c r="Q24" s="108">
        <f t="shared" si="12"/>
        <v>0</v>
      </c>
      <c r="R24" s="108">
        <f t="shared" si="12"/>
        <v>0</v>
      </c>
      <c r="S24" s="108">
        <f t="shared" si="12"/>
        <v>0</v>
      </c>
      <c r="T24" s="108">
        <f t="shared" si="4"/>
        <v>0</v>
      </c>
      <c r="U24" s="64"/>
      <c r="V24" s="108">
        <f>IF($H24="Y",CONFIG!B$34*Q23,0)</f>
        <v>0</v>
      </c>
      <c r="W24" s="108">
        <f>IF($H24="Y",CONFIG!C$34*R23,0)</f>
        <v>0</v>
      </c>
      <c r="X24" s="108">
        <f>IF($H24="Y",CONFIG!D$34*S23,0)</f>
        <v>0</v>
      </c>
      <c r="Y24" s="108">
        <f t="shared" si="5"/>
        <v>0</v>
      </c>
      <c r="Z24" s="64"/>
      <c r="AA24" s="108">
        <f>IF($H24="Y",CONFIG!B$35*Q23,0)</f>
        <v>0</v>
      </c>
      <c r="AB24" s="108">
        <f>IF($H24="Y",CONFIG!C$35*R23,0)</f>
        <v>0</v>
      </c>
      <c r="AC24" s="108">
        <f>IF($H24="Y",CONFIG!D$35*S23,0)</f>
        <v>0</v>
      </c>
      <c r="AD24" s="108">
        <f t="shared" si="6"/>
        <v>0</v>
      </c>
      <c r="AE24" s="64"/>
      <c r="AF24" s="108">
        <f t="shared" si="10"/>
        <v>0</v>
      </c>
      <c r="AG24" s="108">
        <f t="shared" si="10"/>
        <v>0</v>
      </c>
      <c r="AH24" s="108">
        <f t="shared" si="10"/>
        <v>0</v>
      </c>
      <c r="AI24" s="108">
        <f t="shared" si="8"/>
        <v>0</v>
      </c>
      <c r="AJ24" s="64"/>
      <c r="AK24" s="64"/>
      <c r="AL24" s="108">
        <f t="shared" si="11"/>
        <v>0</v>
      </c>
      <c r="AM24" s="108">
        <f t="shared" si="11"/>
        <v>0</v>
      </c>
      <c r="AN24" s="64"/>
      <c r="AO24" s="64"/>
      <c r="AP24" s="130">
        <f>BASE!V35-IF($T24=$O$30,AP$3*BASE!$G$7*BASE!$G$10*OPTION3!$J24*(1-BASE!$G$11),0)</f>
        <v>0</v>
      </c>
      <c r="AQ24" s="130">
        <f>BASE!W35-IF($T24=$O$30,AQ$3*BASE!$G$7*BASE!$G$10*OPTION3!$J24*(1-BASE!$G$11),0)</f>
        <v>0</v>
      </c>
      <c r="AR24" s="130">
        <f>BASE!X35-IF($T24=$O$30,AR$3*BASE!$G$7*BASE!$G$10*OPTION3!$J24*(1-BASE!$G$11),0)</f>
        <v>0</v>
      </c>
      <c r="AT24" s="32"/>
    </row>
    <row r="25" spans="1:46" x14ac:dyDescent="0.25">
      <c r="A25" s="82"/>
      <c r="B25" s="113"/>
      <c r="C25" s="113"/>
      <c r="D25" s="113"/>
      <c r="E25" s="114"/>
      <c r="F25" s="61"/>
      <c r="G25" s="11">
        <v>2040</v>
      </c>
      <c r="H25" s="11" t="str">
        <f>IF(G25&lt;=(INPUTS!$C$2+INPUTS!$C$3),"Y","N")</f>
        <v>N</v>
      </c>
      <c r="I25" s="61"/>
      <c r="J25" s="122">
        <f>FORECASTS!G23</f>
        <v>6.658285505351941</v>
      </c>
      <c r="K25" s="61"/>
      <c r="L25" s="107">
        <f t="shared" si="0"/>
        <v>0</v>
      </c>
      <c r="M25" s="107">
        <f t="shared" si="1"/>
        <v>0</v>
      </c>
      <c r="N25" s="107">
        <f t="shared" si="2"/>
        <v>0</v>
      </c>
      <c r="O25" s="108">
        <f t="shared" si="3"/>
        <v>0</v>
      </c>
      <c r="P25" s="64"/>
      <c r="Q25" s="108">
        <f t="shared" si="12"/>
        <v>0</v>
      </c>
      <c r="R25" s="108">
        <f t="shared" si="12"/>
        <v>0</v>
      </c>
      <c r="S25" s="108">
        <f t="shared" si="12"/>
        <v>0</v>
      </c>
      <c r="T25" s="108">
        <f t="shared" si="4"/>
        <v>0</v>
      </c>
      <c r="U25" s="64"/>
      <c r="V25" s="108">
        <f>IF($H25="Y",CONFIG!B$34*Q24,0)</f>
        <v>0</v>
      </c>
      <c r="W25" s="108">
        <f>IF($H25="Y",CONFIG!C$34*R24,0)</f>
        <v>0</v>
      </c>
      <c r="X25" s="108">
        <f>IF($H25="Y",CONFIG!D$34*S24,0)</f>
        <v>0</v>
      </c>
      <c r="Y25" s="108">
        <f t="shared" si="5"/>
        <v>0</v>
      </c>
      <c r="Z25" s="64"/>
      <c r="AA25" s="108">
        <f>IF($H25="Y",CONFIG!B$35*Q24,0)</f>
        <v>0</v>
      </c>
      <c r="AB25" s="108">
        <f>IF($H25="Y",CONFIG!C$35*R24,0)</f>
        <v>0</v>
      </c>
      <c r="AC25" s="108">
        <f>IF($H25="Y",CONFIG!D$35*S24,0)</f>
        <v>0</v>
      </c>
      <c r="AD25" s="108">
        <f t="shared" si="6"/>
        <v>0</v>
      </c>
      <c r="AE25" s="64"/>
      <c r="AF25" s="108">
        <f t="shared" si="10"/>
        <v>0</v>
      </c>
      <c r="AG25" s="108">
        <f t="shared" si="10"/>
        <v>0</v>
      </c>
      <c r="AH25" s="108">
        <f t="shared" si="10"/>
        <v>0</v>
      </c>
      <c r="AI25" s="108">
        <f t="shared" si="8"/>
        <v>0</v>
      </c>
      <c r="AJ25" s="64"/>
      <c r="AK25" s="64"/>
      <c r="AL25" s="108">
        <f t="shared" si="11"/>
        <v>0</v>
      </c>
      <c r="AM25" s="108">
        <f t="shared" si="11"/>
        <v>0</v>
      </c>
      <c r="AN25" s="64"/>
      <c r="AO25" s="64"/>
      <c r="AP25" s="130">
        <f>BASE!V36-IF($T25=$O$30,AP$3*BASE!$G$7*BASE!$G$10*OPTION3!$J25*(1-BASE!$G$11),0)</f>
        <v>0</v>
      </c>
      <c r="AQ25" s="130">
        <f>BASE!W36-IF($T25=$O$30,AQ$3*BASE!$G$7*BASE!$G$10*OPTION3!$J25*(1-BASE!$G$11),0)</f>
        <v>0</v>
      </c>
      <c r="AR25" s="130">
        <f>BASE!X36-IF($T25=$O$30,AR$3*BASE!$G$7*BASE!$G$10*OPTION3!$J25*(1-BASE!$G$11),0)</f>
        <v>0</v>
      </c>
      <c r="AT25" s="32"/>
    </row>
    <row r="26" spans="1:46" x14ac:dyDescent="0.25">
      <c r="A26" s="82"/>
      <c r="B26" s="113"/>
      <c r="C26" s="113"/>
      <c r="D26" s="113"/>
      <c r="E26" s="114"/>
      <c r="F26" s="61"/>
      <c r="G26" s="11">
        <v>2041</v>
      </c>
      <c r="H26" s="11" t="str">
        <f>IF(G26&lt;=(INPUTS!$C$2+INPUTS!$C$3),"Y","N")</f>
        <v>N</v>
      </c>
      <c r="I26" s="61"/>
      <c r="J26" s="122">
        <f>FORECASTS!G24</f>
        <v>6.6429640026236916</v>
      </c>
      <c r="K26" s="61"/>
      <c r="L26" s="107">
        <f t="shared" si="0"/>
        <v>0</v>
      </c>
      <c r="M26" s="107">
        <f t="shared" si="1"/>
        <v>0</v>
      </c>
      <c r="N26" s="107">
        <f t="shared" si="2"/>
        <v>0</v>
      </c>
      <c r="O26" s="108">
        <f t="shared" si="3"/>
        <v>0</v>
      </c>
      <c r="P26" s="64"/>
      <c r="Q26" s="108">
        <f t="shared" si="12"/>
        <v>0</v>
      </c>
      <c r="R26" s="108">
        <f t="shared" si="12"/>
        <v>0</v>
      </c>
      <c r="S26" s="108">
        <f t="shared" si="12"/>
        <v>0</v>
      </c>
      <c r="T26" s="108">
        <f t="shared" si="4"/>
        <v>0</v>
      </c>
      <c r="U26" s="64"/>
      <c r="V26" s="108">
        <f>IF($H26="Y",CONFIG!B$34*Q25,0)</f>
        <v>0</v>
      </c>
      <c r="W26" s="108">
        <f>IF($H26="Y",CONFIG!C$34*R25,0)</f>
        <v>0</v>
      </c>
      <c r="X26" s="108">
        <f>IF($H26="Y",CONFIG!D$34*S25,0)</f>
        <v>0</v>
      </c>
      <c r="Y26" s="108">
        <f t="shared" si="5"/>
        <v>0</v>
      </c>
      <c r="Z26" s="64"/>
      <c r="AA26" s="108">
        <f>IF($H26="Y",CONFIG!B$35*Q25,0)</f>
        <v>0</v>
      </c>
      <c r="AB26" s="108">
        <f>IF($H26="Y",CONFIG!C$35*R25,0)</f>
        <v>0</v>
      </c>
      <c r="AC26" s="108">
        <f>IF($H26="Y",CONFIG!D$35*S25,0)</f>
        <v>0</v>
      </c>
      <c r="AD26" s="108">
        <f t="shared" si="6"/>
        <v>0</v>
      </c>
      <c r="AE26" s="64"/>
      <c r="AF26" s="108">
        <f t="shared" si="10"/>
        <v>0</v>
      </c>
      <c r="AG26" s="108">
        <f t="shared" si="10"/>
        <v>0</v>
      </c>
      <c r="AH26" s="108">
        <f t="shared" si="10"/>
        <v>0</v>
      </c>
      <c r="AI26" s="108">
        <f t="shared" si="8"/>
        <v>0</v>
      </c>
      <c r="AJ26" s="64"/>
      <c r="AK26" s="64"/>
      <c r="AL26" s="108">
        <f t="shared" si="11"/>
        <v>0</v>
      </c>
      <c r="AM26" s="108">
        <f t="shared" si="11"/>
        <v>0</v>
      </c>
      <c r="AN26" s="64"/>
      <c r="AO26" s="64"/>
      <c r="AP26" s="130">
        <f>BASE!V37-IF($T26=$O$30,AP$3*BASE!$G$7*BASE!$G$10*OPTION3!$J26*(1-BASE!$G$11),0)</f>
        <v>0</v>
      </c>
      <c r="AQ26" s="130">
        <f>BASE!W37-IF($T26=$O$30,AQ$3*BASE!$G$7*BASE!$G$10*OPTION3!$J26*(1-BASE!$G$11),0)</f>
        <v>0</v>
      </c>
      <c r="AR26" s="130">
        <f>BASE!X37-IF($T26=$O$30,AR$3*BASE!$G$7*BASE!$G$10*OPTION3!$J26*(1-BASE!$G$11),0)</f>
        <v>0</v>
      </c>
      <c r="AT26" s="32"/>
    </row>
    <row r="27" spans="1:46" x14ac:dyDescent="0.25">
      <c r="A27" s="82"/>
      <c r="B27" s="113"/>
      <c r="C27" s="113"/>
      <c r="D27" s="113"/>
      <c r="E27" s="114"/>
      <c r="F27" s="61"/>
      <c r="G27" s="11">
        <v>2042</v>
      </c>
      <c r="H27" s="11" t="str">
        <f>IF(G27&lt;=(INPUTS!$C$2+INPUTS!$C$3),"Y","N")</f>
        <v>N</v>
      </c>
      <c r="I27" s="61"/>
      <c r="J27" s="122">
        <f>FORECASTS!G25</f>
        <v>6.6276777564859959</v>
      </c>
      <c r="K27" s="61"/>
      <c r="L27" s="107">
        <f t="shared" si="0"/>
        <v>0</v>
      </c>
      <c r="M27" s="107">
        <f t="shared" si="1"/>
        <v>0</v>
      </c>
      <c r="N27" s="107">
        <f t="shared" si="2"/>
        <v>0</v>
      </c>
      <c r="O27" s="108">
        <f t="shared" si="3"/>
        <v>0</v>
      </c>
      <c r="P27" s="64"/>
      <c r="Q27" s="108">
        <f t="shared" si="12"/>
        <v>0</v>
      </c>
      <c r="R27" s="108">
        <f t="shared" si="12"/>
        <v>0</v>
      </c>
      <c r="S27" s="108">
        <f t="shared" si="12"/>
        <v>0</v>
      </c>
      <c r="T27" s="108">
        <f t="shared" si="4"/>
        <v>0</v>
      </c>
      <c r="U27" s="64"/>
      <c r="V27" s="108">
        <f>IF($H27="Y",CONFIG!B$34*Q26,0)</f>
        <v>0</v>
      </c>
      <c r="W27" s="108">
        <f>IF($H27="Y",CONFIG!C$34*R26,0)</f>
        <v>0</v>
      </c>
      <c r="X27" s="108">
        <f>IF($H27="Y",CONFIG!D$34*S26,0)</f>
        <v>0</v>
      </c>
      <c r="Y27" s="108">
        <f t="shared" si="5"/>
        <v>0</v>
      </c>
      <c r="Z27" s="64"/>
      <c r="AA27" s="108">
        <f>IF($H27="Y",CONFIG!B$35*Q26,0)</f>
        <v>0</v>
      </c>
      <c r="AB27" s="108">
        <f>IF($H27="Y",CONFIG!C$35*R26,0)</f>
        <v>0</v>
      </c>
      <c r="AC27" s="108">
        <f>IF($H27="Y",CONFIG!D$35*S26,0)</f>
        <v>0</v>
      </c>
      <c r="AD27" s="108">
        <f t="shared" si="6"/>
        <v>0</v>
      </c>
      <c r="AE27" s="64"/>
      <c r="AF27" s="108">
        <f t="shared" si="10"/>
        <v>0</v>
      </c>
      <c r="AG27" s="108">
        <f t="shared" si="10"/>
        <v>0</v>
      </c>
      <c r="AH27" s="108">
        <f t="shared" si="10"/>
        <v>0</v>
      </c>
      <c r="AI27" s="108">
        <f t="shared" si="8"/>
        <v>0</v>
      </c>
      <c r="AJ27" s="64"/>
      <c r="AK27" s="64"/>
      <c r="AL27" s="108">
        <f t="shared" si="11"/>
        <v>0</v>
      </c>
      <c r="AM27" s="108">
        <f t="shared" si="11"/>
        <v>0</v>
      </c>
      <c r="AN27" s="64"/>
      <c r="AO27" s="64"/>
      <c r="AP27" s="130">
        <f>BASE!V38-IF($T27=$O$30,AP$3*BASE!$G$7*BASE!$G$10*OPTION3!$J27*(1-BASE!$G$11),0)</f>
        <v>0</v>
      </c>
      <c r="AQ27" s="130">
        <f>BASE!W38-IF($T27=$O$30,AQ$3*BASE!$G$7*BASE!$G$10*OPTION3!$J27*(1-BASE!$G$11),0)</f>
        <v>0</v>
      </c>
      <c r="AR27" s="130">
        <f>BASE!X38-IF($T27=$O$30,AR$3*BASE!$G$7*BASE!$G$10*OPTION3!$J27*(1-BASE!$G$11),0)</f>
        <v>0</v>
      </c>
      <c r="AT27" s="32"/>
    </row>
    <row r="28" spans="1:46" x14ac:dyDescent="0.25">
      <c r="A28" s="82"/>
      <c r="B28" s="113"/>
      <c r="C28" s="113"/>
      <c r="D28" s="113"/>
      <c r="E28" s="114"/>
      <c r="F28" s="61"/>
      <c r="G28" s="11">
        <v>2043</v>
      </c>
      <c r="H28" s="11" t="str">
        <f>IF(G28&lt;=(INPUTS!$C$2+INPUTS!$C$3),"Y","N")</f>
        <v>N</v>
      </c>
      <c r="I28" s="61"/>
      <c r="J28" s="122">
        <f>FORECASTS!G26</f>
        <v>6.6124266858092673</v>
      </c>
      <c r="K28" s="61"/>
      <c r="L28" s="107">
        <f t="shared" si="0"/>
        <v>0</v>
      </c>
      <c r="M28" s="107">
        <f t="shared" si="1"/>
        <v>0</v>
      </c>
      <c r="N28" s="107">
        <f t="shared" si="2"/>
        <v>0</v>
      </c>
      <c r="O28" s="108">
        <f t="shared" si="3"/>
        <v>0</v>
      </c>
      <c r="P28" s="64"/>
      <c r="Q28" s="108">
        <f t="shared" si="12"/>
        <v>0</v>
      </c>
      <c r="R28" s="108">
        <f t="shared" si="12"/>
        <v>0</v>
      </c>
      <c r="S28" s="108">
        <f t="shared" si="12"/>
        <v>0</v>
      </c>
      <c r="T28" s="108">
        <f t="shared" si="4"/>
        <v>0</v>
      </c>
      <c r="U28" s="64"/>
      <c r="V28" s="108">
        <f>IF($H28="Y",CONFIG!B$34*Q27,0)</f>
        <v>0</v>
      </c>
      <c r="W28" s="108">
        <f>IF($H28="Y",CONFIG!C$34*R27,0)</f>
        <v>0</v>
      </c>
      <c r="X28" s="108">
        <f>IF($H28="Y",CONFIG!D$34*S27,0)</f>
        <v>0</v>
      </c>
      <c r="Y28" s="108">
        <f t="shared" si="5"/>
        <v>0</v>
      </c>
      <c r="Z28" s="64"/>
      <c r="AA28" s="108">
        <f>IF($H28="Y",CONFIG!B$35*Q27,0)</f>
        <v>0</v>
      </c>
      <c r="AB28" s="108">
        <f>IF($H28="Y",CONFIG!C$35*R27,0)</f>
        <v>0</v>
      </c>
      <c r="AC28" s="108">
        <f>IF($H28="Y",CONFIG!D$35*S27,0)</f>
        <v>0</v>
      </c>
      <c r="AD28" s="108">
        <f t="shared" si="6"/>
        <v>0</v>
      </c>
      <c r="AE28" s="64"/>
      <c r="AF28" s="108">
        <f t="shared" si="10"/>
        <v>0</v>
      </c>
      <c r="AG28" s="108">
        <f t="shared" si="10"/>
        <v>0</v>
      </c>
      <c r="AH28" s="108">
        <f t="shared" si="10"/>
        <v>0</v>
      </c>
      <c r="AI28" s="108">
        <f t="shared" si="8"/>
        <v>0</v>
      </c>
      <c r="AJ28" s="64"/>
      <c r="AK28" s="64"/>
      <c r="AL28" s="108">
        <f t="shared" si="11"/>
        <v>0</v>
      </c>
      <c r="AM28" s="108">
        <f t="shared" si="11"/>
        <v>0</v>
      </c>
      <c r="AN28" s="64"/>
      <c r="AO28" s="64"/>
      <c r="AP28" s="130">
        <f>BASE!V39-IF($T28=$O$30,AP$3*BASE!$G$7*BASE!$G$10*OPTION3!$J28*(1-BASE!$G$11),0)</f>
        <v>0</v>
      </c>
      <c r="AQ28" s="130">
        <f>BASE!W39-IF($T28=$O$30,AQ$3*BASE!$G$7*BASE!$G$10*OPTION3!$J28*(1-BASE!$G$11),0)</f>
        <v>0</v>
      </c>
      <c r="AR28" s="130">
        <f>BASE!X39-IF($T28=$O$30,AR$3*BASE!$G$7*BASE!$G$10*OPTION3!$J28*(1-BASE!$G$11),0)</f>
        <v>0</v>
      </c>
      <c r="AT28" s="32"/>
    </row>
    <row r="29" spans="1:46" x14ac:dyDescent="0.25">
      <c r="A29" s="82"/>
      <c r="B29" s="113"/>
      <c r="C29" s="113"/>
      <c r="D29" s="113"/>
      <c r="E29" s="114"/>
      <c r="F29" s="61"/>
      <c r="G29" s="11">
        <v>2044</v>
      </c>
      <c r="H29" s="11" t="str">
        <f>IF(G29&lt;=(INPUTS!$C$2+INPUTS!$C$3),"Y","N")</f>
        <v>N</v>
      </c>
      <c r="I29" s="61"/>
      <c r="J29" s="122">
        <f>FORECASTS!G27</f>
        <v>6.597210709650609</v>
      </c>
      <c r="K29" s="61"/>
      <c r="L29" s="107">
        <f t="shared" si="0"/>
        <v>0</v>
      </c>
      <c r="M29" s="107">
        <f t="shared" si="1"/>
        <v>0</v>
      </c>
      <c r="N29" s="107">
        <f t="shared" si="2"/>
        <v>0</v>
      </c>
      <c r="O29" s="108">
        <f t="shared" si="3"/>
        <v>0</v>
      </c>
      <c r="P29" s="64"/>
      <c r="Q29" s="108">
        <f t="shared" si="12"/>
        <v>0</v>
      </c>
      <c r="R29" s="108">
        <f t="shared" si="12"/>
        <v>0</v>
      </c>
      <c r="S29" s="108">
        <f t="shared" si="12"/>
        <v>0</v>
      </c>
      <c r="T29" s="108">
        <f t="shared" si="4"/>
        <v>0</v>
      </c>
      <c r="U29" s="64"/>
      <c r="V29" s="108">
        <f>IF($H29="Y",CONFIG!B$34*Q28,0)</f>
        <v>0</v>
      </c>
      <c r="W29" s="108">
        <f>IF($H29="Y",CONFIG!C$34*R28,0)</f>
        <v>0</v>
      </c>
      <c r="X29" s="108">
        <f>IF($H29="Y",CONFIG!D$34*S28,0)</f>
        <v>0</v>
      </c>
      <c r="Y29" s="108">
        <f t="shared" si="5"/>
        <v>0</v>
      </c>
      <c r="Z29" s="64"/>
      <c r="AA29" s="108">
        <f>IF($H29="Y",CONFIG!B$35*Q28,0)</f>
        <v>0</v>
      </c>
      <c r="AB29" s="108">
        <f>IF($H29="Y",CONFIG!C$35*R28,0)</f>
        <v>0</v>
      </c>
      <c r="AC29" s="108">
        <f>IF($H29="Y",CONFIG!D$35*S28,0)</f>
        <v>0</v>
      </c>
      <c r="AD29" s="108">
        <f t="shared" si="6"/>
        <v>0</v>
      </c>
      <c r="AE29" s="64"/>
      <c r="AF29" s="108">
        <f t="shared" si="10"/>
        <v>0</v>
      </c>
      <c r="AG29" s="108">
        <f t="shared" si="10"/>
        <v>0</v>
      </c>
      <c r="AH29" s="108">
        <f t="shared" si="10"/>
        <v>0</v>
      </c>
      <c r="AI29" s="108">
        <f t="shared" si="8"/>
        <v>0</v>
      </c>
      <c r="AJ29" s="64"/>
      <c r="AK29" s="64"/>
      <c r="AL29" s="108">
        <f>SUM($AF29:$AH29)*(1+AL$3)</f>
        <v>0</v>
      </c>
      <c r="AM29" s="108">
        <f t="shared" ref="AM29" si="13">SUM($AF29:$AH29)*(1+AM$3)</f>
        <v>0</v>
      </c>
      <c r="AN29" s="64"/>
      <c r="AO29" s="64"/>
      <c r="AP29" s="130">
        <f>BASE!V40-IF($T29=$O$30,AP$3*BASE!$G$7*BASE!$G$10*OPTION3!$J29*(1-BASE!$G$11),0)</f>
        <v>0</v>
      </c>
      <c r="AQ29" s="130">
        <f>BASE!W40-IF($T29=$O$30,AQ$3*BASE!$G$7*BASE!$G$10*OPTION3!$J29*(1-BASE!$G$11),0)</f>
        <v>0</v>
      </c>
      <c r="AR29" s="130">
        <f>BASE!X40-IF($T29=$O$30,AR$3*BASE!$G$7*BASE!$G$10*OPTION3!$J29*(1-BASE!$G$11),0)</f>
        <v>0</v>
      </c>
      <c r="AT29" s="32"/>
    </row>
    <row r="30" spans="1:46" x14ac:dyDescent="0.25">
      <c r="A30" s="6" t="s">
        <v>37</v>
      </c>
      <c r="B30" s="109">
        <f>SUM(B4:B29)</f>
        <v>0</v>
      </c>
      <c r="C30" s="109">
        <f>SUM(C4:C29)</f>
        <v>3000000</v>
      </c>
      <c r="D30" s="109">
        <f>SUM(D4:D29)</f>
        <v>0</v>
      </c>
      <c r="E30" s="109">
        <f>SUM(E4:E29)</f>
        <v>3000000</v>
      </c>
      <c r="G30" s="6"/>
      <c r="H30" s="7"/>
      <c r="J30" s="7"/>
      <c r="K30" s="62"/>
      <c r="L30" s="109">
        <f>SUM(L4:L29)</f>
        <v>0</v>
      </c>
      <c r="M30" s="109">
        <f>SUM(M4:M29)</f>
        <v>3000000</v>
      </c>
      <c r="N30" s="109">
        <f>SUM(N4:N29)</f>
        <v>0</v>
      </c>
      <c r="O30" s="109">
        <f>SUM(O4:O29)</f>
        <v>3000000</v>
      </c>
      <c r="P30" s="65"/>
      <c r="Q30" s="109"/>
      <c r="R30" s="109"/>
      <c r="S30" s="109"/>
      <c r="T30" s="109"/>
      <c r="U30" s="65"/>
      <c r="V30" s="109">
        <f>SUM(V4:V29)</f>
        <v>0</v>
      </c>
      <c r="W30" s="109">
        <f>SUM(W4:W29)</f>
        <v>666666.66666666663</v>
      </c>
      <c r="X30" s="109">
        <f>SUM(X4:X29)</f>
        <v>0</v>
      </c>
      <c r="Y30" s="109">
        <f>SUM(Y4:Y29)</f>
        <v>666666.66666666663</v>
      </c>
      <c r="Z30" s="65"/>
      <c r="AA30" s="109">
        <f>SUM(AA4:AA29)</f>
        <v>0</v>
      </c>
      <c r="AB30" s="109">
        <f>SUM(AB4:AB29)</f>
        <v>450000</v>
      </c>
      <c r="AC30" s="109">
        <f>SUM(AC4:AC29)</f>
        <v>0</v>
      </c>
      <c r="AD30" s="109">
        <f>SUM(AD4:AD29)</f>
        <v>450000</v>
      </c>
      <c r="AE30" s="65"/>
      <c r="AF30" s="109">
        <f>SUM(AF4:AF29)</f>
        <v>0</v>
      </c>
      <c r="AG30" s="109">
        <f>SUM(AG4:AG29)</f>
        <v>1116666.6666666665</v>
      </c>
      <c r="AH30" s="109">
        <f>SUM(AH4:AH29)</f>
        <v>0</v>
      </c>
      <c r="AI30" s="109">
        <f>SUM(AI4:AI29)</f>
        <v>1116666.6666666665</v>
      </c>
      <c r="AJ30" s="65"/>
      <c r="AK30" s="65"/>
      <c r="AL30" s="109">
        <f>SUM(AL4:AL29)</f>
        <v>781666.66666666663</v>
      </c>
      <c r="AM30" s="109">
        <f>SUM(AM4:AM29)</f>
        <v>1451666.6666666672</v>
      </c>
      <c r="AN30" s="65"/>
      <c r="AP30" s="109">
        <f t="shared" ref="AP30:AR30" si="14">SUM(AP4:AP29)</f>
        <v>6009457.480529936</v>
      </c>
      <c r="AQ30" s="109">
        <f t="shared" si="14"/>
        <v>8584939.2578999102</v>
      </c>
      <c r="AR30" s="109">
        <f t="shared" si="14"/>
        <v>11160421.035269884</v>
      </c>
      <c r="AT30" s="65"/>
    </row>
    <row r="31" spans="1:46" s="60" customFormat="1" x14ac:dyDescent="0.25">
      <c r="A31" s="62"/>
      <c r="B31" s="65"/>
      <c r="C31" s="65"/>
      <c r="D31" s="65"/>
      <c r="E31" s="65"/>
      <c r="G31" s="62"/>
      <c r="K31" s="62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P31" s="93"/>
      <c r="AQ31" s="93"/>
      <c r="AR31" s="93"/>
      <c r="AT31" s="65"/>
    </row>
    <row r="32" spans="1:46" x14ac:dyDescent="0.25">
      <c r="G32" s="14"/>
      <c r="K32" s="81"/>
      <c r="L32" s="14"/>
      <c r="M32" s="14"/>
      <c r="N32" s="14"/>
      <c r="AO32" s="4"/>
      <c r="AP32" s="4"/>
      <c r="AQ32" s="4"/>
      <c r="AR32" s="4"/>
    </row>
    <row r="33" spans="30:44" x14ac:dyDescent="0.25">
      <c r="AD33" s="14"/>
      <c r="AE33" s="81"/>
      <c r="AF33" s="81"/>
      <c r="AG33" s="81"/>
      <c r="AH33" s="81"/>
      <c r="AJ33" s="4"/>
      <c r="AK33" s="4"/>
      <c r="AL33" s="4"/>
      <c r="AM33" s="4"/>
      <c r="AN33" s="4"/>
    </row>
    <row r="34" spans="30:44" x14ac:dyDescent="0.25">
      <c r="AJ34" s="4"/>
      <c r="AK34" s="4"/>
      <c r="AL34" s="4"/>
      <c r="AM34" s="4"/>
      <c r="AN34" s="4"/>
    </row>
    <row r="35" spans="30:44" x14ac:dyDescent="0.25">
      <c r="AP35" s="53"/>
      <c r="AQ35" s="53"/>
      <c r="AR35" s="53"/>
    </row>
    <row r="36" spans="30:44" x14ac:dyDescent="0.25">
      <c r="AP36" s="53"/>
      <c r="AQ36" s="53"/>
      <c r="AR36" s="53"/>
    </row>
    <row r="37" spans="30:44" x14ac:dyDescent="0.25">
      <c r="AL37" s="117"/>
      <c r="AM37" s="117"/>
      <c r="AP37" s="53"/>
      <c r="AQ37" s="53"/>
      <c r="AR37" s="53"/>
    </row>
    <row r="38" spans="30:44" x14ac:dyDescent="0.25">
      <c r="AP38" s="53"/>
      <c r="AQ38" s="53"/>
      <c r="AR38" s="53"/>
    </row>
    <row r="39" spans="30:44" x14ac:dyDescent="0.25">
      <c r="AP39" s="53"/>
      <c r="AQ39" s="53"/>
      <c r="AR39" s="53"/>
    </row>
    <row r="41" spans="30:44" x14ac:dyDescent="0.25">
      <c r="AP41" s="34"/>
      <c r="AQ41" s="34"/>
      <c r="AR41" s="34"/>
    </row>
    <row r="42" spans="30:44" x14ac:dyDescent="0.25">
      <c r="AP42" s="34"/>
      <c r="AQ42" s="34"/>
      <c r="AR42" s="34"/>
    </row>
    <row r="43" spans="30:44" x14ac:dyDescent="0.25">
      <c r="AP43" s="34"/>
      <c r="AQ43" s="34"/>
      <c r="AR43" s="34"/>
    </row>
    <row r="44" spans="30:44" x14ac:dyDescent="0.25">
      <c r="AP44" s="34"/>
      <c r="AQ44" s="34"/>
      <c r="AR44" s="34"/>
    </row>
    <row r="45" spans="30:44" x14ac:dyDescent="0.25">
      <c r="AP45" s="34"/>
      <c r="AQ45" s="34"/>
      <c r="AR45" s="34"/>
    </row>
    <row r="46" spans="30:44" x14ac:dyDescent="0.25">
      <c r="AP46" s="34"/>
      <c r="AQ46" s="34"/>
      <c r="AR46" s="34"/>
    </row>
    <row r="47" spans="30:44" x14ac:dyDescent="0.25">
      <c r="AP47" s="34"/>
      <c r="AQ47" s="34"/>
      <c r="AR47" s="34"/>
    </row>
    <row r="48" spans="30:44" x14ac:dyDescent="0.25">
      <c r="AP48" s="34"/>
      <c r="AQ48" s="34"/>
      <c r="AR48" s="34"/>
    </row>
    <row r="49" spans="42:44" x14ac:dyDescent="0.25">
      <c r="AP49" s="34"/>
      <c r="AQ49" s="34"/>
      <c r="AR49" s="34"/>
    </row>
    <row r="50" spans="42:44" x14ac:dyDescent="0.25">
      <c r="AP50" s="34"/>
      <c r="AQ50" s="34"/>
      <c r="AR50" s="34"/>
    </row>
    <row r="51" spans="42:44" x14ac:dyDescent="0.25">
      <c r="AP51" s="34"/>
      <c r="AQ51" s="34"/>
      <c r="AR51" s="34"/>
    </row>
    <row r="52" spans="42:44" x14ac:dyDescent="0.25">
      <c r="AP52" s="34"/>
      <c r="AQ52" s="34"/>
      <c r="AR52" s="34"/>
    </row>
    <row r="53" spans="42:44" x14ac:dyDescent="0.25">
      <c r="AP53" s="34"/>
      <c r="AQ53" s="34"/>
      <c r="AR53" s="34"/>
    </row>
  </sheetData>
  <pageMargins left="0.7" right="0.7" top="0.75" bottom="0.75" header="0.3" footer="0.3"/>
  <pageSetup paperSize="9" orientation="portrait" r:id="rId1"/>
  <ignoredErrors>
    <ignoredError sqref="E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D26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31" sqref="J31"/>
    </sheetView>
  </sheetViews>
  <sheetFormatPr defaultRowHeight="15" outlineLevelCol="1" x14ac:dyDescent="0.25"/>
  <cols>
    <col min="1" max="1" width="30.5703125" style="45" bestFit="1" customWidth="1"/>
    <col min="2" max="2" width="12" style="45" bestFit="1" customWidth="1"/>
    <col min="3" max="3" width="12" style="45" customWidth="1"/>
    <col min="4" max="4" width="11.42578125" style="45" bestFit="1" customWidth="1"/>
    <col min="5" max="5" width="15.28515625" style="60" customWidth="1" outlineLevel="1"/>
    <col min="6" max="6" width="17.28515625" style="4" customWidth="1" outlineLevel="1"/>
    <col min="7" max="7" width="15.28515625" style="4" customWidth="1" outlineLevel="1"/>
    <col min="8" max="8" width="15.28515625" style="4" customWidth="1"/>
    <col min="9" max="9" width="7.42578125" style="4" bestFit="1" customWidth="1"/>
    <col min="10" max="10" width="16.85546875" style="4" customWidth="1" outlineLevel="1"/>
    <col min="11" max="11" width="17.28515625" style="4" customWidth="1" outlineLevel="1"/>
    <col min="12" max="12" width="16" style="4" customWidth="1" outlineLevel="1"/>
    <col min="13" max="13" width="16" style="4" customWidth="1"/>
    <col min="14" max="14" width="7.42578125" style="4" bestFit="1" customWidth="1"/>
    <col min="15" max="15" width="16.85546875" style="4" customWidth="1" outlineLevel="1"/>
    <col min="16" max="16" width="17.28515625" style="4" customWidth="1" outlineLevel="1"/>
    <col min="17" max="17" width="16" style="4" customWidth="1" outlineLevel="1"/>
    <col min="18" max="18" width="16" style="4" customWidth="1"/>
    <col min="19" max="19" width="7.42578125" style="4" bestFit="1" customWidth="1"/>
    <col min="20" max="20" width="16.85546875" style="4" customWidth="1" outlineLevel="1"/>
    <col min="21" max="21" width="17.28515625" style="4" customWidth="1" outlineLevel="1"/>
    <col min="22" max="22" width="16" style="4" customWidth="1" outlineLevel="1"/>
    <col min="23" max="23" width="16" style="4" customWidth="1"/>
    <col min="24" max="24" width="7.42578125" style="4" bestFit="1" customWidth="1"/>
    <col min="25" max="25" width="10" style="4" bestFit="1" customWidth="1"/>
    <col min="26" max="27" width="6.42578125" style="4" customWidth="1"/>
    <col min="28" max="30" width="17.5703125" style="4" customWidth="1"/>
    <col min="31" max="16384" width="9.140625" style="4"/>
  </cols>
  <sheetData>
    <row r="1" spans="1:30" x14ac:dyDescent="0.25">
      <c r="A1" s="80" t="s">
        <v>151</v>
      </c>
      <c r="E1" s="62"/>
      <c r="F1" s="11"/>
      <c r="G1" s="3" t="s">
        <v>90</v>
      </c>
      <c r="H1" s="11"/>
      <c r="I1" s="11"/>
      <c r="J1" s="3"/>
      <c r="K1" s="11"/>
      <c r="L1" s="3" t="s">
        <v>90</v>
      </c>
      <c r="M1" s="11"/>
      <c r="N1" s="11"/>
      <c r="O1" s="3"/>
      <c r="P1" s="11"/>
      <c r="Q1" s="3" t="s">
        <v>90</v>
      </c>
      <c r="R1" s="11"/>
      <c r="S1" s="11"/>
      <c r="V1" s="3" t="s">
        <v>90</v>
      </c>
      <c r="W1" s="11"/>
      <c r="X1" s="11"/>
    </row>
    <row r="4" spans="1:30" x14ac:dyDescent="0.25">
      <c r="A4" s="80" t="s">
        <v>107</v>
      </c>
      <c r="B4" s="80"/>
    </row>
    <row r="5" spans="1:30" ht="30" customHeight="1" x14ac:dyDescent="0.25">
      <c r="E5" s="166" t="s">
        <v>139</v>
      </c>
      <c r="F5" s="167"/>
      <c r="G5" s="167"/>
      <c r="H5" s="167"/>
      <c r="I5" s="168"/>
      <c r="J5" s="169" t="s">
        <v>143</v>
      </c>
      <c r="K5" s="170"/>
      <c r="L5" s="170"/>
      <c r="M5" s="170"/>
      <c r="N5" s="171"/>
      <c r="O5" s="172" t="s">
        <v>148</v>
      </c>
      <c r="P5" s="172"/>
      <c r="Q5" s="172"/>
      <c r="R5" s="172"/>
      <c r="S5" s="172"/>
      <c r="T5" s="173" t="s">
        <v>155</v>
      </c>
      <c r="U5" s="173"/>
      <c r="V5" s="173"/>
      <c r="W5" s="173"/>
      <c r="X5" s="173"/>
    </row>
    <row r="6" spans="1:30" ht="30" x14ac:dyDescent="0.25">
      <c r="A6" s="132" t="s">
        <v>110</v>
      </c>
      <c r="B6" s="132" t="s">
        <v>147</v>
      </c>
      <c r="C6" s="132" t="s">
        <v>115</v>
      </c>
      <c r="D6" s="132" t="s">
        <v>111</v>
      </c>
      <c r="E6" s="135" t="s">
        <v>106</v>
      </c>
      <c r="F6" s="135" t="s">
        <v>141</v>
      </c>
      <c r="G6" s="135" t="s">
        <v>142</v>
      </c>
      <c r="H6" s="135" t="s">
        <v>149</v>
      </c>
      <c r="I6" s="135" t="s">
        <v>150</v>
      </c>
      <c r="J6" s="133" t="s">
        <v>106</v>
      </c>
      <c r="K6" s="133" t="s">
        <v>141</v>
      </c>
      <c r="L6" s="133" t="s">
        <v>142</v>
      </c>
      <c r="M6" s="133" t="s">
        <v>149</v>
      </c>
      <c r="N6" s="133" t="s">
        <v>150</v>
      </c>
      <c r="O6" s="134" t="s">
        <v>106</v>
      </c>
      <c r="P6" s="134" t="s">
        <v>141</v>
      </c>
      <c r="Q6" s="134" t="s">
        <v>142</v>
      </c>
      <c r="R6" s="134" t="s">
        <v>149</v>
      </c>
      <c r="S6" s="134" t="s">
        <v>150</v>
      </c>
      <c r="T6" s="155" t="s">
        <v>106</v>
      </c>
      <c r="U6" s="155" t="s">
        <v>141</v>
      </c>
      <c r="V6" s="155" t="s">
        <v>142</v>
      </c>
      <c r="W6" s="155" t="s">
        <v>149</v>
      </c>
      <c r="X6" s="155" t="s">
        <v>150</v>
      </c>
    </row>
    <row r="7" spans="1:30" x14ac:dyDescent="0.25">
      <c r="A7" s="174" t="s">
        <v>114</v>
      </c>
      <c r="B7" s="50" t="s">
        <v>144</v>
      </c>
      <c r="C7" s="100">
        <f>-CONFIG!$B$39</f>
        <v>-0.3</v>
      </c>
      <c r="D7" s="115">
        <f>(1+C7)*INPUTS!$C$12</f>
        <v>20369.123339658439</v>
      </c>
      <c r="E7" s="143">
        <f>BASE!$V$41</f>
        <v>6961973.7292799968</v>
      </c>
      <c r="F7" s="143">
        <v>0</v>
      </c>
      <c r="G7" s="143">
        <f>F7-E7</f>
        <v>-6961973.7292799968</v>
      </c>
      <c r="H7" s="143">
        <f>G7-_xlfn.MINIFS($G7:$V7,$G$1:$V$1,"Y")</f>
        <v>0</v>
      </c>
      <c r="I7" s="156">
        <f>_xlfn.RANK.EQ(H7,($H7,$M7,$R7,$W7))</f>
        <v>4</v>
      </c>
      <c r="J7" s="143">
        <f>OPTION1!$AG$4+NPV(INPUTS!$C$8,OPTION1!$AG$5:$AG$29)</f>
        <v>4418310.6217012014</v>
      </c>
      <c r="K7" s="143">
        <f>SENSITIVITY!E7-OPTION1!$AN$30</f>
        <v>5051099.4249549657</v>
      </c>
      <c r="L7" s="143">
        <f>K7-J7</f>
        <v>632788.80325376429</v>
      </c>
      <c r="M7" s="143">
        <f>L7-_xlfn.MINIFS($G7:$V7,$G$1:$V$1,"Y")</f>
        <v>7594762.5325337611</v>
      </c>
      <c r="N7" s="156">
        <f>_xlfn.RANK.EQ(M7,($H7,$M7,$R7,$W7))</f>
        <v>2</v>
      </c>
      <c r="O7" s="144">
        <f>OPTION2!$AG$4+NPV(INPUTS!$C$8,OPTION2!$AG$5:$AG$29)</f>
        <v>1286738.4100561931</v>
      </c>
      <c r="P7" s="144">
        <f>SENSITIVITY!E7-OPTION2!$AN$30</f>
        <v>2107824.7704374567</v>
      </c>
      <c r="Q7" s="143">
        <f>P7-O7</f>
        <v>821086.36038126354</v>
      </c>
      <c r="R7" s="143">
        <f>Q7-_xlfn.MINIFS($G7:$V7,$G$1:$V$1,"Y")</f>
        <v>7783060.0896612601</v>
      </c>
      <c r="S7" s="156">
        <f>_xlfn.RANK.EQ(R7,($H7,$M7,$R7,$W7))</f>
        <v>1</v>
      </c>
      <c r="T7" s="114">
        <f>OPTION3!$AI$4+NPV(INPUTS!$C$8,OPTION3!$AI$5:$AI$29)</f>
        <v>808793.29561297852</v>
      </c>
      <c r="U7" s="138">
        <f>E7-OPTION3!$AP$30</f>
        <v>952516.2487500608</v>
      </c>
      <c r="V7" s="143">
        <f>U7-T7</f>
        <v>143722.95313708228</v>
      </c>
      <c r="W7" s="143">
        <f>V7-_xlfn.MINIFS($G7:$V7,$G$1:$V$1,"Y")</f>
        <v>7105696.6824170789</v>
      </c>
      <c r="X7" s="156">
        <f>_xlfn.RANK.EQ(W7,($H7,$M7,$R7,$W7))</f>
        <v>3</v>
      </c>
      <c r="Y7" s="139"/>
      <c r="Z7" s="139"/>
      <c r="AA7" s="139"/>
      <c r="AB7" s="138"/>
      <c r="AC7" s="138"/>
      <c r="AD7" s="138"/>
    </row>
    <row r="8" spans="1:30" x14ac:dyDescent="0.25">
      <c r="A8" s="165"/>
      <c r="B8" s="148" t="s">
        <v>145</v>
      </c>
      <c r="C8" s="149">
        <v>0</v>
      </c>
      <c r="D8" s="150">
        <f>(1+C8)*INPUTS!$C$12</f>
        <v>29098.747628083485</v>
      </c>
      <c r="E8" s="146">
        <f>BASE!$W$41</f>
        <v>9945676.7561142817</v>
      </c>
      <c r="F8" s="143">
        <v>0</v>
      </c>
      <c r="G8" s="143">
        <f t="shared" ref="G8:G17" si="0">F8-E8</f>
        <v>-9945676.7561142817</v>
      </c>
      <c r="H8" s="143">
        <f t="shared" ref="H8:H25" si="1">G8-_xlfn.MINIFS($G8:$V8,$G$1:$V$1,"Y")</f>
        <v>0</v>
      </c>
      <c r="I8" s="156">
        <f>_xlfn.RANK.EQ(H8,($H8,$M8,$R8,$W8))</f>
        <v>4</v>
      </c>
      <c r="J8" s="143">
        <f>OPTION1!$AG$4+NPV(INPUTS!$C$8,OPTION1!$AG$5:$AG$29)</f>
        <v>4418310.6217012014</v>
      </c>
      <c r="K8" s="143">
        <f>SENSITIVITY!E8-OPTION1!$AO$30</f>
        <v>7215856.3213642379</v>
      </c>
      <c r="L8" s="143">
        <f>K8-J8</f>
        <v>2797545.6996630365</v>
      </c>
      <c r="M8" s="143">
        <f t="shared" ref="M8:M25" si="2">L8-_xlfn.MINIFS($G8:$V8,$G$1:$V$1,"Y")</f>
        <v>12743222.455777317</v>
      </c>
      <c r="N8" s="156">
        <f>_xlfn.RANK.EQ(M8,($H8,$M8,$R8,$W8))</f>
        <v>1</v>
      </c>
      <c r="O8" s="144">
        <f>OPTION2!$AG$4+NPV(INPUTS!$C$8,OPTION2!$AG$5:$AG$29)</f>
        <v>1286738.4100561931</v>
      </c>
      <c r="P8" s="144">
        <f>SENSITIVITY!E8-OPTION2!$AO$30</f>
        <v>3011178.2434820812</v>
      </c>
      <c r="Q8" s="143">
        <f t="shared" ref="Q8:Q25" si="3">P8-O8</f>
        <v>1724439.8334258881</v>
      </c>
      <c r="R8" s="143">
        <f t="shared" ref="R8:R25" si="4">Q8-_xlfn.MINIFS($G8:$V8,$G$1:$V$1,"Y")</f>
        <v>11670116.589540171</v>
      </c>
      <c r="S8" s="156">
        <f>_xlfn.RANK.EQ(R8,($H8,$M8,$R8,$W8))</f>
        <v>2</v>
      </c>
      <c r="T8" s="114">
        <f>OPTION3!$AI$4+NPV(INPUTS!$C$8,OPTION3!$AI$5:$AI$29)</f>
        <v>808793.29561297852</v>
      </c>
      <c r="U8" s="138">
        <f>E8-OPTION3!$AQ$30</f>
        <v>1360737.4982143715</v>
      </c>
      <c r="V8" s="143">
        <f t="shared" ref="V8:V25" si="5">U8-T8</f>
        <v>551944.20260139299</v>
      </c>
      <c r="W8" s="143">
        <f t="shared" ref="W8:W25" si="6">V8-_xlfn.MINIFS($G8:$V8,$G$1:$V$1,"Y")</f>
        <v>10497620.958715675</v>
      </c>
      <c r="X8" s="156">
        <f>_xlfn.RANK.EQ(W8,($H8,$M8,$R8,$W8))</f>
        <v>3</v>
      </c>
      <c r="Y8" s="139"/>
      <c r="Z8" s="139"/>
      <c r="AA8" s="139"/>
      <c r="AB8" s="138"/>
      <c r="AC8" s="138"/>
      <c r="AD8" s="138"/>
    </row>
    <row r="9" spans="1:30" x14ac:dyDescent="0.25">
      <c r="A9" s="165"/>
      <c r="B9" s="50" t="s">
        <v>146</v>
      </c>
      <c r="C9" s="100">
        <f>CONFIG!$B$39</f>
        <v>0.3</v>
      </c>
      <c r="D9" s="115">
        <f>(1+C9)*INPUTS!$C$12</f>
        <v>37828.371916508535</v>
      </c>
      <c r="E9" s="143">
        <f>BASE!$X$41</f>
        <v>12929379.782948568</v>
      </c>
      <c r="F9" s="143">
        <v>0</v>
      </c>
      <c r="G9" s="143">
        <f t="shared" si="0"/>
        <v>-12929379.782948568</v>
      </c>
      <c r="H9" s="143">
        <f t="shared" si="1"/>
        <v>0</v>
      </c>
      <c r="I9" s="156">
        <f>_xlfn.RANK.EQ(H9,($H9,$M9,$R9,$W9))</f>
        <v>4</v>
      </c>
      <c r="J9" s="143">
        <f>OPTION1!$AG$4+NPV(INPUTS!$C$8,OPTION1!$AG$5:$AG$29)</f>
        <v>4418310.6217012014</v>
      </c>
      <c r="K9" s="143">
        <f>SENSITIVITY!E9-OPTION1!$AP$30</f>
        <v>9380613.217773512</v>
      </c>
      <c r="L9" s="143">
        <f t="shared" ref="L9" si="7">K9-J9</f>
        <v>4962302.5960723106</v>
      </c>
      <c r="M9" s="143">
        <f t="shared" si="2"/>
        <v>17891682.379020877</v>
      </c>
      <c r="N9" s="156">
        <f>_xlfn.RANK.EQ(M9,($H9,$M9,$R9,$W9))</f>
        <v>1</v>
      </c>
      <c r="O9" s="144">
        <f>OPTION2!$AG$4+NPV(INPUTS!$C$8,OPTION2!$AG$5:$AG$29)</f>
        <v>1286738.4100561931</v>
      </c>
      <c r="P9" s="144">
        <f>SENSITIVITY!E9-OPTION2!$AP$30</f>
        <v>3914531.7165267076</v>
      </c>
      <c r="Q9" s="143">
        <f t="shared" si="3"/>
        <v>2627793.3064705143</v>
      </c>
      <c r="R9" s="143">
        <f t="shared" si="4"/>
        <v>15557173.089419082</v>
      </c>
      <c r="S9" s="156">
        <f>_xlfn.RANK.EQ(R9,($H9,$M9,$R9,$W9))</f>
        <v>2</v>
      </c>
      <c r="T9" s="114">
        <f>OPTION3!$AI$4+NPV(INPUTS!$C$8,OPTION3!$AI$5:$AI$29)</f>
        <v>808793.29561297852</v>
      </c>
      <c r="U9" s="138">
        <f>E9-OPTION3!$AR$30</f>
        <v>1768958.7476786841</v>
      </c>
      <c r="V9" s="143">
        <f t="shared" si="5"/>
        <v>960165.45206570555</v>
      </c>
      <c r="W9" s="143">
        <f t="shared" si="6"/>
        <v>13889545.235014275</v>
      </c>
      <c r="X9" s="156">
        <f>_xlfn.RANK.EQ(W9,($H9,$M9,$R9,$W9))</f>
        <v>3</v>
      </c>
      <c r="Y9" s="139"/>
      <c r="Z9" s="139"/>
      <c r="AA9" s="139"/>
      <c r="AB9" s="138"/>
      <c r="AC9" s="138"/>
      <c r="AD9" s="138"/>
    </row>
    <row r="10" spans="1:30" x14ac:dyDescent="0.25">
      <c r="A10" s="8"/>
      <c r="B10" s="140"/>
      <c r="C10" s="136"/>
      <c r="D10" s="141"/>
      <c r="E10" s="145"/>
      <c r="F10" s="145"/>
      <c r="G10" s="145"/>
      <c r="H10" s="145"/>
      <c r="I10" s="157"/>
      <c r="J10" s="145"/>
      <c r="K10" s="145"/>
      <c r="L10" s="145"/>
      <c r="M10" s="145"/>
      <c r="N10" s="157"/>
      <c r="O10" s="145"/>
      <c r="P10" s="145"/>
      <c r="Q10" s="145"/>
      <c r="R10" s="145"/>
      <c r="S10" s="157"/>
      <c r="T10" s="7"/>
      <c r="U10" s="7"/>
      <c r="V10" s="145"/>
      <c r="W10" s="145"/>
      <c r="X10" s="157"/>
      <c r="Y10" s="139"/>
      <c r="Z10" s="139"/>
      <c r="AA10" s="139"/>
      <c r="AB10" s="138"/>
      <c r="AC10" s="138"/>
      <c r="AD10" s="138"/>
    </row>
    <row r="11" spans="1:30" x14ac:dyDescent="0.25">
      <c r="A11" s="165" t="s">
        <v>126</v>
      </c>
      <c r="B11" s="50" t="s">
        <v>144</v>
      </c>
      <c r="C11" s="100">
        <f>-CONFIG!$B$40</f>
        <v>-0.3</v>
      </c>
      <c r="D11" s="100">
        <f>1+C11</f>
        <v>0.7</v>
      </c>
      <c r="E11" s="143">
        <f>E$12*D11</f>
        <v>6961973.7292799968</v>
      </c>
      <c r="F11" s="143">
        <v>0</v>
      </c>
      <c r="G11" s="143">
        <f>F11-E11</f>
        <v>-6961973.7292799968</v>
      </c>
      <c r="H11" s="143">
        <f t="shared" si="1"/>
        <v>0</v>
      </c>
      <c r="I11" s="156">
        <f>_xlfn.RANK.EQ(H11,($H11,$M11,$R11,$W11))</f>
        <v>4</v>
      </c>
      <c r="J11" s="143">
        <f>OPTION1!$AG$4+NPV(INPUTS!$C$8,OPTION1!$AG$5:$AG$29)</f>
        <v>4418310.6217012014</v>
      </c>
      <c r="K11" s="143">
        <f>SENSITIVITY!E11-OPTION1!$AN$30</f>
        <v>5051099.4249549657</v>
      </c>
      <c r="L11" s="143">
        <f>K11-J11</f>
        <v>632788.80325376429</v>
      </c>
      <c r="M11" s="143">
        <f t="shared" si="2"/>
        <v>7594762.5325337611</v>
      </c>
      <c r="N11" s="156">
        <f>_xlfn.RANK.EQ(M11,($H11,$M11,$R11,$W11))</f>
        <v>2</v>
      </c>
      <c r="O11" s="144">
        <f>OPTION2!$AG$4+NPV(INPUTS!$C$8,OPTION2!$AG$5:$AG$29)</f>
        <v>1286738.4100561931</v>
      </c>
      <c r="P11" s="144">
        <f>SENSITIVITY!E11-OPTION2!$AN$30</f>
        <v>2107824.7704374567</v>
      </c>
      <c r="Q11" s="143">
        <f>P11-O11</f>
        <v>821086.36038126354</v>
      </c>
      <c r="R11" s="143">
        <f t="shared" si="4"/>
        <v>7783060.0896612601</v>
      </c>
      <c r="S11" s="156">
        <f>_xlfn.RANK.EQ(R11,($H11,$M11,$R11,$W11))</f>
        <v>1</v>
      </c>
      <c r="T11" s="114">
        <f>OPTION3!$AI$4+NPV(INPUTS!$C$8,OPTION3!$AI$5:$AI$29)</f>
        <v>808793.29561297852</v>
      </c>
      <c r="U11" s="138">
        <f>E11-OPTION3!$AP$30</f>
        <v>952516.2487500608</v>
      </c>
      <c r="V11" s="143">
        <f>U11-T11</f>
        <v>143722.95313708228</v>
      </c>
      <c r="W11" s="143">
        <f t="shared" si="6"/>
        <v>7105696.6824170789</v>
      </c>
      <c r="X11" s="156">
        <f>_xlfn.RANK.EQ(W11,($H11,$M11,$R11,$W11))</f>
        <v>3</v>
      </c>
      <c r="Y11" s="139"/>
      <c r="Z11" s="139"/>
      <c r="AA11" s="139"/>
      <c r="AB11" s="138"/>
      <c r="AC11" s="138"/>
      <c r="AD11" s="138"/>
    </row>
    <row r="12" spans="1:30" x14ac:dyDescent="0.25">
      <c r="A12" s="165"/>
      <c r="B12" s="148" t="s">
        <v>145</v>
      </c>
      <c r="C12" s="149">
        <v>0</v>
      </c>
      <c r="D12" s="149">
        <v>1</v>
      </c>
      <c r="E12" s="143">
        <f>BASE!$W$41</f>
        <v>9945676.7561142817</v>
      </c>
      <c r="F12" s="143">
        <v>0</v>
      </c>
      <c r="G12" s="143">
        <f t="shared" si="0"/>
        <v>-9945676.7561142817</v>
      </c>
      <c r="H12" s="143">
        <f t="shared" si="1"/>
        <v>0</v>
      </c>
      <c r="I12" s="156">
        <f>_xlfn.RANK.EQ(H12,($H12,$M12,$R12,$W12))</f>
        <v>4</v>
      </c>
      <c r="J12" s="143">
        <f>OPTION1!$AG$4+NPV(INPUTS!$C$8,OPTION1!$AG$5:$AG$29)</f>
        <v>4418310.6217012014</v>
      </c>
      <c r="K12" s="143">
        <f>SENSITIVITY!E12-OPTION1!$AO$30</f>
        <v>7215856.3213642379</v>
      </c>
      <c r="L12" s="143">
        <f t="shared" ref="L12:L13" si="8">K12-J12</f>
        <v>2797545.6996630365</v>
      </c>
      <c r="M12" s="143">
        <f t="shared" si="2"/>
        <v>12743222.455777317</v>
      </c>
      <c r="N12" s="156">
        <f>_xlfn.RANK.EQ(M12,($H12,$M12,$R12,$W12))</f>
        <v>1</v>
      </c>
      <c r="O12" s="144">
        <f>OPTION2!$AG$4+NPV(INPUTS!$C$8,OPTION2!$AG$5:$AG$29)</f>
        <v>1286738.4100561931</v>
      </c>
      <c r="P12" s="144">
        <f>SENSITIVITY!E12-OPTION2!$AO$30</f>
        <v>3011178.2434820812</v>
      </c>
      <c r="Q12" s="143">
        <f t="shared" si="3"/>
        <v>1724439.8334258881</v>
      </c>
      <c r="R12" s="143">
        <f t="shared" si="4"/>
        <v>11670116.589540171</v>
      </c>
      <c r="S12" s="156">
        <f>_xlfn.RANK.EQ(R12,($H12,$M12,$R12,$W12))</f>
        <v>2</v>
      </c>
      <c r="T12" s="114">
        <f>OPTION3!$AI$4+NPV(INPUTS!$C$8,OPTION3!$AI$5:$AI$29)</f>
        <v>808793.29561297852</v>
      </c>
      <c r="U12" s="138">
        <f>E12-OPTION3!$AQ$30</f>
        <v>1360737.4982143715</v>
      </c>
      <c r="V12" s="143">
        <f t="shared" si="5"/>
        <v>551944.20260139299</v>
      </c>
      <c r="W12" s="143">
        <f t="shared" si="6"/>
        <v>10497620.958715675</v>
      </c>
      <c r="X12" s="156">
        <f>_xlfn.RANK.EQ(W12,($H12,$M12,$R12,$W12))</f>
        <v>3</v>
      </c>
      <c r="Y12" s="139"/>
      <c r="Z12" s="139"/>
      <c r="AA12" s="139"/>
      <c r="AB12" s="138"/>
      <c r="AC12" s="138"/>
      <c r="AD12" s="138"/>
    </row>
    <row r="13" spans="1:30" x14ac:dyDescent="0.25">
      <c r="A13" s="165"/>
      <c r="B13" s="50" t="s">
        <v>146</v>
      </c>
      <c r="C13" s="100">
        <f>CONFIG!$B$40</f>
        <v>0.3</v>
      </c>
      <c r="D13" s="100">
        <f>1+C13</f>
        <v>1.3</v>
      </c>
      <c r="E13" s="143">
        <f>E$12*D13</f>
        <v>12929379.782948567</v>
      </c>
      <c r="F13" s="143">
        <v>0</v>
      </c>
      <c r="G13" s="143">
        <f t="shared" si="0"/>
        <v>-12929379.782948567</v>
      </c>
      <c r="H13" s="143">
        <f t="shared" si="1"/>
        <v>0</v>
      </c>
      <c r="I13" s="156">
        <f>_xlfn.RANK.EQ(H13,($H13,$M13,$R13,$W13))</f>
        <v>4</v>
      </c>
      <c r="J13" s="143">
        <f>OPTION1!$AG$4+NPV(INPUTS!$C$8,OPTION1!$AG$5:$AG$29)</f>
        <v>4418310.6217012014</v>
      </c>
      <c r="K13" s="143">
        <f>SENSITIVITY!E13-OPTION1!$AP$30</f>
        <v>9380613.2177735083</v>
      </c>
      <c r="L13" s="143">
        <f t="shared" si="8"/>
        <v>4962302.5960723069</v>
      </c>
      <c r="M13" s="143">
        <f t="shared" si="2"/>
        <v>17891682.379020873</v>
      </c>
      <c r="N13" s="156">
        <f>_xlfn.RANK.EQ(M13,($H13,$M13,$R13,$W13))</f>
        <v>1</v>
      </c>
      <c r="O13" s="144">
        <f>OPTION2!$AG$4+NPV(INPUTS!$C$8,OPTION2!$AG$5:$AG$29)</f>
        <v>1286738.4100561931</v>
      </c>
      <c r="P13" s="144">
        <f>SENSITIVITY!E13-OPTION2!$AP$30</f>
        <v>3914531.7165267058</v>
      </c>
      <c r="Q13" s="143">
        <f t="shared" si="3"/>
        <v>2627793.3064705124</v>
      </c>
      <c r="R13" s="143">
        <f t="shared" si="4"/>
        <v>15557173.089419078</v>
      </c>
      <c r="S13" s="156">
        <f>_xlfn.RANK.EQ(R13,($H13,$M13,$R13,$W13))</f>
        <v>2</v>
      </c>
      <c r="T13" s="114">
        <f>OPTION3!$AI$4+NPV(INPUTS!$C$8,OPTION3!$AI$5:$AI$29)</f>
        <v>808793.29561297852</v>
      </c>
      <c r="U13" s="138">
        <f>E13-OPTION3!$AR$30</f>
        <v>1768958.7476786822</v>
      </c>
      <c r="V13" s="143">
        <f t="shared" si="5"/>
        <v>960165.45206570369</v>
      </c>
      <c r="W13" s="143">
        <f t="shared" si="6"/>
        <v>13889545.235014271</v>
      </c>
      <c r="X13" s="156">
        <f>_xlfn.RANK.EQ(W13,($H13,$M13,$R13,$W13))</f>
        <v>3</v>
      </c>
      <c r="Y13" s="139"/>
      <c r="Z13" s="139"/>
      <c r="AA13" s="139"/>
      <c r="AB13" s="138"/>
      <c r="AC13" s="138"/>
      <c r="AD13" s="138"/>
    </row>
    <row r="14" spans="1:30" x14ac:dyDescent="0.25">
      <c r="A14" s="8"/>
      <c r="B14" s="140"/>
      <c r="C14" s="136"/>
      <c r="D14" s="141"/>
      <c r="E14" s="145"/>
      <c r="F14" s="145"/>
      <c r="G14" s="145"/>
      <c r="H14" s="145"/>
      <c r="I14" s="157"/>
      <c r="J14" s="145"/>
      <c r="K14" s="145"/>
      <c r="L14" s="145"/>
      <c r="M14" s="145"/>
      <c r="N14" s="157"/>
      <c r="O14" s="145"/>
      <c r="P14" s="145"/>
      <c r="Q14" s="145"/>
      <c r="R14" s="145"/>
      <c r="S14" s="157"/>
      <c r="T14" s="7"/>
      <c r="U14" s="7"/>
      <c r="V14" s="145"/>
      <c r="W14" s="145"/>
      <c r="X14" s="157"/>
      <c r="Y14" s="139"/>
      <c r="Z14" s="139"/>
      <c r="AA14" s="139"/>
      <c r="AB14" s="138"/>
      <c r="AC14" s="138"/>
      <c r="AD14" s="138"/>
    </row>
    <row r="15" spans="1:30" x14ac:dyDescent="0.25">
      <c r="A15" s="165" t="s">
        <v>127</v>
      </c>
      <c r="B15" s="50" t="s">
        <v>144</v>
      </c>
      <c r="C15" s="100">
        <f>-CONFIG!$B$41</f>
        <v>-0.3</v>
      </c>
      <c r="D15" s="33">
        <f>(1+C15)*INPUTS!$C$19</f>
        <v>1.0499999999999999E-2</v>
      </c>
      <c r="E15" s="143">
        <f>E$16*(1+C15)</f>
        <v>6961973.7292799968</v>
      </c>
      <c r="F15" s="143">
        <v>0</v>
      </c>
      <c r="G15" s="143">
        <f>F15-E15</f>
        <v>-6961973.7292799968</v>
      </c>
      <c r="H15" s="143">
        <f t="shared" si="1"/>
        <v>0</v>
      </c>
      <c r="I15" s="156">
        <f>_xlfn.RANK.EQ(H15,($H15,$M15,$R15,$W15))</f>
        <v>4</v>
      </c>
      <c r="J15" s="143">
        <f>OPTION1!$AG$4+NPV(INPUTS!$C$8,OPTION1!$AG$5:$AG$29)</f>
        <v>4418310.6217012014</v>
      </c>
      <c r="K15" s="143">
        <f>SENSITIVITY!E15-OPTION1!$AN$30</f>
        <v>5051099.4249549657</v>
      </c>
      <c r="L15" s="143">
        <f>K15-J15</f>
        <v>632788.80325376429</v>
      </c>
      <c r="M15" s="143">
        <f t="shared" si="2"/>
        <v>7594762.5325337611</v>
      </c>
      <c r="N15" s="156">
        <f>_xlfn.RANK.EQ(M15,($H15,$M15,$R15,$W15))</f>
        <v>2</v>
      </c>
      <c r="O15" s="144">
        <f>OPTION2!$AG$4+NPV(INPUTS!$C$8,OPTION2!$AG$5:$AG$29)</f>
        <v>1286738.4100561931</v>
      </c>
      <c r="P15" s="144">
        <f>SENSITIVITY!E15-OPTION2!$AN$30</f>
        <v>2107824.7704374567</v>
      </c>
      <c r="Q15" s="143">
        <f>P15-O15</f>
        <v>821086.36038126354</v>
      </c>
      <c r="R15" s="143">
        <f t="shared" si="4"/>
        <v>7783060.0896612601</v>
      </c>
      <c r="S15" s="156">
        <f>_xlfn.RANK.EQ(R15,($H15,$M15,$R15,$W15))</f>
        <v>1</v>
      </c>
      <c r="T15" s="114">
        <f>OPTION3!$AI$4+NPV(INPUTS!$C$8,OPTION3!$AI$5:$AI$29)</f>
        <v>808793.29561297852</v>
      </c>
      <c r="U15" s="138">
        <f>E15-OPTION3!$AP$30</f>
        <v>952516.2487500608</v>
      </c>
      <c r="V15" s="143">
        <f>U15-T15</f>
        <v>143722.95313708228</v>
      </c>
      <c r="W15" s="143">
        <f t="shared" si="6"/>
        <v>7105696.6824170789</v>
      </c>
      <c r="X15" s="156">
        <f>_xlfn.RANK.EQ(W15,($H15,$M15,$R15,$W15))</f>
        <v>3</v>
      </c>
      <c r="Y15" s="139"/>
      <c r="Z15" s="139"/>
      <c r="AA15" s="139"/>
      <c r="AB15" s="138"/>
      <c r="AC15" s="138"/>
      <c r="AD15" s="138"/>
    </row>
    <row r="16" spans="1:30" x14ac:dyDescent="0.25">
      <c r="A16" s="165"/>
      <c r="B16" s="148" t="s">
        <v>145</v>
      </c>
      <c r="C16" s="149">
        <v>0</v>
      </c>
      <c r="D16" s="151">
        <f>(1+C16)*INPUTS!$C$19</f>
        <v>1.4999999999999999E-2</v>
      </c>
      <c r="E16" s="143">
        <f>BASE!$W$41</f>
        <v>9945676.7561142817</v>
      </c>
      <c r="F16" s="143">
        <v>0</v>
      </c>
      <c r="G16" s="143">
        <f>F16-E16</f>
        <v>-9945676.7561142817</v>
      </c>
      <c r="H16" s="143">
        <f t="shared" si="1"/>
        <v>0</v>
      </c>
      <c r="I16" s="156">
        <f>_xlfn.RANK.EQ(H16,($H16,$M16,$R16,$W16))</f>
        <v>4</v>
      </c>
      <c r="J16" s="143">
        <f>OPTION1!$AG$4+NPV(INPUTS!$C$8,OPTION1!$AG$5:$AG$29)</f>
        <v>4418310.6217012014</v>
      </c>
      <c r="K16" s="143">
        <f>SENSITIVITY!E16-OPTION1!$AO$30</f>
        <v>7215856.3213642379</v>
      </c>
      <c r="L16" s="143">
        <f t="shared" ref="L16:L17" si="9">K16-J16</f>
        <v>2797545.6996630365</v>
      </c>
      <c r="M16" s="143">
        <f t="shared" si="2"/>
        <v>12743222.455777317</v>
      </c>
      <c r="N16" s="156">
        <f>_xlfn.RANK.EQ(M16,($H16,$M16,$R16,$W16))</f>
        <v>1</v>
      </c>
      <c r="O16" s="144">
        <f>OPTION2!$AG$4+NPV(INPUTS!$C$8,OPTION2!$AG$5:$AG$29)</f>
        <v>1286738.4100561931</v>
      </c>
      <c r="P16" s="144">
        <f>SENSITIVITY!E16-OPTION2!$AO$30</f>
        <v>3011178.2434820812</v>
      </c>
      <c r="Q16" s="143">
        <f t="shared" si="3"/>
        <v>1724439.8334258881</v>
      </c>
      <c r="R16" s="143">
        <f t="shared" si="4"/>
        <v>11670116.589540171</v>
      </c>
      <c r="S16" s="156">
        <f>_xlfn.RANK.EQ(R16,($H16,$M16,$R16,$W16))</f>
        <v>2</v>
      </c>
      <c r="T16" s="114">
        <f>OPTION3!$AI$4+NPV(INPUTS!$C$8,OPTION3!$AI$5:$AI$29)</f>
        <v>808793.29561297852</v>
      </c>
      <c r="U16" s="138">
        <f>E16-OPTION3!$AQ$30</f>
        <v>1360737.4982143715</v>
      </c>
      <c r="V16" s="143">
        <f t="shared" si="5"/>
        <v>551944.20260139299</v>
      </c>
      <c r="W16" s="143">
        <f t="shared" si="6"/>
        <v>10497620.958715675</v>
      </c>
      <c r="X16" s="156">
        <f>_xlfn.RANK.EQ(W16,($H16,$M16,$R16,$W16))</f>
        <v>3</v>
      </c>
      <c r="Y16" s="139"/>
      <c r="Z16" s="139"/>
      <c r="AA16" s="139"/>
      <c r="AB16" s="138"/>
      <c r="AC16" s="138"/>
      <c r="AD16" s="138"/>
    </row>
    <row r="17" spans="1:30" x14ac:dyDescent="0.25">
      <c r="A17" s="165"/>
      <c r="B17" s="50" t="s">
        <v>146</v>
      </c>
      <c r="C17" s="100">
        <f>CONFIG!$B$41</f>
        <v>0.3</v>
      </c>
      <c r="D17" s="33">
        <f>(1+C17)*INPUTS!$C$19</f>
        <v>1.95E-2</v>
      </c>
      <c r="E17" s="143">
        <f>E$16*(1+C17)</f>
        <v>12929379.782948567</v>
      </c>
      <c r="F17" s="143">
        <v>0</v>
      </c>
      <c r="G17" s="143">
        <f t="shared" si="0"/>
        <v>-12929379.782948567</v>
      </c>
      <c r="H17" s="143">
        <f t="shared" si="1"/>
        <v>0</v>
      </c>
      <c r="I17" s="156">
        <f>_xlfn.RANK.EQ(H17,($H17,$M17,$R17,$W17))</f>
        <v>4</v>
      </c>
      <c r="J17" s="143">
        <f>OPTION1!$AG$4+NPV(INPUTS!$C$8,OPTION1!$AG$5:$AG$29)</f>
        <v>4418310.6217012014</v>
      </c>
      <c r="K17" s="143">
        <f>SENSITIVITY!E17-OPTION1!$AP$30</f>
        <v>9380613.2177735083</v>
      </c>
      <c r="L17" s="143">
        <f t="shared" si="9"/>
        <v>4962302.5960723069</v>
      </c>
      <c r="M17" s="143">
        <f t="shared" si="2"/>
        <v>17891682.379020873</v>
      </c>
      <c r="N17" s="156">
        <f>_xlfn.RANK.EQ(M17,($H17,$M17,$R17,$W17))</f>
        <v>1</v>
      </c>
      <c r="O17" s="144">
        <f>OPTION2!$AG$4+NPV(INPUTS!$C$8,OPTION2!$AG$5:$AG$29)</f>
        <v>1286738.4100561931</v>
      </c>
      <c r="P17" s="144">
        <f>SENSITIVITY!E17-OPTION2!$AP$30</f>
        <v>3914531.7165267058</v>
      </c>
      <c r="Q17" s="143">
        <f t="shared" si="3"/>
        <v>2627793.3064705124</v>
      </c>
      <c r="R17" s="143">
        <f t="shared" si="4"/>
        <v>15557173.089419078</v>
      </c>
      <c r="S17" s="156">
        <f>_xlfn.RANK.EQ(R17,($H17,$M17,$R17,$W17))</f>
        <v>2</v>
      </c>
      <c r="T17" s="114">
        <f>OPTION3!$AI$4+NPV(INPUTS!$C$8,OPTION3!$AI$5:$AI$29)</f>
        <v>808793.29561297852</v>
      </c>
      <c r="U17" s="138">
        <f>E17-OPTION3!$AR$30</f>
        <v>1768958.7476786822</v>
      </c>
      <c r="V17" s="143">
        <f t="shared" si="5"/>
        <v>960165.45206570369</v>
      </c>
      <c r="W17" s="143">
        <f t="shared" si="6"/>
        <v>13889545.235014271</v>
      </c>
      <c r="X17" s="156">
        <f>_xlfn.RANK.EQ(W17,($H17,$M17,$R17,$W17))</f>
        <v>3</v>
      </c>
      <c r="Y17" s="139"/>
      <c r="Z17" s="139"/>
      <c r="AA17" s="139"/>
      <c r="AB17" s="138"/>
      <c r="AC17" s="138"/>
      <c r="AD17" s="138"/>
    </row>
    <row r="18" spans="1:30" x14ac:dyDescent="0.25">
      <c r="A18" s="8"/>
      <c r="B18" s="140"/>
      <c r="C18" s="136"/>
      <c r="D18" s="141"/>
      <c r="E18" s="145"/>
      <c r="F18" s="145"/>
      <c r="G18" s="145"/>
      <c r="H18" s="145"/>
      <c r="I18" s="157"/>
      <c r="J18" s="145"/>
      <c r="K18" s="145"/>
      <c r="L18" s="145"/>
      <c r="M18" s="145"/>
      <c r="N18" s="157"/>
      <c r="O18" s="145"/>
      <c r="P18" s="145"/>
      <c r="Q18" s="145"/>
      <c r="R18" s="145"/>
      <c r="S18" s="157"/>
      <c r="T18" s="7"/>
      <c r="U18" s="7"/>
      <c r="V18" s="145"/>
      <c r="W18" s="145"/>
      <c r="X18" s="157"/>
      <c r="Y18" s="139"/>
      <c r="Z18" s="139"/>
      <c r="AA18" s="139"/>
      <c r="AB18" s="138"/>
      <c r="AC18" s="138"/>
      <c r="AD18" s="138"/>
    </row>
    <row r="19" spans="1:30" x14ac:dyDescent="0.25">
      <c r="A19" s="165" t="s">
        <v>108</v>
      </c>
      <c r="B19" s="50" t="s">
        <v>144</v>
      </c>
      <c r="C19" s="100">
        <f>-CONFIG!B43</f>
        <v>-0.25</v>
      </c>
      <c r="D19" s="99">
        <f>INPUTS!$C$8*(1+C19)</f>
        <v>2.6302499999999999E-2</v>
      </c>
      <c r="E19" s="143">
        <f>BASE!$W$41</f>
        <v>9945676.7561142817</v>
      </c>
      <c r="F19" s="143">
        <v>0</v>
      </c>
      <c r="G19" s="143">
        <f>F19-E19</f>
        <v>-9945676.7561142817</v>
      </c>
      <c r="H19" s="143">
        <f t="shared" si="1"/>
        <v>0</v>
      </c>
      <c r="I19" s="156">
        <f>_xlfn.RANK.EQ(H19,($H19,$M19,$R19,$W19))</f>
        <v>4</v>
      </c>
      <c r="J19" s="143">
        <f>OPTION1!$AG$4+NPV($D19,OPTION1!$AG$5:$AG$29)</f>
        <v>4807457.7048095055</v>
      </c>
      <c r="K19" s="143">
        <f>SENSITIVITY!E19-OPTION1!$AO$30</f>
        <v>7215856.3213642379</v>
      </c>
      <c r="L19" s="143">
        <f>K19-J19</f>
        <v>2408398.6165547324</v>
      </c>
      <c r="M19" s="143">
        <f t="shared" si="2"/>
        <v>12354075.372669015</v>
      </c>
      <c r="N19" s="156">
        <f>_xlfn.RANK.EQ(M19,($H19,$M19,$R19,$W19))</f>
        <v>1</v>
      </c>
      <c r="O19" s="143">
        <f>OPTION2!$AG$4+NPV($D19,OPTION2!$AG$5:$AG$29)</f>
        <v>1392088.8616722613</v>
      </c>
      <c r="P19" s="143">
        <f>SENSITIVITY!E19-OPTION2!$AO$30</f>
        <v>3011178.2434820812</v>
      </c>
      <c r="Q19" s="143">
        <f>P19-O19</f>
        <v>1619089.38180982</v>
      </c>
      <c r="R19" s="143">
        <f t="shared" si="4"/>
        <v>11564766.137924101</v>
      </c>
      <c r="S19" s="156">
        <f>_xlfn.RANK.EQ(R19,($H19,$M19,$R19,$W19))</f>
        <v>2</v>
      </c>
      <c r="T19" s="114">
        <f>OPTION3!$AI$4+NPV($D19,OPTION3!$AI$5:$AI$29)</f>
        <v>875012.45740294503</v>
      </c>
      <c r="U19" s="138">
        <f>E19-OPTION3!$AQ$30</f>
        <v>1360737.4982143715</v>
      </c>
      <c r="V19" s="143">
        <f>U19-T19</f>
        <v>485725.04081142647</v>
      </c>
      <c r="W19" s="143">
        <f t="shared" si="6"/>
        <v>10431401.796925709</v>
      </c>
      <c r="X19" s="156">
        <f>_xlfn.RANK.EQ(W19,($H19,$M19,$R19,$W19))</f>
        <v>3</v>
      </c>
      <c r="Y19" s="139"/>
      <c r="Z19" s="139"/>
      <c r="AA19" s="139"/>
      <c r="AB19" s="138"/>
      <c r="AC19" s="138"/>
      <c r="AD19" s="138"/>
    </row>
    <row r="20" spans="1:30" x14ac:dyDescent="0.25">
      <c r="A20" s="165"/>
      <c r="B20" s="148" t="s">
        <v>145</v>
      </c>
      <c r="C20" s="149">
        <v>0</v>
      </c>
      <c r="D20" s="152">
        <f>INPUTS!$C$8*(1+C20)</f>
        <v>3.5069999999999997E-2</v>
      </c>
      <c r="E20" s="143">
        <f>BASE!$W$41</f>
        <v>9945676.7561142817</v>
      </c>
      <c r="F20" s="143">
        <v>0</v>
      </c>
      <c r="G20" s="143">
        <f t="shared" ref="G20:G21" si="10">F20-E20</f>
        <v>-9945676.7561142817</v>
      </c>
      <c r="H20" s="143">
        <f t="shared" si="1"/>
        <v>0</v>
      </c>
      <c r="I20" s="156">
        <f>_xlfn.RANK.EQ(H20,($H20,$M20,$R20,$W20))</f>
        <v>4</v>
      </c>
      <c r="J20" s="143">
        <f>OPTION1!$AG$4+NPV($D20,OPTION1!$AG$5:$AG$29)</f>
        <v>4418310.6217012014</v>
      </c>
      <c r="K20" s="143">
        <f>SENSITIVITY!E20-OPTION1!$AO$30</f>
        <v>7215856.3213642379</v>
      </c>
      <c r="L20" s="143">
        <f t="shared" ref="L20:L21" si="11">K20-J20</f>
        <v>2797545.6996630365</v>
      </c>
      <c r="M20" s="143">
        <f t="shared" si="2"/>
        <v>12743222.455777317</v>
      </c>
      <c r="N20" s="156">
        <f>_xlfn.RANK.EQ(M20,($H20,$M20,$R20,$W20))</f>
        <v>1</v>
      </c>
      <c r="O20" s="143">
        <f>OPTION2!$AG$4+NPV($D20,OPTION2!$AG$5:$AG$29)</f>
        <v>1286738.4100561931</v>
      </c>
      <c r="P20" s="143">
        <f>SENSITIVITY!E20-OPTION2!$AO$30</f>
        <v>3011178.2434820812</v>
      </c>
      <c r="Q20" s="143">
        <f t="shared" si="3"/>
        <v>1724439.8334258881</v>
      </c>
      <c r="R20" s="143">
        <f t="shared" si="4"/>
        <v>11670116.589540171</v>
      </c>
      <c r="S20" s="156">
        <f>_xlfn.RANK.EQ(R20,($H20,$M20,$R20,$W20))</f>
        <v>2</v>
      </c>
      <c r="T20" s="114">
        <f>OPTION3!$AI$4+NPV($D20,OPTION3!$AI$5:$AI$29)</f>
        <v>808793.29561297852</v>
      </c>
      <c r="U20" s="138">
        <f>E20-OPTION3!$AQ$30</f>
        <v>1360737.4982143715</v>
      </c>
      <c r="V20" s="143">
        <f t="shared" si="5"/>
        <v>551944.20260139299</v>
      </c>
      <c r="W20" s="143">
        <f t="shared" si="6"/>
        <v>10497620.958715675</v>
      </c>
      <c r="X20" s="156">
        <f>_xlfn.RANK.EQ(W20,($H20,$M20,$R20,$W20))</f>
        <v>3</v>
      </c>
      <c r="Y20" s="139"/>
      <c r="Z20" s="139"/>
      <c r="AA20" s="139"/>
      <c r="AB20" s="138"/>
      <c r="AC20" s="138"/>
      <c r="AD20" s="138"/>
    </row>
    <row r="21" spans="1:30" x14ac:dyDescent="0.25">
      <c r="A21" s="165"/>
      <c r="B21" s="50" t="s">
        <v>146</v>
      </c>
      <c r="C21" s="100">
        <f>CONFIG!B43</f>
        <v>0.25</v>
      </c>
      <c r="D21" s="99">
        <f>INPUTS!$C$8*(1+C21)</f>
        <v>4.3837499999999995E-2</v>
      </c>
      <c r="E21" s="143">
        <f>BASE!$W$41</f>
        <v>9945676.7561142817</v>
      </c>
      <c r="F21" s="143">
        <v>0</v>
      </c>
      <c r="G21" s="143">
        <f t="shared" si="10"/>
        <v>-9945676.7561142817</v>
      </c>
      <c r="H21" s="143">
        <f t="shared" si="1"/>
        <v>0</v>
      </c>
      <c r="I21" s="156">
        <f>_xlfn.RANK.EQ(H21,($H21,$M21,$R21,$W21))</f>
        <v>4</v>
      </c>
      <c r="J21" s="143">
        <f>OPTION1!$AG$4+NPV($D21,OPTION1!$AG$5:$AG$29)</f>
        <v>4065454.4260130511</v>
      </c>
      <c r="K21" s="143">
        <f>SENSITIVITY!E21-OPTION1!$AO$30</f>
        <v>7215856.3213642379</v>
      </c>
      <c r="L21" s="143">
        <f t="shared" si="11"/>
        <v>3150401.8953511869</v>
      </c>
      <c r="M21" s="143">
        <f t="shared" si="2"/>
        <v>13096078.651465468</v>
      </c>
      <c r="N21" s="156">
        <f>_xlfn.RANK.EQ(M21,($H21,$M21,$R21,$W21))</f>
        <v>1</v>
      </c>
      <c r="O21" s="143">
        <f>OPTION2!$AG$4+NPV($D21,OPTION2!$AG$5:$AG$29)</f>
        <v>1190847.9054358967</v>
      </c>
      <c r="P21" s="143">
        <f>SENSITIVITY!E21-OPTION2!$AO$30</f>
        <v>3011178.2434820812</v>
      </c>
      <c r="Q21" s="143">
        <f t="shared" si="3"/>
        <v>1820330.3380461845</v>
      </c>
      <c r="R21" s="143">
        <f t="shared" si="4"/>
        <v>11766007.094160466</v>
      </c>
      <c r="S21" s="156">
        <f>_xlfn.RANK.EQ(R21,($H21,$M21,$R21,$W21))</f>
        <v>2</v>
      </c>
      <c r="T21" s="114">
        <f>OPTION3!$AI$4+NPV($D21,OPTION3!$AI$5:$AI$29)</f>
        <v>748520.28546287795</v>
      </c>
      <c r="U21" s="138">
        <f>E21-OPTION3!$AQ$30</f>
        <v>1360737.4982143715</v>
      </c>
      <c r="V21" s="143">
        <f t="shared" si="5"/>
        <v>612217.21275149356</v>
      </c>
      <c r="W21" s="143">
        <f t="shared" si="6"/>
        <v>10557893.968865775</v>
      </c>
      <c r="X21" s="156">
        <f>_xlfn.RANK.EQ(W21,($H21,$M21,$R21,$W21))</f>
        <v>3</v>
      </c>
      <c r="Y21" s="139"/>
      <c r="Z21" s="139"/>
      <c r="AA21" s="139"/>
      <c r="AB21" s="138"/>
      <c r="AC21" s="138"/>
      <c r="AD21" s="138"/>
    </row>
    <row r="22" spans="1:30" x14ac:dyDescent="0.25">
      <c r="A22" s="8"/>
      <c r="B22" s="140"/>
      <c r="C22" s="136"/>
      <c r="D22" s="137"/>
      <c r="E22" s="145"/>
      <c r="F22" s="145"/>
      <c r="G22" s="145"/>
      <c r="H22" s="145"/>
      <c r="I22" s="157"/>
      <c r="J22" s="145"/>
      <c r="K22" s="145"/>
      <c r="L22" s="145"/>
      <c r="M22" s="145"/>
      <c r="N22" s="157"/>
      <c r="O22" s="145"/>
      <c r="P22" s="145"/>
      <c r="Q22" s="145"/>
      <c r="R22" s="145"/>
      <c r="S22" s="157"/>
      <c r="T22" s="7"/>
      <c r="U22" s="7"/>
      <c r="V22" s="145"/>
      <c r="W22" s="145"/>
      <c r="X22" s="157"/>
      <c r="Y22" s="139"/>
      <c r="Z22" s="139"/>
      <c r="AA22" s="139"/>
      <c r="AB22" s="138"/>
      <c r="AC22" s="138"/>
      <c r="AD22" s="138"/>
    </row>
    <row r="23" spans="1:30" x14ac:dyDescent="0.25">
      <c r="A23" s="165" t="s">
        <v>109</v>
      </c>
      <c r="B23" s="50" t="s">
        <v>144</v>
      </c>
      <c r="C23" s="100">
        <f>-CONFIG!$B$42</f>
        <v>-0.3</v>
      </c>
      <c r="D23" s="100">
        <f>1+C23</f>
        <v>0.7</v>
      </c>
      <c r="E23" s="143">
        <f>BASE!$W$41</f>
        <v>9945676.7561142817</v>
      </c>
      <c r="F23" s="143">
        <v>0</v>
      </c>
      <c r="G23" s="143">
        <f>F23-E23</f>
        <v>-9945676.7561142817</v>
      </c>
      <c r="H23" s="143">
        <f t="shared" si="1"/>
        <v>0</v>
      </c>
      <c r="I23" s="156">
        <f>_xlfn.RANK.EQ(H23,($H23,$M23,$R23,$W23))</f>
        <v>4</v>
      </c>
      <c r="J23" s="143">
        <f>OPTION1!$AJ$4+NPV(INPUTS!$C$8,OPTION1!$AJ$5:$AJ$29)</f>
        <v>3092817.4351908411</v>
      </c>
      <c r="K23" s="143">
        <f>SENSITIVITY!E23-OPTION1!$AO$30</f>
        <v>7215856.3213642379</v>
      </c>
      <c r="L23" s="143">
        <f>K23-J23</f>
        <v>4123038.8861733968</v>
      </c>
      <c r="M23" s="143">
        <f t="shared" si="2"/>
        <v>14068715.642287679</v>
      </c>
      <c r="N23" s="156">
        <f>_xlfn.RANK.EQ(M23,($H23,$M23,$R23,$W23))</f>
        <v>1</v>
      </c>
      <c r="O23" s="144">
        <f>OPTION2!$AJ$4+NPV(INPUTS!$C$8,OPTION2!$AJ$5:$AJ$29)</f>
        <v>900716.88703933521</v>
      </c>
      <c r="P23" s="143">
        <f>SENSITIVITY!E23-OPTION2!$AO$30</f>
        <v>3011178.2434820812</v>
      </c>
      <c r="Q23" s="143">
        <f>P23-O23</f>
        <v>2110461.3564427458</v>
      </c>
      <c r="R23" s="143">
        <f t="shared" si="4"/>
        <v>12056138.112557027</v>
      </c>
      <c r="S23" s="156">
        <f>_xlfn.RANK.EQ(R23,($H23,$M23,$R23,$W23))</f>
        <v>2</v>
      </c>
      <c r="T23" s="114">
        <f>OPTION3!$AL$4+NPV(INPUTS!$C$8,OPTION3!$AL$5:$AL$29)</f>
        <v>566155.30692908494</v>
      </c>
      <c r="U23" s="138">
        <f>E23-OPTION3!$AQ$30</f>
        <v>1360737.4982143715</v>
      </c>
      <c r="V23" s="143">
        <f>U23-T23</f>
        <v>794582.19128528656</v>
      </c>
      <c r="W23" s="143">
        <f t="shared" si="6"/>
        <v>10740258.947399568</v>
      </c>
      <c r="X23" s="156">
        <f>_xlfn.RANK.EQ(W23,($H23,$M23,$R23,$W23))</f>
        <v>3</v>
      </c>
      <c r="Y23" s="139"/>
      <c r="Z23" s="139"/>
      <c r="AA23" s="139"/>
      <c r="AB23" s="138"/>
      <c r="AC23" s="138"/>
      <c r="AD23" s="138"/>
    </row>
    <row r="24" spans="1:30" x14ac:dyDescent="0.25">
      <c r="A24" s="165"/>
      <c r="B24" s="148" t="s">
        <v>145</v>
      </c>
      <c r="C24" s="149">
        <v>0</v>
      </c>
      <c r="D24" s="149">
        <f>1+C24</f>
        <v>1</v>
      </c>
      <c r="E24" s="143">
        <f>BASE!$W$41</f>
        <v>9945676.7561142817</v>
      </c>
      <c r="F24" s="143">
        <v>0</v>
      </c>
      <c r="G24" s="143">
        <f t="shared" ref="G24:G25" si="12">F24-E24</f>
        <v>-9945676.7561142817</v>
      </c>
      <c r="H24" s="143">
        <f t="shared" si="1"/>
        <v>0</v>
      </c>
      <c r="I24" s="156">
        <f>_xlfn.RANK.EQ(H24,($H24,$M24,$R24,$W24))</f>
        <v>4</v>
      </c>
      <c r="J24" s="144">
        <f>OPTION1!$AG$4+NPV(INPUTS!$C$8,OPTION1!$AG$5:$AG$29)</f>
        <v>4418310.6217012014</v>
      </c>
      <c r="K24" s="143">
        <f>SENSITIVITY!E24-OPTION1!$AO$30</f>
        <v>7215856.3213642379</v>
      </c>
      <c r="L24" s="143">
        <f>K24-J24</f>
        <v>2797545.6996630365</v>
      </c>
      <c r="M24" s="143">
        <f t="shared" si="2"/>
        <v>12743222.455777317</v>
      </c>
      <c r="N24" s="156">
        <f>_xlfn.RANK.EQ(M24,($H24,$M24,$R24,$W24))</f>
        <v>1</v>
      </c>
      <c r="O24" s="144">
        <f>OPTION2!$AG$4+NPV(INPUTS!$C$8,OPTION2!$AG$5:$AG$29)</f>
        <v>1286738.4100561931</v>
      </c>
      <c r="P24" s="143">
        <f>SENSITIVITY!E24-OPTION2!$AO$30</f>
        <v>3011178.2434820812</v>
      </c>
      <c r="Q24" s="143">
        <f t="shared" si="3"/>
        <v>1724439.8334258881</v>
      </c>
      <c r="R24" s="143">
        <f t="shared" si="4"/>
        <v>11670116.589540171</v>
      </c>
      <c r="S24" s="156">
        <f>_xlfn.RANK.EQ(R24,($H24,$M24,$R24,$W24))</f>
        <v>2</v>
      </c>
      <c r="T24" s="114">
        <f>OPTION3!$AI$4+NPV(INPUTS!$C$8,OPTION3!$AI$5:$AI$29)</f>
        <v>808793.29561297852</v>
      </c>
      <c r="U24" s="138">
        <f>E24-OPTION3!$AQ$30</f>
        <v>1360737.4982143715</v>
      </c>
      <c r="V24" s="143">
        <f t="shared" si="5"/>
        <v>551944.20260139299</v>
      </c>
      <c r="W24" s="143">
        <f t="shared" si="6"/>
        <v>10497620.958715675</v>
      </c>
      <c r="X24" s="156">
        <f>_xlfn.RANK.EQ(W24,($H24,$M24,$R24,$W24))</f>
        <v>3</v>
      </c>
      <c r="Y24" s="139"/>
      <c r="Z24" s="139"/>
      <c r="AA24" s="139"/>
      <c r="AB24" s="138"/>
      <c r="AC24" s="138"/>
      <c r="AD24" s="138"/>
    </row>
    <row r="25" spans="1:30" x14ac:dyDescent="0.25">
      <c r="A25" s="165"/>
      <c r="B25" s="50" t="s">
        <v>146</v>
      </c>
      <c r="C25" s="100">
        <f>CONFIG!$B$42</f>
        <v>0.3</v>
      </c>
      <c r="D25" s="100">
        <f>1+C25</f>
        <v>1.3</v>
      </c>
      <c r="E25" s="143">
        <f>BASE!$W$41</f>
        <v>9945676.7561142817</v>
      </c>
      <c r="F25" s="143">
        <v>0</v>
      </c>
      <c r="G25" s="143">
        <f t="shared" si="12"/>
        <v>-9945676.7561142817</v>
      </c>
      <c r="H25" s="143">
        <f t="shared" si="1"/>
        <v>0</v>
      </c>
      <c r="I25" s="156">
        <f>_xlfn.RANK.EQ(H25,($H25,$M25,$R25,$W25))</f>
        <v>4</v>
      </c>
      <c r="J25" s="143">
        <f>OPTION1!$AK$4+NPV(INPUTS!$C$8,OPTION1!$AK$4:$AK$29)</f>
        <v>5549193.5890437979</v>
      </c>
      <c r="K25" s="143">
        <f>SENSITIVITY!E25-OPTION1!$AO$30</f>
        <v>7215856.3213642379</v>
      </c>
      <c r="L25" s="143">
        <f t="shared" ref="L25" si="13">K25-J25</f>
        <v>1666662.73232044</v>
      </c>
      <c r="M25" s="143">
        <f t="shared" si="2"/>
        <v>11612339.488434721</v>
      </c>
      <c r="N25" s="156">
        <f>_xlfn.RANK.EQ(M25,($H25,$M25,$R25,$W25))</f>
        <v>1</v>
      </c>
      <c r="O25" s="144">
        <f>OPTION2!$AK$4+NPV(INPUTS!$C$8,OPTION2!$AK$5:$AK$29)</f>
        <v>1672759.933073051</v>
      </c>
      <c r="P25" s="143">
        <f>SENSITIVITY!E25-OPTION2!$AO$30</f>
        <v>3011178.2434820812</v>
      </c>
      <c r="Q25" s="143">
        <f t="shared" si="3"/>
        <v>1338418.3104090302</v>
      </c>
      <c r="R25" s="143">
        <f t="shared" si="4"/>
        <v>11284095.066523312</v>
      </c>
      <c r="S25" s="156">
        <f>_xlfn.RANK.EQ(R25,($H25,$M25,$R25,$W25))</f>
        <v>2</v>
      </c>
      <c r="T25" s="114">
        <f>OPTION3!$AM$4+NPV(INPUTS!$C$8,OPTION3!$AM$5:$AM$29)</f>
        <v>1051431.2842968721</v>
      </c>
      <c r="U25" s="138">
        <f>E25-OPTION3!$AQ$30</f>
        <v>1360737.4982143715</v>
      </c>
      <c r="V25" s="143">
        <f t="shared" si="5"/>
        <v>309306.21391749941</v>
      </c>
      <c r="W25" s="143">
        <f t="shared" si="6"/>
        <v>10254982.970031781</v>
      </c>
      <c r="X25" s="156">
        <f>_xlfn.RANK.EQ(W25,($H25,$M25,$R25,$W25))</f>
        <v>3</v>
      </c>
      <c r="Y25" s="139"/>
      <c r="Z25" s="139"/>
      <c r="AA25" s="139"/>
      <c r="AB25" s="138"/>
      <c r="AC25" s="138"/>
      <c r="AD25" s="138"/>
    </row>
    <row r="26" spans="1:30" x14ac:dyDescent="0.25">
      <c r="A26" s="8"/>
      <c r="B26" s="8"/>
      <c r="C26" s="8"/>
      <c r="D26" s="8"/>
      <c r="E26" s="7"/>
      <c r="F26" s="7"/>
      <c r="G26" s="7"/>
      <c r="H26" s="7"/>
      <c r="I26" s="7"/>
      <c r="J26" s="7"/>
      <c r="K26" s="7"/>
      <c r="L26" s="7"/>
      <c r="M26" s="142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</sheetData>
  <mergeCells count="9">
    <mergeCell ref="J5:N5"/>
    <mergeCell ref="O5:S5"/>
    <mergeCell ref="T5:X5"/>
    <mergeCell ref="A7:A9"/>
    <mergeCell ref="A11:A13"/>
    <mergeCell ref="A15:A17"/>
    <mergeCell ref="A19:A21"/>
    <mergeCell ref="A23:A25"/>
    <mergeCell ref="E5:I5"/>
  </mergeCells>
  <conditionalFormatting sqref="I7:I26">
    <cfRule type="cellIs" dxfId="2" priority="3" operator="equal">
      <formula>4</formula>
    </cfRule>
  </conditionalFormatting>
  <conditionalFormatting sqref="X7:X26 S7:S26 N7:N26">
    <cfRule type="cellIs" dxfId="1" priority="2" operator="equal">
      <formula>4</formula>
    </cfRule>
  </conditionalFormatting>
  <conditionalFormatting sqref="N7:N26 S7:S26 X7:X26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ignoredErrors>
    <ignoredError sqref="E12 E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9FD446D96554E93733D7FAC024BF4" ma:contentTypeVersion="13" ma:contentTypeDescription="Create a new document." ma:contentTypeScope="" ma:versionID="6563aa90e939647651e3a1f1d9110eb6">
  <xsd:schema xmlns:xsd="http://www.w3.org/2001/XMLSchema" xmlns:xs="http://www.w3.org/2001/XMLSchema" xmlns:p="http://schemas.microsoft.com/office/2006/metadata/properties" xmlns:ns2="14d20574-58b9-414e-ad4d-49aba50cd5eb" xmlns:ns3="d866604c-23ed-4c44-9ea3-e161b33dcfd5" targetNamespace="http://schemas.microsoft.com/office/2006/metadata/properties" ma:root="true" ma:fieldsID="95011ec09040d28715bca3c509f13840" ns2:_="" ns3:_="">
    <xsd:import namespace="14d20574-58b9-414e-ad4d-49aba50cd5eb"/>
    <xsd:import namespace="d866604c-23ed-4c44-9ea3-e161b33dc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escription0" minOccurs="0"/>
                <xsd:element ref="ns3:Key_x0020_Document" minOccurs="0"/>
                <xsd:element ref="ns3:Event_x0020_Dat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20574-58b9-414e-ad4d-49aba50cd5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604c-23ed-4c44-9ea3-e161b33dc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Key_x0020_Document" ma:index="13" nillable="true" ma:displayName="Key Document" ma:default="0" ma:indexed="true" ma:internalName="Key_x0020_Document">
      <xsd:simpleType>
        <xsd:restriction base="dms:Boolean"/>
      </xsd:simpleType>
    </xsd:element>
    <xsd:element name="Event_x0020_Date" ma:index="14" nillable="true" ma:displayName="Event Date" ma:format="DateOnly" ma:internalName="Event_x0020_Date">
      <xsd:simpleType>
        <xsd:restriction base="dms:DateTim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_x0020_Document xmlns="d866604c-23ed-4c44-9ea3-e161b33dcfd5">false</Key_x0020_Document>
    <Event_x0020_Date xmlns="d866604c-23ed-4c44-9ea3-e161b33dcfd5" xsi:nil="true"/>
    <Description0 xmlns="d866604c-23ed-4c44-9ea3-e161b33dcfd5" xsi:nil="true"/>
    <SharedWithUsers xmlns="14d20574-58b9-414e-ad4d-49aba50cd5eb">
      <UserInfo>
        <DisplayName>Craig Parsons</DisplayName>
        <AccountId>61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3AF9B07-35B9-4D73-938F-3368C4536185}"/>
</file>

<file path=customXml/itemProps2.xml><?xml version="1.0" encoding="utf-8"?>
<ds:datastoreItem xmlns:ds="http://schemas.openxmlformats.org/officeDocument/2006/customXml" ds:itemID="{44C86CC5-2E79-4AB4-8191-DAD72838C711}"/>
</file>

<file path=customXml/itemProps3.xml><?xml version="1.0" encoding="utf-8"?>
<ds:datastoreItem xmlns:ds="http://schemas.openxmlformats.org/officeDocument/2006/customXml" ds:itemID="{C58D0389-E6A2-47C6-83D7-C05DB0D42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CONFIG</vt:lpstr>
      <vt:lpstr>INPUTS</vt:lpstr>
      <vt:lpstr>FORECASTS</vt:lpstr>
      <vt:lpstr>LDC</vt:lpstr>
      <vt:lpstr>BASE</vt:lpstr>
      <vt:lpstr>OPTION1</vt:lpstr>
      <vt:lpstr>OPTION2</vt:lpstr>
      <vt:lpstr>OPTION3</vt:lpstr>
      <vt:lpstr>SENSITIVITY</vt:lpstr>
      <vt:lpstr>CAPEXREG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Steve Fraser</cp:lastModifiedBy>
  <dcterms:created xsi:type="dcterms:W3CDTF">2019-10-13T22:58:55Z</dcterms:created>
  <dcterms:modified xsi:type="dcterms:W3CDTF">2019-11-26T00:41:10Z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0x0101002A19FD446D96554E93733D7FAC024BF4</vt:lpwstr>
  </property>
</Properties>
</file>