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R:\CorpStrategy\_RegNew\01_Reset 2020-25\22_Reset RIN\6 Regulatory Proposal\01 Landing Area\01 QA In Progress\"/>
    </mc:Choice>
  </mc:AlternateContent>
  <xr:revisionPtr revIDLastSave="0" documentId="13_ncr:1_{92B183AA-B6F9-4FD1-A557-C265DA4997AF}" xr6:coauthVersionLast="45" xr6:coauthVersionMax="45" xr10:uidLastSave="{00000000-0000-0000-0000-000000000000}"/>
  <bookViews>
    <workbookView xWindow="-25320" yWindow="-120" windowWidth="25440" windowHeight="15990" xr2:uid="{00000000-000D-0000-FFFF-FFFF00000000}"/>
  </bookViews>
  <sheets>
    <sheet name="Augmentation" sheetId="1" r:id="rId1"/>
    <sheet name="Replacement" sheetId="2" r:id="rId2"/>
    <sheet name="Opex" sheetId="5" r:id="rId3"/>
    <sheet name="Demand" sheetId="3" r:id="rId4"/>
    <sheet name="LRMC - AIC" sheetId="4" r:id="rId5"/>
    <sheet name="Standalone Avoidabl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9" i="5" l="1"/>
  <c r="U18" i="5"/>
  <c r="V18" i="5" s="1"/>
  <c r="U17" i="5"/>
  <c r="U16" i="5"/>
  <c r="U15" i="5"/>
  <c r="V15" i="5" s="1"/>
  <c r="V16" i="5"/>
  <c r="V17" i="5"/>
  <c r="V19" i="5"/>
  <c r="N46" i="1"/>
  <c r="L49" i="1"/>
  <c r="O49" i="1"/>
  <c r="V20" i="5" l="1"/>
  <c r="U20" i="5"/>
  <c r="V95" i="2" l="1"/>
  <c r="V99" i="2"/>
  <c r="U99" i="2"/>
  <c r="U95" i="2"/>
  <c r="U84" i="2" l="1"/>
  <c r="T84" i="2"/>
  <c r="S84" i="2"/>
  <c r="R84" i="2"/>
  <c r="Q84" i="2"/>
  <c r="P84" i="2"/>
  <c r="O84" i="2"/>
  <c r="N84" i="2"/>
  <c r="M84" i="2"/>
  <c r="P83" i="2"/>
  <c r="Q83" i="2" s="1"/>
  <c r="R83" i="2" s="1"/>
  <c r="S83" i="2" s="1"/>
  <c r="T83" i="2" s="1"/>
  <c r="U83" i="2" s="1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Q21" i="3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P21" i="3"/>
  <c r="P18" i="3"/>
  <c r="Q17" i="3"/>
  <c r="R17" i="3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P17" i="3"/>
  <c r="V60" i="1" l="1"/>
  <c r="V61" i="1"/>
  <c r="V62" i="1"/>
  <c r="V63" i="1"/>
  <c r="V64" i="1"/>
  <c r="U61" i="1"/>
  <c r="U62" i="1"/>
  <c r="U63" i="1"/>
  <c r="U64" i="1"/>
  <c r="U60" i="1"/>
  <c r="P48" i="1" l="1"/>
  <c r="Q48" i="1" s="1"/>
  <c r="R48" i="1" s="1"/>
  <c r="S48" i="1" s="1"/>
  <c r="T48" i="1" s="1"/>
  <c r="U48" i="1" s="1"/>
  <c r="Q15" i="3" l="1"/>
  <c r="R15" i="3"/>
  <c r="S15" i="3" s="1"/>
  <c r="T15" i="3" s="1"/>
  <c r="P15" i="3"/>
  <c r="D10" i="5" l="1"/>
  <c r="D11" i="5"/>
  <c r="D9" i="5"/>
  <c r="D8" i="5"/>
  <c r="D7" i="5"/>
  <c r="D18" i="7" l="1"/>
  <c r="D3" i="7"/>
  <c r="AI37" i="4" l="1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AB23" i="2"/>
  <c r="AB24" i="2"/>
  <c r="AB25" i="2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C34" i="5" l="1"/>
  <c r="C35" i="5"/>
  <c r="C36" i="5"/>
  <c r="C37" i="5"/>
  <c r="C33" i="5"/>
  <c r="L84" i="2"/>
  <c r="K84" i="2"/>
  <c r="K49" i="1"/>
  <c r="S49" i="1" l="1"/>
  <c r="Q49" i="1"/>
  <c r="U49" i="1"/>
  <c r="N49" i="1"/>
  <c r="R49" i="1"/>
  <c r="M49" i="1"/>
  <c r="P49" i="1"/>
  <c r="T49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7" i="1"/>
  <c r="AB8" i="1"/>
  <c r="M10" i="3"/>
  <c r="M6" i="3"/>
  <c r="M11" i="3" l="1"/>
  <c r="N9" i="3" l="1"/>
  <c r="N7" i="3"/>
  <c r="N8" i="3"/>
  <c r="N10" i="3"/>
  <c r="N6" i="3"/>
  <c r="N11" i="3" l="1"/>
  <c r="K21" i="3"/>
  <c r="K28" i="3" s="1"/>
  <c r="L21" i="3"/>
  <c r="L27" i="3" s="1"/>
  <c r="M21" i="3"/>
  <c r="M28" i="3" s="1"/>
  <c r="N21" i="3"/>
  <c r="N27" i="3" s="1"/>
  <c r="O21" i="3"/>
  <c r="O28" i="3" s="1"/>
  <c r="P30" i="3"/>
  <c r="Q30" i="3"/>
  <c r="R28" i="3"/>
  <c r="S30" i="3"/>
  <c r="T30" i="3"/>
  <c r="J15" i="3"/>
  <c r="J21" i="3" s="1"/>
  <c r="M29" i="3" l="1"/>
  <c r="J29" i="3"/>
  <c r="J28" i="3"/>
  <c r="J30" i="3"/>
  <c r="J27" i="3"/>
  <c r="J26" i="3"/>
  <c r="O29" i="3"/>
  <c r="T29" i="3"/>
  <c r="T26" i="3"/>
  <c r="O26" i="3"/>
  <c r="T27" i="3"/>
  <c r="O27" i="3"/>
  <c r="L30" i="3"/>
  <c r="O30" i="3"/>
  <c r="S28" i="3"/>
  <c r="T28" i="3"/>
  <c r="N28" i="3"/>
  <c r="K29" i="3"/>
  <c r="P29" i="3"/>
  <c r="Q26" i="3"/>
  <c r="P26" i="3"/>
  <c r="K26" i="3"/>
  <c r="Q27" i="3"/>
  <c r="K27" i="3"/>
  <c r="M30" i="3"/>
  <c r="R30" i="3"/>
  <c r="K30" i="3"/>
  <c r="P28" i="3"/>
  <c r="R29" i="3"/>
  <c r="L29" i="3"/>
  <c r="R26" i="3"/>
  <c r="L26" i="3"/>
  <c r="M27" i="3"/>
  <c r="R27" i="3"/>
  <c r="N30" i="3"/>
  <c r="L28" i="3"/>
  <c r="Q28" i="3"/>
  <c r="N29" i="3"/>
  <c r="S29" i="3"/>
  <c r="Q29" i="3"/>
  <c r="M26" i="3"/>
  <c r="M31" i="3" s="1"/>
  <c r="N26" i="3"/>
  <c r="S26" i="3"/>
  <c r="P27" i="3"/>
  <c r="S27" i="3"/>
  <c r="O71" i="2"/>
  <c r="P71" i="2"/>
  <c r="Q71" i="2"/>
  <c r="R71" i="2"/>
  <c r="S71" i="2"/>
  <c r="T71" i="2"/>
  <c r="O73" i="2"/>
  <c r="O86" i="2" s="1"/>
  <c r="O95" i="2" s="1"/>
  <c r="P73" i="2"/>
  <c r="P86" i="2" s="1"/>
  <c r="P95" i="2" s="1"/>
  <c r="Q73" i="2"/>
  <c r="Q86" i="2" s="1"/>
  <c r="Q95" i="2" s="1"/>
  <c r="R73" i="2"/>
  <c r="R86" i="2" s="1"/>
  <c r="S73" i="2"/>
  <c r="S86" i="2" s="1"/>
  <c r="T73" i="2"/>
  <c r="T86" i="2" s="1"/>
  <c r="T95" i="2" s="1"/>
  <c r="U73" i="2"/>
  <c r="U86" i="2" s="1"/>
  <c r="O74" i="2"/>
  <c r="O87" i="2" s="1"/>
  <c r="P74" i="2"/>
  <c r="P87" i="2" s="1"/>
  <c r="P96" i="2" s="1"/>
  <c r="Q74" i="2"/>
  <c r="Q87" i="2" s="1"/>
  <c r="Q96" i="2" s="1"/>
  <c r="R74" i="2"/>
  <c r="R87" i="2" s="1"/>
  <c r="R96" i="2" s="1"/>
  <c r="S74" i="2"/>
  <c r="S87" i="2" s="1"/>
  <c r="S96" i="2" s="1"/>
  <c r="T74" i="2"/>
  <c r="T87" i="2" s="1"/>
  <c r="T96" i="2" s="1"/>
  <c r="U74" i="2"/>
  <c r="U87" i="2" s="1"/>
  <c r="O75" i="2"/>
  <c r="O88" i="2" s="1"/>
  <c r="O97" i="2" s="1"/>
  <c r="P75" i="2"/>
  <c r="P88" i="2" s="1"/>
  <c r="Q75" i="2"/>
  <c r="Q88" i="2" s="1"/>
  <c r="Q97" i="2" s="1"/>
  <c r="R75" i="2"/>
  <c r="R88" i="2" s="1"/>
  <c r="R97" i="2" s="1"/>
  <c r="S75" i="2"/>
  <c r="S88" i="2" s="1"/>
  <c r="S97" i="2" s="1"/>
  <c r="T75" i="2"/>
  <c r="T88" i="2" s="1"/>
  <c r="U75" i="2"/>
  <c r="U88" i="2" s="1"/>
  <c r="O76" i="2"/>
  <c r="O89" i="2" s="1"/>
  <c r="O98" i="2" s="1"/>
  <c r="P76" i="2"/>
  <c r="P89" i="2" s="1"/>
  <c r="P98" i="2" s="1"/>
  <c r="Q76" i="2"/>
  <c r="Q89" i="2" s="1"/>
  <c r="R76" i="2"/>
  <c r="R89" i="2" s="1"/>
  <c r="R98" i="2" s="1"/>
  <c r="S76" i="2"/>
  <c r="S89" i="2" s="1"/>
  <c r="S98" i="2" s="1"/>
  <c r="T76" i="2"/>
  <c r="T89" i="2" s="1"/>
  <c r="T98" i="2" s="1"/>
  <c r="U76" i="2"/>
  <c r="U89" i="2" s="1"/>
  <c r="O77" i="2"/>
  <c r="O90" i="2" s="1"/>
  <c r="O99" i="2" s="1"/>
  <c r="P77" i="2"/>
  <c r="P90" i="2" s="1"/>
  <c r="P99" i="2" s="1"/>
  <c r="Q77" i="2"/>
  <c r="Q90" i="2" s="1"/>
  <c r="Q99" i="2" s="1"/>
  <c r="R77" i="2"/>
  <c r="R90" i="2" s="1"/>
  <c r="R99" i="2" s="1"/>
  <c r="S77" i="2"/>
  <c r="S90" i="2" s="1"/>
  <c r="S99" i="2" s="1"/>
  <c r="T77" i="2"/>
  <c r="T90" i="2" s="1"/>
  <c r="T99" i="2" s="1"/>
  <c r="U77" i="2"/>
  <c r="AB52" i="2"/>
  <c r="AB53" i="2"/>
  <c r="AB61" i="2"/>
  <c r="AB62" i="2"/>
  <c r="AB63" i="2"/>
  <c r="AB64" i="2"/>
  <c r="AB65" i="2"/>
  <c r="AB66" i="2"/>
  <c r="AB67" i="2"/>
  <c r="AB68" i="2"/>
  <c r="AB69" i="2"/>
  <c r="U96" i="2" l="1"/>
  <c r="V96" i="2" s="1"/>
  <c r="P31" i="3"/>
  <c r="T31" i="3"/>
  <c r="N31" i="3"/>
  <c r="K31" i="3"/>
  <c r="O31" i="3"/>
  <c r="J31" i="3"/>
  <c r="Q31" i="3"/>
  <c r="L31" i="3"/>
  <c r="S31" i="3"/>
  <c r="R31" i="3"/>
  <c r="AH28" i="3"/>
  <c r="AH26" i="3"/>
  <c r="AH27" i="3"/>
  <c r="AH30" i="3"/>
  <c r="AH29" i="3"/>
  <c r="U26" i="3"/>
  <c r="U30" i="3"/>
  <c r="U29" i="3"/>
  <c r="U28" i="3"/>
  <c r="U27" i="3"/>
  <c r="AI28" i="3"/>
  <c r="AI30" i="3"/>
  <c r="AI27" i="3"/>
  <c r="AI26" i="3"/>
  <c r="AI29" i="3"/>
  <c r="AD27" i="3"/>
  <c r="AD26" i="3"/>
  <c r="AD30" i="3"/>
  <c r="AD29" i="3"/>
  <c r="AD28" i="3"/>
  <c r="X28" i="3"/>
  <c r="X26" i="3"/>
  <c r="X29" i="3"/>
  <c r="X30" i="3"/>
  <c r="X27" i="3"/>
  <c r="AF30" i="3"/>
  <c r="AF27" i="3"/>
  <c r="AF28" i="3"/>
  <c r="AF26" i="3"/>
  <c r="AF29" i="3"/>
  <c r="AE28" i="3"/>
  <c r="AE30" i="3"/>
  <c r="AE27" i="3"/>
  <c r="AE26" i="3"/>
  <c r="AE29" i="3"/>
  <c r="Z30" i="3"/>
  <c r="Z28" i="3"/>
  <c r="Z29" i="3"/>
  <c r="Z27" i="3"/>
  <c r="Z26" i="3"/>
  <c r="Y27" i="3"/>
  <c r="Y26" i="3"/>
  <c r="Y29" i="3"/>
  <c r="Y28" i="3"/>
  <c r="Y30" i="3"/>
  <c r="AG29" i="3"/>
  <c r="AG28" i="3"/>
  <c r="AG30" i="3"/>
  <c r="AG27" i="3"/>
  <c r="AG26" i="3"/>
  <c r="AB28" i="3"/>
  <c r="AB27" i="3"/>
  <c r="AB26" i="3"/>
  <c r="AB29" i="3"/>
  <c r="AB30" i="3"/>
  <c r="AA28" i="3"/>
  <c r="AA27" i="3"/>
  <c r="AA26" i="3"/>
  <c r="AA29" i="3"/>
  <c r="AA30" i="3"/>
  <c r="V29" i="3"/>
  <c r="V28" i="3"/>
  <c r="V27" i="3"/>
  <c r="V26" i="3"/>
  <c r="V30" i="3"/>
  <c r="AC28" i="3"/>
  <c r="AC27" i="3"/>
  <c r="AC26" i="3"/>
  <c r="AC30" i="3"/>
  <c r="AC29" i="3"/>
  <c r="W30" i="3"/>
  <c r="W27" i="3"/>
  <c r="W26" i="3"/>
  <c r="W29" i="3"/>
  <c r="W28" i="3"/>
  <c r="T78" i="2"/>
  <c r="O78" i="2"/>
  <c r="S78" i="2"/>
  <c r="R78" i="2"/>
  <c r="Q78" i="2"/>
  <c r="P78" i="2"/>
  <c r="R95" i="2"/>
  <c r="R101" i="2" s="1"/>
  <c r="R91" i="2"/>
  <c r="U78" i="2"/>
  <c r="U90" i="2"/>
  <c r="W99" i="2" s="1"/>
  <c r="X99" i="2" s="1"/>
  <c r="Y99" i="2" s="1"/>
  <c r="Z99" i="2" s="1"/>
  <c r="AA99" i="2" s="1"/>
  <c r="AB99" i="2" s="1"/>
  <c r="AC99" i="2" s="1"/>
  <c r="AD99" i="2" s="1"/>
  <c r="AE99" i="2" s="1"/>
  <c r="AF99" i="2" s="1"/>
  <c r="AG99" i="2" s="1"/>
  <c r="AH99" i="2" s="1"/>
  <c r="AI99" i="2" s="1"/>
  <c r="Q91" i="2"/>
  <c r="Q98" i="2"/>
  <c r="U98" i="2" s="1"/>
  <c r="V98" i="2" s="1"/>
  <c r="T91" i="2"/>
  <c r="T97" i="2"/>
  <c r="T101" i="2" s="1"/>
  <c r="P91" i="2"/>
  <c r="P97" i="2"/>
  <c r="W96" i="2"/>
  <c r="X96" i="2" s="1"/>
  <c r="Y96" i="2" s="1"/>
  <c r="Z96" i="2" s="1"/>
  <c r="AA96" i="2" s="1"/>
  <c r="AB96" i="2" s="1"/>
  <c r="AC96" i="2" s="1"/>
  <c r="AD96" i="2" s="1"/>
  <c r="AE96" i="2" s="1"/>
  <c r="AF96" i="2" s="1"/>
  <c r="AG96" i="2" s="1"/>
  <c r="AH96" i="2" s="1"/>
  <c r="AI96" i="2" s="1"/>
  <c r="O91" i="2"/>
  <c r="O96" i="2"/>
  <c r="O101" i="2" s="1"/>
  <c r="S91" i="2"/>
  <c r="S95" i="2"/>
  <c r="S101" i="2" s="1"/>
  <c r="L13" i="5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N7" i="5"/>
  <c r="O7" i="5" s="1"/>
  <c r="K4" i="4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K3" i="4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B2" i="4"/>
  <c r="W22" i="3"/>
  <c r="R22" i="3"/>
  <c r="O22" i="3"/>
  <c r="N22" i="3"/>
  <c r="P101" i="2" l="1"/>
  <c r="U97" i="2"/>
  <c r="V97" i="2" s="1"/>
  <c r="W97" i="2" s="1"/>
  <c r="X97" i="2" s="1"/>
  <c r="Y97" i="2" s="1"/>
  <c r="Z97" i="2" s="1"/>
  <c r="AA97" i="2" s="1"/>
  <c r="AB97" i="2" s="1"/>
  <c r="AC97" i="2" s="1"/>
  <c r="AD97" i="2" s="1"/>
  <c r="AE97" i="2" s="1"/>
  <c r="AF97" i="2" s="1"/>
  <c r="AG97" i="2" s="1"/>
  <c r="AH97" i="2" s="1"/>
  <c r="AI97" i="2" s="1"/>
  <c r="W98" i="2"/>
  <c r="X98" i="2" s="1"/>
  <c r="Y98" i="2" s="1"/>
  <c r="Z98" i="2" s="1"/>
  <c r="AA98" i="2" s="1"/>
  <c r="AB98" i="2" s="1"/>
  <c r="AC98" i="2" s="1"/>
  <c r="AD98" i="2" s="1"/>
  <c r="AE98" i="2" s="1"/>
  <c r="AF98" i="2" s="1"/>
  <c r="AG98" i="2" s="1"/>
  <c r="AH98" i="2" s="1"/>
  <c r="AI98" i="2" s="1"/>
  <c r="AC31" i="3"/>
  <c r="V31" i="3"/>
  <c r="Z31" i="3"/>
  <c r="AA31" i="3"/>
  <c r="AG31" i="3"/>
  <c r="Y31" i="3"/>
  <c r="AE31" i="3"/>
  <c r="X31" i="3"/>
  <c r="AI31" i="3"/>
  <c r="U31" i="3"/>
  <c r="AH31" i="3"/>
  <c r="W31" i="3"/>
  <c r="AB31" i="3"/>
  <c r="AF31" i="3"/>
  <c r="AD31" i="3"/>
  <c r="U91" i="2"/>
  <c r="Q101" i="2"/>
  <c r="J13" i="4"/>
  <c r="Z22" i="3"/>
  <c r="V22" i="3"/>
  <c r="X22" i="3"/>
  <c r="AB22" i="3"/>
  <c r="AD22" i="3"/>
  <c r="L22" i="3"/>
  <c r="P22" i="3"/>
  <c r="T22" i="3"/>
  <c r="AF36" i="3"/>
  <c r="AF8" i="4" s="1"/>
  <c r="AB36" i="3"/>
  <c r="AB8" i="4" s="1"/>
  <c r="X36" i="3"/>
  <c r="X8" i="4" s="1"/>
  <c r="P36" i="3"/>
  <c r="P8" i="4" s="1"/>
  <c r="L36" i="3"/>
  <c r="L8" i="4" s="1"/>
  <c r="AD36" i="3"/>
  <c r="AD8" i="4" s="1"/>
  <c r="V36" i="3"/>
  <c r="V8" i="4" s="1"/>
  <c r="AF22" i="3"/>
  <c r="Y22" i="3"/>
  <c r="AC22" i="3"/>
  <c r="AA22" i="3"/>
  <c r="K22" i="3"/>
  <c r="M22" i="3"/>
  <c r="Q22" i="3"/>
  <c r="U22" i="3"/>
  <c r="S22" i="3"/>
  <c r="J73" i="2"/>
  <c r="K73" i="2"/>
  <c r="K86" i="2" s="1"/>
  <c r="K95" i="2" s="1"/>
  <c r="L73" i="2"/>
  <c r="L86" i="2" s="1"/>
  <c r="L95" i="2" s="1"/>
  <c r="M73" i="2"/>
  <c r="M86" i="2" s="1"/>
  <c r="J74" i="2"/>
  <c r="K74" i="2"/>
  <c r="K87" i="2" s="1"/>
  <c r="L74" i="2"/>
  <c r="L87" i="2" s="1"/>
  <c r="L96" i="2" s="1"/>
  <c r="M74" i="2"/>
  <c r="M87" i="2" s="1"/>
  <c r="M96" i="2" s="1"/>
  <c r="J75" i="2"/>
  <c r="K75" i="2"/>
  <c r="K88" i="2" s="1"/>
  <c r="K97" i="2" s="1"/>
  <c r="L75" i="2"/>
  <c r="L88" i="2" s="1"/>
  <c r="M75" i="2"/>
  <c r="M88" i="2" s="1"/>
  <c r="M97" i="2" s="1"/>
  <c r="J76" i="2"/>
  <c r="K76" i="2"/>
  <c r="K89" i="2" s="1"/>
  <c r="K98" i="2" s="1"/>
  <c r="L76" i="2"/>
  <c r="L89" i="2" s="1"/>
  <c r="L98" i="2" s="1"/>
  <c r="M76" i="2"/>
  <c r="M89" i="2" s="1"/>
  <c r="M98" i="2" s="1"/>
  <c r="J77" i="2"/>
  <c r="K77" i="2"/>
  <c r="K90" i="2" s="1"/>
  <c r="K99" i="2" s="1"/>
  <c r="L77" i="2"/>
  <c r="L90" i="2" s="1"/>
  <c r="L99" i="2" s="1"/>
  <c r="M77" i="2"/>
  <c r="M90" i="2" s="1"/>
  <c r="M99" i="2" s="1"/>
  <c r="I77" i="2"/>
  <c r="I76" i="2"/>
  <c r="I75" i="2"/>
  <c r="I74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43" i="2"/>
  <c r="AB44" i="2"/>
  <c r="AB45" i="2"/>
  <c r="AB46" i="2"/>
  <c r="AB47" i="2"/>
  <c r="AB48" i="2"/>
  <c r="AB49" i="2"/>
  <c r="AB50" i="2"/>
  <c r="AB51" i="2"/>
  <c r="AB54" i="2"/>
  <c r="AB55" i="2"/>
  <c r="AB56" i="2"/>
  <c r="AB57" i="2"/>
  <c r="AB58" i="2"/>
  <c r="AB59" i="2"/>
  <c r="AB60" i="2"/>
  <c r="AB6" i="2"/>
  <c r="I73" i="2"/>
  <c r="C77" i="2"/>
  <c r="C76" i="2"/>
  <c r="C75" i="2"/>
  <c r="C74" i="2"/>
  <c r="C73" i="2"/>
  <c r="J71" i="2"/>
  <c r="K71" i="2"/>
  <c r="L71" i="2"/>
  <c r="M71" i="2"/>
  <c r="I71" i="2"/>
  <c r="N6" i="2"/>
  <c r="C43" i="1"/>
  <c r="C42" i="1"/>
  <c r="C41" i="1"/>
  <c r="C40" i="1"/>
  <c r="C39" i="1"/>
  <c r="S51" i="1"/>
  <c r="O51" i="1"/>
  <c r="K51" i="1"/>
  <c r="P6" i="1"/>
  <c r="O6" i="1"/>
  <c r="N6" i="1"/>
  <c r="M6" i="1"/>
  <c r="L6" i="1"/>
  <c r="K6" i="1"/>
  <c r="J6" i="1"/>
  <c r="I6" i="1"/>
  <c r="U101" i="2" l="1"/>
  <c r="N80" i="2"/>
  <c r="N73" i="2"/>
  <c r="N74" i="2"/>
  <c r="N87" i="2" s="1"/>
  <c r="N96" i="2" s="1"/>
  <c r="N75" i="2"/>
  <c r="N88" i="2" s="1"/>
  <c r="N97" i="2" s="1"/>
  <c r="N76" i="2"/>
  <c r="N89" i="2" s="1"/>
  <c r="N98" i="2" s="1"/>
  <c r="N77" i="2"/>
  <c r="N90" i="2" s="1"/>
  <c r="N99" i="2" s="1"/>
  <c r="C88" i="2"/>
  <c r="C97" i="2"/>
  <c r="R80" i="2"/>
  <c r="T80" i="2"/>
  <c r="Q80" i="2"/>
  <c r="U80" i="2"/>
  <c r="O80" i="2"/>
  <c r="S80" i="2"/>
  <c r="P80" i="2"/>
  <c r="C95" i="2"/>
  <c r="C86" i="2"/>
  <c r="C99" i="2"/>
  <c r="C90" i="2"/>
  <c r="C89" i="2"/>
  <c r="C98" i="2"/>
  <c r="C87" i="2"/>
  <c r="C96" i="2"/>
  <c r="K91" i="2"/>
  <c r="K96" i="2"/>
  <c r="K101" i="2" s="1"/>
  <c r="M95" i="2"/>
  <c r="M101" i="2" s="1"/>
  <c r="M91" i="2"/>
  <c r="V101" i="2"/>
  <c r="W95" i="2"/>
  <c r="L91" i="2"/>
  <c r="L97" i="2"/>
  <c r="L101" i="2" s="1"/>
  <c r="K15" i="5"/>
  <c r="K60" i="1"/>
  <c r="K16" i="4" s="1"/>
  <c r="K24" i="4" s="1"/>
  <c r="C61" i="1"/>
  <c r="C52" i="1"/>
  <c r="O15" i="5"/>
  <c r="O60" i="1"/>
  <c r="O16" i="4" s="1"/>
  <c r="O24" i="4" s="1"/>
  <c r="C62" i="1"/>
  <c r="C53" i="1"/>
  <c r="C60" i="1"/>
  <c r="C51" i="1"/>
  <c r="C64" i="1"/>
  <c r="C55" i="1"/>
  <c r="S15" i="5"/>
  <c r="S60" i="1"/>
  <c r="S16" i="4" s="1"/>
  <c r="S24" i="4" s="1"/>
  <c r="C63" i="1"/>
  <c r="C54" i="1"/>
  <c r="J78" i="2"/>
  <c r="L51" i="1"/>
  <c r="P51" i="1"/>
  <c r="T51" i="1"/>
  <c r="M51" i="1"/>
  <c r="Q51" i="1"/>
  <c r="U51" i="1"/>
  <c r="N51" i="1"/>
  <c r="R51" i="1"/>
  <c r="S55" i="1"/>
  <c r="O55" i="1"/>
  <c r="K55" i="1"/>
  <c r="S54" i="1"/>
  <c r="O54" i="1"/>
  <c r="K54" i="1"/>
  <c r="S53" i="1"/>
  <c r="O53" i="1"/>
  <c r="K53" i="1"/>
  <c r="S52" i="1"/>
  <c r="O52" i="1"/>
  <c r="K52" i="1"/>
  <c r="R55" i="1"/>
  <c r="N55" i="1"/>
  <c r="R54" i="1"/>
  <c r="N54" i="1"/>
  <c r="R53" i="1"/>
  <c r="N53" i="1"/>
  <c r="R52" i="1"/>
  <c r="N52" i="1"/>
  <c r="U55" i="1"/>
  <c r="Q55" i="1"/>
  <c r="M55" i="1"/>
  <c r="U54" i="1"/>
  <c r="Q54" i="1"/>
  <c r="M54" i="1"/>
  <c r="U53" i="1"/>
  <c r="Q53" i="1"/>
  <c r="M53" i="1"/>
  <c r="U52" i="1"/>
  <c r="Q52" i="1"/>
  <c r="M52" i="1"/>
  <c r="T55" i="1"/>
  <c r="P55" i="1"/>
  <c r="L55" i="1"/>
  <c r="T54" i="1"/>
  <c r="P54" i="1"/>
  <c r="L54" i="1"/>
  <c r="T53" i="1"/>
  <c r="P53" i="1"/>
  <c r="L53" i="1"/>
  <c r="T52" i="1"/>
  <c r="P52" i="1"/>
  <c r="L52" i="1"/>
  <c r="AE22" i="3"/>
  <c r="T36" i="3"/>
  <c r="T8" i="4" s="1"/>
  <c r="N36" i="3"/>
  <c r="N8" i="4" s="1"/>
  <c r="Z36" i="3"/>
  <c r="Z8" i="4" s="1"/>
  <c r="AE36" i="3"/>
  <c r="AE8" i="4" s="1"/>
  <c r="R36" i="3"/>
  <c r="R8" i="4" s="1"/>
  <c r="W36" i="3"/>
  <c r="W8" i="4" s="1"/>
  <c r="S36" i="3"/>
  <c r="S8" i="4" s="1"/>
  <c r="K37" i="3"/>
  <c r="AA36" i="3"/>
  <c r="AA8" i="4" s="1"/>
  <c r="AC36" i="3"/>
  <c r="AC8" i="4" s="1"/>
  <c r="AG36" i="3"/>
  <c r="AG8" i="4" s="1"/>
  <c r="K36" i="3"/>
  <c r="K8" i="4" s="1"/>
  <c r="Y36" i="3"/>
  <c r="Y8" i="4" s="1"/>
  <c r="O36" i="3"/>
  <c r="O8" i="4" s="1"/>
  <c r="Q36" i="3"/>
  <c r="Q8" i="4" s="1"/>
  <c r="M36" i="3"/>
  <c r="M8" i="4" s="1"/>
  <c r="U36" i="3"/>
  <c r="U8" i="4" s="1"/>
  <c r="AH36" i="3"/>
  <c r="AH8" i="4" s="1"/>
  <c r="AG22" i="3"/>
  <c r="K78" i="2"/>
  <c r="K80" i="2"/>
  <c r="M80" i="2"/>
  <c r="J80" i="2"/>
  <c r="L78" i="2"/>
  <c r="I80" i="2"/>
  <c r="M78" i="2"/>
  <c r="L80" i="2"/>
  <c r="I78" i="2"/>
  <c r="N71" i="2"/>
  <c r="K37" i="1"/>
  <c r="O37" i="1"/>
  <c r="S37" i="1"/>
  <c r="R37" i="1"/>
  <c r="P37" i="1"/>
  <c r="T37" i="1"/>
  <c r="I37" i="1"/>
  <c r="M37" i="1"/>
  <c r="Q37" i="1"/>
  <c r="U37" i="1"/>
  <c r="J37" i="1"/>
  <c r="N37" i="1"/>
  <c r="L37" i="1"/>
  <c r="K9" i="4" l="1"/>
  <c r="H8" i="4"/>
  <c r="N86" i="2"/>
  <c r="N15" i="5" s="1"/>
  <c r="N78" i="2"/>
  <c r="W101" i="2"/>
  <c r="X95" i="2"/>
  <c r="S56" i="1"/>
  <c r="P16" i="5"/>
  <c r="P61" i="1"/>
  <c r="P17" i="4" s="1"/>
  <c r="L64" i="1"/>
  <c r="L20" i="4" s="1"/>
  <c r="L28" i="4" s="1"/>
  <c r="L19" i="5"/>
  <c r="Q63" i="1"/>
  <c r="Q19" i="4" s="1"/>
  <c r="Q27" i="4" s="1"/>
  <c r="Q18" i="5"/>
  <c r="R61" i="1"/>
  <c r="R17" i="4" s="1"/>
  <c r="R25" i="4" s="1"/>
  <c r="R16" i="5"/>
  <c r="N19" i="5"/>
  <c r="N64" i="1"/>
  <c r="N20" i="4" s="1"/>
  <c r="N28" i="4" s="1"/>
  <c r="S62" i="1"/>
  <c r="S18" i="4" s="1"/>
  <c r="S26" i="4" s="1"/>
  <c r="S17" i="5"/>
  <c r="N56" i="1"/>
  <c r="N60" i="1"/>
  <c r="L62" i="1"/>
  <c r="L18" i="4" s="1"/>
  <c r="L26" i="4" s="1"/>
  <c r="L17" i="5"/>
  <c r="P18" i="5"/>
  <c r="P63" i="1"/>
  <c r="P19" i="4" s="1"/>
  <c r="P27" i="4" s="1"/>
  <c r="T64" i="1"/>
  <c r="T20" i="4" s="1"/>
  <c r="T28" i="4" s="1"/>
  <c r="T19" i="5"/>
  <c r="Q16" i="5"/>
  <c r="Q61" i="1"/>
  <c r="Q17" i="4" s="1"/>
  <c r="Q25" i="4" s="1"/>
  <c r="U18" i="4"/>
  <c r="M64" i="1"/>
  <c r="M20" i="4" s="1"/>
  <c r="M28" i="4" s="1"/>
  <c r="M19" i="5"/>
  <c r="N17" i="5"/>
  <c r="N62" i="1"/>
  <c r="N18" i="4" s="1"/>
  <c r="N26" i="4" s="1"/>
  <c r="R63" i="1"/>
  <c r="R19" i="4" s="1"/>
  <c r="R27" i="4" s="1"/>
  <c r="R18" i="5"/>
  <c r="K62" i="1"/>
  <c r="K18" i="4" s="1"/>
  <c r="K26" i="4" s="1"/>
  <c r="K17" i="5"/>
  <c r="L25" i="5" s="1"/>
  <c r="O18" i="5"/>
  <c r="O63" i="1"/>
  <c r="O19" i="4" s="1"/>
  <c r="O27" i="4" s="1"/>
  <c r="S19" i="5"/>
  <c r="S64" i="1"/>
  <c r="S20" i="4" s="1"/>
  <c r="S28" i="4" s="1"/>
  <c r="U16" i="4"/>
  <c r="U56" i="1"/>
  <c r="T60" i="1"/>
  <c r="T16" i="4" s="1"/>
  <c r="T24" i="4" s="1"/>
  <c r="T15" i="5"/>
  <c r="T56" i="1"/>
  <c r="L16" i="5"/>
  <c r="L61" i="1"/>
  <c r="L17" i="4" s="1"/>
  <c r="L25" i="4" s="1"/>
  <c r="P62" i="1"/>
  <c r="P18" i="4" s="1"/>
  <c r="P17" i="5"/>
  <c r="T18" i="5"/>
  <c r="T63" i="1"/>
  <c r="T19" i="4" s="1"/>
  <c r="T27" i="4" s="1"/>
  <c r="U17" i="4"/>
  <c r="M63" i="1"/>
  <c r="M19" i="4" s="1"/>
  <c r="M18" i="5"/>
  <c r="Q64" i="1"/>
  <c r="Q20" i="4" s="1"/>
  <c r="Q28" i="4" s="1"/>
  <c r="Q19" i="5"/>
  <c r="N61" i="1"/>
  <c r="N17" i="4" s="1"/>
  <c r="N25" i="4" s="1"/>
  <c r="N16" i="5"/>
  <c r="R17" i="5"/>
  <c r="R62" i="1"/>
  <c r="R18" i="4" s="1"/>
  <c r="K16" i="5"/>
  <c r="K61" i="1"/>
  <c r="K17" i="4" s="1"/>
  <c r="K25" i="4" s="1"/>
  <c r="O62" i="1"/>
  <c r="O18" i="4" s="1"/>
  <c r="O26" i="4" s="1"/>
  <c r="O17" i="5"/>
  <c r="S18" i="5"/>
  <c r="S63" i="1"/>
  <c r="S19" i="4" s="1"/>
  <c r="S27" i="4" s="1"/>
  <c r="R60" i="1"/>
  <c r="R16" i="4" s="1"/>
  <c r="R24" i="4" s="1"/>
  <c r="R15" i="5"/>
  <c r="R56" i="1"/>
  <c r="Q60" i="1"/>
  <c r="Q16" i="4" s="1"/>
  <c r="Q24" i="4" s="1"/>
  <c r="Q15" i="5"/>
  <c r="Q56" i="1"/>
  <c r="P60" i="1"/>
  <c r="P16" i="4" s="1"/>
  <c r="P24" i="4" s="1"/>
  <c r="P15" i="5"/>
  <c r="P56" i="1"/>
  <c r="K56" i="1"/>
  <c r="T62" i="1"/>
  <c r="T18" i="4" s="1"/>
  <c r="T26" i="4" s="1"/>
  <c r="T17" i="5"/>
  <c r="M62" i="1"/>
  <c r="M18" i="4" s="1"/>
  <c r="M26" i="4" s="1"/>
  <c r="M17" i="5"/>
  <c r="U20" i="4"/>
  <c r="O61" i="1"/>
  <c r="O16" i="5"/>
  <c r="K64" i="1"/>
  <c r="K20" i="4" s="1"/>
  <c r="K28" i="4" s="1"/>
  <c r="K19" i="5"/>
  <c r="M60" i="1"/>
  <c r="M16" i="4" s="1"/>
  <c r="M24" i="4" s="1"/>
  <c r="M15" i="5"/>
  <c r="M56" i="1"/>
  <c r="L60" i="1"/>
  <c r="L16" i="4" s="1"/>
  <c r="L24" i="4" s="1"/>
  <c r="L15" i="5"/>
  <c r="L56" i="1"/>
  <c r="O56" i="1"/>
  <c r="T16" i="5"/>
  <c r="T61" i="1"/>
  <c r="T17" i="4" s="1"/>
  <c r="T25" i="4" s="1"/>
  <c r="L18" i="5"/>
  <c r="L63" i="1"/>
  <c r="L19" i="4" s="1"/>
  <c r="L27" i="4" s="1"/>
  <c r="P64" i="1"/>
  <c r="P20" i="4" s="1"/>
  <c r="P28" i="4" s="1"/>
  <c r="P19" i="5"/>
  <c r="M16" i="5"/>
  <c r="M61" i="1"/>
  <c r="M17" i="4" s="1"/>
  <c r="M25" i="4" s="1"/>
  <c r="Q62" i="1"/>
  <c r="Q18" i="4" s="1"/>
  <c r="Q26" i="4" s="1"/>
  <c r="Q17" i="5"/>
  <c r="U19" i="4"/>
  <c r="N63" i="1"/>
  <c r="N19" i="4" s="1"/>
  <c r="N27" i="4" s="1"/>
  <c r="N18" i="5"/>
  <c r="R19" i="5"/>
  <c r="R64" i="1"/>
  <c r="R20" i="4" s="1"/>
  <c r="R28" i="4" s="1"/>
  <c r="S61" i="1"/>
  <c r="S17" i="4" s="1"/>
  <c r="S25" i="4" s="1"/>
  <c r="S16" i="5"/>
  <c r="K63" i="1"/>
  <c r="K19" i="4" s="1"/>
  <c r="K27" i="4" s="1"/>
  <c r="K18" i="5"/>
  <c r="O19" i="5"/>
  <c r="O64" i="1"/>
  <c r="O20" i="4" s="1"/>
  <c r="O28" i="4" s="1"/>
  <c r="T44" i="1"/>
  <c r="T46" i="1" s="1"/>
  <c r="Q44" i="1"/>
  <c r="Q46" i="1" s="1"/>
  <c r="N44" i="1"/>
  <c r="I44" i="1"/>
  <c r="I46" i="1" s="1"/>
  <c r="K44" i="1"/>
  <c r="K46" i="1" s="1"/>
  <c r="J44" i="1"/>
  <c r="J46" i="1" s="1"/>
  <c r="P44" i="1"/>
  <c r="P46" i="1" s="1"/>
  <c r="U44" i="1"/>
  <c r="U46" i="1" s="1"/>
  <c r="R44" i="1"/>
  <c r="R46" i="1" s="1"/>
  <c r="M27" i="4"/>
  <c r="M44" i="1"/>
  <c r="M46" i="1" s="1"/>
  <c r="S44" i="1"/>
  <c r="S46" i="1" s="1"/>
  <c r="O44" i="1"/>
  <c r="O46" i="1" s="1"/>
  <c r="K23" i="5"/>
  <c r="K33" i="5" s="1"/>
  <c r="K32" i="4" s="1"/>
  <c r="L44" i="1"/>
  <c r="L46" i="1" s="1"/>
  <c r="P26" i="4"/>
  <c r="K39" i="3"/>
  <c r="K11" i="4" s="1"/>
  <c r="K40" i="3"/>
  <c r="K12" i="4" s="1"/>
  <c r="K38" i="3"/>
  <c r="K10" i="4" s="1"/>
  <c r="L39" i="3"/>
  <c r="L11" i="4" s="1"/>
  <c r="L37" i="3"/>
  <c r="AH22" i="3"/>
  <c r="P23" i="5" l="1"/>
  <c r="P33" i="5" s="1"/>
  <c r="P32" i="4" s="1"/>
  <c r="P40" i="4" s="1"/>
  <c r="L24" i="5"/>
  <c r="L34" i="5" s="1"/>
  <c r="L33" i="4" s="1"/>
  <c r="O66" i="1"/>
  <c r="O17" i="4"/>
  <c r="O25" i="4" s="1"/>
  <c r="O29" i="4" s="1"/>
  <c r="L9" i="4"/>
  <c r="K41" i="3"/>
  <c r="O23" i="5"/>
  <c r="O33" i="5" s="1"/>
  <c r="O32" i="4" s="1"/>
  <c r="O40" i="4" s="1"/>
  <c r="J17" i="5"/>
  <c r="N91" i="2"/>
  <c r="N95" i="2"/>
  <c r="N101" i="2" s="1"/>
  <c r="K25" i="5"/>
  <c r="K35" i="5" s="1"/>
  <c r="K34" i="4" s="1"/>
  <c r="X101" i="2"/>
  <c r="Y95" i="2"/>
  <c r="P27" i="5"/>
  <c r="O25" i="5"/>
  <c r="N24" i="5"/>
  <c r="N34" i="5" s="1"/>
  <c r="N33" i="4" s="1"/>
  <c r="K24" i="5"/>
  <c r="K34" i="5" s="1"/>
  <c r="K33" i="4" s="1"/>
  <c r="N26" i="5"/>
  <c r="N36" i="5" s="1"/>
  <c r="N35" i="4" s="1"/>
  <c r="S66" i="1"/>
  <c r="J15" i="5"/>
  <c r="K66" i="1"/>
  <c r="N20" i="5"/>
  <c r="W18" i="5"/>
  <c r="X18" i="5" s="1"/>
  <c r="Y18" i="5" s="1"/>
  <c r="Z18" i="5" s="1"/>
  <c r="M25" i="5"/>
  <c r="N23" i="5"/>
  <c r="M23" i="5"/>
  <c r="L66" i="1"/>
  <c r="M66" i="1"/>
  <c r="P66" i="1"/>
  <c r="V16" i="4"/>
  <c r="Q66" i="1"/>
  <c r="R66" i="1"/>
  <c r="N25" i="5"/>
  <c r="L23" i="5"/>
  <c r="L20" i="5"/>
  <c r="N66" i="1"/>
  <c r="L35" i="5"/>
  <c r="L34" i="4" s="1"/>
  <c r="L42" i="4" s="1"/>
  <c r="P25" i="4"/>
  <c r="P29" i="4" s="1"/>
  <c r="W19" i="5"/>
  <c r="X19" i="5" s="1"/>
  <c r="Y19" i="5" s="1"/>
  <c r="Z19" i="5" s="1"/>
  <c r="Z27" i="5" s="1"/>
  <c r="T66" i="1"/>
  <c r="U66" i="1"/>
  <c r="J18" i="5"/>
  <c r="L21" i="4"/>
  <c r="K21" i="4"/>
  <c r="M26" i="5"/>
  <c r="K26" i="5"/>
  <c r="O26" i="5"/>
  <c r="L26" i="5"/>
  <c r="T23" i="5"/>
  <c r="S23" i="5"/>
  <c r="R23" i="5"/>
  <c r="Q23" i="5"/>
  <c r="U23" i="5"/>
  <c r="U24" i="5"/>
  <c r="T26" i="5"/>
  <c r="Q24" i="5"/>
  <c r="L27" i="5"/>
  <c r="S26" i="5"/>
  <c r="O20" i="5"/>
  <c r="P26" i="5"/>
  <c r="Q26" i="5"/>
  <c r="R26" i="5"/>
  <c r="R24" i="5"/>
  <c r="O24" i="5"/>
  <c r="T24" i="5"/>
  <c r="J16" i="5"/>
  <c r="M20" i="5"/>
  <c r="P20" i="5"/>
  <c r="P24" i="5"/>
  <c r="S24" i="5"/>
  <c r="M24" i="5"/>
  <c r="M34" i="5" s="1"/>
  <c r="M33" i="4" s="1"/>
  <c r="U28" i="4"/>
  <c r="M27" i="5"/>
  <c r="S27" i="5"/>
  <c r="J19" i="5"/>
  <c r="Q27" i="5"/>
  <c r="O27" i="5"/>
  <c r="R27" i="5"/>
  <c r="N27" i="5"/>
  <c r="K27" i="5"/>
  <c r="K37" i="5" s="1"/>
  <c r="K36" i="4" s="1"/>
  <c r="K20" i="5"/>
  <c r="T20" i="5"/>
  <c r="R20" i="5"/>
  <c r="P25" i="5"/>
  <c r="M21" i="4"/>
  <c r="T27" i="5"/>
  <c r="R21" i="4"/>
  <c r="K40" i="4"/>
  <c r="Q21" i="4"/>
  <c r="T21" i="4"/>
  <c r="P21" i="4"/>
  <c r="S21" i="4"/>
  <c r="R26" i="4"/>
  <c r="R29" i="4" s="1"/>
  <c r="S20" i="5"/>
  <c r="U25" i="5"/>
  <c r="T25" i="5"/>
  <c r="S25" i="5"/>
  <c r="Q20" i="5"/>
  <c r="R25" i="5"/>
  <c r="Q25" i="5"/>
  <c r="T29" i="4"/>
  <c r="K41" i="4"/>
  <c r="K29" i="4"/>
  <c r="Q29" i="4"/>
  <c r="L29" i="4"/>
  <c r="S29" i="4"/>
  <c r="M29" i="4"/>
  <c r="K13" i="4"/>
  <c r="AI22" i="3"/>
  <c r="AI36" i="3"/>
  <c r="AI8" i="4" s="1"/>
  <c r="M39" i="3"/>
  <c r="M11" i="4" s="1"/>
  <c r="L38" i="3"/>
  <c r="L10" i="4" s="1"/>
  <c r="L40" i="3"/>
  <c r="L12" i="4" s="1"/>
  <c r="M37" i="3"/>
  <c r="W63" i="1" l="1"/>
  <c r="V19" i="4"/>
  <c r="O21" i="4"/>
  <c r="W61" i="1"/>
  <c r="V17" i="4"/>
  <c r="W62" i="1"/>
  <c r="V18" i="4"/>
  <c r="W64" i="1"/>
  <c r="V20" i="4"/>
  <c r="N16" i="4"/>
  <c r="M9" i="4"/>
  <c r="L41" i="3"/>
  <c r="J25" i="5"/>
  <c r="N43" i="4"/>
  <c r="K42" i="4"/>
  <c r="P37" i="5"/>
  <c r="P36" i="4" s="1"/>
  <c r="P44" i="4" s="1"/>
  <c r="O35" i="5"/>
  <c r="O34" i="4" s="1"/>
  <c r="O42" i="4" s="1"/>
  <c r="Y101" i="2"/>
  <c r="Z95" i="2"/>
  <c r="J23" i="5"/>
  <c r="L28" i="5"/>
  <c r="Z37" i="5"/>
  <c r="Z36" i="4" s="1"/>
  <c r="T37" i="5"/>
  <c r="T36" i="4" s="1"/>
  <c r="T44" i="4" s="1"/>
  <c r="S37" i="5"/>
  <c r="S36" i="4" s="1"/>
  <c r="S44" i="4" s="1"/>
  <c r="Q35" i="5"/>
  <c r="Q34" i="4" s="1"/>
  <c r="Q42" i="4" s="1"/>
  <c r="T35" i="5"/>
  <c r="T34" i="4" s="1"/>
  <c r="T42" i="4" s="1"/>
  <c r="P35" i="5"/>
  <c r="P34" i="4" s="1"/>
  <c r="P42" i="4" s="1"/>
  <c r="Q37" i="5"/>
  <c r="Q36" i="4" s="1"/>
  <c r="Q44" i="4" s="1"/>
  <c r="O34" i="5"/>
  <c r="O33" i="4" s="1"/>
  <c r="O41" i="4" s="1"/>
  <c r="P36" i="5"/>
  <c r="P35" i="4" s="1"/>
  <c r="P43" i="4" s="1"/>
  <c r="U33" i="5"/>
  <c r="U32" i="4" s="1"/>
  <c r="T33" i="5"/>
  <c r="T32" i="4" s="1"/>
  <c r="T40" i="4" s="1"/>
  <c r="M36" i="5"/>
  <c r="M35" i="4" s="1"/>
  <c r="M43" i="4" s="1"/>
  <c r="R35" i="5"/>
  <c r="R34" i="4" s="1"/>
  <c r="R42" i="4" s="1"/>
  <c r="U35" i="5"/>
  <c r="U34" i="4" s="1"/>
  <c r="N37" i="5"/>
  <c r="N36" i="4" s="1"/>
  <c r="N44" i="4" s="1"/>
  <c r="R34" i="5"/>
  <c r="R33" i="4" s="1"/>
  <c r="R41" i="4" s="1"/>
  <c r="Q34" i="5"/>
  <c r="Q33" i="4" s="1"/>
  <c r="Q41" i="4" s="1"/>
  <c r="Q33" i="5"/>
  <c r="Q32" i="4" s="1"/>
  <c r="Q40" i="4" s="1"/>
  <c r="L36" i="5"/>
  <c r="L35" i="4" s="1"/>
  <c r="L43" i="4" s="1"/>
  <c r="W60" i="1"/>
  <c r="W16" i="4" s="1"/>
  <c r="V66" i="1"/>
  <c r="M33" i="5"/>
  <c r="M32" i="4" s="1"/>
  <c r="M40" i="4" s="1"/>
  <c r="R37" i="5"/>
  <c r="R36" i="4" s="1"/>
  <c r="R44" i="4" s="1"/>
  <c r="S34" i="5"/>
  <c r="S33" i="4" s="1"/>
  <c r="S41" i="4" s="1"/>
  <c r="R36" i="5"/>
  <c r="R35" i="4" s="1"/>
  <c r="R43" i="4" s="1"/>
  <c r="S36" i="5"/>
  <c r="S35" i="4" s="1"/>
  <c r="S43" i="4" s="1"/>
  <c r="T36" i="5"/>
  <c r="T35" i="4" s="1"/>
  <c r="T43" i="4" s="1"/>
  <c r="R33" i="5"/>
  <c r="R32" i="4" s="1"/>
  <c r="R40" i="4" s="1"/>
  <c r="O36" i="5"/>
  <c r="O35" i="4" s="1"/>
  <c r="O43" i="4" s="1"/>
  <c r="L33" i="5"/>
  <c r="L32" i="4" s="1"/>
  <c r="L40" i="4" s="1"/>
  <c r="N33" i="5"/>
  <c r="N32" i="4" s="1"/>
  <c r="S35" i="5"/>
  <c r="S34" i="4" s="1"/>
  <c r="S42" i="4" s="1"/>
  <c r="O37" i="5"/>
  <c r="O36" i="4" s="1"/>
  <c r="O44" i="4" s="1"/>
  <c r="M37" i="5"/>
  <c r="M36" i="4" s="1"/>
  <c r="M44" i="4" s="1"/>
  <c r="P34" i="5"/>
  <c r="P33" i="4" s="1"/>
  <c r="P41" i="4" s="1"/>
  <c r="T34" i="5"/>
  <c r="T33" i="4" s="1"/>
  <c r="T41" i="4" s="1"/>
  <c r="Q36" i="5"/>
  <c r="Q35" i="4" s="1"/>
  <c r="Q43" i="4" s="1"/>
  <c r="L37" i="5"/>
  <c r="L36" i="4" s="1"/>
  <c r="L44" i="4" s="1"/>
  <c r="U34" i="5"/>
  <c r="U33" i="4" s="1"/>
  <c r="S33" i="5"/>
  <c r="S32" i="4" s="1"/>
  <c r="S40" i="4" s="1"/>
  <c r="K36" i="5"/>
  <c r="N35" i="5"/>
  <c r="N34" i="4" s="1"/>
  <c r="N42" i="4" s="1"/>
  <c r="M35" i="5"/>
  <c r="M34" i="4" s="1"/>
  <c r="M42" i="4" s="1"/>
  <c r="J26" i="5"/>
  <c r="U24" i="4"/>
  <c r="V24" i="5"/>
  <c r="X26" i="5"/>
  <c r="Y26" i="5"/>
  <c r="V26" i="5"/>
  <c r="W26" i="5"/>
  <c r="U26" i="5"/>
  <c r="M28" i="5"/>
  <c r="J20" i="5"/>
  <c r="U25" i="4"/>
  <c r="U21" i="4"/>
  <c r="U27" i="4"/>
  <c r="M41" i="4"/>
  <c r="J24" i="5"/>
  <c r="N28" i="5"/>
  <c r="J27" i="5"/>
  <c r="K44" i="4"/>
  <c r="O28" i="5"/>
  <c r="K28" i="5"/>
  <c r="Y27" i="5"/>
  <c r="U27" i="5"/>
  <c r="AA19" i="5"/>
  <c r="AA27" i="5" s="1"/>
  <c r="V27" i="5"/>
  <c r="W27" i="5"/>
  <c r="P28" i="5"/>
  <c r="X27" i="5"/>
  <c r="W15" i="5"/>
  <c r="W23" i="5" s="1"/>
  <c r="V23" i="5"/>
  <c r="V24" i="4"/>
  <c r="R28" i="5"/>
  <c r="S28" i="5"/>
  <c r="Q28" i="5"/>
  <c r="U26" i="4"/>
  <c r="T28" i="5"/>
  <c r="L41" i="4"/>
  <c r="V27" i="4"/>
  <c r="N41" i="4"/>
  <c r="V25" i="4"/>
  <c r="W16" i="5"/>
  <c r="L13" i="4"/>
  <c r="AA18" i="5"/>
  <c r="AA26" i="5" s="1"/>
  <c r="Z26" i="5"/>
  <c r="N37" i="3"/>
  <c r="M38" i="3"/>
  <c r="M10" i="4" s="1"/>
  <c r="M40" i="3"/>
  <c r="M12" i="4" s="1"/>
  <c r="N39" i="3"/>
  <c r="N11" i="4" s="1"/>
  <c r="U40" i="4" l="1"/>
  <c r="N24" i="4"/>
  <c r="N21" i="4"/>
  <c r="X61" i="1"/>
  <c r="W17" i="4"/>
  <c r="K39" i="5"/>
  <c r="K35" i="4"/>
  <c r="K43" i="4" s="1"/>
  <c r="K45" i="4" s="1"/>
  <c r="X62" i="1"/>
  <c r="W18" i="4"/>
  <c r="W20" i="4"/>
  <c r="X64" i="1"/>
  <c r="X63" i="1"/>
  <c r="W19" i="4"/>
  <c r="W27" i="4" s="1"/>
  <c r="M41" i="3"/>
  <c r="N9" i="4"/>
  <c r="L45" i="4"/>
  <c r="S39" i="5"/>
  <c r="Z101" i="2"/>
  <c r="AA95" i="2"/>
  <c r="P45" i="4"/>
  <c r="U42" i="4"/>
  <c r="Q45" i="4"/>
  <c r="O39" i="5"/>
  <c r="U41" i="4"/>
  <c r="S45" i="4"/>
  <c r="P39" i="5"/>
  <c r="W33" i="5"/>
  <c r="W32" i="4" s="1"/>
  <c r="W37" i="5"/>
  <c r="W36" i="4" s="1"/>
  <c r="V36" i="5"/>
  <c r="V35" i="4" s="1"/>
  <c r="V43" i="4" s="1"/>
  <c r="X37" i="5"/>
  <c r="X36" i="4" s="1"/>
  <c r="AA37" i="5"/>
  <c r="AA36" i="4" s="1"/>
  <c r="U36" i="5"/>
  <c r="U35" i="4" s="1"/>
  <c r="U43" i="4" s="1"/>
  <c r="X36" i="5"/>
  <c r="X35" i="4" s="1"/>
  <c r="Q39" i="5"/>
  <c r="Z36" i="5"/>
  <c r="Z35" i="4" s="1"/>
  <c r="O45" i="4"/>
  <c r="V33" i="5"/>
  <c r="V32" i="4" s="1"/>
  <c r="V40" i="4" s="1"/>
  <c r="U37" i="5"/>
  <c r="U36" i="4" s="1"/>
  <c r="U44" i="4" s="1"/>
  <c r="W36" i="5"/>
  <c r="W35" i="4" s="1"/>
  <c r="V34" i="5"/>
  <c r="V33" i="4" s="1"/>
  <c r="V41" i="4" s="1"/>
  <c r="N39" i="5"/>
  <c r="AA36" i="5"/>
  <c r="AA35" i="4" s="1"/>
  <c r="Y37" i="5"/>
  <c r="Y36" i="4" s="1"/>
  <c r="X60" i="1"/>
  <c r="X16" i="4" s="1"/>
  <c r="W66" i="1"/>
  <c r="T39" i="5"/>
  <c r="T45" i="4"/>
  <c r="V37" i="5"/>
  <c r="V36" i="4" s="1"/>
  <c r="M45" i="4"/>
  <c r="Y36" i="5"/>
  <c r="Y35" i="4" s="1"/>
  <c r="L39" i="5"/>
  <c r="R39" i="5"/>
  <c r="M39" i="5"/>
  <c r="V21" i="4"/>
  <c r="V28" i="4"/>
  <c r="AB19" i="5"/>
  <c r="AC19" i="5" s="1"/>
  <c r="AC27" i="5" s="1"/>
  <c r="U28" i="5"/>
  <c r="J28" i="5"/>
  <c r="W24" i="4"/>
  <c r="X15" i="5"/>
  <c r="R45" i="4"/>
  <c r="V26" i="4"/>
  <c r="W17" i="5"/>
  <c r="W20" i="5" s="1"/>
  <c r="U29" i="4"/>
  <c r="V25" i="5"/>
  <c r="V35" i="5" s="1"/>
  <c r="V34" i="4" s="1"/>
  <c r="W28" i="4"/>
  <c r="W25" i="4"/>
  <c r="X16" i="5"/>
  <c r="W24" i="5"/>
  <c r="W34" i="5" s="1"/>
  <c r="W33" i="4" s="1"/>
  <c r="M13" i="4"/>
  <c r="AB18" i="5"/>
  <c r="O39" i="3"/>
  <c r="O11" i="4" s="1"/>
  <c r="N38" i="3"/>
  <c r="N10" i="4" s="1"/>
  <c r="O37" i="3"/>
  <c r="Y62" i="1" l="1"/>
  <c r="X18" i="4"/>
  <c r="Y64" i="1"/>
  <c r="X20" i="4"/>
  <c r="X28" i="4" s="1"/>
  <c r="X44" i="4" s="1"/>
  <c r="Y63" i="1"/>
  <c r="X19" i="4"/>
  <c r="X27" i="4" s="1"/>
  <c r="X43" i="4" s="1"/>
  <c r="Y61" i="1"/>
  <c r="X17" i="4"/>
  <c r="X25" i="4" s="1"/>
  <c r="N29" i="4"/>
  <c r="N40" i="4"/>
  <c r="N45" i="4" s="1"/>
  <c r="O9" i="4"/>
  <c r="W44" i="4"/>
  <c r="W40" i="4"/>
  <c r="W43" i="4"/>
  <c r="U39" i="5"/>
  <c r="AA101" i="2"/>
  <c r="AB95" i="2"/>
  <c r="V44" i="4"/>
  <c r="V29" i="4"/>
  <c r="Y60" i="1"/>
  <c r="Y16" i="4" s="1"/>
  <c r="X66" i="1"/>
  <c r="V39" i="5"/>
  <c r="AC37" i="5"/>
  <c r="AC36" i="4" s="1"/>
  <c r="U45" i="4"/>
  <c r="N40" i="3"/>
  <c r="N12" i="4" s="1"/>
  <c r="AB27" i="5"/>
  <c r="Y15" i="5"/>
  <c r="X24" i="4"/>
  <c r="X23" i="5"/>
  <c r="W26" i="4"/>
  <c r="W21" i="4"/>
  <c r="X17" i="5"/>
  <c r="X20" i="5" s="1"/>
  <c r="W25" i="5"/>
  <c r="V28" i="5"/>
  <c r="Y16" i="5"/>
  <c r="X24" i="5"/>
  <c r="X34" i="5" s="1"/>
  <c r="X33" i="4" s="1"/>
  <c r="AC18" i="5"/>
  <c r="AB26" i="5"/>
  <c r="AD19" i="5"/>
  <c r="AD27" i="5" s="1"/>
  <c r="O40" i="3"/>
  <c r="O12" i="4" s="1"/>
  <c r="P37" i="3"/>
  <c r="P39" i="3"/>
  <c r="P11" i="4" s="1"/>
  <c r="O38" i="3"/>
  <c r="O10" i="4" s="1"/>
  <c r="P40" i="3"/>
  <c r="P12" i="4" s="1"/>
  <c r="X21" i="4" l="1"/>
  <c r="Z64" i="1"/>
  <c r="Y20" i="4"/>
  <c r="Y28" i="4" s="1"/>
  <c r="Y44" i="4" s="1"/>
  <c r="Z61" i="1"/>
  <c r="Y17" i="4"/>
  <c r="Z63" i="1"/>
  <c r="Y19" i="4"/>
  <c r="Y27" i="4" s="1"/>
  <c r="Y43" i="4" s="1"/>
  <c r="Z62" i="1"/>
  <c r="Y18" i="4"/>
  <c r="N41" i="3"/>
  <c r="O41" i="3"/>
  <c r="P9" i="4"/>
  <c r="N13" i="4"/>
  <c r="AB101" i="2"/>
  <c r="AC95" i="2"/>
  <c r="AD37" i="5"/>
  <c r="AD36" i="4" s="1"/>
  <c r="W35" i="5"/>
  <c r="X33" i="5"/>
  <c r="X32" i="4" s="1"/>
  <c r="X40" i="4" s="1"/>
  <c r="AB37" i="5"/>
  <c r="AB36" i="4" s="1"/>
  <c r="AB36" i="5"/>
  <c r="AB35" i="4" s="1"/>
  <c r="Z60" i="1"/>
  <c r="Z16" i="4" s="1"/>
  <c r="Y66" i="1"/>
  <c r="Y24" i="4"/>
  <c r="Z15" i="5"/>
  <c r="Y23" i="5"/>
  <c r="X25" i="5"/>
  <c r="W28" i="5"/>
  <c r="W29" i="4"/>
  <c r="X26" i="4"/>
  <c r="Y17" i="5"/>
  <c r="Y20" i="5" s="1"/>
  <c r="V42" i="4"/>
  <c r="W41" i="4"/>
  <c r="X41" i="4"/>
  <c r="Z16" i="5"/>
  <c r="Z24" i="5" s="1"/>
  <c r="Z34" i="5" s="1"/>
  <c r="Z33" i="4" s="1"/>
  <c r="Y24" i="5"/>
  <c r="Y34" i="5" s="1"/>
  <c r="Y33" i="4" s="1"/>
  <c r="O13" i="4"/>
  <c r="AD18" i="5"/>
  <c r="AC26" i="5"/>
  <c r="AE19" i="5"/>
  <c r="Q39" i="3"/>
  <c r="Q11" i="4" s="1"/>
  <c r="P38" i="3"/>
  <c r="P41" i="3" s="1"/>
  <c r="Q37" i="3"/>
  <c r="Y21" i="4" l="1"/>
  <c r="Y25" i="4"/>
  <c r="AA62" i="1"/>
  <c r="Z18" i="4"/>
  <c r="AA61" i="1"/>
  <c r="Z17" i="4"/>
  <c r="Z25" i="4" s="1"/>
  <c r="W39" i="5"/>
  <c r="W34" i="4"/>
  <c r="W42" i="4" s="1"/>
  <c r="W45" i="4" s="1"/>
  <c r="AA63" i="1"/>
  <c r="Z19" i="4"/>
  <c r="Z27" i="4" s="1"/>
  <c r="Z43" i="4" s="1"/>
  <c r="AA64" i="1"/>
  <c r="Z20" i="4"/>
  <c r="Z28" i="4" s="1"/>
  <c r="Z44" i="4" s="1"/>
  <c r="Q9" i="4"/>
  <c r="P10" i="4"/>
  <c r="AC101" i="2"/>
  <c r="AD95" i="2"/>
  <c r="X35" i="5"/>
  <c r="AC36" i="5"/>
  <c r="AC35" i="4" s="1"/>
  <c r="Z66" i="1"/>
  <c r="AA60" i="1"/>
  <c r="AA16" i="4" s="1"/>
  <c r="Y33" i="5"/>
  <c r="Y32" i="4" s="1"/>
  <c r="Y40" i="4" s="1"/>
  <c r="V45" i="4"/>
  <c r="X28" i="5"/>
  <c r="AA15" i="5"/>
  <c r="Z23" i="5"/>
  <c r="Z24" i="4"/>
  <c r="Z17" i="5"/>
  <c r="Z25" i="5" s="1"/>
  <c r="Z35" i="5" s="1"/>
  <c r="Z34" i="4" s="1"/>
  <c r="Y25" i="5"/>
  <c r="X29" i="4"/>
  <c r="Y26" i="4"/>
  <c r="AA16" i="5"/>
  <c r="AA24" i="5" s="1"/>
  <c r="AA34" i="5" s="1"/>
  <c r="AA33" i="4" s="1"/>
  <c r="AF19" i="5"/>
  <c r="AG19" i="5" s="1"/>
  <c r="AH19" i="5" s="1"/>
  <c r="AI19" i="5" s="1"/>
  <c r="AE27" i="5"/>
  <c r="AE18" i="5"/>
  <c r="AE26" i="5" s="1"/>
  <c r="AD26" i="5"/>
  <c r="Q38" i="3"/>
  <c r="Q10" i="4" s="1"/>
  <c r="R37" i="3"/>
  <c r="R39" i="3"/>
  <c r="R11" i="4" s="1"/>
  <c r="Z21" i="4" l="1"/>
  <c r="X39" i="5"/>
  <c r="X34" i="4"/>
  <c r="X42" i="4" s="1"/>
  <c r="X45" i="4" s="1"/>
  <c r="AB63" i="1"/>
  <c r="AA19" i="4"/>
  <c r="AA27" i="4" s="1"/>
  <c r="AA43" i="4" s="1"/>
  <c r="AB61" i="1"/>
  <c r="AA17" i="4"/>
  <c r="AB64" i="1"/>
  <c r="AA20" i="4"/>
  <c r="AA28" i="4" s="1"/>
  <c r="AA44" i="4" s="1"/>
  <c r="AB62" i="1"/>
  <c r="AA18" i="4"/>
  <c r="R9" i="4"/>
  <c r="P13" i="4"/>
  <c r="AD101" i="2"/>
  <c r="AE95" i="2"/>
  <c r="AE37" i="5"/>
  <c r="AE36" i="4" s="1"/>
  <c r="AD36" i="5"/>
  <c r="AD35" i="4" s="1"/>
  <c r="Z33" i="5"/>
  <c r="AB60" i="1"/>
  <c r="AB16" i="4" s="1"/>
  <c r="AA66" i="1"/>
  <c r="AE36" i="5"/>
  <c r="AE35" i="4" s="1"/>
  <c r="Y35" i="5"/>
  <c r="Z20" i="5"/>
  <c r="AG27" i="5"/>
  <c r="AF27" i="5"/>
  <c r="AA24" i="4"/>
  <c r="AB15" i="5"/>
  <c r="AA23" i="5"/>
  <c r="AH27" i="5"/>
  <c r="Z28" i="5"/>
  <c r="Y29" i="4"/>
  <c r="Y28" i="5"/>
  <c r="AI27" i="5"/>
  <c r="Z26" i="4"/>
  <c r="AA17" i="5"/>
  <c r="Z41" i="4"/>
  <c r="AB16" i="5"/>
  <c r="Y41" i="4"/>
  <c r="AA25" i="4"/>
  <c r="AF18" i="5"/>
  <c r="S39" i="3"/>
  <c r="S11" i="4" s="1"/>
  <c r="Q40" i="3"/>
  <c r="Q12" i="4" s="1"/>
  <c r="Q13" i="4" s="1"/>
  <c r="R40" i="3"/>
  <c r="R12" i="4" s="1"/>
  <c r="R38" i="3"/>
  <c r="S37" i="3"/>
  <c r="AC64" i="1" l="1"/>
  <c r="AB20" i="4"/>
  <c r="AB28" i="4" s="1"/>
  <c r="AB44" i="4" s="1"/>
  <c r="AC63" i="1"/>
  <c r="AB19" i="4"/>
  <c r="AB27" i="4" s="1"/>
  <c r="AB43" i="4" s="1"/>
  <c r="Y39" i="5"/>
  <c r="Y34" i="4"/>
  <c r="Y42" i="4" s="1"/>
  <c r="Y45" i="4" s="1"/>
  <c r="Z39" i="5"/>
  <c r="Z32" i="4"/>
  <c r="Z40" i="4" s="1"/>
  <c r="AC62" i="1"/>
  <c r="AB18" i="4"/>
  <c r="AB17" i="4"/>
  <c r="AB25" i="4" s="1"/>
  <c r="AC61" i="1"/>
  <c r="R41" i="3"/>
  <c r="S9" i="4"/>
  <c r="Q41" i="3"/>
  <c r="R10" i="4"/>
  <c r="R13" i="4" s="1"/>
  <c r="AE101" i="2"/>
  <c r="AF95" i="2"/>
  <c r="AF37" i="5"/>
  <c r="AF36" i="4" s="1"/>
  <c r="AG37" i="5"/>
  <c r="AG36" i="4" s="1"/>
  <c r="AC60" i="1"/>
  <c r="AC16" i="4" s="1"/>
  <c r="AB66" i="1"/>
  <c r="AA33" i="5"/>
  <c r="AA32" i="4" s="1"/>
  <c r="AA40" i="4" s="1"/>
  <c r="AH37" i="5"/>
  <c r="AH36" i="4" s="1"/>
  <c r="AI37" i="5"/>
  <c r="AI36" i="4" s="1"/>
  <c r="Z42" i="4"/>
  <c r="AC15" i="5"/>
  <c r="AB24" i="4"/>
  <c r="AB23" i="5"/>
  <c r="Z29" i="4"/>
  <c r="AB17" i="5"/>
  <c r="AB20" i="5" s="1"/>
  <c r="AA25" i="5"/>
  <c r="AA35" i="5" s="1"/>
  <c r="AA34" i="4" s="1"/>
  <c r="AA26" i="4"/>
  <c r="AA29" i="4" s="1"/>
  <c r="AA21" i="4"/>
  <c r="AA20" i="5"/>
  <c r="AA41" i="4"/>
  <c r="AC16" i="5"/>
  <c r="AB24" i="5"/>
  <c r="AB34" i="5" s="1"/>
  <c r="AB33" i="4" s="1"/>
  <c r="AG18" i="5"/>
  <c r="AG26" i="5" s="1"/>
  <c r="AF26" i="5"/>
  <c r="T37" i="3"/>
  <c r="S38" i="3"/>
  <c r="S10" i="4" s="1"/>
  <c r="T39" i="3"/>
  <c r="T11" i="4" s="1"/>
  <c r="Z45" i="4" l="1"/>
  <c r="AB21" i="4"/>
  <c r="AD61" i="1"/>
  <c r="AC17" i="4"/>
  <c r="AC25" i="4" s="1"/>
  <c r="AD63" i="1"/>
  <c r="AC19" i="4"/>
  <c r="AC27" i="4" s="1"/>
  <c r="AC43" i="4" s="1"/>
  <c r="AD62" i="1"/>
  <c r="AC18" i="4"/>
  <c r="AD64" i="1"/>
  <c r="AC20" i="4"/>
  <c r="AC28" i="4" s="1"/>
  <c r="AC44" i="4" s="1"/>
  <c r="T9" i="4"/>
  <c r="AF101" i="2"/>
  <c r="AG95" i="2"/>
  <c r="AF36" i="5"/>
  <c r="AF35" i="4" s="1"/>
  <c r="AB33" i="5"/>
  <c r="AB32" i="4" s="1"/>
  <c r="AB40" i="4" s="1"/>
  <c r="AG36" i="5"/>
  <c r="AG35" i="4" s="1"/>
  <c r="AD60" i="1"/>
  <c r="AD16" i="4" s="1"/>
  <c r="AC66" i="1"/>
  <c r="AA39" i="5"/>
  <c r="AC24" i="4"/>
  <c r="AD15" i="5"/>
  <c r="AC23" i="5"/>
  <c r="AA28" i="5"/>
  <c r="AC17" i="5"/>
  <c r="AC20" i="5" s="1"/>
  <c r="AB26" i="4"/>
  <c r="AB29" i="4" s="1"/>
  <c r="AB25" i="5"/>
  <c r="AD16" i="5"/>
  <c r="AC24" i="5"/>
  <c r="AC34" i="5" s="1"/>
  <c r="AC33" i="4" s="1"/>
  <c r="AH18" i="5"/>
  <c r="S40" i="3"/>
  <c r="T40" i="3"/>
  <c r="T12" i="4" s="1"/>
  <c r="T38" i="3"/>
  <c r="T10" i="4" s="1"/>
  <c r="U39" i="3"/>
  <c r="U11" i="4" s="1"/>
  <c r="U37" i="3"/>
  <c r="AC21" i="4" l="1"/>
  <c r="AE64" i="1"/>
  <c r="AD20" i="4"/>
  <c r="AD28" i="4" s="1"/>
  <c r="AD44" i="4" s="1"/>
  <c r="AE63" i="1"/>
  <c r="AD19" i="4"/>
  <c r="AD27" i="4" s="1"/>
  <c r="AD43" i="4" s="1"/>
  <c r="AE62" i="1"/>
  <c r="AD18" i="4"/>
  <c r="AE61" i="1"/>
  <c r="AD17" i="4"/>
  <c r="AD25" i="4" s="1"/>
  <c r="U9" i="4"/>
  <c r="S12" i="4"/>
  <c r="S13" i="4" s="1"/>
  <c r="S41" i="3"/>
  <c r="T41" i="3"/>
  <c r="AG101" i="2"/>
  <c r="AH95" i="2"/>
  <c r="AE60" i="1"/>
  <c r="AE16" i="4" s="1"/>
  <c r="AD66" i="1"/>
  <c r="AB35" i="5"/>
  <c r="AC33" i="5"/>
  <c r="AC32" i="4" s="1"/>
  <c r="AC40" i="4" s="1"/>
  <c r="AE15" i="5"/>
  <c r="AE23" i="5" s="1"/>
  <c r="AD23" i="5"/>
  <c r="AD24" i="4"/>
  <c r="AB28" i="5"/>
  <c r="AA42" i="4"/>
  <c r="AA45" i="4" s="1"/>
  <c r="AD17" i="5"/>
  <c r="AC25" i="5"/>
  <c r="AC26" i="4"/>
  <c r="AC29" i="4" s="1"/>
  <c r="AB41" i="4"/>
  <c r="AE16" i="5"/>
  <c r="AD24" i="5"/>
  <c r="AD34" i="5" s="1"/>
  <c r="AD33" i="4" s="1"/>
  <c r="T13" i="4"/>
  <c r="AI18" i="5"/>
  <c r="AH26" i="5"/>
  <c r="U38" i="3"/>
  <c r="U10" i="4" s="1"/>
  <c r="U40" i="3"/>
  <c r="U12" i="4" s="1"/>
  <c r="V39" i="3"/>
  <c r="V11" i="4" s="1"/>
  <c r="V37" i="3"/>
  <c r="AF61" i="1" l="1"/>
  <c r="AE17" i="4"/>
  <c r="AB39" i="5"/>
  <c r="AB34" i="4"/>
  <c r="AB42" i="4" s="1"/>
  <c r="AB45" i="4" s="1"/>
  <c r="AF63" i="1"/>
  <c r="AE19" i="4"/>
  <c r="AF62" i="1"/>
  <c r="AE18" i="4"/>
  <c r="AF64" i="1"/>
  <c r="AE20" i="4"/>
  <c r="AE28" i="4" s="1"/>
  <c r="AE44" i="4" s="1"/>
  <c r="V9" i="4"/>
  <c r="U41" i="3"/>
  <c r="U13" i="4"/>
  <c r="AH101" i="2"/>
  <c r="AI95" i="2"/>
  <c r="AI101" i="2" s="1"/>
  <c r="AC35" i="5"/>
  <c r="AE33" i="5"/>
  <c r="AE32" i="4" s="1"/>
  <c r="AF60" i="1"/>
  <c r="AF16" i="4" s="1"/>
  <c r="AE66" i="1"/>
  <c r="AH36" i="5"/>
  <c r="AH35" i="4" s="1"/>
  <c r="AD33" i="5"/>
  <c r="AD32" i="4" s="1"/>
  <c r="AD40" i="4" s="1"/>
  <c r="AE24" i="4"/>
  <c r="AF15" i="5"/>
  <c r="AC28" i="5"/>
  <c r="AD26" i="4"/>
  <c r="AD29" i="4" s="1"/>
  <c r="AE17" i="5"/>
  <c r="AD25" i="5"/>
  <c r="AD20" i="5"/>
  <c r="AD21" i="4"/>
  <c r="AE27" i="4"/>
  <c r="AE43" i="4" s="1"/>
  <c r="AC41" i="4"/>
  <c r="AF16" i="5"/>
  <c r="AE24" i="5"/>
  <c r="AE34" i="5" s="1"/>
  <c r="AE33" i="4" s="1"/>
  <c r="AI26" i="5"/>
  <c r="W37" i="3"/>
  <c r="W39" i="3"/>
  <c r="W11" i="4" s="1"/>
  <c r="V38" i="3"/>
  <c r="V10" i="4" s="1"/>
  <c r="AE21" i="4" l="1"/>
  <c r="AE25" i="4"/>
  <c r="AC39" i="5"/>
  <c r="AC34" i="4"/>
  <c r="AC42" i="4" s="1"/>
  <c r="AC45" i="4" s="1"/>
  <c r="AG62" i="1"/>
  <c r="AF18" i="4"/>
  <c r="AG64" i="1"/>
  <c r="AF20" i="4"/>
  <c r="AF28" i="4" s="1"/>
  <c r="AF44" i="4" s="1"/>
  <c r="AG63" i="1"/>
  <c r="AF19" i="4"/>
  <c r="AF27" i="4" s="1"/>
  <c r="AF43" i="4" s="1"/>
  <c r="AG61" i="1"/>
  <c r="AF17" i="4"/>
  <c r="AF25" i="4" s="1"/>
  <c r="W9" i="4"/>
  <c r="AI36" i="5"/>
  <c r="AI35" i="4" s="1"/>
  <c r="AG60" i="1"/>
  <c r="AG16" i="4" s="1"/>
  <c r="AF66" i="1"/>
  <c r="AD35" i="5"/>
  <c r="AE40" i="4"/>
  <c r="AG15" i="5"/>
  <c r="AF23" i="5"/>
  <c r="AF24" i="4"/>
  <c r="AD28" i="5"/>
  <c r="AF17" i="5"/>
  <c r="AG17" i="5" s="1"/>
  <c r="AH17" i="5" s="1"/>
  <c r="AI17" i="5" s="1"/>
  <c r="AE25" i="5"/>
  <c r="AE26" i="4"/>
  <c r="AE20" i="5"/>
  <c r="AD41" i="4"/>
  <c r="AG16" i="5"/>
  <c r="AF24" i="5"/>
  <c r="AF34" i="5" s="1"/>
  <c r="AF33" i="4" s="1"/>
  <c r="W38" i="3"/>
  <c r="W40" i="3"/>
  <c r="W12" i="4" s="1"/>
  <c r="V40" i="3"/>
  <c r="V12" i="4" s="1"/>
  <c r="V13" i="4" s="1"/>
  <c r="X39" i="3"/>
  <c r="X11" i="4" s="1"/>
  <c r="X37" i="3"/>
  <c r="AF21" i="4" l="1"/>
  <c r="AH63" i="1"/>
  <c r="AG19" i="4"/>
  <c r="AG27" i="4" s="1"/>
  <c r="AG43" i="4" s="1"/>
  <c r="H43" i="4" s="1"/>
  <c r="AH62" i="1"/>
  <c r="AG18" i="4"/>
  <c r="AD39" i="5"/>
  <c r="AD34" i="4"/>
  <c r="AD42" i="4" s="1"/>
  <c r="AD45" i="4" s="1"/>
  <c r="AH61" i="1"/>
  <c r="AG17" i="4"/>
  <c r="AH64" i="1"/>
  <c r="AG20" i="4"/>
  <c r="AG28" i="4" s="1"/>
  <c r="AG44" i="4" s="1"/>
  <c r="H44" i="4" s="1"/>
  <c r="V41" i="3"/>
  <c r="W41" i="3"/>
  <c r="X9" i="4"/>
  <c r="W10" i="4"/>
  <c r="W13" i="4" s="1"/>
  <c r="AE35" i="5"/>
  <c r="AF33" i="5"/>
  <c r="AF32" i="4" s="1"/>
  <c r="AF40" i="4" s="1"/>
  <c r="AH60" i="1"/>
  <c r="AH16" i="4" s="1"/>
  <c r="AG66" i="1"/>
  <c r="AE28" i="5"/>
  <c r="AG25" i="5"/>
  <c r="AF25" i="5"/>
  <c r="AI25" i="5"/>
  <c r="AH25" i="5"/>
  <c r="AG24" i="4"/>
  <c r="AH15" i="5"/>
  <c r="AI15" i="5" s="1"/>
  <c r="AG23" i="5"/>
  <c r="AF20" i="5"/>
  <c r="AE29" i="4"/>
  <c r="AF26" i="4"/>
  <c r="AE41" i="4"/>
  <c r="AG25" i="4"/>
  <c r="AH16" i="5"/>
  <c r="AG20" i="5"/>
  <c r="AG24" i="5"/>
  <c r="AG34" i="5" s="1"/>
  <c r="AG33" i="4" s="1"/>
  <c r="Y39" i="3"/>
  <c r="Y11" i="4" s="1"/>
  <c r="X40" i="3"/>
  <c r="X12" i="4" s="1"/>
  <c r="X38" i="3"/>
  <c r="Y37" i="3"/>
  <c r="AE39" i="5" l="1"/>
  <c r="AE34" i="4"/>
  <c r="AE42" i="4" s="1"/>
  <c r="AE45" i="4" s="1"/>
  <c r="AI61" i="1"/>
  <c r="AI17" i="4" s="1"/>
  <c r="AH17" i="4"/>
  <c r="AH25" i="4" s="1"/>
  <c r="AI62" i="1"/>
  <c r="AI18" i="4" s="1"/>
  <c r="AH18" i="4"/>
  <c r="AI64" i="1"/>
  <c r="AI20" i="4" s="1"/>
  <c r="AI28" i="4" s="1"/>
  <c r="AI44" i="4" s="1"/>
  <c r="AH20" i="4"/>
  <c r="AH28" i="4" s="1"/>
  <c r="AH44" i="4" s="1"/>
  <c r="AI63" i="1"/>
  <c r="AI19" i="4" s="1"/>
  <c r="AI27" i="4" s="1"/>
  <c r="AI43" i="4" s="1"/>
  <c r="AH19" i="4"/>
  <c r="AH27" i="4" s="1"/>
  <c r="AH43" i="4" s="1"/>
  <c r="X41" i="3"/>
  <c r="Y9" i="4"/>
  <c r="X10" i="4"/>
  <c r="X13" i="4" s="1"/>
  <c r="AH35" i="5"/>
  <c r="AH34" i="4" s="1"/>
  <c r="AG35" i="5"/>
  <c r="AG34" i="4" s="1"/>
  <c r="AG33" i="5"/>
  <c r="AG32" i="4" s="1"/>
  <c r="AG40" i="4" s="1"/>
  <c r="H40" i="4" s="1"/>
  <c r="AI35" i="5"/>
  <c r="AI34" i="4" s="1"/>
  <c r="AF35" i="5"/>
  <c r="AI60" i="1"/>
  <c r="AH66" i="1"/>
  <c r="AF28" i="5"/>
  <c r="AH24" i="4"/>
  <c r="AI23" i="5"/>
  <c r="AH23" i="5"/>
  <c r="AF29" i="4"/>
  <c r="AG26" i="4"/>
  <c r="AG21" i="4"/>
  <c r="AI16" i="5"/>
  <c r="AI20" i="5" s="1"/>
  <c r="AH20" i="5"/>
  <c r="AH24" i="5"/>
  <c r="AH34" i="5" s="1"/>
  <c r="AH33" i="4" s="1"/>
  <c r="AG28" i="5"/>
  <c r="AF41" i="4"/>
  <c r="J52" i="4"/>
  <c r="Z37" i="3"/>
  <c r="Y38" i="3"/>
  <c r="Y10" i="4" s="1"/>
  <c r="Z39" i="3"/>
  <c r="Z11" i="4" s="1"/>
  <c r="AH21" i="4" l="1"/>
  <c r="AF39" i="5"/>
  <c r="AF34" i="4"/>
  <c r="AF42" i="4" s="1"/>
  <c r="AF45" i="4" s="1"/>
  <c r="AI66" i="1"/>
  <c r="AI16" i="4"/>
  <c r="AI24" i="4" s="1"/>
  <c r="Z9" i="4"/>
  <c r="AG42" i="4"/>
  <c r="H42" i="4" s="1"/>
  <c r="AG39" i="5"/>
  <c r="AH33" i="5"/>
  <c r="AI33" i="5"/>
  <c r="AI32" i="4" s="1"/>
  <c r="AI26" i="4"/>
  <c r="AI42" i="4" s="1"/>
  <c r="AH26" i="4"/>
  <c r="AH42" i="4" s="1"/>
  <c r="AG29" i="4"/>
  <c r="O50" i="4"/>
  <c r="O56" i="4" s="1"/>
  <c r="O57" i="4" s="1"/>
  <c r="N50" i="4"/>
  <c r="AI24" i="5"/>
  <c r="AG41" i="4"/>
  <c r="AI25" i="4"/>
  <c r="AH28" i="5"/>
  <c r="AA39" i="3"/>
  <c r="AA11" i="4" s="1"/>
  <c r="Y40" i="3"/>
  <c r="Z40" i="3"/>
  <c r="Z12" i="4" s="1"/>
  <c r="Z38" i="3"/>
  <c r="AA37" i="3"/>
  <c r="AI40" i="4" l="1"/>
  <c r="AH39" i="5"/>
  <c r="AH32" i="4"/>
  <c r="AH40" i="4" s="1"/>
  <c r="Y12" i="4"/>
  <c r="Y13" i="4" s="1"/>
  <c r="Y41" i="3"/>
  <c r="AA9" i="4"/>
  <c r="Z41" i="3"/>
  <c r="Z10" i="4"/>
  <c r="Z13" i="4" s="1"/>
  <c r="AI28" i="5"/>
  <c r="AI34" i="5"/>
  <c r="AG45" i="4"/>
  <c r="H45" i="4" s="1"/>
  <c r="H41" i="4"/>
  <c r="K50" i="4"/>
  <c r="AI21" i="4"/>
  <c r="M50" i="4"/>
  <c r="AH29" i="4"/>
  <c r="AI29" i="4"/>
  <c r="AH41" i="4"/>
  <c r="AB37" i="3"/>
  <c r="AA38" i="3"/>
  <c r="AB39" i="3"/>
  <c r="AB11" i="4" s="1"/>
  <c r="AH45" i="4" l="1"/>
  <c r="AI39" i="5"/>
  <c r="AI33" i="4"/>
  <c r="AI41" i="4" s="1"/>
  <c r="AI45" i="4" s="1"/>
  <c r="AB9" i="4"/>
  <c r="AA10" i="4"/>
  <c r="AA40" i="3"/>
  <c r="AA12" i="4" s="1"/>
  <c r="AB40" i="3"/>
  <c r="AB12" i="4" s="1"/>
  <c r="AB38" i="3"/>
  <c r="AC39" i="3"/>
  <c r="AC11" i="4" s="1"/>
  <c r="AC37" i="3"/>
  <c r="AB41" i="3" l="1"/>
  <c r="AC9" i="4"/>
  <c r="AA41" i="3"/>
  <c r="AA13" i="4"/>
  <c r="AB10" i="4"/>
  <c r="AB13" i="4" s="1"/>
  <c r="L50" i="4"/>
  <c r="P50" i="4" s="1"/>
  <c r="AC38" i="3"/>
  <c r="AC10" i="4" s="1"/>
  <c r="AC40" i="3"/>
  <c r="AC12" i="4" s="1"/>
  <c r="AD39" i="3"/>
  <c r="AD11" i="4" s="1"/>
  <c r="AD37" i="3"/>
  <c r="AD9" i="4" l="1"/>
  <c r="AC41" i="3"/>
  <c r="AC13" i="4"/>
  <c r="AE37" i="3"/>
  <c r="AE39" i="3"/>
  <c r="AE11" i="4" s="1"/>
  <c r="AD38" i="3"/>
  <c r="AD10" i="4" s="1"/>
  <c r="AE9" i="4" l="1"/>
  <c r="AE38" i="3"/>
  <c r="AE10" i="4" s="1"/>
  <c r="AE40" i="3"/>
  <c r="AE12" i="4" s="1"/>
  <c r="AD40" i="3"/>
  <c r="AD12" i="4" s="1"/>
  <c r="AD13" i="4" s="1"/>
  <c r="AF39" i="3"/>
  <c r="AF11" i="4" s="1"/>
  <c r="AF37" i="3"/>
  <c r="AF9" i="4" l="1"/>
  <c r="AE41" i="3"/>
  <c r="AD41" i="3"/>
  <c r="AE13" i="4"/>
  <c r="AF40" i="3"/>
  <c r="AF12" i="4" s="1"/>
  <c r="AG39" i="3"/>
  <c r="AG11" i="4" s="1"/>
  <c r="H11" i="4" s="1"/>
  <c r="AF38" i="3"/>
  <c r="AF41" i="3" s="1"/>
  <c r="AG37" i="3"/>
  <c r="AG9" i="4" l="1"/>
  <c r="H9" i="4" s="1"/>
  <c r="AF10" i="4"/>
  <c r="AF13" i="4" s="1"/>
  <c r="AG38" i="3"/>
  <c r="AH37" i="3"/>
  <c r="AI39" i="3"/>
  <c r="AI11" i="4" s="1"/>
  <c r="AH39" i="3"/>
  <c r="AH11" i="4" s="1"/>
  <c r="AH9" i="4" l="1"/>
  <c r="AG10" i="4"/>
  <c r="H10" i="4" s="1"/>
  <c r="AG40" i="3"/>
  <c r="AG12" i="4" s="1"/>
  <c r="H12" i="4" s="1"/>
  <c r="J56" i="4" s="1"/>
  <c r="O49" i="4" s="1"/>
  <c r="AH40" i="3"/>
  <c r="AH12" i="4" s="1"/>
  <c r="AI38" i="3"/>
  <c r="AI10" i="4" s="1"/>
  <c r="AH38" i="3"/>
  <c r="AH10" i="4" s="1"/>
  <c r="AI37" i="3"/>
  <c r="AI9" i="4" l="1"/>
  <c r="AH41" i="3"/>
  <c r="AG41" i="3"/>
  <c r="AG13" i="4"/>
  <c r="H13" i="4" s="1"/>
  <c r="AH13" i="4"/>
  <c r="J53" i="4"/>
  <c r="J54" i="4"/>
  <c r="J55" i="4"/>
  <c r="N49" i="4" s="1"/>
  <c r="J57" i="4" l="1"/>
  <c r="L49" i="4"/>
  <c r="K49" i="4"/>
  <c r="M49" i="4"/>
  <c r="K52" i="4"/>
  <c r="K55" i="4"/>
  <c r="L55" i="4"/>
  <c r="N55" i="4"/>
  <c r="M55" i="4"/>
  <c r="M56" i="4"/>
  <c r="K54" i="4"/>
  <c r="L54" i="4"/>
  <c r="M54" i="4"/>
  <c r="N56" i="4"/>
  <c r="L56" i="4"/>
  <c r="K53" i="4"/>
  <c r="L53" i="4"/>
  <c r="K56" i="4"/>
  <c r="AI40" i="3"/>
  <c r="AI12" i="4" l="1"/>
  <c r="AI13" i="4" s="1"/>
  <c r="AI41" i="3"/>
  <c r="M57" i="4"/>
  <c r="P54" i="4"/>
  <c r="Q54" i="4" s="1"/>
  <c r="L57" i="4"/>
  <c r="P55" i="4"/>
  <c r="Q55" i="4" s="1"/>
  <c r="P53" i="4"/>
  <c r="Q53" i="4" s="1"/>
  <c r="N57" i="4"/>
  <c r="P52" i="4"/>
  <c r="K57" i="4"/>
  <c r="P56" i="4"/>
  <c r="Q56" i="4" s="1"/>
  <c r="P57" i="4" l="1"/>
  <c r="S53" i="4"/>
  <c r="S56" i="4"/>
  <c r="V56" i="4" s="1"/>
  <c r="U56" i="4"/>
  <c r="S55" i="4"/>
  <c r="U55" i="4"/>
  <c r="S54" i="4"/>
  <c r="V54" i="4" s="1"/>
  <c r="U54" i="4"/>
  <c r="Q52" i="4"/>
  <c r="U53" i="4" s="1"/>
  <c r="V55" i="4" l="1"/>
  <c r="S52" i="4"/>
  <c r="V52" i="4" s="1"/>
  <c r="U52" i="4"/>
  <c r="V53" i="4" l="1"/>
  <c r="C26" i="7" l="1"/>
  <c r="D26" i="7" s="1"/>
  <c r="D11" i="7"/>
  <c r="C20" i="7"/>
  <c r="D5" i="7"/>
  <c r="C14" i="7"/>
  <c r="C21" i="7"/>
  <c r="D21" i="7" s="1"/>
  <c r="D6" i="7"/>
  <c r="C23" i="7"/>
  <c r="D23" i="7" s="1"/>
  <c r="D8" i="7"/>
  <c r="C24" i="7"/>
  <c r="D24" i="7" s="1"/>
  <c r="D9" i="7"/>
  <c r="C25" i="7"/>
  <c r="D25" i="7" s="1"/>
  <c r="D10" i="7"/>
  <c r="C22" i="7"/>
  <c r="D22" i="7" s="1"/>
  <c r="D7" i="7"/>
  <c r="N25" i="7" l="1"/>
  <c r="K25" i="7"/>
  <c r="M25" i="7"/>
  <c r="L25" i="7"/>
  <c r="J25" i="7"/>
  <c r="M23" i="7"/>
  <c r="K23" i="7"/>
  <c r="J23" i="7"/>
  <c r="L23" i="7"/>
  <c r="N23" i="7"/>
  <c r="M5" i="7"/>
  <c r="J5" i="7"/>
  <c r="K5" i="7"/>
  <c r="L5" i="7"/>
  <c r="N5" i="7"/>
  <c r="L7" i="7"/>
  <c r="N7" i="7"/>
  <c r="K7" i="7"/>
  <c r="M7" i="7"/>
  <c r="J7" i="7"/>
  <c r="M9" i="7"/>
  <c r="L9" i="7"/>
  <c r="J9" i="7"/>
  <c r="K9" i="7"/>
  <c r="N9" i="7"/>
  <c r="K6" i="7"/>
  <c r="L6" i="7"/>
  <c r="M6" i="7"/>
  <c r="N6" i="7"/>
  <c r="J6" i="7"/>
  <c r="C29" i="7"/>
  <c r="D29" i="7" s="1"/>
  <c r="D20" i="7"/>
  <c r="L22" i="7"/>
  <c r="M22" i="7"/>
  <c r="K22" i="7"/>
  <c r="J22" i="7"/>
  <c r="N22" i="7"/>
  <c r="M24" i="7"/>
  <c r="J24" i="7"/>
  <c r="L24" i="7"/>
  <c r="K24" i="7"/>
  <c r="N24" i="7"/>
  <c r="N21" i="7"/>
  <c r="J21" i="7"/>
  <c r="K21" i="7"/>
  <c r="M21" i="7"/>
  <c r="L21" i="7"/>
  <c r="K11" i="7"/>
  <c r="L11" i="7"/>
  <c r="N11" i="7"/>
  <c r="J11" i="7"/>
  <c r="M11" i="7"/>
  <c r="K10" i="7"/>
  <c r="J10" i="7"/>
  <c r="L10" i="7"/>
  <c r="M10" i="7"/>
  <c r="N10" i="7"/>
  <c r="M8" i="7"/>
  <c r="L8" i="7"/>
  <c r="K8" i="7"/>
  <c r="N8" i="7"/>
  <c r="J8" i="7"/>
  <c r="D14" i="7"/>
  <c r="D12" i="7"/>
  <c r="N26" i="7"/>
  <c r="J26" i="7"/>
  <c r="M26" i="7"/>
  <c r="K26" i="7"/>
  <c r="L26" i="7"/>
  <c r="N12" i="7" l="1"/>
  <c r="N14" i="7" s="1"/>
  <c r="J12" i="7"/>
  <c r="J14" i="7" s="1"/>
  <c r="L12" i="7"/>
  <c r="L14" i="7" s="1"/>
  <c r="M12" i="7"/>
  <c r="M14" i="7" s="1"/>
  <c r="K12" i="7"/>
  <c r="K14" i="7" s="1"/>
  <c r="M20" i="7"/>
  <c r="L20" i="7"/>
  <c r="J20" i="7"/>
  <c r="N20" i="7"/>
  <c r="K20" i="7"/>
  <c r="D27" i="7"/>
  <c r="J27" i="7" l="1"/>
  <c r="J29" i="7" s="1"/>
  <c r="M27" i="7"/>
  <c r="M29" i="7" s="1"/>
  <c r="K27" i="7"/>
  <c r="K29" i="7" s="1"/>
  <c r="L27" i="7"/>
  <c r="L29" i="7" s="1"/>
  <c r="N27" i="7"/>
  <c r="N2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Bennett</author>
  </authors>
  <commentList>
    <comment ref="D7" authorId="0" shapeId="0" xr:uid="{E9F309E3-578F-4922-B2E1-F1349C92608D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1.5%, use 80% post efficiency gains.</t>
        </r>
      </text>
    </comment>
    <comment ref="D8" authorId="0" shapeId="0" xr:uid="{481A00EA-3F3A-4A91-B649-D6C9234D50C3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1.5%, use 80% post efficiency gains.</t>
        </r>
      </text>
    </comment>
    <comment ref="D9" authorId="0" shapeId="0" xr:uid="{77BDB9CF-66A7-44EE-8596-B9D93D5760E2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2.0%, use 80% post efficiency gains.</t>
        </r>
      </text>
    </comment>
    <comment ref="D10" authorId="0" shapeId="0" xr:uid="{E4E74E74-B11C-47A3-B4E1-E0AC97FE8221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2.0%, use 80% post efficiency gains.</t>
        </r>
      </text>
    </comment>
    <comment ref="D11" authorId="0" shapeId="0" xr:uid="{2B683CDF-068C-4D12-8C7B-EF1461AA7DF5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2.0%, use 80% post efficiency gains.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Bennett</author>
  </authors>
  <commentList>
    <comment ref="M5" authorId="0" shapeId="0" xr:uid="{03E77161-FEB1-4E5E-9181-36DB05E2DDF6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not co-incident, but maximum for ecash tariff class exiting at that voltage level</t>
        </r>
      </text>
    </comment>
    <comment ref="J15" authorId="0" shapeId="0" xr:uid="{C3653C4C-E884-47E4-81F9-8F4F1F85C65C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was 2862, extrapolate</t>
        </r>
      </text>
    </comment>
    <comment ref="N15" authorId="0" shapeId="0" xr:uid="{6783B7EB-121F-42B1-A08A-78BFB437D862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from 2020-25 Reset RIN</t>
        </r>
      </text>
    </comment>
    <comment ref="P21" authorId="0" shapeId="0" xr:uid="{F91F83C1-0613-423F-9DF2-F58836CD9986}">
      <text>
        <r>
          <rPr>
            <b/>
            <sz val="9"/>
            <color indexed="81"/>
            <rFont val="Tahoma"/>
            <family val="2"/>
          </rPr>
          <t>James Bennett:</t>
        </r>
        <r>
          <rPr>
            <sz val="9"/>
            <color indexed="81"/>
            <rFont val="Tahoma"/>
            <family val="2"/>
          </rPr>
          <t xml:space="preserve">
increments 2019/20 demand by growth at those TNIs that are growing, excludes the demand reductions occurring at other TNIs. Necessary for LRMC claculation.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 Hatherell</author>
  </authors>
  <commentList>
    <comment ref="G3" authorId="0" shapeId="0" xr:uid="{00000000-0006-0000-0400-000001000000}">
      <text>
        <r>
          <rPr>
            <sz val="10"/>
            <color indexed="81"/>
            <rFont val="Tahoma"/>
            <family val="2"/>
          </rPr>
          <t>Real Vanilla WACC as per AER final PTRM: Sheet WACC, cell R19.
Excludes rev adjustments, uses cash-flow derivation.  Not cell G19, as real vanilla wacc declines from year one under new arrangements
File:  AER - SA Power Networks revised proposal Nov 20 2019 PTRM</t>
        </r>
      </text>
    </comment>
  </commentList>
</comments>
</file>

<file path=xl/sharedStrings.xml><?xml version="1.0" encoding="utf-8"?>
<sst xmlns="http://schemas.openxmlformats.org/spreadsheetml/2006/main" count="551" uniqueCount="272">
  <si>
    <t>Unique</t>
  </si>
  <si>
    <t>Network</t>
  </si>
  <si>
    <t>Responsible</t>
  </si>
  <si>
    <t>RIN Tab</t>
  </si>
  <si>
    <t>Plan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</si>
  <si>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</si>
  <si>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</si>
  <si>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</si>
  <si>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</si>
  <si>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</si>
  <si>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</si>
  <si>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</si>
  <si>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</si>
  <si>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</si>
  <si>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</si>
  <si>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</si>
  <si>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</si>
  <si>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</si>
  <si>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Category / Description</t>
  </si>
  <si>
    <t>Identifier</t>
  </si>
  <si>
    <t>Manager</t>
  </si>
  <si>
    <t>Person</t>
  </si>
  <si>
    <t>Reference</t>
  </si>
  <si>
    <t>Jul-Jun</t>
  </si>
  <si>
    <t>Jul-Dec</t>
  </si>
  <si>
    <t>Capacity</t>
  </si>
  <si>
    <t>Upgrade</t>
  </si>
  <si>
    <r>
      <t>Moderate</t>
    </r>
    <r>
      <rPr>
        <sz val="10"/>
        <rFont val="Arial Narrow"/>
        <family val="2"/>
      </rPr>
      <t xml:space="preserve"> load growth forecast</t>
    </r>
  </si>
  <si>
    <t xml:space="preserve">Connection Point Capacity </t>
  </si>
  <si>
    <t>Planning</t>
  </si>
  <si>
    <t>S Fraser</t>
  </si>
  <si>
    <t>AUGEX</t>
  </si>
  <si>
    <t>AMP.1.1.01</t>
  </si>
  <si>
    <t>Connection Point Capacity - New</t>
  </si>
  <si>
    <t>LV &amp; Distribution Transformers (QoS BAU)</t>
  </si>
  <si>
    <t>P Driver</t>
  </si>
  <si>
    <t xml:space="preserve">Distribution Feeders </t>
  </si>
  <si>
    <t>NER Compliance (Pwr Factor)</t>
  </si>
  <si>
    <t>Strategic Network Capacity (Other)</t>
  </si>
  <si>
    <t xml:space="preserve">Substation Capacity </t>
  </si>
  <si>
    <t>Substation Capacity - New</t>
  </si>
  <si>
    <t>Subtransmission Network - Country</t>
  </si>
  <si>
    <t>Subtransmission Network</t>
  </si>
  <si>
    <t>Voltage Regulation</t>
  </si>
  <si>
    <t>Land</t>
  </si>
  <si>
    <t>LV Two Way Network (QoS)</t>
  </si>
  <si>
    <t/>
  </si>
  <si>
    <t>subtotal</t>
  </si>
  <si>
    <t>Sub-Trans</t>
  </si>
  <si>
    <t>Zone S/Stn</t>
  </si>
  <si>
    <t>HV Feeder</t>
  </si>
  <si>
    <t>Dist T/F</t>
  </si>
  <si>
    <t>LV Feeder</t>
  </si>
  <si>
    <t>Asset Replace/Refurbish</t>
  </si>
  <si>
    <t>Lines</t>
  </si>
  <si>
    <t xml:space="preserve">  </t>
  </si>
  <si>
    <t>  </t>
  </si>
  <si>
    <t>Planned</t>
  </si>
  <si>
    <t>REPEX</t>
  </si>
  <si>
    <t>Historical</t>
  </si>
  <si>
    <t>Cable Replacement - Planned</t>
  </si>
  <si>
    <t>AMP.3.1.09</t>
  </si>
  <si>
    <t>Conductor Replacement - Planned</t>
  </si>
  <si>
    <t>AMP.3.1.10</t>
  </si>
  <si>
    <t>AMP.3.1.20</t>
  </si>
  <si>
    <t>AMP.3.1.19</t>
  </si>
  <si>
    <t>AMP.3.1.06</t>
  </si>
  <si>
    <t>Poles - Planned</t>
  </si>
  <si>
    <t>AMP.3.1.05</t>
  </si>
  <si>
    <t>Recloser Refurbishment - Planned</t>
  </si>
  <si>
    <t>AMP.3.1.13</t>
  </si>
  <si>
    <t>Recloser Replacement - Planned</t>
  </si>
  <si>
    <t>Services Replacement - Planned</t>
  </si>
  <si>
    <t>AMP.3.1.08</t>
  </si>
  <si>
    <t>Strategic Line Maintenance Spares</t>
  </si>
  <si>
    <t>Switchgear - Ground Level - Planned</t>
  </si>
  <si>
    <t>AMP.3.1.03</t>
  </si>
  <si>
    <t>Switchgear - Overhead - Planned</t>
  </si>
  <si>
    <t>AMP.3.1.07</t>
  </si>
  <si>
    <t>Transformers - Planned</t>
  </si>
  <si>
    <t>AMP.3.1.01</t>
  </si>
  <si>
    <t>Poles - Planned plating</t>
  </si>
  <si>
    <t>Recloser Maintenance - Planned</t>
  </si>
  <si>
    <t>Unplanned</t>
  </si>
  <si>
    <t>Cable Replacement - Unplanned</t>
  </si>
  <si>
    <t>Poles - Unplanned</t>
  </si>
  <si>
    <t>Recloser Replacement - Unplanned</t>
  </si>
  <si>
    <t>Services Replacement - Unplanned</t>
  </si>
  <si>
    <t>Switchgear - Ground Level - Unplanned</t>
  </si>
  <si>
    <t>Switchgear - Overhead - Unplanned</t>
  </si>
  <si>
    <t>Transformers - Unplanned</t>
  </si>
  <si>
    <t>Substations</t>
  </si>
  <si>
    <t>AMP.3.2.08</t>
  </si>
  <si>
    <t>AMP.3.2.07</t>
  </si>
  <si>
    <t>AMP.3.2.05</t>
  </si>
  <si>
    <t>AMP.3.2.02</t>
  </si>
  <si>
    <t>Mobile Substations</t>
  </si>
  <si>
    <t>AMP.3.2.13</t>
  </si>
  <si>
    <t>AMP.3.2.14</t>
  </si>
  <si>
    <t>AMP3.2.16</t>
  </si>
  <si>
    <t>AMP.3.2.01</t>
  </si>
  <si>
    <t>Surge Arrester</t>
  </si>
  <si>
    <t>AMP.3.2.03</t>
  </si>
  <si>
    <t>AMP.3.2.04</t>
  </si>
  <si>
    <t>Carryover (subs)</t>
  </si>
  <si>
    <t>---</t>
  </si>
  <si>
    <t>AMP 3.2.22</t>
  </si>
  <si>
    <t>Standby Power Station</t>
  </si>
  <si>
    <t>Replace/Refurbish (total)</t>
  </si>
  <si>
    <t>total</t>
  </si>
  <si>
    <t> </t>
  </si>
  <si>
    <t>Line Ancillary Equipment - Planned  (incl LFIs, fences, gates, signs etc)</t>
  </si>
  <si>
    <t>Line Regulation - Planned  (incl regulators, capacitors)</t>
  </si>
  <si>
    <t>Overhead Line Components - Planned  (incl insulators, crossarms, taps, pole earths)</t>
  </si>
  <si>
    <t>Line Ancillary Equipment - Unplanned  (incl LFIs, fences, gates, signs etc)</t>
  </si>
  <si>
    <t>Line Regulation - Unplanned (incl regulators, capacitors)</t>
  </si>
  <si>
    <t>Overhead Line Components - Unplanned (incl insulators, Xarms, pole earths)</t>
  </si>
  <si>
    <t>Total</t>
  </si>
  <si>
    <t>Not Aug</t>
  </si>
  <si>
    <t>Voltage</t>
  </si>
  <si>
    <t>LV line</t>
  </si>
  <si>
    <t>LV Bus</t>
  </si>
  <si>
    <t>HV line</t>
  </si>
  <si>
    <t>HV Bus</t>
  </si>
  <si>
    <t>ST</t>
  </si>
  <si>
    <t>pf</t>
  </si>
  <si>
    <t>HV bus</t>
  </si>
  <si>
    <t>LV bus</t>
  </si>
  <si>
    <t>Prop'n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</si>
  <si>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</si>
  <si>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</si>
  <si>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</si>
  <si>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</si>
  <si>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</si>
  <si>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</si>
  <si>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</si>
  <si>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</si>
  <si>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</si>
  <si>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</si>
  <si>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</si>
  <si>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</si>
  <si>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</si>
  <si>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</si>
  <si>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Coincident Weather Adjusted System Annual Maximum Demand 10% POE</t>
  </si>
  <si>
    <t>Table 3.4.3.2 Annual system maximum demand characteristics at the transmission connection point  – MW measure</t>
  </si>
  <si>
    <t>DOPSD0111</t>
  </si>
  <si>
    <t>WACC</t>
  </si>
  <si>
    <t>Life</t>
  </si>
  <si>
    <t>Real framework</t>
  </si>
  <si>
    <t>Incremental MW for LRMC calculation</t>
  </si>
  <si>
    <t>MW</t>
  </si>
  <si>
    <t>HV net</t>
  </si>
  <si>
    <t>LV net</t>
  </si>
  <si>
    <t>Total growth related capex real</t>
  </si>
  <si>
    <t>$M</t>
  </si>
  <si>
    <t>Incremental annual capex</t>
  </si>
  <si>
    <t>Incremental opex p.a.</t>
  </si>
  <si>
    <t>$M p.a.</t>
  </si>
  <si>
    <t>Total incremental costs</t>
  </si>
  <si>
    <t>Average Incremental Cost</t>
  </si>
  <si>
    <t>Δ MW</t>
  </si>
  <si>
    <t>Alloc.</t>
  </si>
  <si>
    <t>$/kW/year</t>
  </si>
  <si>
    <t>$/kVA/year</t>
  </si>
  <si>
    <t>Incremental opex is calculated as a proportion of the incremental capex cost.</t>
  </si>
  <si>
    <t>Opex proportions by voltage</t>
  </si>
  <si>
    <t>Opex profile for new assets</t>
  </si>
  <si>
    <t>Year</t>
  </si>
  <si>
    <t>Lag</t>
  </si>
  <si>
    <t>Annual prop'n</t>
  </si>
  <si>
    <t>2015/16-2019/20</t>
  </si>
  <si>
    <t>Distribution Line - SWER Replacements</t>
  </si>
  <si>
    <t>Supply Security (KI)</t>
  </si>
  <si>
    <t>Pole Replacement Projects</t>
  </si>
  <si>
    <t xml:space="preserve">CBD ducts &amp; manholes </t>
  </si>
  <si>
    <t>Cables - CBD 11kV PILC cable replacements</t>
  </si>
  <si>
    <t xml:space="preserve">Services - Aluminium neutral screen service line replacements </t>
  </si>
  <si>
    <t>Other</t>
  </si>
  <si>
    <t>Auxillary DC Supplies excl AC - Battery Banks &amp; Chargers</t>
  </si>
  <si>
    <t>Capacitor Banks - CAPACITY UPGRADE?</t>
  </si>
  <si>
    <t>Circuit Breakers Planned Replacement</t>
  </si>
  <si>
    <t>Circuit Breakers Planned Refurb</t>
  </si>
  <si>
    <t>Protection Relays (Replace 33kV/66kV Fuses, incl Fault Thrower)</t>
  </si>
  <si>
    <t>Substation Insurance Spares &amp; Asset Mgt</t>
  </si>
  <si>
    <t>Substation Infrastructure - Civil (incl buildings, structures)</t>
  </si>
  <si>
    <t xml:space="preserve">Substation Transformer Repl. </t>
  </si>
  <si>
    <t>TF Refurb (18665 &amp; 18977)</t>
  </si>
  <si>
    <t>Planned Transformer Refurbishment - also done under 18665</t>
  </si>
  <si>
    <t>AC Panels + auxilary supply</t>
  </si>
  <si>
    <t>Protection Asset Replacement</t>
  </si>
  <si>
    <t>Unplanned CB Replacement</t>
  </si>
  <si>
    <t>Unplanned Substation Asset Repl - PROTECTION</t>
  </si>
  <si>
    <t>Other (sub cables)</t>
  </si>
  <si>
    <t>Northfield 66kV GIS Switchboard replacement (1/3rd)</t>
  </si>
  <si>
    <t>MOD3C Substation Upgrades (trf to 18665)</t>
  </si>
  <si>
    <t>Substation Standards Templates and CU Developments</t>
  </si>
  <si>
    <t>Relay Replace on Failure</t>
  </si>
  <si>
    <t>Cable replacement &amp; Cable Termination Support upgrade (tfr to other)</t>
  </si>
  <si>
    <t>GIS Assessment and Refurbishment</t>
  </si>
  <si>
    <t>Transformer planned replacement due to condition</t>
  </si>
  <si>
    <t>NPV20</t>
  </si>
  <si>
    <t>Δ MW Total</t>
  </si>
  <si>
    <t>Δ cost Total</t>
  </si>
  <si>
    <t>2026/27 to 2039/40 based on the average spend over the 6 year period 2020/21 to 2025/26</t>
  </si>
  <si>
    <t>Notes</t>
  </si>
  <si>
    <t>Augmentation</t>
  </si>
  <si>
    <t xml:space="preserve">LRMC sample shaded </t>
  </si>
  <si>
    <t>Replacement Augmentation</t>
  </si>
  <si>
    <t>Total incremental annual opex $M 2020 real</t>
  </si>
  <si>
    <t>Augmentation Related Incremental Opex $ 2020</t>
  </si>
  <si>
    <t>Incremental Opex $ 2020</t>
  </si>
  <si>
    <t>Total growth related capex $M 2020 real</t>
  </si>
  <si>
    <t>Repl Augmentation Capex Real $ 2020 000's</t>
  </si>
  <si>
    <t>Repl Augmentation Capex Real $ 2020</t>
  </si>
  <si>
    <t>CPI $ 2020</t>
  </si>
  <si>
    <t>CPI Adj $ 2020</t>
  </si>
  <si>
    <t>Augmentation Capex Real $ 2020 000's</t>
  </si>
  <si>
    <t>Augmentation Capex Real $ 2020</t>
  </si>
  <si>
    <t>AIC 20</t>
  </si>
  <si>
    <t>voltage step</t>
  </si>
  <si>
    <t>increment</t>
  </si>
  <si>
    <t>$/kW</t>
  </si>
  <si>
    <t>$/kVA</t>
  </si>
  <si>
    <t>Split of Demand across Tariff Classes - Maximum Demand at Transmission Exit (from Pricing Model using 2018/18 data)</t>
  </si>
  <si>
    <t>combines small business and residential</t>
  </si>
  <si>
    <t>System maximum demand</t>
  </si>
  <si>
    <t>Maximum Demand MW split by voltage level contribution</t>
  </si>
  <si>
    <t>Annual demand increment MW by voltage level</t>
  </si>
  <si>
    <t>MW at Exit</t>
  </si>
  <si>
    <t>HV business</t>
  </si>
  <si>
    <t>large LV business</t>
  </si>
  <si>
    <t>Major Business zone s/stn</t>
  </si>
  <si>
    <t>Major Business sub-transmission</t>
  </si>
  <si>
    <t>Stand-Alone costs of tariff classes ($M pa)</t>
  </si>
  <si>
    <t>Tariff Class</t>
  </si>
  <si>
    <t>Network Level</t>
  </si>
  <si>
    <t>Cost Pool</t>
  </si>
  <si>
    <t>Adj Cost Pool</t>
  </si>
  <si>
    <t>Major Business</t>
  </si>
  <si>
    <t>HV Business</t>
  </si>
  <si>
    <t>Large LV Business</t>
  </si>
  <si>
    <t>Small Business</t>
  </si>
  <si>
    <t>Residential</t>
  </si>
  <si>
    <t>Sub-Transmission</t>
  </si>
  <si>
    <t>Zone Substation</t>
  </si>
  <si>
    <t>HV Network</t>
  </si>
  <si>
    <t>Distribution Transformers</t>
  </si>
  <si>
    <t xml:space="preserve">LV Networks </t>
  </si>
  <si>
    <t>LV Services</t>
  </si>
  <si>
    <t>Customer Related</t>
  </si>
  <si>
    <t>Non-System Costs</t>
  </si>
  <si>
    <t>Avoidable costs of tariff classes ($M pa)</t>
  </si>
  <si>
    <t>$000 2017</t>
  </si>
  <si>
    <t>2026/27 to 2039/40 based on the average spend over the 5 year period 2020/21 to 2024/25</t>
  </si>
  <si>
    <t>Mannum, Eyre peninsula not growth but replacement. Incl Mt Gambier</t>
  </si>
  <si>
    <t>Quality of Supply - mainly PV voltage</t>
  </si>
  <si>
    <t>comprises Cheltenham 33 kV to 11 kV, SWER and feeder upgrades/restring/ties.  Exclude 33/11 conversion</t>
  </si>
  <si>
    <t>Design work</t>
  </si>
  <si>
    <t>Mt Barker East (growth)</t>
  </si>
  <si>
    <t>Murray Bridge North plus misc upgrades, some replacement element</t>
  </si>
  <si>
    <t>Athol Park to Woodville new 66, some security as well</t>
  </si>
  <si>
    <t>Myponga to SqWH, mainly security</t>
  </si>
  <si>
    <t>LV Monitoring, not providing growth capacity</t>
  </si>
  <si>
    <t>Tap changes on sub TFs, partly PV</t>
  </si>
  <si>
    <t>upgrades for recent growth</t>
  </si>
  <si>
    <t>single TF and radial subs backup via 11kV switches</t>
  </si>
  <si>
    <t>Not augmentation $000</t>
  </si>
  <si>
    <t>Revised Proposal Data $000</t>
  </si>
  <si>
    <t>not augmentation $000</t>
  </si>
  <si>
    <t>Expenditure ($000 nom)</t>
  </si>
  <si>
    <t>System maximum Demand at TNIs with growth</t>
  </si>
  <si>
    <t>Growth for year at those TNIs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</si>
</sst>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0.0000"/>
    <numFmt numFmtId="166" formatCode="#,##0.0"/>
    <numFmt numFmtId="167" formatCode="0.0"/>
    <numFmt numFmtId="168" formatCode="_-&quot;$&quot;* #,##0_-;\-&quot;$&quot;* #,##0_-;_-&quot;$&quot;* &quot;-&quot;??_-;_-@_-"/>
    <numFmt numFmtId="169" formatCode="0.000"/>
    <numFmt numFmtId="170" formatCode="_-&quot;$&quot;* #,##0.0_-;\-&quot;$&quot;* #,##0.0_-;_-&quot;$&quot;* &quot;-&quot;?_-;_-@_-"/>
    <numFmt numFmtId="171" formatCode="_-&quot;$&quot;* #,##0.00_-;\-&quot;$&quot;* #,##0.00_-;_-&quot;$&quot;* &quot;-&quot;?_-;_-@_-"/>
    <numFmt numFmtId="172" formatCode="#,##0.0_ ;[Red]\-#,##0.0\ "/>
    <numFmt numFmtId="173" formatCode="_-&quot;$&quot;* #,##0.0_-;\-&quot;$&quot;* #,##0.0_-;_-&quot;$&quot;* &quot;-&quot;??_-;_-@_-"/>
  </numFmts>
  <fonts count="3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b/>
      <sz val="12"/>
      <color theme="1"/>
      <name val="Calibri"/>
      <family val="2"/>
    </font>
    <font>
      <sz val="8"/>
      <name val="Calibri"/>
      <family val="2"/>
    </font>
    <font>
      <sz val="11"/>
      <color rgb="FFC00000"/>
      <name val="Calibri"/>
      <family val="2"/>
    </font>
    <font>
      <sz val="10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8">
    <xf numFmtId="0" fontId="0" fillId="0" borderId="0" xfId="0"/>
    <xf numFmtId="0" fontId="5" fillId="3" borderId="8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41" fontId="4" fillId="5" borderId="14" xfId="0" applyNumberFormat="1" applyFont="1" applyFill="1" applyBorder="1" applyAlignment="1" applyProtection="1">
      <alignment vertical="center"/>
      <protection locked="0"/>
    </xf>
    <xf numFmtId="41" fontId="4" fillId="0" borderId="14" xfId="0" applyNumberFormat="1" applyFont="1" applyFill="1" applyBorder="1" applyAlignment="1" applyProtection="1">
      <alignment vertical="center"/>
      <protection locked="0"/>
    </xf>
    <xf numFmtId="41" fontId="4" fillId="3" borderId="14" xfId="0" applyNumberFormat="1" applyFont="1" applyFill="1" applyBorder="1" applyAlignment="1" applyProtection="1">
      <alignment vertical="center"/>
      <protection locked="0"/>
    </xf>
    <xf numFmtId="41" fontId="4" fillId="5" borderId="14" xfId="0" applyNumberFormat="1" applyFont="1" applyFill="1" applyBorder="1" applyAlignment="1" applyProtection="1">
      <alignment vertical="center"/>
    </xf>
    <xf numFmtId="41" fontId="4" fillId="0" borderId="14" xfId="0" applyNumberFormat="1" applyFont="1" applyFill="1" applyBorder="1" applyAlignment="1" applyProtection="1">
      <alignment vertical="center"/>
    </xf>
    <xf numFmtId="41" fontId="4" fillId="3" borderId="14" xfId="0" applyNumberFormat="1" applyFont="1" applyFill="1" applyBorder="1" applyAlignment="1" applyProtection="1">
      <alignment vertical="center"/>
    </xf>
    <xf numFmtId="41" fontId="4" fillId="0" borderId="14" xfId="0" applyNumberFormat="1" applyFont="1" applyBorder="1" applyAlignment="1" applyProtection="1">
      <alignment vertical="center"/>
      <protection locked="0"/>
    </xf>
    <xf numFmtId="41" fontId="4" fillId="3" borderId="10" xfId="0" applyNumberFormat="1" applyFont="1" applyFill="1" applyBorder="1" applyAlignment="1" applyProtection="1">
      <alignment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41" fontId="4" fillId="7" borderId="14" xfId="0" applyNumberFormat="1" applyFont="1" applyFill="1" applyBorder="1" applyAlignment="1" applyProtection="1">
      <alignment vertical="center"/>
      <protection locked="0"/>
    </xf>
    <xf numFmtId="41" fontId="4" fillId="7" borderId="14" xfId="0" applyNumberFormat="1" applyFont="1" applyFill="1" applyBorder="1" applyAlignment="1" applyProtection="1">
      <alignment vertical="center"/>
    </xf>
    <xf numFmtId="41" fontId="4" fillId="7" borderId="10" xfId="0" applyNumberFormat="1" applyFont="1" applyFill="1" applyBorder="1" applyAlignment="1" applyProtection="1">
      <alignment vertical="center"/>
      <protection locked="0"/>
    </xf>
    <xf numFmtId="9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0" fontId="7" fillId="8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0" fillId="0" borderId="0" xfId="0" applyAlignment="1"/>
    <xf numFmtId="0" fontId="6" fillId="8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3" fontId="0" fillId="0" borderId="22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11" borderId="8" xfId="0" applyFont="1" applyFill="1" applyBorder="1" applyAlignment="1">
      <alignment horizontal="center"/>
    </xf>
    <xf numFmtId="0" fontId="9" fillId="11" borderId="26" xfId="0" applyFont="1" applyFill="1" applyBorder="1" applyAlignment="1">
      <alignment horizontal="center"/>
    </xf>
    <xf numFmtId="0" fontId="9" fillId="11" borderId="27" xfId="0" applyFont="1" applyFill="1" applyBorder="1" applyAlignment="1">
      <alignment horizontal="center"/>
    </xf>
    <xf numFmtId="0" fontId="9" fillId="12" borderId="26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/>
    <xf numFmtId="3" fontId="8" fillId="0" borderId="0" xfId="0" applyNumberFormat="1" applyFont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12" fillId="0" borderId="0" xfId="0" applyNumberFormat="1" applyFont="1"/>
    <xf numFmtId="0" fontId="12" fillId="0" borderId="0" xfId="0" applyFont="1"/>
    <xf numFmtId="0" fontId="3" fillId="0" borderId="0" xfId="0" applyFont="1"/>
    <xf numFmtId="0" fontId="8" fillId="0" borderId="0" xfId="0" applyFont="1" applyFill="1"/>
    <xf numFmtId="0" fontId="8" fillId="0" borderId="5" xfId="0" applyFont="1" applyBorder="1"/>
    <xf numFmtId="0" fontId="8" fillId="0" borderId="0" xfId="0" applyFont="1" applyBorder="1"/>
    <xf numFmtId="0" fontId="8" fillId="0" borderId="28" xfId="0" applyFont="1" applyBorder="1"/>
    <xf numFmtId="0" fontId="8" fillId="0" borderId="25" xfId="0" applyFont="1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9" fillId="12" borderId="27" xfId="0" applyFont="1" applyFill="1" applyBorder="1" applyAlignment="1">
      <alignment horizontal="center"/>
    </xf>
    <xf numFmtId="3" fontId="3" fillId="0" borderId="0" xfId="0" applyNumberFormat="1" applyFont="1"/>
    <xf numFmtId="3" fontId="3" fillId="0" borderId="25" xfId="0" applyNumberFormat="1" applyFont="1" applyBorder="1"/>
    <xf numFmtId="3" fontId="3" fillId="0" borderId="0" xfId="0" applyNumberFormat="1" applyFont="1" applyBorder="1"/>
    <xf numFmtId="3" fontId="16" fillId="0" borderId="13" xfId="0" applyNumberFormat="1" applyFont="1" applyBorder="1"/>
    <xf numFmtId="0" fontId="18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Fill="1" applyAlignment="1">
      <alignment horizontal="right"/>
    </xf>
    <xf numFmtId="0" fontId="3" fillId="0" borderId="25" xfId="0" applyFont="1" applyBorder="1"/>
    <xf numFmtId="0" fontId="3" fillId="0" borderId="0" xfId="0" applyFont="1" applyBorder="1"/>
    <xf numFmtId="0" fontId="3" fillId="0" borderId="13" xfId="0" applyFont="1" applyBorder="1"/>
    <xf numFmtId="0" fontId="3" fillId="0" borderId="25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167" fontId="3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3" fillId="14" borderId="0" xfId="0" applyNumberFormat="1" applyFont="1" applyFill="1"/>
    <xf numFmtId="166" fontId="3" fillId="15" borderId="0" xfId="0" applyNumberFormat="1" applyFont="1" applyFill="1"/>
    <xf numFmtId="166" fontId="3" fillId="12" borderId="0" xfId="0" applyNumberFormat="1" applyFont="1" applyFill="1"/>
    <xf numFmtId="166" fontId="15" fillId="0" borderId="0" xfId="0" applyNumberFormat="1" applyFont="1"/>
    <xf numFmtId="167" fontId="3" fillId="0" borderId="0" xfId="0" applyNumberFormat="1" applyFont="1"/>
    <xf numFmtId="167" fontId="3" fillId="0" borderId="25" xfId="0" applyNumberFormat="1" applyFont="1" applyBorder="1"/>
    <xf numFmtId="167" fontId="3" fillId="0" borderId="0" xfId="0" applyNumberFormat="1" applyFont="1" applyBorder="1"/>
    <xf numFmtId="167" fontId="17" fillId="0" borderId="0" xfId="0" applyNumberFormat="1" applyFont="1" applyBorder="1"/>
    <xf numFmtId="167" fontId="17" fillId="0" borderId="13" xfId="0" applyNumberFormat="1" applyFont="1" applyBorder="1"/>
    <xf numFmtId="3" fontId="15" fillId="0" borderId="0" xfId="0" applyNumberFormat="1" applyFont="1"/>
    <xf numFmtId="3" fontId="15" fillId="0" borderId="25" xfId="0" applyNumberFormat="1" applyFont="1" applyBorder="1"/>
    <xf numFmtId="3" fontId="15" fillId="0" borderId="0" xfId="0" applyNumberFormat="1" applyFont="1" applyBorder="1"/>
    <xf numFmtId="3" fontId="15" fillId="0" borderId="13" xfId="0" applyNumberFormat="1" applyFont="1" applyBorder="1"/>
    <xf numFmtId="0" fontId="16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0" fontId="3" fillId="0" borderId="0" xfId="2" applyNumberFormat="1" applyFont="1" applyFill="1" applyAlignment="1">
      <alignment horizontal="right"/>
    </xf>
    <xf numFmtId="4" fontId="3" fillId="14" borderId="25" xfId="0" applyNumberFormat="1" applyFont="1" applyFill="1" applyBorder="1"/>
    <xf numFmtId="4" fontId="3" fillId="14" borderId="0" xfId="0" applyNumberFormat="1" applyFont="1" applyFill="1" applyBorder="1"/>
    <xf numFmtId="4" fontId="3" fillId="14" borderId="13" xfId="0" applyNumberFormat="1" applyFont="1" applyFill="1" applyBorder="1"/>
    <xf numFmtId="4" fontId="3" fillId="15" borderId="25" xfId="0" applyNumberFormat="1" applyFont="1" applyFill="1" applyBorder="1"/>
    <xf numFmtId="4" fontId="3" fillId="15" borderId="0" xfId="0" applyNumberFormat="1" applyFont="1" applyFill="1" applyBorder="1"/>
    <xf numFmtId="4" fontId="3" fillId="15" borderId="13" xfId="0" applyNumberFormat="1" applyFont="1" applyFill="1" applyBorder="1"/>
    <xf numFmtId="4" fontId="3" fillId="12" borderId="25" xfId="0" applyNumberFormat="1" applyFont="1" applyFill="1" applyBorder="1"/>
    <xf numFmtId="4" fontId="3" fillId="12" borderId="0" xfId="0" applyNumberFormat="1" applyFont="1" applyFill="1" applyBorder="1"/>
    <xf numFmtId="4" fontId="3" fillId="12" borderId="13" xfId="0" applyNumberFormat="1" applyFont="1" applyFill="1" applyBorder="1"/>
    <xf numFmtId="4" fontId="15" fillId="0" borderId="25" xfId="0" applyNumberFormat="1" applyFont="1" applyBorder="1"/>
    <xf numFmtId="4" fontId="15" fillId="0" borderId="0" xfId="0" applyNumberFormat="1" applyFont="1" applyBorder="1"/>
    <xf numFmtId="4" fontId="15" fillId="0" borderId="13" xfId="0" applyNumberFormat="1" applyFont="1" applyBorder="1"/>
    <xf numFmtId="0" fontId="15" fillId="14" borderId="28" xfId="0" applyFont="1" applyFill="1" applyBorder="1" applyAlignment="1">
      <alignment horizontal="left"/>
    </xf>
    <xf numFmtId="0" fontId="8" fillId="14" borderId="5" xfId="0" applyFont="1" applyFill="1" applyBorder="1"/>
    <xf numFmtId="0" fontId="8" fillId="14" borderId="6" xfId="0" applyFont="1" applyFill="1" applyBorder="1"/>
    <xf numFmtId="0" fontId="15" fillId="14" borderId="25" xfId="0" applyFont="1" applyFill="1" applyBorder="1" applyAlignment="1">
      <alignment horizontal="right"/>
    </xf>
    <xf numFmtId="0" fontId="8" fillId="14" borderId="0" xfId="0" applyFont="1" applyFill="1" applyBorder="1"/>
    <xf numFmtId="0" fontId="8" fillId="14" borderId="13" xfId="0" applyFont="1" applyFill="1" applyBorder="1"/>
    <xf numFmtId="0" fontId="15" fillId="14" borderId="10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/>
    </xf>
    <xf numFmtId="0" fontId="15" fillId="14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8" fillId="3" borderId="7" xfId="0" applyFont="1" applyFill="1" applyBorder="1"/>
    <xf numFmtId="168" fontId="3" fillId="0" borderId="7" xfId="1" applyNumberFormat="1" applyFont="1" applyFill="1" applyBorder="1"/>
    <xf numFmtId="169" fontId="3" fillId="0" borderId="7" xfId="0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/>
    </xf>
    <xf numFmtId="167" fontId="3" fillId="3" borderId="14" xfId="0" applyNumberFormat="1" applyFont="1" applyFill="1" applyBorder="1"/>
    <xf numFmtId="0" fontId="8" fillId="3" borderId="14" xfId="0" applyFont="1" applyFill="1" applyBorder="1"/>
    <xf numFmtId="168" fontId="3" fillId="0" borderId="14" xfId="1" applyNumberFormat="1" applyFont="1" applyFill="1" applyBorder="1"/>
    <xf numFmtId="169" fontId="3" fillId="0" borderId="14" xfId="0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left"/>
    </xf>
    <xf numFmtId="169" fontId="3" fillId="0" borderId="10" xfId="0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left"/>
    </xf>
    <xf numFmtId="168" fontId="3" fillId="0" borderId="26" xfId="1" applyNumberFormat="1" applyFont="1" applyFill="1" applyBorder="1"/>
    <xf numFmtId="2" fontId="3" fillId="0" borderId="26" xfId="0" applyNumberFormat="1" applyFont="1" applyFill="1" applyBorder="1" applyAlignment="1">
      <alignment horizontal="right"/>
    </xf>
    <xf numFmtId="168" fontId="3" fillId="0" borderId="27" xfId="0" applyNumberFormat="1" applyFont="1" applyFill="1" applyBorder="1"/>
    <xf numFmtId="9" fontId="8" fillId="0" borderId="0" xfId="2" applyFont="1" applyAlignment="1">
      <alignment horizontal="right"/>
    </xf>
    <xf numFmtId="0" fontId="11" fillId="9" borderId="8" xfId="0" applyFont="1" applyFill="1" applyBorder="1"/>
    <xf numFmtId="0" fontId="13" fillId="9" borderId="26" xfId="0" applyFont="1" applyFill="1" applyBorder="1"/>
    <xf numFmtId="0" fontId="13" fillId="9" borderId="27" xfId="0" applyFont="1" applyFill="1" applyBorder="1"/>
    <xf numFmtId="0" fontId="19" fillId="0" borderId="0" xfId="0" applyFont="1"/>
    <xf numFmtId="0" fontId="8" fillId="0" borderId="6" xfId="0" applyFont="1" applyBorder="1"/>
    <xf numFmtId="0" fontId="15" fillId="0" borderId="28" xfId="0" applyFont="1" applyBorder="1" applyAlignment="1"/>
    <xf numFmtId="167" fontId="3" fillId="0" borderId="25" xfId="0" applyNumberFormat="1" applyFont="1" applyBorder="1" applyAlignment="1">
      <alignment horizontal="left" indent="1"/>
    </xf>
    <xf numFmtId="10" fontId="3" fillId="13" borderId="13" xfId="2" applyNumberFormat="1" applyFont="1" applyFill="1" applyBorder="1" applyAlignment="1">
      <alignment horizontal="right"/>
    </xf>
    <xf numFmtId="0" fontId="9" fillId="0" borderId="3" xfId="0" applyFont="1" applyBorder="1" applyAlignment="1"/>
    <xf numFmtId="9" fontId="3" fillId="13" borderId="1" xfId="0" applyNumberFormat="1" applyFont="1" applyFill="1" applyBorder="1" applyAlignment="1">
      <alignment horizontal="right"/>
    </xf>
    <xf numFmtId="9" fontId="3" fillId="13" borderId="2" xfId="0" applyNumberFormat="1" applyFont="1" applyFill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9" fontId="3" fillId="0" borderId="2" xfId="0" applyNumberFormat="1" applyFont="1" applyBorder="1" applyAlignment="1">
      <alignment horizontal="right"/>
    </xf>
    <xf numFmtId="167" fontId="3" fillId="0" borderId="3" xfId="0" applyNumberFormat="1" applyFont="1" applyBorder="1" applyAlignment="1">
      <alignment horizontal="left" indent="1"/>
    </xf>
    <xf numFmtId="10" fontId="3" fillId="13" borderId="2" xfId="2" applyNumberFormat="1" applyFont="1" applyFill="1" applyBorder="1" applyAlignment="1">
      <alignment horizontal="right"/>
    </xf>
    <xf numFmtId="167" fontId="8" fillId="0" borderId="0" xfId="0" applyNumberFormat="1" applyFont="1"/>
    <xf numFmtId="167" fontId="3" fillId="14" borderId="25" xfId="0" applyNumberFormat="1" applyFont="1" applyFill="1" applyBorder="1"/>
    <xf numFmtId="167" fontId="3" fillId="14" borderId="0" xfId="0" applyNumberFormat="1" applyFont="1" applyFill="1" applyBorder="1"/>
    <xf numFmtId="167" fontId="3" fillId="14" borderId="13" xfId="0" applyNumberFormat="1" applyFont="1" applyFill="1" applyBorder="1"/>
    <xf numFmtId="167" fontId="3" fillId="14" borderId="0" xfId="0" applyNumberFormat="1" applyFont="1" applyFill="1"/>
    <xf numFmtId="167" fontId="3" fillId="15" borderId="25" xfId="0" applyNumberFormat="1" applyFont="1" applyFill="1" applyBorder="1"/>
    <xf numFmtId="167" fontId="3" fillId="15" borderId="0" xfId="0" applyNumberFormat="1" applyFont="1" applyFill="1" applyBorder="1"/>
    <xf numFmtId="167" fontId="3" fillId="15" borderId="13" xfId="0" applyNumberFormat="1" applyFont="1" applyFill="1" applyBorder="1"/>
    <xf numFmtId="167" fontId="3" fillId="15" borderId="0" xfId="0" applyNumberFormat="1" applyFont="1" applyFill="1"/>
    <xf numFmtId="167" fontId="3" fillId="12" borderId="25" xfId="0" applyNumberFormat="1" applyFont="1" applyFill="1" applyBorder="1"/>
    <xf numFmtId="167" fontId="3" fillId="12" borderId="0" xfId="0" applyNumberFormat="1" applyFont="1" applyFill="1" applyBorder="1"/>
    <xf numFmtId="167" fontId="3" fillId="12" borderId="13" xfId="0" applyNumberFormat="1" applyFont="1" applyFill="1" applyBorder="1"/>
    <xf numFmtId="167" fontId="3" fillId="12" borderId="0" xfId="0" applyNumberFormat="1" applyFont="1" applyFill="1"/>
    <xf numFmtId="167" fontId="9" fillId="0" borderId="0" xfId="0" applyNumberFormat="1" applyFont="1"/>
    <xf numFmtId="167" fontId="13" fillId="14" borderId="0" xfId="0" applyNumberFormat="1" applyFont="1" applyFill="1"/>
    <xf numFmtId="167" fontId="13" fillId="15" borderId="0" xfId="0" applyNumberFormat="1" applyFont="1" applyFill="1"/>
    <xf numFmtId="167" fontId="13" fillId="12" borderId="0" xfId="0" applyNumberFormat="1" applyFont="1" applyFill="1"/>
    <xf numFmtId="170" fontId="15" fillId="0" borderId="0" xfId="0" applyNumberFormat="1" applyFont="1" applyFill="1" applyAlignment="1">
      <alignment horizontal="right"/>
    </xf>
    <xf numFmtId="3" fontId="0" fillId="0" borderId="0" xfId="0" applyNumberFormat="1" applyBorder="1"/>
    <xf numFmtId="0" fontId="3" fillId="9" borderId="0" xfId="0" applyFont="1" applyFill="1"/>
    <xf numFmtId="3" fontId="20" fillId="0" borderId="0" xfId="0" applyNumberFormat="1" applyFont="1"/>
    <xf numFmtId="3" fontId="8" fillId="14" borderId="5" xfId="0" applyNumberFormat="1" applyFont="1" applyFill="1" applyBorder="1"/>
    <xf numFmtId="0" fontId="15" fillId="14" borderId="2" xfId="0" applyFont="1" applyFill="1" applyBorder="1" applyAlignment="1">
      <alignment horizontal="center" wrapText="1"/>
    </xf>
    <xf numFmtId="0" fontId="15" fillId="14" borderId="1" xfId="0" applyFont="1" applyFill="1" applyBorder="1" applyAlignment="1">
      <alignment horizontal="center" wrapText="1"/>
    </xf>
    <xf numFmtId="0" fontId="8" fillId="14" borderId="3" xfId="0" applyFont="1" applyFill="1" applyBorder="1" applyAlignment="1">
      <alignment horizontal="right"/>
    </xf>
    <xf numFmtId="169" fontId="0" fillId="0" borderId="0" xfId="0" applyNumberFormat="1"/>
    <xf numFmtId="0" fontId="5" fillId="7" borderId="4" xfId="0" applyFont="1" applyFill="1" applyBorder="1" applyAlignment="1" applyProtection="1">
      <alignment horizontal="left" vertical="center"/>
      <protection locked="0"/>
    </xf>
    <xf numFmtId="0" fontId="5" fillId="7" borderId="5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left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left" vertical="center"/>
      <protection locked="0"/>
    </xf>
    <xf numFmtId="0" fontId="5" fillId="7" borderId="1" xfId="0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vertical="center"/>
      <protection locked="0"/>
    </xf>
    <xf numFmtId="0" fontId="5" fillId="7" borderId="5" xfId="0" applyFont="1" applyFill="1" applyBorder="1" applyAlignment="1" applyProtection="1">
      <alignment vertical="center"/>
      <protection locked="0"/>
    </xf>
    <xf numFmtId="0" fontId="5" fillId="7" borderId="12" xfId="0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center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4" fillId="7" borderId="13" xfId="0" applyFont="1" applyFill="1" applyBorder="1" applyAlignment="1" applyProtection="1">
      <alignment horizontal="left" vertical="center" wrapText="1"/>
      <protection locked="0"/>
    </xf>
    <xf numFmtId="0" fontId="4" fillId="7" borderId="13" xfId="0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right" vertical="center"/>
      <protection locked="0"/>
    </xf>
    <xf numFmtId="0" fontId="5" fillId="7" borderId="5" xfId="0" applyFont="1" applyFill="1" applyBorder="1" applyAlignment="1" applyProtection="1">
      <alignment vertical="center" textRotation="90"/>
      <protection locked="0"/>
    </xf>
    <xf numFmtId="0" fontId="5" fillId="7" borderId="0" xfId="0" applyFont="1" applyFill="1" applyBorder="1" applyAlignment="1" applyProtection="1">
      <alignment vertical="center" textRotation="90"/>
      <protection locked="0"/>
    </xf>
    <xf numFmtId="0" fontId="5" fillId="7" borderId="9" xfId="0" applyFont="1" applyFill="1" applyBorder="1" applyAlignment="1" applyProtection="1">
      <alignment horizontal="right" vertical="center"/>
      <protection locked="0"/>
    </xf>
    <xf numFmtId="0" fontId="5" fillId="7" borderId="1" xfId="0" applyFont="1" applyFill="1" applyBorder="1" applyAlignment="1" applyProtection="1">
      <alignment horizontal="right" vertical="center"/>
      <protection locked="0"/>
    </xf>
    <xf numFmtId="0" fontId="5" fillId="7" borderId="2" xfId="0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>
      <alignment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12" borderId="7" xfId="0" applyFont="1" applyFill="1" applyBorder="1" applyAlignment="1" applyProtection="1">
      <alignment horizontal="center" vertical="center"/>
      <protection locked="0"/>
    </xf>
    <xf numFmtId="0" fontId="5" fillId="12" borderId="10" xfId="0" applyFont="1" applyFill="1" applyBorder="1" applyAlignment="1" applyProtection="1">
      <alignment horizontal="center" vertical="center"/>
      <protection locked="0"/>
    </xf>
    <xf numFmtId="0" fontId="4" fillId="12" borderId="14" xfId="0" applyFont="1" applyFill="1" applyBorder="1" applyAlignment="1" applyProtection="1">
      <alignment horizontal="center" vertical="center"/>
      <protection locked="0"/>
    </xf>
    <xf numFmtId="41" fontId="4" fillId="12" borderId="10" xfId="0" applyNumberFormat="1" applyFont="1" applyFill="1" applyBorder="1" applyAlignment="1" applyProtection="1">
      <alignment vertical="center"/>
      <protection locked="0"/>
    </xf>
    <xf numFmtId="0" fontId="4" fillId="16" borderId="2" xfId="0" applyFont="1" applyFill="1" applyBorder="1" applyAlignment="1" applyProtection="1">
      <alignment horizontal="center" vertical="center"/>
      <protection locked="0"/>
    </xf>
    <xf numFmtId="0" fontId="5" fillId="16" borderId="1" xfId="0" applyFont="1" applyFill="1" applyBorder="1" applyAlignment="1" applyProtection="1">
      <alignment horizontal="center" vertical="center"/>
      <protection locked="0"/>
    </xf>
    <xf numFmtId="0" fontId="5" fillId="16" borderId="2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5" xfId="0" applyBorder="1"/>
    <xf numFmtId="0" fontId="0" fillId="0" borderId="6" xfId="0" applyBorder="1"/>
    <xf numFmtId="0" fontId="0" fillId="0" borderId="25" xfId="0" applyBorder="1"/>
    <xf numFmtId="0" fontId="0" fillId="0" borderId="0" xfId="0" applyBorder="1"/>
    <xf numFmtId="0" fontId="0" fillId="0" borderId="13" xfId="0" applyBorder="1"/>
    <xf numFmtId="9" fontId="0" fillId="0" borderId="25" xfId="0" applyNumberFormat="1" applyBorder="1"/>
    <xf numFmtId="9" fontId="0" fillId="0" borderId="13" xfId="2" applyFont="1" applyBorder="1"/>
    <xf numFmtId="9" fontId="0" fillId="0" borderId="0" xfId="0" applyNumberFormat="1" applyBorder="1"/>
    <xf numFmtId="9" fontId="0" fillId="0" borderId="13" xfId="0" applyNumberFormat="1" applyBorder="1"/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0" fillId="12" borderId="5" xfId="0" applyFill="1" applyBorder="1"/>
    <xf numFmtId="3" fontId="23" fillId="0" borderId="0" xfId="0" applyNumberFormat="1" applyFont="1" applyBorder="1"/>
    <xf numFmtId="3" fontId="23" fillId="0" borderId="13" xfId="0" applyNumberFormat="1" applyFont="1" applyBorder="1"/>
    <xf numFmtId="3" fontId="0" fillId="0" borderId="13" xfId="0" applyNumberFormat="1" applyBorder="1"/>
    <xf numFmtId="0" fontId="0" fillId="12" borderId="6" xfId="0" applyFill="1" applyBorder="1"/>
    <xf numFmtId="3" fontId="0" fillId="0" borderId="25" xfId="0" applyNumberFormat="1" applyBorder="1"/>
    <xf numFmtId="3" fontId="0" fillId="0" borderId="3" xfId="0" applyNumberFormat="1" applyBorder="1"/>
    <xf numFmtId="0" fontId="0" fillId="12" borderId="28" xfId="0" applyFill="1" applyBorder="1"/>
    <xf numFmtId="3" fontId="0" fillId="0" borderId="2" xfId="0" applyNumberFormat="1" applyBorder="1"/>
    <xf numFmtId="3" fontId="0" fillId="4" borderId="0" xfId="0" applyNumberFormat="1" applyFill="1" applyBorder="1"/>
    <xf numFmtId="3" fontId="0" fillId="4" borderId="13" xfId="0" applyNumberFormat="1" applyFill="1" applyBorder="1"/>
    <xf numFmtId="3" fontId="25" fillId="4" borderId="25" xfId="0" applyNumberFormat="1" applyFont="1" applyFill="1" applyBorder="1"/>
    <xf numFmtId="3" fontId="25" fillId="4" borderId="0" xfId="0" applyNumberFormat="1" applyFont="1" applyFill="1" applyBorder="1"/>
    <xf numFmtId="3" fontId="25" fillId="4" borderId="13" xfId="0" applyNumberFormat="1" applyFont="1" applyFill="1" applyBorder="1"/>
    <xf numFmtId="3" fontId="23" fillId="4" borderId="0" xfId="0" applyNumberFormat="1" applyFont="1" applyFill="1" applyBorder="1"/>
    <xf numFmtId="3" fontId="23" fillId="4" borderId="13" xfId="0" applyNumberFormat="1" applyFont="1" applyFill="1" applyBorder="1"/>
    <xf numFmtId="3" fontId="23" fillId="4" borderId="25" xfId="0" applyNumberFormat="1" applyFont="1" applyFill="1" applyBorder="1"/>
    <xf numFmtId="3" fontId="0" fillId="4" borderId="1" xfId="0" applyNumberFormat="1" applyFill="1" applyBorder="1"/>
    <xf numFmtId="3" fontId="0" fillId="4" borderId="2" xfId="0" applyNumberFormat="1" applyFill="1" applyBorder="1"/>
    <xf numFmtId="3" fontId="0" fillId="4" borderId="3" xfId="0" applyNumberFormat="1" applyFill="1" applyBorder="1"/>
    <xf numFmtId="0" fontId="0" fillId="4" borderId="1" xfId="0" applyFill="1" applyBorder="1"/>
    <xf numFmtId="0" fontId="6" fillId="7" borderId="18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right" vertical="center"/>
    </xf>
    <xf numFmtId="0" fontId="7" fillId="7" borderId="0" xfId="0" applyFont="1" applyFill="1" applyAlignment="1">
      <alignment horizontal="right"/>
    </xf>
    <xf numFmtId="0" fontId="6" fillId="7" borderId="19" xfId="0" applyFont="1" applyFill="1" applyBorder="1" applyAlignment="1">
      <alignment wrapText="1"/>
    </xf>
    <xf numFmtId="0" fontId="6" fillId="7" borderId="19" xfId="0" applyFont="1" applyFill="1" applyBorder="1" applyAlignment="1">
      <alignment horizontal="center" wrapText="1"/>
    </xf>
    <xf numFmtId="0" fontId="7" fillId="7" borderId="19" xfId="0" applyFont="1" applyFill="1" applyBorder="1" applyAlignment="1">
      <alignment wrapText="1"/>
    </xf>
    <xf numFmtId="0" fontId="7" fillId="7" borderId="19" xfId="0" applyFont="1" applyFill="1" applyBorder="1" applyAlignment="1">
      <alignment horizontal="center" wrapText="1"/>
    </xf>
    <xf numFmtId="0" fontId="7" fillId="7" borderId="24" xfId="0" applyFont="1" applyFill="1" applyBorder="1" applyAlignment="1">
      <alignment horizontal="center" wrapText="1"/>
    </xf>
    <xf numFmtId="0" fontId="6" fillId="7" borderId="19" xfId="0" applyFont="1" applyFill="1" applyBorder="1" applyAlignment="1"/>
    <xf numFmtId="0" fontId="6" fillId="7" borderId="16" xfId="0" applyFont="1" applyFill="1" applyBorder="1" applyAlignment="1"/>
    <xf numFmtId="0" fontId="6" fillId="7" borderId="17" xfId="0" applyFont="1" applyFill="1" applyBorder="1" applyAlignment="1"/>
    <xf numFmtId="0" fontId="6" fillId="7" borderId="21" xfId="0" applyFont="1" applyFill="1" applyBorder="1" applyAlignment="1">
      <alignment horizontal="right" vertical="center"/>
    </xf>
    <xf numFmtId="0" fontId="6" fillId="7" borderId="22" xfId="0" applyFont="1" applyFill="1" applyBorder="1" applyAlignment="1">
      <alignment horizontal="right"/>
    </xf>
    <xf numFmtId="0" fontId="6" fillId="7" borderId="23" xfId="0" applyFont="1" applyFill="1" applyBorder="1" applyAlignment="1">
      <alignment wrapText="1"/>
    </xf>
    <xf numFmtId="0" fontId="6" fillId="7" borderId="23" xfId="0" applyFont="1" applyFill="1" applyBorder="1" applyAlignment="1">
      <alignment horizontal="center" wrapText="1"/>
    </xf>
    <xf numFmtId="0" fontId="7" fillId="7" borderId="19" xfId="0" applyFont="1" applyFill="1" applyBorder="1" applyAlignment="1"/>
    <xf numFmtId="0" fontId="5" fillId="16" borderId="3" xfId="0" applyFont="1" applyFill="1" applyBorder="1" applyAlignment="1" applyProtection="1">
      <alignment horizontal="left" vertical="center"/>
      <protection locked="0"/>
    </xf>
    <xf numFmtId="6" fontId="0" fillId="0" borderId="28" xfId="0" applyNumberFormat="1" applyBorder="1"/>
    <xf numFmtId="167" fontId="0" fillId="0" borderId="5" xfId="0" applyNumberFormat="1" applyBorder="1"/>
    <xf numFmtId="167" fontId="0" fillId="2" borderId="5" xfId="0" applyNumberFormat="1" applyFill="1" applyBorder="1"/>
    <xf numFmtId="167" fontId="0" fillId="0" borderId="6" xfId="0" applyNumberFormat="1" applyBorder="1"/>
    <xf numFmtId="169" fontId="0" fillId="0" borderId="1" xfId="0" applyNumberFormat="1" applyBorder="1"/>
    <xf numFmtId="3" fontId="0" fillId="0" borderId="5" xfId="0" applyNumberFormat="1" applyBorder="1"/>
    <xf numFmtId="3" fontId="0" fillId="0" borderId="6" xfId="0" applyNumberFormat="1" applyBorder="1"/>
    <xf numFmtId="41" fontId="4" fillId="7" borderId="29" xfId="0" applyNumberFormat="1" applyFont="1" applyFill="1" applyBorder="1" applyAlignment="1" applyProtection="1">
      <alignment vertical="center"/>
    </xf>
    <xf numFmtId="41" fontId="4" fillId="7" borderId="30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167" fontId="20" fillId="14" borderId="0" xfId="0" applyNumberFormat="1" applyFont="1" applyFill="1"/>
    <xf numFmtId="167" fontId="20" fillId="15" borderId="0" xfId="0" applyNumberFormat="1" applyFont="1" applyFill="1"/>
    <xf numFmtId="167" fontId="20" fillId="12" borderId="0" xfId="0" applyNumberFormat="1" applyFont="1" applyFill="1"/>
    <xf numFmtId="3" fontId="26" fillId="4" borderId="25" xfId="0" applyNumberFormat="1" applyFont="1" applyFill="1" applyBorder="1"/>
    <xf numFmtId="3" fontId="26" fillId="4" borderId="0" xfId="0" applyNumberFormat="1" applyFont="1" applyFill="1" applyBorder="1"/>
    <xf numFmtId="3" fontId="26" fillId="4" borderId="13" xfId="0" applyNumberFormat="1" applyFont="1" applyFill="1" applyBorder="1"/>
    <xf numFmtId="3" fontId="26" fillId="0" borderId="0" xfId="0" applyNumberFormat="1" applyFont="1" applyBorder="1"/>
    <xf numFmtId="3" fontId="26" fillId="0" borderId="13" xfId="0" applyNumberFormat="1" applyFont="1" applyBorder="1"/>
    <xf numFmtId="0" fontId="0" fillId="4" borderId="0" xfId="0" applyFill="1" applyBorder="1"/>
    <xf numFmtId="0" fontId="9" fillId="12" borderId="8" xfId="0" applyFont="1" applyFill="1" applyBorder="1" applyAlignment="1">
      <alignment horizontal="center"/>
    </xf>
    <xf numFmtId="3" fontId="17" fillId="0" borderId="25" xfId="0" applyNumberFormat="1" applyFont="1" applyBorder="1"/>
    <xf numFmtId="3" fontId="17" fillId="0" borderId="0" xfId="0" applyNumberFormat="1" applyFont="1" applyBorder="1"/>
    <xf numFmtId="3" fontId="17" fillId="0" borderId="13" xfId="0" applyNumberFormat="1" applyFont="1" applyFill="1" applyBorder="1"/>
    <xf numFmtId="167" fontId="17" fillId="0" borderId="25" xfId="0" applyNumberFormat="1" applyFont="1" applyBorder="1"/>
    <xf numFmtId="167" fontId="17" fillId="0" borderId="13" xfId="0" applyNumberFormat="1" applyFont="1" applyFill="1" applyBorder="1"/>
    <xf numFmtId="4" fontId="15" fillId="0" borderId="3" xfId="0" applyNumberFormat="1" applyFont="1" applyBorder="1"/>
    <xf numFmtId="4" fontId="15" fillId="0" borderId="1" xfId="0" applyNumberFormat="1" applyFont="1" applyBorder="1"/>
    <xf numFmtId="4" fontId="15" fillId="0" borderId="2" xfId="0" applyNumberFormat="1" applyFont="1" applyBorder="1"/>
    <xf numFmtId="0" fontId="8" fillId="0" borderId="13" xfId="0" applyFont="1" applyBorder="1"/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171" fontId="3" fillId="0" borderId="1" xfId="0" applyNumberFormat="1" applyFont="1" applyFill="1" applyBorder="1" applyAlignment="1">
      <alignment horizontal="right"/>
    </xf>
    <xf numFmtId="171" fontId="15" fillId="0" borderId="0" xfId="0" applyNumberFormat="1" applyFont="1" applyFill="1" applyAlignment="1">
      <alignment horizontal="right"/>
    </xf>
    <xf numFmtId="0" fontId="15" fillId="7" borderId="10" xfId="0" applyFont="1" applyFill="1" applyBorder="1" applyAlignment="1">
      <alignment horizontal="center" wrapText="1"/>
    </xf>
    <xf numFmtId="166" fontId="3" fillId="7" borderId="7" xfId="0" applyNumberFormat="1" applyFont="1" applyFill="1" applyBorder="1"/>
    <xf numFmtId="166" fontId="3" fillId="7" borderId="14" xfId="0" applyNumberFormat="1" applyFont="1" applyFill="1" applyBorder="1"/>
    <xf numFmtId="166" fontId="3" fillId="7" borderId="10" xfId="0" applyNumberFormat="1" applyFont="1" applyFill="1" applyBorder="1"/>
    <xf numFmtId="0" fontId="9" fillId="7" borderId="8" xfId="0" applyFont="1" applyFill="1" applyBorder="1" applyAlignment="1">
      <alignment horizontal="center"/>
    </xf>
    <xf numFmtId="166" fontId="8" fillId="7" borderId="11" xfId="0" applyNumberFormat="1" applyFont="1" applyFill="1" applyBorder="1" applyAlignment="1">
      <alignment horizontal="center"/>
    </xf>
    <xf numFmtId="166" fontId="8" fillId="7" borderId="26" xfId="0" applyNumberFormat="1" applyFont="1" applyFill="1" applyBorder="1" applyAlignment="1">
      <alignment horizontal="center"/>
    </xf>
    <xf numFmtId="0" fontId="9" fillId="17" borderId="8" xfId="0" applyFont="1" applyFill="1" applyBorder="1" applyAlignment="1">
      <alignment horizontal="center"/>
    </xf>
    <xf numFmtId="166" fontId="8" fillId="17" borderId="11" xfId="0" applyNumberFormat="1" applyFont="1" applyFill="1" applyBorder="1" applyAlignment="1">
      <alignment horizontal="center"/>
    </xf>
    <xf numFmtId="166" fontId="8" fillId="17" borderId="26" xfId="0" applyNumberFormat="1" applyFont="1" applyFill="1" applyBorder="1" applyAlignment="1">
      <alignment horizontal="center"/>
    </xf>
    <xf numFmtId="167" fontId="3" fillId="17" borderId="7" xfId="0" applyNumberFormat="1" applyFont="1" applyFill="1" applyBorder="1"/>
    <xf numFmtId="167" fontId="3" fillId="17" borderId="14" xfId="0" applyNumberFormat="1" applyFont="1" applyFill="1" applyBorder="1"/>
    <xf numFmtId="167" fontId="3" fillId="17" borderId="10" xfId="0" applyNumberFormat="1" applyFont="1" applyFill="1" applyBorder="1"/>
    <xf numFmtId="166" fontId="8" fillId="17" borderId="10" xfId="0" applyNumberFormat="1" applyFont="1" applyFill="1" applyBorder="1"/>
    <xf numFmtId="166" fontId="9" fillId="17" borderId="11" xfId="0" applyNumberFormat="1" applyFont="1" applyFill="1" applyBorder="1" applyAlignment="1">
      <alignment horizontal="center"/>
    </xf>
    <xf numFmtId="167" fontId="15" fillId="17" borderId="7" xfId="0" applyNumberFormat="1" applyFont="1" applyFill="1" applyBorder="1"/>
    <xf numFmtId="167" fontId="15" fillId="17" borderId="14" xfId="0" applyNumberFormat="1" applyFont="1" applyFill="1" applyBorder="1"/>
    <xf numFmtId="167" fontId="15" fillId="17" borderId="10" xfId="0" applyNumberFormat="1" applyFont="1" applyFill="1" applyBorder="1"/>
    <xf numFmtId="167" fontId="15" fillId="17" borderId="11" xfId="0" applyNumberFormat="1" applyFont="1" applyFill="1" applyBorder="1"/>
    <xf numFmtId="167" fontId="15" fillId="7" borderId="11" xfId="0" applyNumberFormat="1" applyFont="1" applyFill="1" applyBorder="1"/>
    <xf numFmtId="167" fontId="15" fillId="17" borderId="26" xfId="0" applyNumberFormat="1" applyFont="1" applyFill="1" applyBorder="1"/>
    <xf numFmtId="168" fontId="8" fillId="0" borderId="28" xfId="0" applyNumberFormat="1" applyFont="1" applyBorder="1"/>
    <xf numFmtId="168" fontId="8" fillId="0" borderId="25" xfId="0" applyNumberFormat="1" applyFont="1" applyBorder="1"/>
    <xf numFmtId="168" fontId="8" fillId="0" borderId="3" xfId="0" applyNumberFormat="1" applyFont="1" applyBorder="1"/>
    <xf numFmtId="168" fontId="8" fillId="0" borderId="2" xfId="0" applyNumberFormat="1" applyFont="1" applyBorder="1"/>
    <xf numFmtId="9" fontId="3" fillId="0" borderId="0" xfId="2" applyFont="1"/>
    <xf numFmtId="9" fontId="3" fillId="0" borderId="1" xfId="2" applyFont="1" applyBorder="1"/>
    <xf numFmtId="3" fontId="20" fillId="0" borderId="1" xfId="0" applyNumberFormat="1" applyFont="1" applyBorder="1"/>
    <xf numFmtId="164" fontId="3" fillId="0" borderId="0" xfId="2" applyNumberFormat="1" applyFont="1"/>
    <xf numFmtId="0" fontId="3" fillId="0" borderId="5" xfId="0" applyFont="1" applyBorder="1"/>
    <xf numFmtId="0" fontId="3" fillId="0" borderId="3" xfId="0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2" applyNumberFormat="1" applyFont="1" applyFill="1" applyBorder="1"/>
    <xf numFmtId="164" fontId="3" fillId="0" borderId="0" xfId="2" applyNumberFormat="1" applyFont="1" applyFill="1" applyBorder="1"/>
    <xf numFmtId="3" fontId="3" fillId="0" borderId="0" xfId="0" applyNumberFormat="1" applyFont="1" applyFill="1"/>
    <xf numFmtId="3" fontId="3" fillId="0" borderId="1" xfId="0" applyNumberFormat="1" applyFont="1" applyFill="1" applyBorder="1"/>
    <xf numFmtId="3" fontId="27" fillId="0" borderId="0" xfId="0" applyNumberFormat="1" applyFont="1"/>
    <xf numFmtId="0" fontId="15" fillId="0" borderId="28" xfId="0" applyFont="1" applyBorder="1"/>
    <xf numFmtId="0" fontId="19" fillId="0" borderId="25" xfId="0" applyFont="1" applyBorder="1"/>
    <xf numFmtId="0" fontId="3" fillId="0" borderId="25" xfId="0" applyFont="1" applyBorder="1" applyAlignment="1">
      <alignment horizontal="center"/>
    </xf>
    <xf numFmtId="0" fontId="19" fillId="0" borderId="28" xfId="0" applyFont="1" applyBorder="1"/>
    <xf numFmtId="0" fontId="3" fillId="0" borderId="6" xfId="0" applyFont="1" applyBorder="1"/>
    <xf numFmtId="3" fontId="8" fillId="0" borderId="26" xfId="0" applyNumberFormat="1" applyFont="1" applyBorder="1"/>
    <xf numFmtId="0" fontId="9" fillId="0" borderId="8" xfId="0" applyFont="1" applyBorder="1"/>
    <xf numFmtId="0" fontId="9" fillId="0" borderId="26" xfId="0" applyFont="1" applyBorder="1"/>
    <xf numFmtId="0" fontId="9" fillId="0" borderId="27" xfId="0" applyFont="1" applyBorder="1"/>
    <xf numFmtId="166" fontId="0" fillId="0" borderId="0" xfId="0" applyNumberFormat="1" applyBorder="1"/>
    <xf numFmtId="166" fontId="0" fillId="4" borderId="0" xfId="0" applyNumberFormat="1" applyFill="1" applyBorder="1"/>
    <xf numFmtId="166" fontId="0" fillId="4" borderId="13" xfId="0" applyNumberFormat="1" applyFill="1" applyBorder="1"/>
    <xf numFmtId="166" fontId="26" fillId="4" borderId="25" xfId="0" applyNumberFormat="1" applyFont="1" applyFill="1" applyBorder="1"/>
    <xf numFmtId="166" fontId="26" fillId="4" borderId="0" xfId="0" applyNumberFormat="1" applyFont="1" applyFill="1" applyBorder="1"/>
    <xf numFmtId="166" fontId="26" fillId="4" borderId="13" xfId="0" applyNumberFormat="1" applyFont="1" applyFill="1" applyBorder="1"/>
    <xf numFmtId="166" fontId="26" fillId="0" borderId="0" xfId="0" applyNumberFormat="1" applyFont="1" applyBorder="1"/>
    <xf numFmtId="166" fontId="26" fillId="0" borderId="13" xfId="0" applyNumberFormat="1" applyFont="1" applyBorder="1"/>
    <xf numFmtId="166" fontId="9" fillId="0" borderId="26" xfId="0" applyNumberFormat="1" applyFont="1" applyBorder="1"/>
    <xf numFmtId="166" fontId="9" fillId="0" borderId="27" xfId="0" applyNumberFormat="1" applyFont="1" applyBorder="1"/>
    <xf numFmtId="0" fontId="24" fillId="0" borderId="5" xfId="0" applyFont="1" applyBorder="1" applyAlignment="1">
      <alignment horizontal="center"/>
    </xf>
    <xf numFmtId="0" fontId="24" fillId="12" borderId="5" xfId="0" applyFont="1" applyFill="1" applyBorder="1" applyAlignment="1">
      <alignment horizontal="center"/>
    </xf>
    <xf numFmtId="0" fontId="24" fillId="12" borderId="6" xfId="0" applyFont="1" applyFill="1" applyBorder="1" applyAlignment="1">
      <alignment horizontal="center"/>
    </xf>
    <xf numFmtId="0" fontId="24" fillId="12" borderId="28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166" fontId="9" fillId="4" borderId="26" xfId="0" applyNumberFormat="1" applyFont="1" applyFill="1" applyBorder="1"/>
    <xf numFmtId="3" fontId="3" fillId="17" borderId="5" xfId="0" applyNumberFormat="1" applyFont="1" applyFill="1" applyBorder="1"/>
    <xf numFmtId="3" fontId="3" fillId="0" borderId="0" xfId="0" applyNumberFormat="1" applyFont="1" applyAlignment="1">
      <alignment horizontal="center"/>
    </xf>
    <xf numFmtId="172" fontId="3" fillId="14" borderId="25" xfId="0" applyNumberFormat="1" applyFont="1" applyFill="1" applyBorder="1"/>
    <xf numFmtId="172" fontId="3" fillId="14" borderId="0" xfId="0" applyNumberFormat="1" applyFont="1" applyFill="1" applyBorder="1"/>
    <xf numFmtId="172" fontId="3" fillId="14" borderId="13" xfId="0" applyNumberFormat="1" applyFont="1" applyFill="1" applyBorder="1"/>
    <xf numFmtId="172" fontId="3" fillId="15" borderId="25" xfId="0" applyNumberFormat="1" applyFont="1" applyFill="1" applyBorder="1"/>
    <xf numFmtId="172" fontId="3" fillId="15" borderId="0" xfId="0" applyNumberFormat="1" applyFont="1" applyFill="1" applyBorder="1"/>
    <xf numFmtId="172" fontId="3" fillId="15" borderId="13" xfId="0" applyNumberFormat="1" applyFont="1" applyFill="1" applyBorder="1"/>
    <xf numFmtId="172" fontId="3" fillId="12" borderId="25" xfId="0" applyNumberFormat="1" applyFont="1" applyFill="1" applyBorder="1"/>
    <xf numFmtId="172" fontId="3" fillId="12" borderId="0" xfId="0" applyNumberFormat="1" applyFont="1" applyFill="1" applyBorder="1"/>
    <xf numFmtId="172" fontId="3" fillId="12" borderId="13" xfId="0" applyNumberFormat="1" applyFont="1" applyFill="1" applyBorder="1"/>
    <xf numFmtId="172" fontId="15" fillId="0" borderId="25" xfId="0" applyNumberFormat="1" applyFont="1" applyBorder="1"/>
    <xf numFmtId="172" fontId="15" fillId="0" borderId="0" xfId="0" applyNumberFormat="1" applyFont="1" applyBorder="1"/>
    <xf numFmtId="172" fontId="15" fillId="0" borderId="13" xfId="0" applyNumberFormat="1" applyFont="1" applyBorder="1"/>
    <xf numFmtId="3" fontId="20" fillId="0" borderId="8" xfId="0" applyNumberFormat="1" applyFont="1" applyBorder="1"/>
    <xf numFmtId="3" fontId="20" fillId="0" borderId="26" xfId="0" applyNumberFormat="1" applyFont="1" applyBorder="1"/>
    <xf numFmtId="3" fontId="20" fillId="0" borderId="27" xfId="0" applyNumberFormat="1" applyFont="1" applyBorder="1"/>
    <xf numFmtId="3" fontId="8" fillId="0" borderId="8" xfId="0" applyNumberFormat="1" applyFont="1" applyBorder="1"/>
    <xf numFmtId="3" fontId="3" fillId="17" borderId="28" xfId="0" applyNumberFormat="1" applyFont="1" applyFill="1" applyBorder="1"/>
    <xf numFmtId="3" fontId="3" fillId="17" borderId="6" xfId="0" applyNumberFormat="1" applyFont="1" applyFill="1" applyBorder="1"/>
    <xf numFmtId="164" fontId="3" fillId="0" borderId="3" xfId="2" applyNumberFormat="1" applyFont="1" applyFill="1" applyBorder="1"/>
    <xf numFmtId="164" fontId="3" fillId="0" borderId="2" xfId="2" applyNumberFormat="1" applyFont="1" applyFill="1" applyBorder="1"/>
    <xf numFmtId="3" fontId="3" fillId="0" borderId="6" xfId="0" applyNumberFormat="1" applyFont="1" applyBorder="1"/>
    <xf numFmtId="165" fontId="3" fillId="0" borderId="0" xfId="0" applyNumberFormat="1" applyFont="1" applyBorder="1"/>
    <xf numFmtId="3" fontId="3" fillId="0" borderId="13" xfId="0" applyNumberFormat="1" applyFont="1" applyFill="1" applyBorder="1"/>
    <xf numFmtId="0" fontId="26" fillId="0" borderId="0" xfId="0" applyFont="1" applyBorder="1"/>
    <xf numFmtId="3" fontId="3" fillId="0" borderId="2" xfId="0" applyNumberFormat="1" applyFont="1" applyFill="1" applyBorder="1"/>
    <xf numFmtId="164" fontId="3" fillId="0" borderId="28" xfId="2" applyNumberFormat="1" applyFont="1" applyFill="1" applyBorder="1"/>
    <xf numFmtId="164" fontId="3" fillId="0" borderId="5" xfId="2" applyNumberFormat="1" applyFont="1" applyFill="1" applyBorder="1"/>
    <xf numFmtId="164" fontId="3" fillId="0" borderId="6" xfId="2" applyNumberFormat="1" applyFont="1" applyFill="1" applyBorder="1"/>
    <xf numFmtId="3" fontId="3" fillId="0" borderId="25" xfId="0" applyNumberFormat="1" applyFont="1" applyFill="1" applyBorder="1"/>
    <xf numFmtId="3" fontId="3" fillId="0" borderId="0" xfId="0" applyNumberFormat="1" applyFont="1" applyFill="1" applyBorder="1"/>
    <xf numFmtId="3" fontId="3" fillId="0" borderId="3" xfId="0" applyNumberFormat="1" applyFont="1" applyFill="1" applyBorder="1"/>
    <xf numFmtId="0" fontId="28" fillId="0" borderId="0" xfId="0" applyFont="1"/>
    <xf numFmtId="0" fontId="0" fillId="0" borderId="31" xfId="0" applyBorder="1"/>
    <xf numFmtId="0" fontId="24" fillId="0" borderId="31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24" fillId="0" borderId="16" xfId="0" applyFont="1" applyBorder="1"/>
    <xf numFmtId="0" fontId="0" fillId="0" borderId="18" xfId="0" applyBorder="1"/>
    <xf numFmtId="0" fontId="24" fillId="0" borderId="32" xfId="0" applyFont="1" applyBorder="1" applyAlignment="1">
      <alignment horizontal="center"/>
    </xf>
    <xf numFmtId="0" fontId="24" fillId="0" borderId="32" xfId="0" applyFont="1" applyBorder="1" applyAlignment="1">
      <alignment horizontal="center" wrapText="1"/>
    </xf>
    <xf numFmtId="0" fontId="24" fillId="0" borderId="21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3" xfId="0" applyFont="1" applyBorder="1" applyAlignment="1">
      <alignment horizontal="center" wrapText="1"/>
    </xf>
    <xf numFmtId="9" fontId="0" fillId="0" borderId="15" xfId="0" applyNumberFormat="1" applyBorder="1"/>
    <xf numFmtId="9" fontId="0" fillId="0" borderId="16" xfId="2" applyFont="1" applyBorder="1"/>
    <xf numFmtId="9" fontId="0" fillId="0" borderId="18" xfId="2" applyFont="1" applyBorder="1"/>
    <xf numFmtId="41" fontId="0" fillId="0" borderId="15" xfId="0" applyNumberFormat="1" applyBorder="1"/>
    <xf numFmtId="41" fontId="0" fillId="0" borderId="16" xfId="0" applyNumberFormat="1" applyBorder="1"/>
    <xf numFmtId="41" fontId="0" fillId="0" borderId="18" xfId="0" applyNumberFormat="1" applyBorder="1"/>
    <xf numFmtId="0" fontId="0" fillId="0" borderId="12" xfId="0" applyBorder="1"/>
    <xf numFmtId="9" fontId="0" fillId="0" borderId="12" xfId="0" applyNumberFormat="1" applyBorder="1"/>
    <xf numFmtId="9" fontId="0" fillId="0" borderId="0" xfId="2" applyFont="1" applyBorder="1"/>
    <xf numFmtId="9" fontId="0" fillId="0" borderId="19" xfId="2" applyFont="1" applyBorder="1"/>
    <xf numFmtId="41" fontId="0" fillId="0" borderId="12" xfId="0" applyNumberFormat="1" applyBorder="1"/>
    <xf numFmtId="41" fontId="0" fillId="0" borderId="0" xfId="0" applyNumberFormat="1" applyBorder="1"/>
    <xf numFmtId="41" fontId="0" fillId="0" borderId="19" xfId="0" applyNumberFormat="1" applyBorder="1"/>
    <xf numFmtId="0" fontId="0" fillId="0" borderId="21" xfId="0" applyBorder="1"/>
    <xf numFmtId="9" fontId="0" fillId="0" borderId="21" xfId="0" applyNumberFormat="1" applyBorder="1"/>
    <xf numFmtId="9" fontId="0" fillId="0" borderId="22" xfId="2" applyFont="1" applyBorder="1"/>
    <xf numFmtId="9" fontId="0" fillId="0" borderId="23" xfId="2" applyFont="1" applyBorder="1"/>
    <xf numFmtId="41" fontId="0" fillId="0" borderId="21" xfId="0" applyNumberFormat="1" applyBorder="1"/>
    <xf numFmtId="41" fontId="0" fillId="0" borderId="22" xfId="0" applyNumberFormat="1" applyBorder="1"/>
    <xf numFmtId="41" fontId="0" fillId="0" borderId="23" xfId="0" applyNumberFormat="1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1" fontId="0" fillId="0" borderId="0" xfId="0" applyNumberFormat="1"/>
    <xf numFmtId="1" fontId="28" fillId="0" borderId="0" xfId="0" applyNumberFormat="1" applyFont="1"/>
    <xf numFmtId="1" fontId="0" fillId="0" borderId="31" xfId="0" applyNumberFormat="1" applyBorder="1"/>
    <xf numFmtId="1" fontId="24" fillId="0" borderId="32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2" xfId="0" applyNumberFormat="1" applyBorder="1"/>
    <xf numFmtId="1" fontId="24" fillId="0" borderId="31" xfId="0" applyNumberFormat="1" applyFont="1" applyBorder="1" applyAlignment="1">
      <alignment horizontal="center" wrapText="1"/>
    </xf>
    <xf numFmtId="1" fontId="24" fillId="0" borderId="32" xfId="0" applyNumberFormat="1" applyFont="1" applyBorder="1" applyAlignment="1">
      <alignment horizontal="center" wrapText="1"/>
    </xf>
    <xf numFmtId="41" fontId="0" fillId="0" borderId="0" xfId="0" applyNumberFormat="1"/>
    <xf numFmtId="167" fontId="0" fillId="0" borderId="21" xfId="0" applyNumberFormat="1" applyBorder="1"/>
    <xf numFmtId="167" fontId="0" fillId="0" borderId="12" xfId="0" applyNumberFormat="1" applyBorder="1"/>
    <xf numFmtId="41" fontId="4" fillId="5" borderId="10" xfId="0" applyNumberFormat="1" applyFont="1" applyFill="1" applyBorder="1" applyAlignment="1" applyProtection="1">
      <alignment vertical="center"/>
    </xf>
    <xf numFmtId="169" fontId="0" fillId="18" borderId="1" xfId="0" applyNumberFormat="1" applyFill="1" applyBorder="1"/>
    <xf numFmtId="169" fontId="0" fillId="18" borderId="2" xfId="0" applyNumberFormat="1" applyFill="1" applyBorder="1"/>
    <xf numFmtId="166" fontId="8" fillId="0" borderId="0" xfId="0" applyNumberFormat="1" applyFont="1"/>
    <xf numFmtId="173" fontId="3" fillId="0" borderId="7" xfId="0" applyNumberFormat="1" applyFont="1" applyFill="1" applyBorder="1"/>
    <xf numFmtId="173" fontId="3" fillId="0" borderId="14" xfId="0" applyNumberFormat="1" applyFont="1" applyFill="1" applyBorder="1"/>
    <xf numFmtId="173" fontId="3" fillId="0" borderId="10" xfId="0" applyNumberFormat="1" applyFont="1" applyFill="1" applyBorder="1"/>
    <xf numFmtId="173" fontId="8" fillId="0" borderId="6" xfId="0" applyNumberFormat="1" applyFont="1" applyBorder="1"/>
    <xf numFmtId="173" fontId="8" fillId="0" borderId="13" xfId="0" applyNumberFormat="1" applyFont="1" applyBorder="1"/>
    <xf numFmtId="1" fontId="26" fillId="0" borderId="15" xfId="0" applyNumberFormat="1" applyFont="1" applyBorder="1"/>
    <xf numFmtId="1" fontId="26" fillId="0" borderId="12" xfId="0" applyNumberFormat="1" applyFont="1" applyBorder="1"/>
    <xf numFmtId="1" fontId="0" fillId="0" borderId="21" xfId="0" applyNumberFormat="1" applyBorder="1"/>
    <xf numFmtId="167" fontId="30" fillId="0" borderId="15" xfId="0" applyNumberFormat="1" applyFont="1" applyBorder="1"/>
    <xf numFmtId="167" fontId="30" fillId="0" borderId="12" xfId="0" applyNumberFormat="1" applyFont="1" applyBorder="1"/>
    <xf numFmtId="10" fontId="31" fillId="9" borderId="0" xfId="0" applyNumberFormat="1" applyFont="1" applyFill="1"/>
    <xf numFmtId="6" fontId="5" fillId="19" borderId="1" xfId="0" applyNumberFormat="1" applyFont="1" applyFill="1" applyBorder="1" applyAlignment="1" applyProtection="1">
      <alignment horizontal="center" vertical="center"/>
      <protection locked="0"/>
    </xf>
    <xf numFmtId="168" fontId="3" fillId="0" borderId="10" xfId="1" applyNumberFormat="1" applyFont="1" applyFill="1" applyBorder="1"/>
    <xf numFmtId="170" fontId="3" fillId="0" borderId="0" xfId="0" applyNumberFormat="1" applyFont="1" applyFill="1" applyAlignment="1">
      <alignment horizontal="right"/>
    </xf>
    <xf numFmtId="15" fontId="2" fillId="7" borderId="1" xfId="0" applyNumberFormat="1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>
      <alignment vertical="center"/>
    </xf>
    <xf numFmtId="0" fontId="5" fillId="7" borderId="7" xfId="0" applyFont="1" applyFill="1" applyBorder="1" applyAlignment="1" applyProtection="1">
      <alignment horizontal="center" vertical="center" textRotation="90"/>
      <protection locked="0"/>
    </xf>
    <xf numFmtId="0" fontId="5" fillId="7" borderId="14" xfId="0" applyFont="1" applyFill="1" applyBorder="1" applyAlignment="1" applyProtection="1">
      <alignment horizontal="center" vertical="center" textRotation="90"/>
      <protection locked="0"/>
    </xf>
    <xf numFmtId="0" fontId="5" fillId="7" borderId="10" xfId="0" applyFont="1" applyFill="1" applyBorder="1" applyAlignment="1" applyProtection="1">
      <alignment horizontal="center" vertical="center" textRotation="90"/>
      <protection locked="0"/>
    </xf>
    <xf numFmtId="15" fontId="2" fillId="7" borderId="0" xfId="0" applyNumberFormat="1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>
      <alignment vertical="center"/>
    </xf>
    <xf numFmtId="0" fontId="6" fillId="7" borderId="15" xfId="0" applyFont="1" applyFill="1" applyBorder="1" applyAlignment="1"/>
    <xf numFmtId="0" fontId="6" fillId="7" borderId="16" xfId="0" applyFont="1" applyFill="1" applyBorder="1" applyAlignment="1"/>
    <xf numFmtId="0" fontId="6" fillId="7" borderId="17" xfId="0" applyFont="1" applyFill="1" applyBorder="1" applyAlignment="1"/>
    <xf numFmtId="0" fontId="6" fillId="7" borderId="0" xfId="0" applyFont="1" applyFill="1" applyAlignment="1">
      <alignment vertical="center"/>
    </xf>
    <xf numFmtId="0" fontId="6" fillId="7" borderId="20" xfId="0" applyFont="1" applyFill="1" applyBorder="1" applyAlignment="1">
      <alignment vertical="center"/>
    </xf>
    <xf numFmtId="0" fontId="9" fillId="0" borderId="2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/>
              <a:t>Augmentation Upgrade Expenditure $'000 nominal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Augmentation!$C$39</c:f>
              <c:strCache>
                <c:ptCount val="1"/>
                <c:pt idx="0">
                  <c:v>Sub-Trans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Augmentation!$I$39:$U$39</c:f>
              <c:numCache>
                <c:formatCode>#,##0</c:formatCode>
                <c:ptCount val="13"/>
                <c:pt idx="0">
                  <c:v>21097.044424999996</c:v>
                </c:pt>
                <c:pt idx="1">
                  <c:v>11944.339150000002</c:v>
                </c:pt>
                <c:pt idx="2">
                  <c:v>4795.0143238925357</c:v>
                </c:pt>
                <c:pt idx="3">
                  <c:v>5264.3638449343716</c:v>
                </c:pt>
                <c:pt idx="4">
                  <c:v>5989.9174665914679</c:v>
                </c:pt>
                <c:pt idx="5">
                  <c:v>5530.0430680885966</c:v>
                </c:pt>
                <c:pt idx="6">
                  <c:v>6360.7598441345353</c:v>
                </c:pt>
                <c:pt idx="7">
                  <c:v>1891.422404781536</c:v>
                </c:pt>
                <c:pt idx="8">
                  <c:v>2618.2403519875861</c:v>
                </c:pt>
                <c:pt idx="9">
                  <c:v>1707.0907288387361</c:v>
                </c:pt>
                <c:pt idx="10">
                  <c:v>3584.8455409581284</c:v>
                </c:pt>
                <c:pt idx="11">
                  <c:v>4977.2567122086502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8-42C4-A25F-4493A4342599}"/>
            </c:ext>
          </c:extLst>
        </c:ser>
        <c:ser>
          <c:idx val="1"/>
          <c:order val="1"/>
          <c:tx>
            <c:strRef>
              <c:f>Augmentation!$C$40</c:f>
              <c:strCache>
                <c:ptCount val="1"/>
                <c:pt idx="0">
                  <c:v>Zone S/Stn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Augmentation!$I$40:$U$40</c:f>
              <c:numCache>
                <c:formatCode>#,##0</c:formatCode>
                <c:ptCount val="13"/>
                <c:pt idx="0">
                  <c:v>14607.6174166</c:v>
                </c:pt>
                <c:pt idx="1">
                  <c:v>14011.4880166</c:v>
                </c:pt>
                <c:pt idx="2">
                  <c:v>12357.339967350288</c:v>
                </c:pt>
                <c:pt idx="3">
                  <c:v>11393.902773831009</c:v>
                </c:pt>
                <c:pt idx="4">
                  <c:v>9760.9805204370841</c:v>
                </c:pt>
                <c:pt idx="5">
                  <c:v>5930.4862706421718</c:v>
                </c:pt>
                <c:pt idx="6">
                  <c:v>4442.9593929450366</c:v>
                </c:pt>
                <c:pt idx="7">
                  <c:v>3317.834783942365</c:v>
                </c:pt>
                <c:pt idx="8">
                  <c:v>2715.3039295098306</c:v>
                </c:pt>
                <c:pt idx="9">
                  <c:v>3181.2675187611799</c:v>
                </c:pt>
                <c:pt idx="10">
                  <c:v>4065.2721472747098</c:v>
                </c:pt>
                <c:pt idx="11">
                  <c:v>3216.7872059757001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8-42C4-A25F-4493A4342599}"/>
            </c:ext>
          </c:extLst>
        </c:ser>
        <c:ser>
          <c:idx val="2"/>
          <c:order val="2"/>
          <c:tx>
            <c:strRef>
              <c:f>Augmentation!$C$41</c:f>
              <c:strCache>
                <c:ptCount val="1"/>
                <c:pt idx="0">
                  <c:v>HV Feeder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Augmentation!$I$41:$U$41</c:f>
              <c:numCache>
                <c:formatCode>#,##0</c:formatCode>
                <c:ptCount val="13"/>
                <c:pt idx="0">
                  <c:v>2994.5106000000001</c:v>
                </c:pt>
                <c:pt idx="1">
                  <c:v>3153.8480749999999</c:v>
                </c:pt>
                <c:pt idx="2">
                  <c:v>1220.7628167965545</c:v>
                </c:pt>
                <c:pt idx="3">
                  <c:v>1900.1877437428218</c:v>
                </c:pt>
                <c:pt idx="4">
                  <c:v>4422.1070264241962</c:v>
                </c:pt>
                <c:pt idx="5">
                  <c:v>6102.2648620292002</c:v>
                </c:pt>
                <c:pt idx="6">
                  <c:v>5036.4542657916327</c:v>
                </c:pt>
                <c:pt idx="7">
                  <c:v>2674.8949342408505</c:v>
                </c:pt>
                <c:pt idx="8">
                  <c:v>1284.6982898367394</c:v>
                </c:pt>
                <c:pt idx="9">
                  <c:v>1143.896947396802</c:v>
                </c:pt>
                <c:pt idx="10">
                  <c:v>1453.8724138693915</c:v>
                </c:pt>
                <c:pt idx="11">
                  <c:v>1615.5990552265948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8-42C4-A25F-4493A4342599}"/>
            </c:ext>
          </c:extLst>
        </c:ser>
        <c:ser>
          <c:idx val="3"/>
          <c:order val="3"/>
          <c:tx>
            <c:strRef>
              <c:f>Augmentation!$C$42</c:f>
              <c:strCache>
                <c:ptCount val="1"/>
                <c:pt idx="0">
                  <c:v>Dist T/F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Augmentation!$I$42:$U$42</c:f>
              <c:numCache>
                <c:formatCode>#,##0</c:formatCode>
                <c:ptCount val="13"/>
                <c:pt idx="0">
                  <c:v>1841.7332000000004</c:v>
                </c:pt>
                <c:pt idx="1">
                  <c:v>1774.3713000000002</c:v>
                </c:pt>
                <c:pt idx="2">
                  <c:v>1470.2361310090239</c:v>
                </c:pt>
                <c:pt idx="3">
                  <c:v>1413.8300438063986</c:v>
                </c:pt>
                <c:pt idx="4">
                  <c:v>1449.6326219521438</c:v>
                </c:pt>
                <c:pt idx="5">
                  <c:v>1513.8511878258107</c:v>
                </c:pt>
                <c:pt idx="6">
                  <c:v>1637.2272354388842</c:v>
                </c:pt>
                <c:pt idx="7">
                  <c:v>1694.0102645246227</c:v>
                </c:pt>
                <c:pt idx="8">
                  <c:v>1729.2597690235941</c:v>
                </c:pt>
                <c:pt idx="9">
                  <c:v>1764.5323536566989</c:v>
                </c:pt>
                <c:pt idx="10">
                  <c:v>1764.531558844501</c:v>
                </c:pt>
                <c:pt idx="11">
                  <c:v>1799.895730568021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8-42C4-A25F-4493A4342599}"/>
            </c:ext>
          </c:extLst>
        </c:ser>
        <c:ser>
          <c:idx val="4"/>
          <c:order val="4"/>
          <c:tx>
            <c:strRef>
              <c:f>Augmentation!$C$43</c:f>
              <c:strCache>
                <c:ptCount val="1"/>
                <c:pt idx="0">
                  <c:v>LV Feeder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Augmentation!$I$3:$U$3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Augmentation!$I$43:$U$43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8-42C4-A25F-4493A4342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481640"/>
        <c:axId val="586482296"/>
      </c:barChart>
      <c:catAx>
        <c:axId val="58648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2296"/>
        <c:crosses val="autoZero"/>
        <c:auto val="1"/>
        <c:lblAlgn val="ctr"/>
        <c:lblOffset val="100"/>
        <c:noMultiLvlLbl val="0"/>
      </c:catAx>
      <c:valAx>
        <c:axId val="58648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48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Asset</a:t>
            </a:r>
            <a:r>
              <a:rPr lang="en-AU" baseline="0"/>
              <a:t> replacement - Augex portion $000's 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Replacement!$C$73</c:f>
              <c:strCache>
                <c:ptCount val="1"/>
                <c:pt idx="0">
                  <c:v>Sub-Trans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Replacement!$I$73:$M$73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F-46F6-9E9B-1D1DD764570F}"/>
            </c:ext>
          </c:extLst>
        </c:ser>
        <c:ser>
          <c:idx val="1"/>
          <c:order val="1"/>
          <c:tx>
            <c:strRef>
              <c:f>Replacement!$C$74</c:f>
              <c:strCache>
                <c:ptCount val="1"/>
                <c:pt idx="0">
                  <c:v>Zone S/Stn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Replacement!$I$74:$U$74</c:f>
              <c:numCache>
                <c:formatCode>#,##0</c:formatCode>
                <c:ptCount val="13"/>
                <c:pt idx="0">
                  <c:v>1049.3668</c:v>
                </c:pt>
                <c:pt idx="1">
                  <c:v>692.95870000000014</c:v>
                </c:pt>
                <c:pt idx="2">
                  <c:v>561.50697358490561</c:v>
                </c:pt>
                <c:pt idx="3">
                  <c:v>1158.7139946788352</c:v>
                </c:pt>
                <c:pt idx="4">
                  <c:v>2030.8489668281377</c:v>
                </c:pt>
                <c:pt idx="5">
                  <c:v>2132.4004511894996</c:v>
                </c:pt>
                <c:pt idx="6">
                  <c:v>1806.7154634946676</c:v>
                </c:pt>
                <c:pt idx="7">
                  <c:v>1755.2047834247737</c:v>
                </c:pt>
                <c:pt idx="8">
                  <c:v>1962.5391743154769</c:v>
                </c:pt>
                <c:pt idx="9">
                  <c:v>2155.5452435795987</c:v>
                </c:pt>
                <c:pt idx="10">
                  <c:v>1791.6505065097526</c:v>
                </c:pt>
                <c:pt idx="11">
                  <c:v>1447.6742593084671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F-46F6-9E9B-1D1DD764570F}"/>
            </c:ext>
          </c:extLst>
        </c:ser>
        <c:ser>
          <c:idx val="2"/>
          <c:order val="2"/>
          <c:tx>
            <c:strRef>
              <c:f>Replacement!$C$75</c:f>
              <c:strCache>
                <c:ptCount val="1"/>
                <c:pt idx="0">
                  <c:v>HV Feeder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Replacement!$I$75:$U$75</c:f>
              <c:numCache>
                <c:formatCode>#,##0</c:formatCode>
                <c:ptCount val="13"/>
                <c:pt idx="0">
                  <c:v>736.39530000000013</c:v>
                </c:pt>
                <c:pt idx="1">
                  <c:v>671.45080000000007</c:v>
                </c:pt>
                <c:pt idx="2">
                  <c:v>526.53557977850699</c:v>
                </c:pt>
                <c:pt idx="3">
                  <c:v>842.86891915504498</c:v>
                </c:pt>
                <c:pt idx="4">
                  <c:v>1632.0040138329143</c:v>
                </c:pt>
                <c:pt idx="5">
                  <c:v>2277.2386562037095</c:v>
                </c:pt>
                <c:pt idx="6">
                  <c:v>2257.4934975107967</c:v>
                </c:pt>
                <c:pt idx="7">
                  <c:v>452.82817587757967</c:v>
                </c:pt>
                <c:pt idx="8">
                  <c:v>452.82817587757967</c:v>
                </c:pt>
                <c:pt idx="9">
                  <c:v>452.82817587757967</c:v>
                </c:pt>
                <c:pt idx="10">
                  <c:v>452.82817587757967</c:v>
                </c:pt>
                <c:pt idx="11">
                  <c:v>452.82817587757967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F-46F6-9E9B-1D1DD764570F}"/>
            </c:ext>
          </c:extLst>
        </c:ser>
        <c:ser>
          <c:idx val="3"/>
          <c:order val="3"/>
          <c:tx>
            <c:strRef>
              <c:f>Replacement!$C$76</c:f>
              <c:strCache>
                <c:ptCount val="1"/>
                <c:pt idx="0">
                  <c:v>Dist T/F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Replacement!$I$76:$U$76</c:f>
              <c:numCache>
                <c:formatCode>#,##0</c:formatCode>
                <c:ptCount val="13"/>
                <c:pt idx="0">
                  <c:v>612.39314999999999</c:v>
                </c:pt>
                <c:pt idx="1">
                  <c:v>628.14175000000012</c:v>
                </c:pt>
                <c:pt idx="2">
                  <c:v>577.33618822805579</c:v>
                </c:pt>
                <c:pt idx="3">
                  <c:v>740.57813031173077</c:v>
                </c:pt>
                <c:pt idx="4">
                  <c:v>778.91026988365343</c:v>
                </c:pt>
                <c:pt idx="5">
                  <c:v>645.82521725855111</c:v>
                </c:pt>
                <c:pt idx="6">
                  <c:v>542.92821158690174</c:v>
                </c:pt>
                <c:pt idx="7">
                  <c:v>671.0432289586164</c:v>
                </c:pt>
                <c:pt idx="8">
                  <c:v>671.0432289586164</c:v>
                </c:pt>
                <c:pt idx="9">
                  <c:v>671.0432289586164</c:v>
                </c:pt>
                <c:pt idx="10">
                  <c:v>671.0432289586164</c:v>
                </c:pt>
                <c:pt idx="11">
                  <c:v>671.0432289586164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F-46F6-9E9B-1D1DD764570F}"/>
            </c:ext>
          </c:extLst>
        </c:ser>
        <c:ser>
          <c:idx val="4"/>
          <c:order val="4"/>
          <c:tx>
            <c:strRef>
              <c:f>Replacement!$C$77</c:f>
              <c:strCache>
                <c:ptCount val="1"/>
                <c:pt idx="0">
                  <c:v>LV Feeder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Replacement!$I$2:$U$2</c:f>
              <c:strCache>
                <c:ptCount val="13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</c:v>
                </c:pt>
              </c:strCache>
            </c:strRef>
          </c:cat>
          <c:val>
            <c:numRef>
              <c:f>Replacement!$I$77:$U$77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9F-46F6-9E9B-1D1DD7645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4504408"/>
        <c:axId val="440413416"/>
      </c:barChart>
      <c:catAx>
        <c:axId val="38450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413416"/>
        <c:crosses val="autoZero"/>
        <c:auto val="1"/>
        <c:lblAlgn val="ctr"/>
        <c:lblOffset val="100"/>
        <c:noMultiLvlLbl val="0"/>
      </c:catAx>
      <c:valAx>
        <c:axId val="44041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0440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37</xdr:row>
      <xdr:rowOff>171450</xdr:rowOff>
    </xdr:from>
    <xdr:to>
      <xdr:col>35</xdr:col>
      <xdr:colOff>495300</xdr:colOff>
      <xdr:row>52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72</xdr:row>
      <xdr:rowOff>4762</xdr:rowOff>
    </xdr:from>
    <xdr:to>
      <xdr:col>32</xdr:col>
      <xdr:colOff>76200</xdr:colOff>
      <xdr:row>86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9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K18" sqref="K18"/>
    </sheetView>
  </sheetViews>
  <sheetFormatPr defaultRowHeight="15" x14ac:dyDescent="0.25"/>
  <cols>
    <col min="1" max="2" width="5.7109375" customWidth="1"/>
    <col min="3" max="3" width="36.7109375" customWidth="1"/>
    <col min="4" max="4" width="9.140625" customWidth="1"/>
    <col min="5" max="8" width="9.140625" hidden="1" customWidth="1"/>
    <col min="9" max="10" width="9.140625" customWidth="1"/>
    <col min="11" max="22" width="10.140625" customWidth="1"/>
    <col min="23" max="35" width="10.140625" bestFit="1" customWidth="1"/>
  </cols>
  <sheetData>
    <row r="1" spans="1:30" x14ac:dyDescent="0.25">
      <c r="A1" s="467" t="s">
        <v>267</v>
      </c>
      <c r="B1" s="468"/>
      <c r="C1" s="468"/>
      <c r="D1" s="468"/>
    </row>
    <row r="2" spans="1:30" ht="20.25" x14ac:dyDescent="0.25">
      <c r="A2" s="462"/>
      <c r="B2" s="463"/>
      <c r="C2" s="463"/>
      <c r="D2" s="463"/>
      <c r="E2" s="199"/>
      <c r="F2" s="200"/>
      <c r="G2" s="201"/>
      <c r="H2" s="206"/>
      <c r="I2" s="264" t="s">
        <v>269</v>
      </c>
      <c r="J2" s="207"/>
      <c r="K2" s="207"/>
      <c r="L2" s="207"/>
      <c r="M2" s="459" t="s">
        <v>252</v>
      </c>
      <c r="N2" s="459" t="s">
        <v>252</v>
      </c>
      <c r="O2" s="459" t="s">
        <v>252</v>
      </c>
      <c r="P2" s="459" t="s">
        <v>252</v>
      </c>
      <c r="Q2" s="459" t="s">
        <v>252</v>
      </c>
      <c r="R2" s="459" t="s">
        <v>252</v>
      </c>
      <c r="S2" s="459" t="s">
        <v>252</v>
      </c>
      <c r="T2" s="459" t="s">
        <v>252</v>
      </c>
      <c r="U2" s="208"/>
    </row>
    <row r="3" spans="1:30" x14ac:dyDescent="0.25">
      <c r="A3" s="174"/>
      <c r="B3" s="175"/>
      <c r="C3" s="176"/>
      <c r="D3" s="177" t="s">
        <v>0</v>
      </c>
      <c r="E3" s="17" t="s">
        <v>1</v>
      </c>
      <c r="F3" s="17" t="s">
        <v>2</v>
      </c>
      <c r="G3" s="202" t="s">
        <v>3</v>
      </c>
      <c r="H3" s="17" t="s">
        <v>4</v>
      </c>
      <c r="I3" s="1" t="s">
        <v>5</v>
      </c>
      <c r="J3" s="1" t="s">
        <v>6</v>
      </c>
      <c r="K3" s="15" t="s">
        <v>7</v>
      </c>
      <c r="L3" s="15" t="s">
        <v>8</v>
      </c>
      <c r="M3" s="15" t="s">
        <v>9</v>
      </c>
      <c r="N3" s="15" t="s">
        <v>10</v>
      </c>
      <c r="O3" s="15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5" t="s">
        <v>17</v>
      </c>
    </row>
    <row r="4" spans="1:30" x14ac:dyDescent="0.25">
      <c r="A4" s="178" t="s">
        <v>18</v>
      </c>
      <c r="B4" s="179"/>
      <c r="C4" s="180"/>
      <c r="D4" s="181" t="s">
        <v>19</v>
      </c>
      <c r="E4" s="198" t="s">
        <v>20</v>
      </c>
      <c r="F4" s="198" t="s">
        <v>21</v>
      </c>
      <c r="G4" s="203"/>
      <c r="H4" s="198" t="s">
        <v>22</v>
      </c>
      <c r="I4" s="2" t="s">
        <v>23</v>
      </c>
      <c r="J4" s="2" t="s">
        <v>23</v>
      </c>
      <c r="K4" s="16" t="s">
        <v>23</v>
      </c>
      <c r="L4" s="16" t="s">
        <v>23</v>
      </c>
      <c r="M4" s="16" t="s">
        <v>23</v>
      </c>
      <c r="N4" s="16" t="s">
        <v>23</v>
      </c>
      <c r="O4" s="16" t="s">
        <v>23</v>
      </c>
      <c r="P4" s="2" t="s">
        <v>23</v>
      </c>
      <c r="Q4" s="2" t="s">
        <v>23</v>
      </c>
      <c r="R4" s="2" t="s">
        <v>23</v>
      </c>
      <c r="S4" s="2" t="s">
        <v>23</v>
      </c>
      <c r="T4" s="2" t="s">
        <v>23</v>
      </c>
      <c r="U4" s="16" t="s">
        <v>24</v>
      </c>
      <c r="W4" s="209" t="s">
        <v>48</v>
      </c>
      <c r="X4" s="210" t="s">
        <v>49</v>
      </c>
      <c r="Y4" s="210" t="s">
        <v>50</v>
      </c>
      <c r="Z4" s="210" t="s">
        <v>51</v>
      </c>
      <c r="AA4" s="210" t="s">
        <v>52</v>
      </c>
      <c r="AB4" s="211" t="s">
        <v>118</v>
      </c>
    </row>
    <row r="5" spans="1:30" x14ac:dyDescent="0.25">
      <c r="A5" s="182" t="s">
        <v>25</v>
      </c>
      <c r="B5" s="183"/>
      <c r="C5" s="176"/>
      <c r="D5" s="177"/>
      <c r="E5" s="3"/>
      <c r="F5" s="3"/>
      <c r="G5" s="202"/>
      <c r="H5" s="3"/>
      <c r="I5" s="4"/>
      <c r="J5" s="4"/>
      <c r="K5" s="3"/>
      <c r="L5" s="3"/>
      <c r="M5" s="3"/>
      <c r="N5" s="3"/>
      <c r="O5" s="3"/>
      <c r="P5" s="5"/>
      <c r="Q5" s="5"/>
      <c r="R5" s="5"/>
      <c r="S5" s="5"/>
      <c r="T5" s="5"/>
      <c r="U5" s="17"/>
      <c r="W5" s="212"/>
      <c r="X5" s="213"/>
      <c r="Y5" s="213"/>
      <c r="Z5" s="213"/>
      <c r="AA5" s="213"/>
      <c r="AB5" s="214"/>
    </row>
    <row r="6" spans="1:30" x14ac:dyDescent="0.25">
      <c r="A6" s="184"/>
      <c r="B6" s="185" t="s">
        <v>26</v>
      </c>
      <c r="C6" s="186"/>
      <c r="D6" s="187"/>
      <c r="E6" s="6"/>
      <c r="F6" s="6"/>
      <c r="G6" s="204"/>
      <c r="H6" s="6"/>
      <c r="I6" s="7" t="str">
        <f t="shared" ref="I6:P6" si="0">IF($A$1=2,I37,"")</f>
        <v/>
      </c>
      <c r="J6" s="7" t="str">
        <f t="shared" si="0"/>
        <v/>
      </c>
      <c r="K6" s="8" t="str">
        <f t="shared" si="0"/>
        <v/>
      </c>
      <c r="L6" s="8" t="str">
        <f t="shared" si="0"/>
        <v/>
      </c>
      <c r="M6" s="8" t="str">
        <f t="shared" si="0"/>
        <v/>
      </c>
      <c r="N6" s="8" t="str">
        <f t="shared" si="0"/>
        <v/>
      </c>
      <c r="O6" s="8" t="str">
        <f t="shared" si="0"/>
        <v/>
      </c>
      <c r="P6" s="9" t="str">
        <f t="shared" si="0"/>
        <v/>
      </c>
      <c r="Q6" s="9"/>
      <c r="R6" s="9"/>
      <c r="S6" s="9"/>
      <c r="T6" s="9"/>
      <c r="U6" s="18"/>
      <c r="W6" s="215"/>
      <c r="X6" s="216"/>
      <c r="Y6" s="216"/>
      <c r="Z6" s="216"/>
      <c r="AA6" s="216"/>
      <c r="AB6" s="217"/>
    </row>
    <row r="7" spans="1:30" x14ac:dyDescent="0.25">
      <c r="A7" s="188"/>
      <c r="B7" s="464" t="s">
        <v>27</v>
      </c>
      <c r="C7" s="189" t="s">
        <v>28</v>
      </c>
      <c r="D7" s="190">
        <v>1</v>
      </c>
      <c r="E7" s="6" t="s">
        <v>29</v>
      </c>
      <c r="F7" s="6" t="s">
        <v>30</v>
      </c>
      <c r="G7" s="204" t="s">
        <v>31</v>
      </c>
      <c r="H7" s="6" t="s">
        <v>32</v>
      </c>
      <c r="I7" s="10">
        <v>21118.643499999998</v>
      </c>
      <c r="J7" s="10">
        <v>9782.121000000001</v>
      </c>
      <c r="K7" s="11">
        <v>4669.424449138638</v>
      </c>
      <c r="L7" s="11">
        <v>1808.1119479081212</v>
      </c>
      <c r="M7" s="11">
        <v>2381.4865303527481</v>
      </c>
      <c r="N7" s="11">
        <v>1760.4593929450368</v>
      </c>
      <c r="O7" s="11">
        <v>620.56193601312543</v>
      </c>
      <c r="P7" s="12">
        <v>4369.0686869763849</v>
      </c>
      <c r="Q7" s="12">
        <v>5303.9623447711374</v>
      </c>
      <c r="R7" s="12">
        <v>1558.7555392050613</v>
      </c>
      <c r="S7" s="12">
        <v>0</v>
      </c>
      <c r="T7" s="12">
        <v>0</v>
      </c>
      <c r="U7" s="19"/>
      <c r="W7" s="218">
        <v>0.35</v>
      </c>
      <c r="X7" s="216"/>
      <c r="Y7" s="216"/>
      <c r="Z7" s="216"/>
      <c r="AA7" s="216"/>
      <c r="AB7" s="219">
        <f t="shared" ref="AB7:AB21" si="1">1-SUM(W7:AA7)</f>
        <v>0.65</v>
      </c>
      <c r="AD7" t="s">
        <v>254</v>
      </c>
    </row>
    <row r="8" spans="1:30" x14ac:dyDescent="0.25">
      <c r="A8" s="191"/>
      <c r="B8" s="465"/>
      <c r="C8" s="189" t="s">
        <v>33</v>
      </c>
      <c r="D8" s="190">
        <v>2</v>
      </c>
      <c r="E8" s="6" t="s">
        <v>29</v>
      </c>
      <c r="F8" s="6" t="s">
        <v>30</v>
      </c>
      <c r="G8" s="204" t="s">
        <v>31</v>
      </c>
      <c r="H8" s="6" t="s">
        <v>32</v>
      </c>
      <c r="I8" s="10">
        <v>0</v>
      </c>
      <c r="J8" s="10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9"/>
      <c r="W8" s="218">
        <v>1</v>
      </c>
      <c r="X8" s="216"/>
      <c r="Y8" s="216"/>
      <c r="Z8" s="216"/>
      <c r="AA8" s="216"/>
      <c r="AB8" s="219">
        <f t="shared" si="1"/>
        <v>0</v>
      </c>
    </row>
    <row r="9" spans="1:30" x14ac:dyDescent="0.25">
      <c r="A9" s="191"/>
      <c r="B9" s="465"/>
      <c r="C9" s="189" t="s">
        <v>34</v>
      </c>
      <c r="D9" s="190">
        <v>3</v>
      </c>
      <c r="E9" s="6" t="s">
        <v>29</v>
      </c>
      <c r="F9" s="6" t="s">
        <v>35</v>
      </c>
      <c r="G9" s="204" t="s">
        <v>31</v>
      </c>
      <c r="H9" s="6" t="s">
        <v>32</v>
      </c>
      <c r="I9" s="10">
        <v>8567.648000000001</v>
      </c>
      <c r="J9" s="10">
        <v>8048.0985000000001</v>
      </c>
      <c r="K9" s="11">
        <v>7033.0753252666118</v>
      </c>
      <c r="L9" s="11">
        <v>6978.1762793273165</v>
      </c>
      <c r="M9" s="11">
        <v>7190.9753293683334</v>
      </c>
      <c r="N9" s="11">
        <v>7217.8835110746513</v>
      </c>
      <c r="O9" s="11">
        <v>7569.9753896636576</v>
      </c>
      <c r="P9" s="12">
        <v>7851.5785054575981</v>
      </c>
      <c r="Q9" s="12">
        <v>8028.0184718723758</v>
      </c>
      <c r="R9" s="12">
        <v>8204.4584382871526</v>
      </c>
      <c r="S9" s="12">
        <v>8204.4584382871526</v>
      </c>
      <c r="T9" s="12">
        <v>8380.8984047019312</v>
      </c>
      <c r="U9" s="19"/>
      <c r="W9" s="215"/>
      <c r="X9" s="216"/>
      <c r="Y9" s="216"/>
      <c r="Z9" s="220">
        <v>0.2</v>
      </c>
      <c r="AA9" s="220">
        <v>0</v>
      </c>
      <c r="AB9" s="219">
        <f t="shared" si="1"/>
        <v>0.8</v>
      </c>
      <c r="AD9" t="s">
        <v>255</v>
      </c>
    </row>
    <row r="10" spans="1:30" x14ac:dyDescent="0.25">
      <c r="A10" s="191"/>
      <c r="B10" s="465"/>
      <c r="C10" s="189" t="s">
        <v>36</v>
      </c>
      <c r="D10" s="190">
        <v>4</v>
      </c>
      <c r="E10" s="6" t="s">
        <v>29</v>
      </c>
      <c r="F10" s="6" t="s">
        <v>30</v>
      </c>
      <c r="G10" s="204" t="s">
        <v>31</v>
      </c>
      <c r="H10" s="6" t="s">
        <v>32</v>
      </c>
      <c r="I10" s="10">
        <v>2753.6920000000005</v>
      </c>
      <c r="J10" s="10">
        <v>2830.1435000000006</v>
      </c>
      <c r="K10" s="11">
        <v>474.0173351107465</v>
      </c>
      <c r="L10" s="11">
        <v>750.67357272354388</v>
      </c>
      <c r="M10" s="11">
        <v>2627.9689340853156</v>
      </c>
      <c r="N10" s="11">
        <v>5567.4528301886785</v>
      </c>
      <c r="O10" s="11">
        <v>5717.0918785890071</v>
      </c>
      <c r="P10" s="12">
        <v>2429.7146388645215</v>
      </c>
      <c r="Q10" s="12">
        <v>291.47503310149466</v>
      </c>
      <c r="R10" s="12">
        <v>75.067547213841493</v>
      </c>
      <c r="S10" s="12">
        <v>551.96371065656479</v>
      </c>
      <c r="T10" s="12">
        <v>799.73589223578199</v>
      </c>
      <c r="U10" s="19"/>
      <c r="W10" s="215"/>
      <c r="X10" s="216"/>
      <c r="Y10" s="220">
        <v>0.65</v>
      </c>
      <c r="Z10" s="216"/>
      <c r="AA10" s="216"/>
      <c r="AB10" s="219">
        <f t="shared" si="1"/>
        <v>0.35</v>
      </c>
      <c r="AD10" t="s">
        <v>256</v>
      </c>
    </row>
    <row r="11" spans="1:30" x14ac:dyDescent="0.25">
      <c r="A11" s="191"/>
      <c r="B11" s="465"/>
      <c r="C11" s="189" t="s">
        <v>37</v>
      </c>
      <c r="D11" s="190">
        <v>5</v>
      </c>
      <c r="E11" s="6" t="s">
        <v>29</v>
      </c>
      <c r="F11" s="6" t="s">
        <v>30</v>
      </c>
      <c r="G11" s="204" t="s">
        <v>31</v>
      </c>
      <c r="H11" s="6" t="s">
        <v>32</v>
      </c>
      <c r="I11" s="10">
        <v>0</v>
      </c>
      <c r="J11" s="10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9"/>
      <c r="W11" s="215"/>
      <c r="X11" s="220">
        <v>1</v>
      </c>
      <c r="Y11" s="216"/>
      <c r="Z11" s="216"/>
      <c r="AA11" s="216"/>
      <c r="AB11" s="219">
        <f t="shared" si="1"/>
        <v>0</v>
      </c>
    </row>
    <row r="12" spans="1:30" x14ac:dyDescent="0.25">
      <c r="A12" s="191"/>
      <c r="B12" s="465"/>
      <c r="C12" s="189" t="s">
        <v>38</v>
      </c>
      <c r="D12" s="190">
        <v>6</v>
      </c>
      <c r="E12" s="6" t="s">
        <v>29</v>
      </c>
      <c r="F12" s="6" t="s">
        <v>30</v>
      </c>
      <c r="G12" s="204" t="s">
        <v>31</v>
      </c>
      <c r="H12" s="6" t="s">
        <v>32</v>
      </c>
      <c r="I12" s="10">
        <v>4100</v>
      </c>
      <c r="J12" s="10">
        <v>4100</v>
      </c>
      <c r="K12" s="11">
        <v>3608.9417555373257</v>
      </c>
      <c r="L12" s="11">
        <v>3608.9417555373257</v>
      </c>
      <c r="M12" s="11">
        <v>4269.1140278917137</v>
      </c>
      <c r="N12" s="11">
        <v>4423.1542247744046</v>
      </c>
      <c r="O12" s="11">
        <v>3762.9819524200161</v>
      </c>
      <c r="P12" s="12">
        <v>3622.4836433980136</v>
      </c>
      <c r="Q12" s="12">
        <v>3621.356471867055</v>
      </c>
      <c r="R12" s="12">
        <v>3620.9052185500004</v>
      </c>
      <c r="S12" s="12">
        <v>3620.8819419070646</v>
      </c>
      <c r="T12" s="12">
        <v>3623.1128819521614</v>
      </c>
      <c r="U12" s="19"/>
      <c r="W12" s="218">
        <v>0.1</v>
      </c>
      <c r="X12" s="220">
        <v>0.2</v>
      </c>
      <c r="Y12" s="220">
        <v>0.2</v>
      </c>
      <c r="Z12" s="220"/>
      <c r="AA12" s="220"/>
      <c r="AB12" s="219">
        <f t="shared" si="1"/>
        <v>0.5</v>
      </c>
      <c r="AD12" t="s">
        <v>257</v>
      </c>
    </row>
    <row r="13" spans="1:30" x14ac:dyDescent="0.25">
      <c r="A13" s="191"/>
      <c r="B13" s="465"/>
      <c r="C13" s="189" t="s">
        <v>39</v>
      </c>
      <c r="D13" s="190">
        <v>7</v>
      </c>
      <c r="E13" s="6" t="s">
        <v>29</v>
      </c>
      <c r="F13" s="6" t="s">
        <v>30</v>
      </c>
      <c r="G13" s="204" t="s">
        <v>31</v>
      </c>
      <c r="H13" s="6" t="s">
        <v>32</v>
      </c>
      <c r="I13" s="10">
        <v>22979.362361</v>
      </c>
      <c r="J13" s="10">
        <v>21985.813361</v>
      </c>
      <c r="K13" s="11">
        <v>19392.586027071371</v>
      </c>
      <c r="L13" s="11">
        <v>16373.796912223133</v>
      </c>
      <c r="M13" s="11">
        <v>9761.0132223133696</v>
      </c>
      <c r="N13" s="11">
        <v>3014.7867104183752</v>
      </c>
      <c r="O13" s="11">
        <v>3674.9589827727641</v>
      </c>
      <c r="P13" s="12">
        <v>3158.6290305238772</v>
      </c>
      <c r="Q13" s="12">
        <v>2155.14872959893</v>
      </c>
      <c r="R13" s="12">
        <v>2932.0500794112199</v>
      </c>
      <c r="S13" s="12">
        <v>2123.9563586064614</v>
      </c>
      <c r="T13" s="12">
        <v>706.94885501505587</v>
      </c>
      <c r="U13" s="19"/>
      <c r="W13" s="215"/>
      <c r="X13" s="220">
        <v>0.6</v>
      </c>
      <c r="Y13" s="216"/>
      <c r="Z13" s="216"/>
      <c r="AA13" s="216"/>
      <c r="AB13" s="219">
        <f t="shared" si="1"/>
        <v>0.4</v>
      </c>
      <c r="AD13" t="s">
        <v>259</v>
      </c>
    </row>
    <row r="14" spans="1:30" x14ac:dyDescent="0.25">
      <c r="A14" s="191"/>
      <c r="B14" s="465"/>
      <c r="C14" s="189" t="s">
        <v>40</v>
      </c>
      <c r="D14" s="190">
        <v>8</v>
      </c>
      <c r="E14" s="6" t="s">
        <v>29</v>
      </c>
      <c r="F14" s="6" t="s">
        <v>30</v>
      </c>
      <c r="G14" s="204" t="s">
        <v>31</v>
      </c>
      <c r="H14" s="6" t="s">
        <v>32</v>
      </c>
      <c r="I14" s="10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9"/>
      <c r="W14" s="215"/>
      <c r="X14" s="220">
        <v>1</v>
      </c>
      <c r="Y14" s="216"/>
      <c r="Z14" s="216"/>
      <c r="AA14" s="216"/>
      <c r="AB14" s="219">
        <f t="shared" si="1"/>
        <v>0</v>
      </c>
      <c r="AD14" t="s">
        <v>258</v>
      </c>
    </row>
    <row r="15" spans="1:30" x14ac:dyDescent="0.25">
      <c r="A15" s="191"/>
      <c r="B15" s="465"/>
      <c r="C15" s="189" t="s">
        <v>41</v>
      </c>
      <c r="D15" s="190">
        <v>9</v>
      </c>
      <c r="E15" s="6" t="s">
        <v>29</v>
      </c>
      <c r="F15" s="6" t="s">
        <v>30</v>
      </c>
      <c r="G15" s="204" t="s">
        <v>31</v>
      </c>
      <c r="H15" s="6" t="s">
        <v>32</v>
      </c>
      <c r="I15" s="10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2">
        <v>0</v>
      </c>
      <c r="R15" s="12">
        <v>0</v>
      </c>
      <c r="S15" s="12"/>
      <c r="T15" s="12">
        <v>0</v>
      </c>
      <c r="U15" s="19"/>
      <c r="W15" s="218">
        <v>0.25</v>
      </c>
      <c r="X15" s="216"/>
      <c r="Y15" s="216"/>
      <c r="Z15" s="216"/>
      <c r="AA15" s="216"/>
      <c r="AB15" s="219">
        <f t="shared" si="1"/>
        <v>0.75</v>
      </c>
      <c r="AD15" t="s">
        <v>261</v>
      </c>
    </row>
    <row r="16" spans="1:30" x14ac:dyDescent="0.25">
      <c r="A16" s="191"/>
      <c r="B16" s="465"/>
      <c r="C16" s="189" t="s">
        <v>42</v>
      </c>
      <c r="D16" s="190">
        <v>10</v>
      </c>
      <c r="E16" s="6" t="s">
        <v>29</v>
      </c>
      <c r="F16" s="6" t="s">
        <v>30</v>
      </c>
      <c r="G16" s="204" t="s">
        <v>31</v>
      </c>
      <c r="H16" s="6" t="s">
        <v>32</v>
      </c>
      <c r="I16" s="10">
        <v>16619.398999999998</v>
      </c>
      <c r="J16" s="10">
        <v>10138.246000000001</v>
      </c>
      <c r="K16" s="11">
        <v>3499.7769889253491</v>
      </c>
      <c r="L16" s="11">
        <v>5338.2881095159964</v>
      </c>
      <c r="M16" s="11">
        <v>5911.8572227235436</v>
      </c>
      <c r="N16" s="11">
        <v>5589.4585726004916</v>
      </c>
      <c r="O16" s="11">
        <v>7209.081214109925</v>
      </c>
      <c r="P16" s="12">
        <v>0</v>
      </c>
      <c r="Q16" s="12">
        <v>499.64735516372792</v>
      </c>
      <c r="R16" s="12">
        <v>999.29471032745585</v>
      </c>
      <c r="S16" s="12">
        <v>4028.4466834592772</v>
      </c>
      <c r="T16" s="12">
        <v>5768.6817800167919</v>
      </c>
      <c r="U16" s="19"/>
      <c r="W16" s="218">
        <v>0.8</v>
      </c>
      <c r="X16" s="216"/>
      <c r="Y16" s="216"/>
      <c r="Z16" s="216"/>
      <c r="AA16" s="216"/>
      <c r="AB16" s="219">
        <f t="shared" si="1"/>
        <v>0.19999999999999996</v>
      </c>
      <c r="AD16" t="s">
        <v>260</v>
      </c>
    </row>
    <row r="17" spans="1:30" x14ac:dyDescent="0.25">
      <c r="A17" s="191"/>
      <c r="B17" s="465"/>
      <c r="C17" s="189" t="s">
        <v>171</v>
      </c>
      <c r="D17" s="190">
        <v>11</v>
      </c>
      <c r="E17" s="6"/>
      <c r="F17" s="6"/>
      <c r="G17" s="204"/>
      <c r="H17" s="6"/>
      <c r="I17" s="10">
        <v>641.01799999999992</v>
      </c>
      <c r="J17" s="10">
        <v>823.75799999999992</v>
      </c>
      <c r="K17" s="11">
        <v>318.10532977850698</v>
      </c>
      <c r="L17" s="11">
        <v>90.973939704675956</v>
      </c>
      <c r="M17" s="11">
        <v>57.187780392384603</v>
      </c>
      <c r="N17" s="11">
        <v>351.37242805440263</v>
      </c>
      <c r="O17" s="11">
        <v>616.16078753076283</v>
      </c>
      <c r="P17" s="12">
        <v>618.47281716551447</v>
      </c>
      <c r="Q17" s="12">
        <v>618.28037324559477</v>
      </c>
      <c r="R17" s="12">
        <v>618.20332999634161</v>
      </c>
      <c r="S17" s="12">
        <v>618.19935593535263</v>
      </c>
      <c r="T17" s="12">
        <v>618.58024813817394</v>
      </c>
      <c r="U17" s="19"/>
      <c r="W17" s="218"/>
      <c r="X17" s="216"/>
      <c r="Y17" s="220">
        <v>0.6</v>
      </c>
      <c r="Z17" s="220">
        <v>0.2</v>
      </c>
      <c r="AA17" s="220"/>
      <c r="AB17" s="219">
        <f t="shared" si="1"/>
        <v>0.19999999999999996</v>
      </c>
      <c r="AD17" t="s">
        <v>264</v>
      </c>
    </row>
    <row r="18" spans="1:30" x14ac:dyDescent="0.25">
      <c r="A18" s="191"/>
      <c r="B18" s="465"/>
      <c r="C18" s="189" t="s">
        <v>43</v>
      </c>
      <c r="D18" s="190">
        <v>12</v>
      </c>
      <c r="E18" s="6" t="s">
        <v>29</v>
      </c>
      <c r="F18" s="6" t="s">
        <v>30</v>
      </c>
      <c r="G18" s="204" t="s">
        <v>31</v>
      </c>
      <c r="H18" s="6" t="s">
        <v>32</v>
      </c>
      <c r="I18" s="10">
        <v>0</v>
      </c>
      <c r="J18" s="10">
        <v>0</v>
      </c>
      <c r="K18" s="11">
        <v>0</v>
      </c>
      <c r="L18" s="11">
        <v>0</v>
      </c>
      <c r="M18" s="11">
        <v>0</v>
      </c>
      <c r="N18" s="11">
        <v>220.0574241181296</v>
      </c>
      <c r="O18" s="11">
        <v>1122.2928630024608</v>
      </c>
      <c r="P18" s="12">
        <v>1396.3212738968728</v>
      </c>
      <c r="Q18" s="12">
        <v>1395.886794754123</v>
      </c>
      <c r="R18" s="12">
        <v>1395.7128548088956</v>
      </c>
      <c r="S18" s="12">
        <v>1395.7038826022786</v>
      </c>
      <c r="T18" s="12">
        <v>1396.5638199691273</v>
      </c>
      <c r="U18" s="19"/>
      <c r="W18" s="215"/>
      <c r="X18" s="220">
        <v>0.5</v>
      </c>
      <c r="Y18" s="220"/>
      <c r="Z18" s="220"/>
      <c r="AA18" s="216"/>
      <c r="AB18" s="219">
        <f t="shared" si="1"/>
        <v>0.5</v>
      </c>
      <c r="AD18" t="s">
        <v>263</v>
      </c>
    </row>
    <row r="19" spans="1:30" x14ac:dyDescent="0.25">
      <c r="A19" s="191"/>
      <c r="B19" s="466"/>
      <c r="C19" s="189" t="s">
        <v>44</v>
      </c>
      <c r="D19" s="190">
        <v>13</v>
      </c>
      <c r="E19" s="6" t="s">
        <v>29</v>
      </c>
      <c r="F19" s="6" t="s">
        <v>30</v>
      </c>
      <c r="G19" s="204" t="s">
        <v>31</v>
      </c>
      <c r="H19" s="6" t="s">
        <v>32</v>
      </c>
      <c r="I19" s="10">
        <v>0</v>
      </c>
      <c r="J19" s="10">
        <v>0</v>
      </c>
      <c r="K19" s="11">
        <v>0</v>
      </c>
      <c r="L19" s="11">
        <v>0</v>
      </c>
      <c r="M19" s="11">
        <v>616.16078753076283</v>
      </c>
      <c r="N19" s="11">
        <v>1276.3330598851517</v>
      </c>
      <c r="O19" s="11">
        <v>660.17227235438872</v>
      </c>
      <c r="P19" s="12">
        <v>0</v>
      </c>
      <c r="Q19" s="12">
        <v>0</v>
      </c>
      <c r="R19" s="12">
        <v>0</v>
      </c>
      <c r="S19" s="12">
        <v>1368.8700024282807</v>
      </c>
      <c r="T19" s="12">
        <v>1369.7134065916709</v>
      </c>
      <c r="U19" s="19"/>
      <c r="W19" s="215"/>
      <c r="X19" s="220">
        <v>1</v>
      </c>
      <c r="Y19" s="216"/>
      <c r="Z19" s="216"/>
      <c r="AA19" s="216"/>
      <c r="AB19" s="219">
        <f t="shared" si="1"/>
        <v>0</v>
      </c>
    </row>
    <row r="20" spans="1:30" x14ac:dyDescent="0.25">
      <c r="A20" s="191"/>
      <c r="B20" s="192"/>
      <c r="C20" s="189" t="s">
        <v>45</v>
      </c>
      <c r="D20" s="190">
        <v>14</v>
      </c>
      <c r="E20" s="6" t="s">
        <v>29</v>
      </c>
      <c r="F20" s="6" t="s">
        <v>30</v>
      </c>
      <c r="G20" s="204" t="s">
        <v>31</v>
      </c>
      <c r="H20" s="6" t="s">
        <v>32</v>
      </c>
      <c r="I20" s="10">
        <v>0</v>
      </c>
      <c r="J20" s="10">
        <v>0</v>
      </c>
      <c r="K20" s="11">
        <v>0</v>
      </c>
      <c r="L20" s="11">
        <v>1100.2871205906481</v>
      </c>
      <c r="M20" s="11">
        <v>1980.5168170631662</v>
      </c>
      <c r="N20" s="11">
        <v>1980.5168170631662</v>
      </c>
      <c r="O20" s="11">
        <v>2860.7465135356847</v>
      </c>
      <c r="P20" s="12">
        <v>626.36188077246004</v>
      </c>
      <c r="Q20" s="12">
        <v>1702.6456759026028</v>
      </c>
      <c r="R20" s="12">
        <v>2020.2376154492022</v>
      </c>
      <c r="S20" s="12">
        <v>635.18387909319893</v>
      </c>
      <c r="T20" s="12">
        <v>0</v>
      </c>
      <c r="U20" s="19"/>
      <c r="W20" s="215"/>
      <c r="X20" s="216"/>
      <c r="Y20" s="220"/>
      <c r="Z20" s="220"/>
      <c r="AA20" s="220"/>
      <c r="AB20" s="219">
        <f t="shared" si="1"/>
        <v>1</v>
      </c>
      <c r="AD20" t="s">
        <v>262</v>
      </c>
    </row>
    <row r="21" spans="1:30" x14ac:dyDescent="0.25">
      <c r="A21" s="191"/>
      <c r="B21" s="193"/>
      <c r="C21" s="189" t="s">
        <v>172</v>
      </c>
      <c r="D21" s="190">
        <v>15</v>
      </c>
      <c r="E21" s="6" t="s">
        <v>29</v>
      </c>
      <c r="F21" s="6" t="s">
        <v>30</v>
      </c>
      <c r="G21" s="204" t="s">
        <v>31</v>
      </c>
      <c r="H21" s="6" t="s">
        <v>32</v>
      </c>
      <c r="I21" s="10">
        <v>0</v>
      </c>
      <c r="J21" s="10">
        <v>0</v>
      </c>
      <c r="K21" s="11">
        <v>0</v>
      </c>
      <c r="L21" s="11">
        <v>4239.1813769483178</v>
      </c>
      <c r="M21" s="11">
        <v>12171.944969699785</v>
      </c>
      <c r="N21" s="11">
        <v>9253.1081374602436</v>
      </c>
      <c r="O21" s="11">
        <v>1320.3445447087774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9"/>
      <c r="W21" s="218"/>
      <c r="X21" s="220">
        <v>0.2</v>
      </c>
      <c r="Y21" s="220">
        <v>0.15</v>
      </c>
      <c r="Z21" s="216"/>
      <c r="AA21" s="216"/>
      <c r="AB21" s="219">
        <f t="shared" si="1"/>
        <v>0.65</v>
      </c>
      <c r="AD21" t="s">
        <v>265</v>
      </c>
    </row>
    <row r="22" spans="1:30" x14ac:dyDescent="0.25">
      <c r="A22" s="191"/>
      <c r="B22" s="193"/>
      <c r="C22" s="189"/>
      <c r="D22" s="190">
        <v>16</v>
      </c>
      <c r="E22" s="6"/>
      <c r="F22" s="6"/>
      <c r="G22" s="204" t="s">
        <v>31</v>
      </c>
      <c r="H22" s="6"/>
      <c r="I22" s="10"/>
      <c r="J22" s="10"/>
      <c r="K22" s="11"/>
      <c r="L22" s="11"/>
      <c r="M22" s="11"/>
      <c r="N22" s="11"/>
      <c r="O22" s="11"/>
      <c r="P22" s="12"/>
      <c r="Q22" s="12"/>
      <c r="R22" s="12"/>
      <c r="S22" s="12"/>
      <c r="T22" s="12"/>
      <c r="U22" s="19"/>
      <c r="W22" s="215"/>
      <c r="X22" s="216"/>
      <c r="Y22" s="216"/>
      <c r="Z22" s="216"/>
      <c r="AA22" s="216"/>
      <c r="AB22" s="221"/>
    </row>
    <row r="23" spans="1:30" hidden="1" x14ac:dyDescent="0.25">
      <c r="A23" s="191"/>
      <c r="B23" s="193"/>
      <c r="C23" s="189"/>
      <c r="D23" s="190">
        <v>17</v>
      </c>
      <c r="E23" s="6"/>
      <c r="F23" s="6"/>
      <c r="G23" s="204"/>
      <c r="H23" s="6"/>
      <c r="I23" s="10"/>
      <c r="J23" s="10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19"/>
      <c r="W23" s="215"/>
      <c r="X23" s="216"/>
      <c r="Y23" s="216"/>
      <c r="Z23" s="216"/>
      <c r="AA23" s="216"/>
      <c r="AB23" s="217"/>
    </row>
    <row r="24" spans="1:30" hidden="1" x14ac:dyDescent="0.25">
      <c r="A24" s="191"/>
      <c r="B24" s="193"/>
      <c r="C24" s="189"/>
      <c r="D24" s="190">
        <v>18</v>
      </c>
      <c r="E24" s="6"/>
      <c r="F24" s="6"/>
      <c r="G24" s="204" t="s">
        <v>31</v>
      </c>
      <c r="H24" s="6"/>
      <c r="I24" s="10"/>
      <c r="J24" s="10"/>
      <c r="K24" s="11"/>
      <c r="L24" s="11"/>
      <c r="M24" s="11"/>
      <c r="N24" s="11"/>
      <c r="O24" s="11"/>
      <c r="P24" s="12"/>
      <c r="Q24" s="12"/>
      <c r="R24" s="12"/>
      <c r="S24" s="12"/>
      <c r="T24" s="12"/>
      <c r="U24" s="19"/>
      <c r="W24" s="215"/>
      <c r="X24" s="216"/>
      <c r="Y24" s="216"/>
      <c r="Z24" s="216"/>
      <c r="AA24" s="216"/>
      <c r="AB24" s="217"/>
      <c r="AC24" s="21"/>
    </row>
    <row r="25" spans="1:30" hidden="1" x14ac:dyDescent="0.25">
      <c r="A25" s="191"/>
      <c r="B25" s="193"/>
      <c r="C25" s="189"/>
      <c r="D25" s="190">
        <v>19</v>
      </c>
      <c r="E25" s="6"/>
      <c r="F25" s="6"/>
      <c r="G25" s="204"/>
      <c r="H25" s="6"/>
      <c r="I25" s="10"/>
      <c r="J25" s="10"/>
      <c r="K25" s="11"/>
      <c r="L25" s="11"/>
      <c r="M25" s="11"/>
      <c r="N25" s="11"/>
      <c r="O25" s="11"/>
      <c r="P25" s="9"/>
      <c r="Q25" s="9"/>
      <c r="R25" s="9"/>
      <c r="S25" s="9"/>
      <c r="T25" s="9"/>
      <c r="U25" s="18"/>
      <c r="W25" s="215"/>
      <c r="X25" s="216"/>
      <c r="Y25" s="216"/>
      <c r="Z25" s="216"/>
      <c r="AA25" s="216"/>
      <c r="AB25" s="217"/>
    </row>
    <row r="26" spans="1:30" hidden="1" x14ac:dyDescent="0.25">
      <c r="A26" s="191"/>
      <c r="B26" s="193"/>
      <c r="C26" s="189"/>
      <c r="D26" s="190">
        <v>20</v>
      </c>
      <c r="E26" s="6"/>
      <c r="F26" s="6"/>
      <c r="G26" s="204"/>
      <c r="H26" s="6"/>
      <c r="I26" s="10"/>
      <c r="J26" s="10"/>
      <c r="K26" s="11"/>
      <c r="L26" s="11"/>
      <c r="M26" s="11"/>
      <c r="N26" s="11"/>
      <c r="O26" s="11"/>
      <c r="P26" s="9"/>
      <c r="Q26" s="9"/>
      <c r="R26" s="9"/>
      <c r="S26" s="9"/>
      <c r="T26" s="9"/>
      <c r="U26" s="18"/>
      <c r="W26" s="215"/>
      <c r="X26" s="216"/>
      <c r="Y26" s="216"/>
      <c r="Z26" s="216"/>
      <c r="AA26" s="216"/>
      <c r="AB26" s="217"/>
    </row>
    <row r="27" spans="1:30" hidden="1" x14ac:dyDescent="0.25">
      <c r="A27" s="191"/>
      <c r="B27" s="193"/>
      <c r="C27" s="189"/>
      <c r="D27" s="190">
        <v>21</v>
      </c>
      <c r="E27" s="6"/>
      <c r="F27" s="6"/>
      <c r="G27" s="204"/>
      <c r="H27" s="6"/>
      <c r="I27" s="10"/>
      <c r="J27" s="10"/>
      <c r="K27" s="11"/>
      <c r="L27" s="11"/>
      <c r="M27" s="11"/>
      <c r="N27" s="11"/>
      <c r="O27" s="11"/>
      <c r="P27" s="9"/>
      <c r="Q27" s="9"/>
      <c r="R27" s="9"/>
      <c r="S27" s="9"/>
      <c r="T27" s="9"/>
      <c r="U27" s="18"/>
      <c r="W27" s="215"/>
      <c r="X27" s="216"/>
      <c r="Y27" s="216"/>
      <c r="Z27" s="216"/>
      <c r="AA27" s="216"/>
      <c r="AB27" s="217"/>
    </row>
    <row r="28" spans="1:30" hidden="1" x14ac:dyDescent="0.25">
      <c r="A28" s="191"/>
      <c r="B28" s="193"/>
      <c r="C28" s="189"/>
      <c r="D28" s="190">
        <v>22</v>
      </c>
      <c r="E28" s="6"/>
      <c r="F28" s="6"/>
      <c r="G28" s="204"/>
      <c r="H28" s="6"/>
      <c r="I28" s="10"/>
      <c r="J28" s="10"/>
      <c r="K28" s="11"/>
      <c r="L28" s="11"/>
      <c r="M28" s="11"/>
      <c r="N28" s="11"/>
      <c r="O28" s="11"/>
      <c r="P28" s="9"/>
      <c r="Q28" s="9"/>
      <c r="R28" s="9"/>
      <c r="S28" s="9"/>
      <c r="T28" s="9"/>
      <c r="U28" s="18"/>
      <c r="W28" s="215"/>
      <c r="X28" s="216"/>
      <c r="Y28" s="216"/>
      <c r="Z28" s="216"/>
      <c r="AA28" s="216"/>
      <c r="AB28" s="217"/>
    </row>
    <row r="29" spans="1:30" hidden="1" x14ac:dyDescent="0.25">
      <c r="A29" s="191"/>
      <c r="B29" s="193"/>
      <c r="C29" s="189"/>
      <c r="D29" s="190">
        <v>23</v>
      </c>
      <c r="E29" s="6"/>
      <c r="F29" s="6"/>
      <c r="G29" s="204"/>
      <c r="H29" s="6"/>
      <c r="I29" s="10"/>
      <c r="J29" s="10"/>
      <c r="K29" s="11"/>
      <c r="L29" s="11"/>
      <c r="M29" s="11"/>
      <c r="N29" s="11"/>
      <c r="O29" s="11"/>
      <c r="P29" s="9"/>
      <c r="Q29" s="9"/>
      <c r="R29" s="9"/>
      <c r="S29" s="9"/>
      <c r="T29" s="9"/>
      <c r="U29" s="18"/>
      <c r="W29" s="215"/>
      <c r="X29" s="216"/>
      <c r="Y29" s="216"/>
      <c r="Z29" s="216"/>
      <c r="AA29" s="216"/>
      <c r="AB29" s="217"/>
    </row>
    <row r="30" spans="1:30" hidden="1" x14ac:dyDescent="0.25">
      <c r="A30" s="191"/>
      <c r="B30" s="193"/>
      <c r="C30" s="189"/>
      <c r="D30" s="190">
        <v>24</v>
      </c>
      <c r="E30" s="6"/>
      <c r="F30" s="6"/>
      <c r="G30" s="204"/>
      <c r="H30" s="6"/>
      <c r="I30" s="10"/>
      <c r="J30" s="10"/>
      <c r="K30" s="11"/>
      <c r="L30" s="11"/>
      <c r="M30" s="11"/>
      <c r="N30" s="11"/>
      <c r="O30" s="11"/>
      <c r="P30" s="9"/>
      <c r="Q30" s="9"/>
      <c r="R30" s="9"/>
      <c r="S30" s="9"/>
      <c r="T30" s="9"/>
      <c r="U30" s="18"/>
      <c r="W30" s="215"/>
      <c r="X30" s="216"/>
      <c r="Y30" s="216"/>
      <c r="Z30" s="216"/>
      <c r="AA30" s="216"/>
      <c r="AB30" s="217"/>
    </row>
    <row r="31" spans="1:30" hidden="1" x14ac:dyDescent="0.25">
      <c r="A31" s="191"/>
      <c r="B31" s="193"/>
      <c r="C31" s="189"/>
      <c r="D31" s="190">
        <v>25</v>
      </c>
      <c r="E31" s="6"/>
      <c r="F31" s="6"/>
      <c r="G31" s="204"/>
      <c r="H31" s="6"/>
      <c r="I31" s="10"/>
      <c r="J31" s="10"/>
      <c r="K31" s="11"/>
      <c r="L31" s="11"/>
      <c r="M31" s="11"/>
      <c r="N31" s="11"/>
      <c r="O31" s="11"/>
      <c r="P31" s="9"/>
      <c r="Q31" s="9"/>
      <c r="R31" s="9"/>
      <c r="S31" s="9"/>
      <c r="T31" s="9"/>
      <c r="U31" s="18"/>
      <c r="W31" s="215"/>
      <c r="X31" s="216"/>
      <c r="Y31" s="216"/>
      <c r="Z31" s="216"/>
      <c r="AA31" s="216"/>
      <c r="AB31" s="217"/>
    </row>
    <row r="32" spans="1:30" hidden="1" x14ac:dyDescent="0.25">
      <c r="A32" s="191"/>
      <c r="B32" s="193"/>
      <c r="C32" s="189"/>
      <c r="D32" s="190">
        <v>26</v>
      </c>
      <c r="E32" s="6"/>
      <c r="F32" s="6"/>
      <c r="G32" s="204"/>
      <c r="H32" s="6"/>
      <c r="I32" s="10"/>
      <c r="J32" s="10"/>
      <c r="K32" s="11"/>
      <c r="L32" s="11"/>
      <c r="M32" s="11"/>
      <c r="N32" s="11"/>
      <c r="O32" s="11"/>
      <c r="P32" s="9"/>
      <c r="Q32" s="9"/>
      <c r="R32" s="9"/>
      <c r="S32" s="9"/>
      <c r="T32" s="9"/>
      <c r="U32" s="18"/>
      <c r="W32" s="215"/>
      <c r="X32" s="216"/>
      <c r="Y32" s="216"/>
      <c r="Z32" s="216"/>
      <c r="AA32" s="216"/>
      <c r="AB32" s="217"/>
    </row>
    <row r="33" spans="1:28" hidden="1" x14ac:dyDescent="0.25">
      <c r="A33" s="191"/>
      <c r="B33" s="193"/>
      <c r="C33" s="189"/>
      <c r="D33" s="190">
        <v>27</v>
      </c>
      <c r="E33" s="6"/>
      <c r="F33" s="6"/>
      <c r="G33" s="204"/>
      <c r="H33" s="6"/>
      <c r="I33" s="10"/>
      <c r="J33" s="10"/>
      <c r="K33" s="11"/>
      <c r="L33" s="11"/>
      <c r="M33" s="11"/>
      <c r="N33" s="11"/>
      <c r="O33" s="11"/>
      <c r="P33" s="9"/>
      <c r="Q33" s="9"/>
      <c r="R33" s="9"/>
      <c r="S33" s="9"/>
      <c r="T33" s="9"/>
      <c r="U33" s="18"/>
      <c r="W33" s="215"/>
      <c r="X33" s="216"/>
      <c r="Y33" s="216"/>
      <c r="Z33" s="216"/>
      <c r="AA33" s="216"/>
      <c r="AB33" s="217"/>
    </row>
    <row r="34" spans="1:28" hidden="1" x14ac:dyDescent="0.25">
      <c r="A34" s="191"/>
      <c r="B34" s="193"/>
      <c r="C34" s="189"/>
      <c r="D34" s="190">
        <v>28</v>
      </c>
      <c r="E34" s="6"/>
      <c r="F34" s="6"/>
      <c r="G34" s="204"/>
      <c r="H34" s="6"/>
      <c r="I34" s="10"/>
      <c r="J34" s="10"/>
      <c r="K34" s="11"/>
      <c r="L34" s="11"/>
      <c r="M34" s="11"/>
      <c r="N34" s="11"/>
      <c r="O34" s="11"/>
      <c r="P34" s="9"/>
      <c r="Q34" s="9"/>
      <c r="R34" s="9"/>
      <c r="S34" s="9"/>
      <c r="T34" s="9"/>
      <c r="U34" s="18"/>
      <c r="W34" s="215"/>
      <c r="X34" s="216"/>
      <c r="Y34" s="216"/>
      <c r="Z34" s="216"/>
      <c r="AA34" s="216"/>
      <c r="AB34" s="217"/>
    </row>
    <row r="35" spans="1:28" hidden="1" x14ac:dyDescent="0.25">
      <c r="A35" s="191"/>
      <c r="B35" s="193"/>
      <c r="C35" s="189"/>
      <c r="D35" s="190">
        <v>29</v>
      </c>
      <c r="E35" s="6"/>
      <c r="F35" s="6"/>
      <c r="G35" s="204"/>
      <c r="H35" s="6"/>
      <c r="I35" s="10"/>
      <c r="J35" s="10"/>
      <c r="K35" s="11"/>
      <c r="L35" s="11"/>
      <c r="M35" s="11"/>
      <c r="N35" s="11"/>
      <c r="O35" s="11"/>
      <c r="P35" s="9"/>
      <c r="Q35" s="9"/>
      <c r="R35" s="9"/>
      <c r="S35" s="9"/>
      <c r="T35" s="9"/>
      <c r="U35" s="18"/>
      <c r="W35" s="215"/>
      <c r="X35" s="216"/>
      <c r="Y35" s="216"/>
      <c r="Z35" s="216"/>
      <c r="AA35" s="216"/>
      <c r="AB35" s="217"/>
    </row>
    <row r="36" spans="1:28" hidden="1" x14ac:dyDescent="0.25">
      <c r="A36" s="191"/>
      <c r="B36" s="193"/>
      <c r="C36" s="189"/>
      <c r="D36" s="190">
        <v>30</v>
      </c>
      <c r="E36" s="6"/>
      <c r="F36" s="6"/>
      <c r="G36" s="204"/>
      <c r="H36" s="6"/>
      <c r="I36" s="10"/>
      <c r="J36" s="10"/>
      <c r="K36" s="13"/>
      <c r="L36" s="13"/>
      <c r="M36" s="13"/>
      <c r="N36" s="13"/>
      <c r="O36" s="13"/>
      <c r="P36" s="9"/>
      <c r="Q36" s="9"/>
      <c r="R36" s="9"/>
      <c r="S36" s="9"/>
      <c r="T36" s="9"/>
      <c r="U36" s="18"/>
      <c r="W36" s="222"/>
      <c r="X36" s="223"/>
      <c r="Y36" s="223"/>
      <c r="Z36" s="223"/>
      <c r="AA36" s="223"/>
      <c r="AB36" s="224"/>
    </row>
    <row r="37" spans="1:28" x14ac:dyDescent="0.25">
      <c r="A37" s="194"/>
      <c r="B37" s="195" t="s">
        <v>46</v>
      </c>
      <c r="C37" s="196" t="s">
        <v>26</v>
      </c>
      <c r="D37" s="197"/>
      <c r="E37" s="203"/>
      <c r="F37" s="203"/>
      <c r="G37" s="203"/>
      <c r="H37" s="203" t="s">
        <v>47</v>
      </c>
      <c r="I37" s="444">
        <f t="shared" ref="I37:U37" si="2">SUM(I7:I36)</f>
        <v>76779.762860999996</v>
      </c>
      <c r="J37" s="444">
        <f t="shared" si="2"/>
        <v>57708.180361000006</v>
      </c>
      <c r="K37" s="205">
        <f t="shared" si="2"/>
        <v>38995.927210828544</v>
      </c>
      <c r="L37" s="205">
        <f t="shared" si="2"/>
        <v>40288.43101447908</v>
      </c>
      <c r="M37" s="205">
        <f t="shared" si="2"/>
        <v>46968.225621421116</v>
      </c>
      <c r="N37" s="205">
        <f t="shared" si="2"/>
        <v>40654.58310858273</v>
      </c>
      <c r="O37" s="205">
        <f t="shared" si="2"/>
        <v>35134.368334700579</v>
      </c>
      <c r="P37" s="14">
        <f t="shared" si="2"/>
        <v>24072.630477055241</v>
      </c>
      <c r="Q37" s="14">
        <f t="shared" si="2"/>
        <v>23616.421250277042</v>
      </c>
      <c r="R37" s="14">
        <f t="shared" si="2"/>
        <v>21424.68533324917</v>
      </c>
      <c r="S37" s="14">
        <f t="shared" si="2"/>
        <v>22547.664252975632</v>
      </c>
      <c r="T37" s="14">
        <f t="shared" si="2"/>
        <v>22664.235288620697</v>
      </c>
      <c r="U37" s="20">
        <f t="shared" si="2"/>
        <v>0</v>
      </c>
    </row>
    <row r="39" spans="1:28" x14ac:dyDescent="0.25">
      <c r="C39" s="212" t="str">
        <f>W4</f>
        <v>Sub-Trans</v>
      </c>
      <c r="D39" s="213"/>
      <c r="E39" s="213"/>
      <c r="F39" s="213"/>
      <c r="G39" s="213"/>
      <c r="H39" s="213"/>
      <c r="I39" s="270">
        <f t="shared" ref="I39:U39" si="3">SUMPRODUCT(I$7:I$24,$W$7:$W$24)</f>
        <v>21097.044424999996</v>
      </c>
      <c r="J39" s="270">
        <f t="shared" si="3"/>
        <v>11944.339150000002</v>
      </c>
      <c r="K39" s="270">
        <f t="shared" si="3"/>
        <v>4795.0143238925357</v>
      </c>
      <c r="L39" s="270">
        <f t="shared" si="3"/>
        <v>5264.3638449343716</v>
      </c>
      <c r="M39" s="270">
        <f t="shared" si="3"/>
        <v>5989.9174665914679</v>
      </c>
      <c r="N39" s="270">
        <f t="shared" si="3"/>
        <v>5530.0430680885966</v>
      </c>
      <c r="O39" s="270">
        <f t="shared" si="3"/>
        <v>6360.7598441345353</v>
      </c>
      <c r="P39" s="270">
        <f t="shared" si="3"/>
        <v>1891.422404781536</v>
      </c>
      <c r="Q39" s="270">
        <f t="shared" si="3"/>
        <v>2618.2403519875861</v>
      </c>
      <c r="R39" s="270">
        <f t="shared" si="3"/>
        <v>1707.0907288387361</v>
      </c>
      <c r="S39" s="270">
        <f t="shared" si="3"/>
        <v>3584.8455409581284</v>
      </c>
      <c r="T39" s="270">
        <f t="shared" si="3"/>
        <v>4977.2567122086502</v>
      </c>
      <c r="U39" s="271">
        <f t="shared" si="3"/>
        <v>0</v>
      </c>
    </row>
    <row r="40" spans="1:28" x14ac:dyDescent="0.25">
      <c r="C40" s="215" t="str">
        <f>X4</f>
        <v>Zone S/Stn</v>
      </c>
      <c r="D40" s="216"/>
      <c r="E40" s="216"/>
      <c r="F40" s="216"/>
      <c r="G40" s="216"/>
      <c r="H40" s="216"/>
      <c r="I40" s="166">
        <f t="shared" ref="I40:U40" si="4">SUMPRODUCT(I$7:I$24,$X$7:$X$24)</f>
        <v>14607.6174166</v>
      </c>
      <c r="J40" s="166">
        <f t="shared" si="4"/>
        <v>14011.4880166</v>
      </c>
      <c r="K40" s="166">
        <f t="shared" si="4"/>
        <v>12357.339967350288</v>
      </c>
      <c r="L40" s="166">
        <f t="shared" si="4"/>
        <v>11393.902773831009</v>
      </c>
      <c r="M40" s="166">
        <f t="shared" si="4"/>
        <v>9760.9805204370841</v>
      </c>
      <c r="N40" s="166">
        <f t="shared" si="4"/>
        <v>5930.4862706421718</v>
      </c>
      <c r="O40" s="166">
        <f t="shared" si="4"/>
        <v>4442.9593929450366</v>
      </c>
      <c r="P40" s="166">
        <f t="shared" si="4"/>
        <v>3317.834783942365</v>
      </c>
      <c r="Q40" s="166">
        <f t="shared" si="4"/>
        <v>2715.3039295098306</v>
      </c>
      <c r="R40" s="166">
        <f t="shared" si="4"/>
        <v>3181.2675187611799</v>
      </c>
      <c r="S40" s="166">
        <f t="shared" si="4"/>
        <v>4065.2721472747098</v>
      </c>
      <c r="T40" s="166">
        <f t="shared" si="4"/>
        <v>3216.7872059757001</v>
      </c>
      <c r="U40" s="228">
        <f t="shared" si="4"/>
        <v>0</v>
      </c>
    </row>
    <row r="41" spans="1:28" x14ac:dyDescent="0.25">
      <c r="C41" s="215" t="str">
        <f>Y4</f>
        <v>HV Feeder</v>
      </c>
      <c r="D41" s="216"/>
      <c r="E41" s="216"/>
      <c r="F41" s="216"/>
      <c r="G41" s="216"/>
      <c r="H41" s="216"/>
      <c r="I41" s="166">
        <f t="shared" ref="I41:U41" si="5">SUMPRODUCT(I$7:I$24,$Y$7:$Y$24)</f>
        <v>2994.5106000000001</v>
      </c>
      <c r="J41" s="166">
        <f t="shared" si="5"/>
        <v>3153.8480749999999</v>
      </c>
      <c r="K41" s="166">
        <f t="shared" si="5"/>
        <v>1220.7628167965545</v>
      </c>
      <c r="L41" s="166">
        <f t="shared" si="5"/>
        <v>1900.1877437428218</v>
      </c>
      <c r="M41" s="166">
        <f t="shared" si="5"/>
        <v>4422.1070264241962</v>
      </c>
      <c r="N41" s="166">
        <f t="shared" si="5"/>
        <v>6102.2648620292002</v>
      </c>
      <c r="O41" s="166">
        <f t="shared" si="5"/>
        <v>5036.4542657916327</v>
      </c>
      <c r="P41" s="166">
        <f t="shared" si="5"/>
        <v>2674.8949342408505</v>
      </c>
      <c r="Q41" s="166">
        <f t="shared" si="5"/>
        <v>1284.6982898367394</v>
      </c>
      <c r="R41" s="166">
        <f t="shared" si="5"/>
        <v>1143.896947396802</v>
      </c>
      <c r="S41" s="166">
        <f t="shared" si="5"/>
        <v>1453.8724138693915</v>
      </c>
      <c r="T41" s="166">
        <f t="shared" si="5"/>
        <v>1615.5990552265948</v>
      </c>
      <c r="U41" s="228">
        <f t="shared" si="5"/>
        <v>0</v>
      </c>
    </row>
    <row r="42" spans="1:28" x14ac:dyDescent="0.25">
      <c r="C42" s="215" t="str">
        <f>Z4</f>
        <v>Dist T/F</v>
      </c>
      <c r="D42" s="216"/>
      <c r="E42" s="216"/>
      <c r="F42" s="216"/>
      <c r="G42" s="216"/>
      <c r="H42" s="216"/>
      <c r="I42" s="166">
        <f t="shared" ref="I42:U42" si="6">SUMPRODUCT(I$7:I$24,$Z$7:$Z$24)</f>
        <v>1841.7332000000004</v>
      </c>
      <c r="J42" s="166">
        <f t="shared" si="6"/>
        <v>1774.3713000000002</v>
      </c>
      <c r="K42" s="166">
        <f t="shared" si="6"/>
        <v>1470.2361310090239</v>
      </c>
      <c r="L42" s="166">
        <f t="shared" si="6"/>
        <v>1413.8300438063986</v>
      </c>
      <c r="M42" s="166">
        <f t="shared" si="6"/>
        <v>1449.6326219521438</v>
      </c>
      <c r="N42" s="166">
        <f t="shared" si="6"/>
        <v>1513.8511878258107</v>
      </c>
      <c r="O42" s="166">
        <f t="shared" si="6"/>
        <v>1637.2272354388842</v>
      </c>
      <c r="P42" s="166">
        <f t="shared" si="6"/>
        <v>1694.0102645246227</v>
      </c>
      <c r="Q42" s="166">
        <f t="shared" si="6"/>
        <v>1729.2597690235941</v>
      </c>
      <c r="R42" s="166">
        <f t="shared" si="6"/>
        <v>1764.5323536566989</v>
      </c>
      <c r="S42" s="166">
        <f t="shared" si="6"/>
        <v>1764.531558844501</v>
      </c>
      <c r="T42" s="166">
        <f t="shared" si="6"/>
        <v>1799.895730568021</v>
      </c>
      <c r="U42" s="228">
        <f t="shared" si="6"/>
        <v>0</v>
      </c>
    </row>
    <row r="43" spans="1:28" x14ac:dyDescent="0.25">
      <c r="C43" s="215" t="str">
        <f>AA4</f>
        <v>LV Feeder</v>
      </c>
      <c r="D43" s="216"/>
      <c r="E43" s="216"/>
      <c r="F43" s="216"/>
      <c r="G43" s="216"/>
      <c r="H43" s="216"/>
      <c r="I43" s="23">
        <f t="shared" ref="I43:U43" si="7">SUMPRODUCT(I$7:I$24,$AA$7:$AA$24)</f>
        <v>0</v>
      </c>
      <c r="J43" s="23">
        <f t="shared" si="7"/>
        <v>0</v>
      </c>
      <c r="K43" s="23">
        <f t="shared" si="7"/>
        <v>0</v>
      </c>
      <c r="L43" s="23">
        <f t="shared" si="7"/>
        <v>0</v>
      </c>
      <c r="M43" s="23">
        <f t="shared" si="7"/>
        <v>0</v>
      </c>
      <c r="N43" s="23">
        <f t="shared" si="7"/>
        <v>0</v>
      </c>
      <c r="O43" s="23">
        <f t="shared" si="7"/>
        <v>0</v>
      </c>
      <c r="P43" s="23">
        <f t="shared" si="7"/>
        <v>0</v>
      </c>
      <c r="Q43" s="23">
        <f t="shared" si="7"/>
        <v>0</v>
      </c>
      <c r="R43" s="23">
        <f t="shared" si="7"/>
        <v>0</v>
      </c>
      <c r="S43" s="23">
        <f t="shared" si="7"/>
        <v>0</v>
      </c>
      <c r="T43" s="23">
        <f t="shared" si="7"/>
        <v>0</v>
      </c>
      <c r="U43" s="233">
        <f t="shared" si="7"/>
        <v>0</v>
      </c>
    </row>
    <row r="44" spans="1:28" x14ac:dyDescent="0.25">
      <c r="C44" s="215"/>
      <c r="D44" s="216"/>
      <c r="E44" s="216"/>
      <c r="F44" s="216"/>
      <c r="G44" s="216"/>
      <c r="H44" s="216"/>
      <c r="I44" s="166">
        <f>SUM(I39:I43)</f>
        <v>40540.905641600002</v>
      </c>
      <c r="J44" s="166">
        <f t="shared" ref="J44:U44" si="8">SUM(J39:J43)</f>
        <v>30884.046541600001</v>
      </c>
      <c r="K44" s="166">
        <f t="shared" si="8"/>
        <v>19843.353239048403</v>
      </c>
      <c r="L44" s="166">
        <f t="shared" si="8"/>
        <v>19972.284406314604</v>
      </c>
      <c r="M44" s="166">
        <f t="shared" si="8"/>
        <v>21622.637635404892</v>
      </c>
      <c r="N44" s="166">
        <f t="shared" si="8"/>
        <v>19076.645388585781</v>
      </c>
      <c r="O44" s="166">
        <f t="shared" si="8"/>
        <v>17477.400738310087</v>
      </c>
      <c r="P44" s="166">
        <f t="shared" si="8"/>
        <v>9578.1623874893739</v>
      </c>
      <c r="Q44" s="166">
        <f t="shared" si="8"/>
        <v>8347.5023403577507</v>
      </c>
      <c r="R44" s="166">
        <f t="shared" si="8"/>
        <v>7796.7875486534158</v>
      </c>
      <c r="S44" s="166">
        <f t="shared" si="8"/>
        <v>10868.521660946732</v>
      </c>
      <c r="T44" s="166">
        <f t="shared" si="8"/>
        <v>11609.538703978966</v>
      </c>
      <c r="U44" s="228">
        <f t="shared" si="8"/>
        <v>0</v>
      </c>
    </row>
    <row r="45" spans="1:28" x14ac:dyDescent="0.25">
      <c r="C45" s="215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7"/>
    </row>
    <row r="46" spans="1:28" x14ac:dyDescent="0.25">
      <c r="C46" s="222" t="s">
        <v>266</v>
      </c>
      <c r="D46" s="223"/>
      <c r="E46" s="223"/>
      <c r="F46" s="223"/>
      <c r="G46" s="223"/>
      <c r="H46" s="223"/>
      <c r="I46" s="23">
        <f t="shared" ref="I46:U46" si="9">I37-I44</f>
        <v>36238.857219399993</v>
      </c>
      <c r="J46" s="23">
        <f t="shared" si="9"/>
        <v>26824.133819400005</v>
      </c>
      <c r="K46" s="23">
        <f t="shared" si="9"/>
        <v>19152.573971780141</v>
      </c>
      <c r="L46" s="23">
        <f t="shared" si="9"/>
        <v>20316.146608164476</v>
      </c>
      <c r="M46" s="23">
        <f t="shared" si="9"/>
        <v>25345.587986016224</v>
      </c>
      <c r="N46" s="23">
        <f>N37-N44</f>
        <v>21577.937719996949</v>
      </c>
      <c r="O46" s="23">
        <f t="shared" si="9"/>
        <v>17656.967596390492</v>
      </c>
      <c r="P46" s="23">
        <f t="shared" si="9"/>
        <v>14494.468089565868</v>
      </c>
      <c r="Q46" s="23">
        <f t="shared" si="9"/>
        <v>15268.918909919292</v>
      </c>
      <c r="R46" s="23">
        <f t="shared" si="9"/>
        <v>13627.897784595754</v>
      </c>
      <c r="S46" s="23">
        <f t="shared" si="9"/>
        <v>11679.1425920289</v>
      </c>
      <c r="T46" s="23">
        <f t="shared" si="9"/>
        <v>11054.696584641732</v>
      </c>
      <c r="U46" s="233">
        <f t="shared" si="9"/>
        <v>0</v>
      </c>
    </row>
    <row r="48" spans="1:28" x14ac:dyDescent="0.25">
      <c r="C48" s="265" t="s">
        <v>214</v>
      </c>
      <c r="D48" s="213"/>
      <c r="E48" s="213"/>
      <c r="F48" s="213"/>
      <c r="G48" s="213"/>
      <c r="H48" s="213"/>
      <c r="I48" s="213"/>
      <c r="J48" s="213"/>
      <c r="K48" s="266">
        <v>106.6</v>
      </c>
      <c r="L48" s="266">
        <v>108.4</v>
      </c>
      <c r="M48" s="266">
        <v>110</v>
      </c>
      <c r="N48" s="266">
        <v>112.1</v>
      </c>
      <c r="O48" s="267">
        <v>114.1</v>
      </c>
      <c r="P48" s="266">
        <f>O48*1.0236</f>
        <v>116.79276</v>
      </c>
      <c r="Q48" s="266">
        <f t="shared" ref="Q48:U48" si="10">P48*1.0236</f>
        <v>119.54906913600001</v>
      </c>
      <c r="R48" s="266">
        <f t="shared" si="10"/>
        <v>122.37042716760962</v>
      </c>
      <c r="S48" s="266">
        <f t="shared" si="10"/>
        <v>125.25836924876522</v>
      </c>
      <c r="T48" s="266">
        <f t="shared" si="10"/>
        <v>128.21446676303609</v>
      </c>
      <c r="U48" s="268">
        <f t="shared" si="10"/>
        <v>131.24032817864375</v>
      </c>
    </row>
    <row r="49" spans="3:35" x14ac:dyDescent="0.25">
      <c r="C49" s="222" t="s">
        <v>215</v>
      </c>
      <c r="D49" s="223"/>
      <c r="E49" s="223"/>
      <c r="F49" s="223"/>
      <c r="G49" s="223"/>
      <c r="H49" s="223"/>
      <c r="I49" s="223"/>
      <c r="J49" s="223"/>
      <c r="K49" s="269">
        <f t="shared" ref="K49" si="11">$O$48/K48</f>
        <v>1.0703564727954973</v>
      </c>
      <c r="L49" s="269">
        <f>$O$48/L48</f>
        <v>1.0525830258302582</v>
      </c>
      <c r="M49" s="445">
        <f>$L$49</f>
        <v>1.0525830258302582</v>
      </c>
      <c r="N49" s="445">
        <f t="shared" ref="N49:U49" si="12">$L$49</f>
        <v>1.0525830258302582</v>
      </c>
      <c r="O49" s="445">
        <f>$L$49</f>
        <v>1.0525830258302582</v>
      </c>
      <c r="P49" s="445">
        <f t="shared" si="12"/>
        <v>1.0525830258302582</v>
      </c>
      <c r="Q49" s="445">
        <f t="shared" si="12"/>
        <v>1.0525830258302582</v>
      </c>
      <c r="R49" s="445">
        <f t="shared" si="12"/>
        <v>1.0525830258302582</v>
      </c>
      <c r="S49" s="445">
        <f t="shared" si="12"/>
        <v>1.0525830258302582</v>
      </c>
      <c r="T49" s="445">
        <f t="shared" si="12"/>
        <v>1.0525830258302582</v>
      </c>
      <c r="U49" s="446">
        <f t="shared" si="12"/>
        <v>1.0525830258302582</v>
      </c>
      <c r="V49" s="173"/>
      <c r="W49" s="173"/>
      <c r="X49" s="173"/>
      <c r="Y49" s="173"/>
      <c r="Z49" s="173"/>
    </row>
    <row r="51" spans="3:35" x14ac:dyDescent="0.25">
      <c r="C51" s="212" t="str">
        <f>C39</f>
        <v>Sub-Trans</v>
      </c>
      <c r="D51" s="213"/>
      <c r="E51" s="213"/>
      <c r="F51" s="213"/>
      <c r="G51" s="213"/>
      <c r="H51" s="213"/>
      <c r="I51" s="213"/>
      <c r="J51" s="213"/>
      <c r="K51" s="270">
        <f>K39*K$49</f>
        <v>5132.374618725501</v>
      </c>
      <c r="L51" s="270">
        <f t="shared" ref="L51:U51" si="13">L39*L$49</f>
        <v>5541.1800249724329</v>
      </c>
      <c r="M51" s="270">
        <f t="shared" si="13"/>
        <v>6304.8854514583618</v>
      </c>
      <c r="N51" s="270">
        <f t="shared" si="13"/>
        <v>5820.8294655803393</v>
      </c>
      <c r="O51" s="270">
        <f t="shared" si="13"/>
        <v>6695.2278433187312</v>
      </c>
      <c r="P51" s="270">
        <f t="shared" si="13"/>
        <v>1990.8791179480925</v>
      </c>
      <c r="Q51" s="270">
        <f t="shared" si="13"/>
        <v>2755.9153520459736</v>
      </c>
      <c r="R51" s="270">
        <f t="shared" si="13"/>
        <v>1796.8547247278577</v>
      </c>
      <c r="S51" s="270">
        <f t="shared" si="13"/>
        <v>3773.3475666358154</v>
      </c>
      <c r="T51" s="270">
        <f t="shared" si="13"/>
        <v>5238.975930470544</v>
      </c>
      <c r="U51" s="271">
        <f t="shared" si="13"/>
        <v>0</v>
      </c>
    </row>
    <row r="52" spans="3:35" x14ac:dyDescent="0.25">
      <c r="C52" s="215" t="str">
        <f>C40</f>
        <v>Zone S/Stn</v>
      </c>
      <c r="D52" s="216"/>
      <c r="E52" s="216"/>
      <c r="F52" s="216"/>
      <c r="G52" s="216"/>
      <c r="H52" s="216"/>
      <c r="I52" s="216"/>
      <c r="J52" s="216"/>
      <c r="K52" s="166">
        <f>K40*K$49</f>
        <v>13226.75882058788</v>
      </c>
      <c r="L52" s="166">
        <f t="shared" ref="L52:U52" si="14">L40*L$49</f>
        <v>11993.028657694815</v>
      </c>
      <c r="M52" s="166">
        <f t="shared" si="14"/>
        <v>10274.242411271875</v>
      </c>
      <c r="N52" s="166">
        <f t="shared" si="14"/>
        <v>6242.3291833973408</v>
      </c>
      <c r="O52" s="166">
        <f t="shared" si="14"/>
        <v>4676.5836414670539</v>
      </c>
      <c r="P52" s="166">
        <f t="shared" si="14"/>
        <v>3492.2965760869356</v>
      </c>
      <c r="Q52" s="166">
        <f t="shared" si="14"/>
        <v>2858.0828261722477</v>
      </c>
      <c r="R52" s="166">
        <f t="shared" si="14"/>
        <v>3348.5481908731604</v>
      </c>
      <c r="S52" s="166">
        <f t="shared" si="14"/>
        <v>4279.0364576018856</v>
      </c>
      <c r="T52" s="166">
        <f t="shared" si="14"/>
        <v>3385.9356107179642</v>
      </c>
      <c r="U52" s="228">
        <f t="shared" si="14"/>
        <v>0</v>
      </c>
    </row>
    <row r="53" spans="3:35" x14ac:dyDescent="0.25">
      <c r="C53" s="215" t="str">
        <f>C41</f>
        <v>HV Feeder</v>
      </c>
      <c r="D53" s="216"/>
      <c r="E53" s="216"/>
      <c r="F53" s="216"/>
      <c r="G53" s="216"/>
      <c r="H53" s="216"/>
      <c r="I53" s="216"/>
      <c r="J53" s="216"/>
      <c r="K53" s="166">
        <f>K41*K$49</f>
        <v>1306.6513827062558</v>
      </c>
      <c r="L53" s="166">
        <f t="shared" ref="L53:U53" si="15">L41*L$49</f>
        <v>2000.1053649543906</v>
      </c>
      <c r="M53" s="166">
        <f t="shared" si="15"/>
        <v>4654.6347944188255</v>
      </c>
      <c r="N53" s="166">
        <f t="shared" si="15"/>
        <v>6423.1404128923587</v>
      </c>
      <c r="O53" s="166">
        <f t="shared" si="15"/>
        <v>5301.2862705426678</v>
      </c>
      <c r="P53" s="166">
        <f t="shared" si="15"/>
        <v>2815.5490036612641</v>
      </c>
      <c r="Q53" s="166">
        <f t="shared" si="15"/>
        <v>1352.2516131953132</v>
      </c>
      <c r="R53" s="166">
        <f t="shared" si="15"/>
        <v>1204.0465101289217</v>
      </c>
      <c r="S53" s="166">
        <f t="shared" si="15"/>
        <v>1530.3214245617855</v>
      </c>
      <c r="T53" s="166">
        <f t="shared" si="15"/>
        <v>1700.5521420789157</v>
      </c>
      <c r="U53" s="228">
        <f t="shared" si="15"/>
        <v>0</v>
      </c>
    </row>
    <row r="54" spans="3:35" x14ac:dyDescent="0.25">
      <c r="C54" s="215" t="str">
        <f>C42</f>
        <v>Dist T/F</v>
      </c>
      <c r="D54" s="216"/>
      <c r="E54" s="216"/>
      <c r="F54" s="216"/>
      <c r="G54" s="216"/>
      <c r="H54" s="216"/>
      <c r="I54" s="216"/>
      <c r="J54" s="216"/>
      <c r="K54" s="166">
        <f>K42*K$49</f>
        <v>1573.6767593633174</v>
      </c>
      <c r="L54" s="166">
        <f t="shared" ref="L54:U54" si="16">L42*L$49</f>
        <v>1488.1735055194656</v>
      </c>
      <c r="M54" s="166">
        <f t="shared" si="16"/>
        <v>1525.8586915566384</v>
      </c>
      <c r="N54" s="166">
        <f t="shared" si="16"/>
        <v>1593.4540639384225</v>
      </c>
      <c r="O54" s="166">
        <f t="shared" si="16"/>
        <v>1723.3175974499693</v>
      </c>
      <c r="P54" s="166">
        <f t="shared" si="16"/>
        <v>1783.0864500208434</v>
      </c>
      <c r="Q54" s="166">
        <f t="shared" si="16"/>
        <v>1820.1894801253882</v>
      </c>
      <c r="R54" s="166">
        <f t="shared" si="16"/>
        <v>1857.3168039873553</v>
      </c>
      <c r="S54" s="166">
        <f t="shared" si="16"/>
        <v>1857.3159673815271</v>
      </c>
      <c r="T54" s="166">
        <f t="shared" si="16"/>
        <v>1894.5396942602506</v>
      </c>
      <c r="U54" s="228">
        <f t="shared" si="16"/>
        <v>0</v>
      </c>
    </row>
    <row r="55" spans="3:35" x14ac:dyDescent="0.25">
      <c r="C55" s="215" t="str">
        <f>C43</f>
        <v>LV Feeder</v>
      </c>
      <c r="D55" s="216"/>
      <c r="E55" s="216"/>
      <c r="F55" s="216"/>
      <c r="G55" s="216"/>
      <c r="H55" s="216"/>
      <c r="I55" s="216"/>
      <c r="J55" s="216"/>
      <c r="K55" s="23">
        <f>K43*K$49</f>
        <v>0</v>
      </c>
      <c r="L55" s="23">
        <f t="shared" ref="L55:U55" si="17">L43*L$49</f>
        <v>0</v>
      </c>
      <c r="M55" s="23">
        <f t="shared" si="17"/>
        <v>0</v>
      </c>
      <c r="N55" s="23">
        <f t="shared" si="17"/>
        <v>0</v>
      </c>
      <c r="O55" s="23">
        <f t="shared" si="17"/>
        <v>0</v>
      </c>
      <c r="P55" s="23">
        <f t="shared" si="17"/>
        <v>0</v>
      </c>
      <c r="Q55" s="23">
        <f t="shared" si="17"/>
        <v>0</v>
      </c>
      <c r="R55" s="23">
        <f t="shared" si="17"/>
        <v>0</v>
      </c>
      <c r="S55" s="23">
        <f t="shared" si="17"/>
        <v>0</v>
      </c>
      <c r="T55" s="23">
        <f t="shared" si="17"/>
        <v>0</v>
      </c>
      <c r="U55" s="233">
        <f t="shared" si="17"/>
        <v>0</v>
      </c>
    </row>
    <row r="56" spans="3:35" x14ac:dyDescent="0.25">
      <c r="C56" s="222" t="s">
        <v>216</v>
      </c>
      <c r="D56" s="223"/>
      <c r="E56" s="223"/>
      <c r="F56" s="223"/>
      <c r="G56" s="223"/>
      <c r="H56" s="223"/>
      <c r="I56" s="223"/>
      <c r="J56" s="223"/>
      <c r="K56" s="23">
        <f>SUM(K51:K55)</f>
        <v>21239.461581382951</v>
      </c>
      <c r="L56" s="23">
        <f t="shared" ref="L56:U56" si="18">SUM(L51:L55)</f>
        <v>21022.487553141102</v>
      </c>
      <c r="M56" s="23">
        <f t="shared" si="18"/>
        <v>22759.621348705699</v>
      </c>
      <c r="N56" s="23">
        <f t="shared" si="18"/>
        <v>20079.75312580846</v>
      </c>
      <c r="O56" s="23">
        <f t="shared" si="18"/>
        <v>18396.415352778422</v>
      </c>
      <c r="P56" s="23">
        <f t="shared" si="18"/>
        <v>10081.811147717135</v>
      </c>
      <c r="Q56" s="23">
        <f t="shared" si="18"/>
        <v>8786.4392715389222</v>
      </c>
      <c r="R56" s="23">
        <f t="shared" si="18"/>
        <v>8206.7662297172956</v>
      </c>
      <c r="S56" s="23">
        <f t="shared" si="18"/>
        <v>11440.021416181015</v>
      </c>
      <c r="T56" s="23">
        <f t="shared" si="18"/>
        <v>12220.003377527675</v>
      </c>
      <c r="U56" s="233">
        <f t="shared" si="18"/>
        <v>0</v>
      </c>
    </row>
    <row r="58" spans="3:35" x14ac:dyDescent="0.25">
      <c r="C58" s="212" t="s">
        <v>205</v>
      </c>
      <c r="D58" s="213"/>
      <c r="E58" s="213"/>
      <c r="F58" s="213"/>
      <c r="G58" s="213"/>
      <c r="H58" s="213"/>
      <c r="I58" s="213"/>
      <c r="J58" s="213"/>
      <c r="K58" s="212">
        <v>2016</v>
      </c>
      <c r="L58" s="213">
        <v>2017</v>
      </c>
      <c r="M58" s="213">
        <v>2018</v>
      </c>
      <c r="N58" s="225">
        <v>2019</v>
      </c>
      <c r="O58" s="229">
        <v>2020</v>
      </c>
      <c r="P58" s="232">
        <v>2021</v>
      </c>
      <c r="Q58" s="225">
        <v>2022</v>
      </c>
      <c r="R58" s="225">
        <v>2023</v>
      </c>
      <c r="S58" s="225">
        <v>2024</v>
      </c>
      <c r="T58" s="229">
        <v>2025</v>
      </c>
      <c r="U58" s="232">
        <v>2026</v>
      </c>
      <c r="V58" s="225">
        <v>2027</v>
      </c>
      <c r="W58" s="225">
        <v>2028</v>
      </c>
      <c r="X58" s="225">
        <v>2029</v>
      </c>
      <c r="Y58" s="229">
        <v>2030</v>
      </c>
      <c r="Z58" s="232">
        <v>2031</v>
      </c>
      <c r="AA58" s="225">
        <v>2032</v>
      </c>
      <c r="AB58" s="225">
        <v>2033</v>
      </c>
      <c r="AC58" s="225">
        <v>2034</v>
      </c>
      <c r="AD58" s="229">
        <v>2035</v>
      </c>
      <c r="AE58" s="232">
        <v>2036</v>
      </c>
      <c r="AF58" s="225">
        <v>2037</v>
      </c>
      <c r="AG58" s="225">
        <v>2038</v>
      </c>
      <c r="AH58" s="213">
        <v>2039</v>
      </c>
      <c r="AI58" s="214">
        <v>2040</v>
      </c>
    </row>
    <row r="59" spans="3:35" x14ac:dyDescent="0.25">
      <c r="C59" s="215"/>
      <c r="D59" s="216"/>
      <c r="E59" s="216"/>
      <c r="F59" s="216"/>
      <c r="G59" s="216"/>
      <c r="H59" s="216"/>
      <c r="I59" s="216"/>
      <c r="J59" s="216"/>
      <c r="K59" s="215"/>
      <c r="L59" s="216"/>
      <c r="M59" s="216"/>
      <c r="N59" s="216"/>
      <c r="O59" s="217"/>
      <c r="P59" s="215"/>
      <c r="Q59" s="216"/>
      <c r="R59" s="216"/>
      <c r="S59" s="216"/>
      <c r="T59" s="217"/>
      <c r="U59" s="215"/>
      <c r="V59" s="216"/>
      <c r="W59" s="216"/>
      <c r="X59" s="216"/>
      <c r="Y59" s="217"/>
      <c r="Z59" s="215"/>
      <c r="AA59" s="216"/>
      <c r="AB59" s="216"/>
      <c r="AC59" s="216"/>
      <c r="AD59" s="217"/>
      <c r="AE59" s="215"/>
      <c r="AF59" s="216"/>
      <c r="AG59" s="216"/>
      <c r="AH59" s="216"/>
      <c r="AI59" s="217"/>
    </row>
    <row r="60" spans="3:35" x14ac:dyDescent="0.25">
      <c r="C60" s="215" t="str">
        <f>C39</f>
        <v>Sub-Trans</v>
      </c>
      <c r="D60" s="216"/>
      <c r="E60" s="216"/>
      <c r="F60" s="216"/>
      <c r="G60" s="216"/>
      <c r="H60" s="216"/>
      <c r="I60" s="216"/>
      <c r="J60" s="216"/>
      <c r="K60" s="230">
        <f t="shared" ref="K60:T60" si="19">K51*1000</f>
        <v>5132374.618725501</v>
      </c>
      <c r="L60" s="166">
        <f t="shared" si="19"/>
        <v>5541180.0249724332</v>
      </c>
      <c r="M60" s="166">
        <f t="shared" si="19"/>
        <v>6304885.4514583619</v>
      </c>
      <c r="N60" s="234">
        <f t="shared" si="19"/>
        <v>5820829.4655803395</v>
      </c>
      <c r="O60" s="235">
        <f t="shared" si="19"/>
        <v>6695227.8433187315</v>
      </c>
      <c r="P60" s="236">
        <f t="shared" si="19"/>
        <v>1990879.1179480925</v>
      </c>
      <c r="Q60" s="237">
        <f t="shared" si="19"/>
        <v>2755915.3520459738</v>
      </c>
      <c r="R60" s="237">
        <f t="shared" si="19"/>
        <v>1796854.7247278576</v>
      </c>
      <c r="S60" s="237">
        <f t="shared" si="19"/>
        <v>3773347.5666358154</v>
      </c>
      <c r="T60" s="238">
        <f t="shared" si="19"/>
        <v>5238975.9304705439</v>
      </c>
      <c r="U60" s="241">
        <f>AVERAGE(P60:T60)</f>
        <v>3111194.538365657</v>
      </c>
      <c r="V60" s="239">
        <f>U60</f>
        <v>3111194.538365657</v>
      </c>
      <c r="W60" s="239">
        <f>V60</f>
        <v>3111194.538365657</v>
      </c>
      <c r="X60" s="239">
        <f t="shared" ref="X60:Z60" si="20">W60</f>
        <v>3111194.538365657</v>
      </c>
      <c r="Y60" s="240">
        <f t="shared" si="20"/>
        <v>3111194.538365657</v>
      </c>
      <c r="Z60" s="241">
        <f t="shared" si="20"/>
        <v>3111194.538365657</v>
      </c>
      <c r="AA60" s="239">
        <f t="shared" ref="AA60:AB60" si="21">Z60</f>
        <v>3111194.538365657</v>
      </c>
      <c r="AB60" s="239">
        <f t="shared" si="21"/>
        <v>3111194.538365657</v>
      </c>
      <c r="AC60" s="239">
        <f t="shared" ref="AC60:AI60" si="22">AB60</f>
        <v>3111194.538365657</v>
      </c>
      <c r="AD60" s="240">
        <f t="shared" si="22"/>
        <v>3111194.538365657</v>
      </c>
      <c r="AE60" s="241">
        <f t="shared" si="22"/>
        <v>3111194.538365657</v>
      </c>
      <c r="AF60" s="239">
        <f t="shared" si="22"/>
        <v>3111194.538365657</v>
      </c>
      <c r="AG60" s="239">
        <f t="shared" si="22"/>
        <v>3111194.538365657</v>
      </c>
      <c r="AH60" s="226">
        <f t="shared" si="22"/>
        <v>3111194.538365657</v>
      </c>
      <c r="AI60" s="227">
        <f t="shared" si="22"/>
        <v>3111194.538365657</v>
      </c>
    </row>
    <row r="61" spans="3:35" x14ac:dyDescent="0.25">
      <c r="C61" s="215" t="str">
        <f>C40</f>
        <v>Zone S/Stn</v>
      </c>
      <c r="D61" s="216"/>
      <c r="E61" s="216"/>
      <c r="F61" s="216"/>
      <c r="G61" s="216"/>
      <c r="H61" s="216"/>
      <c r="I61" s="216"/>
      <c r="J61" s="216"/>
      <c r="K61" s="230">
        <f t="shared" ref="K61:T61" si="23">K52*1000</f>
        <v>13226758.820587881</v>
      </c>
      <c r="L61" s="166">
        <f t="shared" si="23"/>
        <v>11993028.657694815</v>
      </c>
      <c r="M61" s="166">
        <f t="shared" si="23"/>
        <v>10274242.411271874</v>
      </c>
      <c r="N61" s="234">
        <f t="shared" si="23"/>
        <v>6242329.1833973406</v>
      </c>
      <c r="O61" s="235">
        <f t="shared" si="23"/>
        <v>4676583.6414670534</v>
      </c>
      <c r="P61" s="236">
        <f t="shared" si="23"/>
        <v>3492296.5760869356</v>
      </c>
      <c r="Q61" s="237">
        <f t="shared" si="23"/>
        <v>2858082.8261722475</v>
      </c>
      <c r="R61" s="237">
        <f t="shared" si="23"/>
        <v>3348548.1908731605</v>
      </c>
      <c r="S61" s="237">
        <f t="shared" si="23"/>
        <v>4279036.4576018853</v>
      </c>
      <c r="T61" s="238">
        <f t="shared" si="23"/>
        <v>3385935.6107179644</v>
      </c>
      <c r="U61" s="241">
        <f t="shared" ref="U61:U64" si="24">AVERAGE(P61:T61)</f>
        <v>3472779.9322904386</v>
      </c>
      <c r="V61" s="239">
        <f t="shared" ref="V61:Z64" si="25">U61</f>
        <v>3472779.9322904386</v>
      </c>
      <c r="W61" s="239">
        <f t="shared" si="25"/>
        <v>3472779.9322904386</v>
      </c>
      <c r="X61" s="239">
        <f t="shared" si="25"/>
        <v>3472779.9322904386</v>
      </c>
      <c r="Y61" s="240">
        <f t="shared" si="25"/>
        <v>3472779.9322904386</v>
      </c>
      <c r="Z61" s="241">
        <f t="shared" si="25"/>
        <v>3472779.9322904386</v>
      </c>
      <c r="AA61" s="239">
        <f t="shared" ref="AA61:AB61" si="26">Z61</f>
        <v>3472779.9322904386</v>
      </c>
      <c r="AB61" s="239">
        <f t="shared" si="26"/>
        <v>3472779.9322904386</v>
      </c>
      <c r="AC61" s="239">
        <f t="shared" ref="AC61:AI61" si="27">AB61</f>
        <v>3472779.9322904386</v>
      </c>
      <c r="AD61" s="240">
        <f t="shared" si="27"/>
        <v>3472779.9322904386</v>
      </c>
      <c r="AE61" s="241">
        <f t="shared" si="27"/>
        <v>3472779.9322904386</v>
      </c>
      <c r="AF61" s="239">
        <f t="shared" si="27"/>
        <v>3472779.9322904386</v>
      </c>
      <c r="AG61" s="239">
        <f t="shared" si="27"/>
        <v>3472779.9322904386</v>
      </c>
      <c r="AH61" s="226">
        <f t="shared" si="27"/>
        <v>3472779.9322904386</v>
      </c>
      <c r="AI61" s="227">
        <f t="shared" si="27"/>
        <v>3472779.9322904386</v>
      </c>
    </row>
    <row r="62" spans="3:35" x14ac:dyDescent="0.25">
      <c r="C62" s="215" t="str">
        <f>C41</f>
        <v>HV Feeder</v>
      </c>
      <c r="D62" s="216"/>
      <c r="E62" s="216"/>
      <c r="F62" s="216"/>
      <c r="G62" s="216"/>
      <c r="H62" s="216"/>
      <c r="I62" s="216"/>
      <c r="J62" s="216"/>
      <c r="K62" s="230">
        <f t="shared" ref="K62:T62" si="28">K53*1000</f>
        <v>1306651.3827062559</v>
      </c>
      <c r="L62" s="166">
        <f t="shared" si="28"/>
        <v>2000105.3649543906</v>
      </c>
      <c r="M62" s="166">
        <f t="shared" si="28"/>
        <v>4654634.7944188258</v>
      </c>
      <c r="N62" s="234">
        <f t="shared" si="28"/>
        <v>6423140.4128923584</v>
      </c>
      <c r="O62" s="235">
        <f t="shared" si="28"/>
        <v>5301286.2705426682</v>
      </c>
      <c r="P62" s="236">
        <f t="shared" si="28"/>
        <v>2815549.0036612642</v>
      </c>
      <c r="Q62" s="237">
        <f t="shared" si="28"/>
        <v>1352251.6131953131</v>
      </c>
      <c r="R62" s="237">
        <f t="shared" si="28"/>
        <v>1204046.5101289216</v>
      </c>
      <c r="S62" s="237">
        <f t="shared" si="28"/>
        <v>1530321.4245617855</v>
      </c>
      <c r="T62" s="238">
        <f t="shared" si="28"/>
        <v>1700552.1420789156</v>
      </c>
      <c r="U62" s="241">
        <f t="shared" si="24"/>
        <v>1720544.1387252398</v>
      </c>
      <c r="V62" s="239">
        <f t="shared" si="25"/>
        <v>1720544.1387252398</v>
      </c>
      <c r="W62" s="239">
        <f t="shared" si="25"/>
        <v>1720544.1387252398</v>
      </c>
      <c r="X62" s="239">
        <f t="shared" si="25"/>
        <v>1720544.1387252398</v>
      </c>
      <c r="Y62" s="240">
        <f t="shared" si="25"/>
        <v>1720544.1387252398</v>
      </c>
      <c r="Z62" s="241">
        <f t="shared" si="25"/>
        <v>1720544.1387252398</v>
      </c>
      <c r="AA62" s="239">
        <f t="shared" ref="AA62:AB62" si="29">Z62</f>
        <v>1720544.1387252398</v>
      </c>
      <c r="AB62" s="239">
        <f t="shared" si="29"/>
        <v>1720544.1387252398</v>
      </c>
      <c r="AC62" s="239">
        <f t="shared" ref="AC62:AI62" si="30">AB62</f>
        <v>1720544.1387252398</v>
      </c>
      <c r="AD62" s="240">
        <f t="shared" si="30"/>
        <v>1720544.1387252398</v>
      </c>
      <c r="AE62" s="241">
        <f t="shared" si="30"/>
        <v>1720544.1387252398</v>
      </c>
      <c r="AF62" s="239">
        <f t="shared" si="30"/>
        <v>1720544.1387252398</v>
      </c>
      <c r="AG62" s="239">
        <f t="shared" si="30"/>
        <v>1720544.1387252398</v>
      </c>
      <c r="AH62" s="226">
        <f t="shared" si="30"/>
        <v>1720544.1387252398</v>
      </c>
      <c r="AI62" s="227">
        <f t="shared" si="30"/>
        <v>1720544.1387252398</v>
      </c>
    </row>
    <row r="63" spans="3:35" x14ac:dyDescent="0.25">
      <c r="C63" s="215" t="str">
        <f>C42</f>
        <v>Dist T/F</v>
      </c>
      <c r="D63" s="216"/>
      <c r="E63" s="216"/>
      <c r="F63" s="216"/>
      <c r="G63" s="216"/>
      <c r="H63" s="216"/>
      <c r="I63" s="216"/>
      <c r="J63" s="216"/>
      <c r="K63" s="230">
        <f t="shared" ref="K63:T63" si="31">K54*1000</f>
        <v>1573676.7593633174</v>
      </c>
      <c r="L63" s="166">
        <f t="shared" si="31"/>
        <v>1488173.5055194655</v>
      </c>
      <c r="M63" s="166">
        <f t="shared" si="31"/>
        <v>1525858.6915566383</v>
      </c>
      <c r="N63" s="234">
        <f t="shared" si="31"/>
        <v>1593454.0639384224</v>
      </c>
      <c r="O63" s="235">
        <f t="shared" si="31"/>
        <v>1723317.5974499693</v>
      </c>
      <c r="P63" s="236">
        <f t="shared" si="31"/>
        <v>1783086.4500208434</v>
      </c>
      <c r="Q63" s="237">
        <f t="shared" si="31"/>
        <v>1820189.4801253881</v>
      </c>
      <c r="R63" s="237">
        <f t="shared" si="31"/>
        <v>1857316.8039873554</v>
      </c>
      <c r="S63" s="237">
        <f t="shared" si="31"/>
        <v>1857315.9673815272</v>
      </c>
      <c r="T63" s="238">
        <f t="shared" si="31"/>
        <v>1894539.6942602505</v>
      </c>
      <c r="U63" s="241">
        <f t="shared" si="24"/>
        <v>1842489.6791550729</v>
      </c>
      <c r="V63" s="239">
        <f t="shared" si="25"/>
        <v>1842489.6791550729</v>
      </c>
      <c r="W63" s="239">
        <f t="shared" si="25"/>
        <v>1842489.6791550729</v>
      </c>
      <c r="X63" s="239">
        <f t="shared" si="25"/>
        <v>1842489.6791550729</v>
      </c>
      <c r="Y63" s="240">
        <f t="shared" si="25"/>
        <v>1842489.6791550729</v>
      </c>
      <c r="Z63" s="241">
        <f t="shared" si="25"/>
        <v>1842489.6791550729</v>
      </c>
      <c r="AA63" s="239">
        <f t="shared" ref="AA63:AB63" si="32">Z63</f>
        <v>1842489.6791550729</v>
      </c>
      <c r="AB63" s="239">
        <f t="shared" si="32"/>
        <v>1842489.6791550729</v>
      </c>
      <c r="AC63" s="239">
        <f t="shared" ref="AC63:AI63" si="33">AB63</f>
        <v>1842489.6791550729</v>
      </c>
      <c r="AD63" s="240">
        <f t="shared" si="33"/>
        <v>1842489.6791550729</v>
      </c>
      <c r="AE63" s="241">
        <f t="shared" si="33"/>
        <v>1842489.6791550729</v>
      </c>
      <c r="AF63" s="239">
        <f t="shared" si="33"/>
        <v>1842489.6791550729</v>
      </c>
      <c r="AG63" s="239">
        <f t="shared" si="33"/>
        <v>1842489.6791550729</v>
      </c>
      <c r="AH63" s="226">
        <f t="shared" si="33"/>
        <v>1842489.6791550729</v>
      </c>
      <c r="AI63" s="227">
        <f t="shared" si="33"/>
        <v>1842489.6791550729</v>
      </c>
    </row>
    <row r="64" spans="3:35" x14ac:dyDescent="0.25">
      <c r="C64" s="215" t="str">
        <f>C43</f>
        <v>LV Feeder</v>
      </c>
      <c r="D64" s="216"/>
      <c r="E64" s="216"/>
      <c r="F64" s="216"/>
      <c r="G64" s="216"/>
      <c r="H64" s="216"/>
      <c r="I64" s="216"/>
      <c r="J64" s="216"/>
      <c r="K64" s="230">
        <f t="shared" ref="K64:T64" si="34">K55*1000</f>
        <v>0</v>
      </c>
      <c r="L64" s="166">
        <f t="shared" si="34"/>
        <v>0</v>
      </c>
      <c r="M64" s="166">
        <f t="shared" si="34"/>
        <v>0</v>
      </c>
      <c r="N64" s="234">
        <f t="shared" si="34"/>
        <v>0</v>
      </c>
      <c r="O64" s="235">
        <f t="shared" si="34"/>
        <v>0</v>
      </c>
      <c r="P64" s="236">
        <f t="shared" si="34"/>
        <v>0</v>
      </c>
      <c r="Q64" s="237">
        <f t="shared" si="34"/>
        <v>0</v>
      </c>
      <c r="R64" s="237">
        <f t="shared" si="34"/>
        <v>0</v>
      </c>
      <c r="S64" s="237">
        <f t="shared" si="34"/>
        <v>0</v>
      </c>
      <c r="T64" s="238">
        <f t="shared" si="34"/>
        <v>0</v>
      </c>
      <c r="U64" s="241">
        <f t="shared" si="24"/>
        <v>0</v>
      </c>
      <c r="V64" s="239">
        <f t="shared" si="25"/>
        <v>0</v>
      </c>
      <c r="W64" s="239">
        <f t="shared" si="25"/>
        <v>0</v>
      </c>
      <c r="X64" s="239">
        <f t="shared" si="25"/>
        <v>0</v>
      </c>
      <c r="Y64" s="240">
        <f t="shared" si="25"/>
        <v>0</v>
      </c>
      <c r="Z64" s="241">
        <f t="shared" si="25"/>
        <v>0</v>
      </c>
      <c r="AA64" s="239">
        <f t="shared" ref="AA64:AB64" si="35">Z64</f>
        <v>0</v>
      </c>
      <c r="AB64" s="239">
        <f t="shared" si="35"/>
        <v>0</v>
      </c>
      <c r="AC64" s="239">
        <f t="shared" ref="AC64:AI64" si="36">AB64</f>
        <v>0</v>
      </c>
      <c r="AD64" s="240">
        <f t="shared" si="36"/>
        <v>0</v>
      </c>
      <c r="AE64" s="241">
        <f t="shared" si="36"/>
        <v>0</v>
      </c>
      <c r="AF64" s="239">
        <f t="shared" si="36"/>
        <v>0</v>
      </c>
      <c r="AG64" s="239">
        <f t="shared" si="36"/>
        <v>0</v>
      </c>
      <c r="AH64" s="226">
        <f t="shared" si="36"/>
        <v>0</v>
      </c>
      <c r="AI64" s="227">
        <f t="shared" si="36"/>
        <v>0</v>
      </c>
    </row>
    <row r="65" spans="3:35" x14ac:dyDescent="0.25">
      <c r="C65" s="215"/>
      <c r="D65" s="216"/>
      <c r="E65" s="216"/>
      <c r="F65" s="216"/>
      <c r="G65" s="216"/>
      <c r="H65" s="216"/>
      <c r="I65" s="216"/>
      <c r="J65" s="216"/>
      <c r="K65" s="215"/>
      <c r="L65" s="216"/>
      <c r="M65" s="216"/>
      <c r="N65" s="216"/>
      <c r="O65" s="217"/>
      <c r="P65" s="215"/>
      <c r="Q65" s="216"/>
      <c r="R65" s="216"/>
      <c r="S65" s="216"/>
      <c r="T65" s="217"/>
      <c r="U65" s="215"/>
      <c r="V65" s="216"/>
      <c r="W65" s="216"/>
      <c r="X65" s="216"/>
      <c r="Y65" s="217"/>
      <c r="Z65" s="215"/>
      <c r="AA65" s="216"/>
      <c r="AB65" s="216"/>
      <c r="AC65" s="216"/>
      <c r="AD65" s="217"/>
      <c r="AE65" s="215"/>
      <c r="AF65" s="216"/>
      <c r="AG65" s="216"/>
      <c r="AH65" s="216"/>
      <c r="AI65" s="217"/>
    </row>
    <row r="66" spans="3:35" x14ac:dyDescent="0.25">
      <c r="C66" s="215" t="s">
        <v>217</v>
      </c>
      <c r="D66" s="216"/>
      <c r="E66" s="216"/>
      <c r="F66" s="216"/>
      <c r="G66" s="216"/>
      <c r="H66" s="216"/>
      <c r="I66" s="216"/>
      <c r="J66" s="216"/>
      <c r="K66" s="231">
        <f t="shared" ref="K66:AF66" si="37">SUM(K60:K65)</f>
        <v>21239461.581382953</v>
      </c>
      <c r="L66" s="23">
        <f t="shared" si="37"/>
        <v>21022487.553141102</v>
      </c>
      <c r="M66" s="23">
        <f t="shared" si="37"/>
        <v>22759621.348705702</v>
      </c>
      <c r="N66" s="242">
        <f t="shared" si="37"/>
        <v>20079753.125808463</v>
      </c>
      <c r="O66" s="243">
        <f t="shared" si="37"/>
        <v>18396415.35277842</v>
      </c>
      <c r="P66" s="244">
        <f t="shared" si="37"/>
        <v>10081811.147717137</v>
      </c>
      <c r="Q66" s="242">
        <f t="shared" si="37"/>
        <v>8786439.2715389226</v>
      </c>
      <c r="R66" s="242">
        <f t="shared" si="37"/>
        <v>8206766.2297172956</v>
      </c>
      <c r="S66" s="242">
        <f t="shared" si="37"/>
        <v>11440021.416181015</v>
      </c>
      <c r="T66" s="243">
        <f t="shared" si="37"/>
        <v>12220003.377527675</v>
      </c>
      <c r="U66" s="244">
        <f t="shared" si="37"/>
        <v>10147008.288536407</v>
      </c>
      <c r="V66" s="242">
        <f t="shared" si="37"/>
        <v>10147008.288536407</v>
      </c>
      <c r="W66" s="242">
        <f t="shared" ref="W66" si="38">SUM(W60:W65)</f>
        <v>10147008.288536407</v>
      </c>
      <c r="X66" s="242">
        <f t="shared" ref="X66" si="39">SUM(X60:X65)</f>
        <v>10147008.288536407</v>
      </c>
      <c r="Y66" s="243">
        <f t="shared" ref="Y66" si="40">SUM(Y60:Y65)</f>
        <v>10147008.288536407</v>
      </c>
      <c r="Z66" s="244">
        <f t="shared" ref="Z66" si="41">SUM(Z60:Z65)</f>
        <v>10147008.288536407</v>
      </c>
      <c r="AA66" s="242">
        <f t="shared" si="37"/>
        <v>10147008.288536407</v>
      </c>
      <c r="AB66" s="242">
        <f t="shared" si="37"/>
        <v>10147008.288536407</v>
      </c>
      <c r="AC66" s="242">
        <f t="shared" si="37"/>
        <v>10147008.288536407</v>
      </c>
      <c r="AD66" s="243">
        <f t="shared" si="37"/>
        <v>10147008.288536407</v>
      </c>
      <c r="AE66" s="244">
        <f t="shared" si="37"/>
        <v>10147008.288536407</v>
      </c>
      <c r="AF66" s="242">
        <f t="shared" si="37"/>
        <v>10147008.288536407</v>
      </c>
      <c r="AG66" s="242">
        <f>SUM(AG60:AG65)</f>
        <v>10147008.288536407</v>
      </c>
      <c r="AH66" s="23">
        <f t="shared" ref="AH66:AI66" si="42">SUM(AH60:AH65)</f>
        <v>10147008.288536407</v>
      </c>
      <c r="AI66" s="233">
        <f t="shared" si="42"/>
        <v>10147008.288536407</v>
      </c>
    </row>
    <row r="67" spans="3:35" x14ac:dyDescent="0.25">
      <c r="C67" s="215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7"/>
    </row>
    <row r="68" spans="3:35" x14ac:dyDescent="0.25">
      <c r="C68" s="215" t="s">
        <v>204</v>
      </c>
      <c r="D68" s="216"/>
      <c r="E68" s="216"/>
      <c r="F68" s="216"/>
      <c r="G68" s="216"/>
      <c r="H68" s="216"/>
      <c r="I68" s="216"/>
      <c r="J68" s="216"/>
      <c r="K68" s="216" t="s">
        <v>253</v>
      </c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7"/>
    </row>
    <row r="69" spans="3:35" x14ac:dyDescent="0.25">
      <c r="C69" s="222"/>
      <c r="D69" s="223"/>
      <c r="E69" s="223"/>
      <c r="F69" s="223"/>
      <c r="G69" s="223"/>
      <c r="H69" s="223"/>
      <c r="I69" s="223"/>
      <c r="J69" s="223"/>
      <c r="K69" s="245" t="s">
        <v>206</v>
      </c>
      <c r="L69" s="245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4"/>
    </row>
  </sheetData>
  <mergeCells count="3">
    <mergeCell ref="A2:D2"/>
    <mergeCell ref="B7:B19"/>
    <mergeCell ref="A1:D1"/>
  </mergeCells>
  <phoneticPr fontId="29" type="noConversion"/>
  <pageMargins left="0.7" right="0.7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4"/>
  <sheetViews>
    <sheetView workbookViewId="0">
      <pane xSplit="6" ySplit="3" topLeftCell="I4" activePane="bottomRight" state="frozen"/>
      <selection pane="topRight" activeCell="G1" sqref="G1"/>
      <selection pane="bottomLeft" activeCell="A4" sqref="A4"/>
      <selection pane="bottomRight" activeCell="M19" sqref="M19"/>
    </sheetView>
  </sheetViews>
  <sheetFormatPr defaultRowHeight="15" x14ac:dyDescent="0.25"/>
  <cols>
    <col min="1" max="2" width="5.7109375" customWidth="1"/>
    <col min="3" max="3" width="36.7109375" customWidth="1"/>
    <col min="5" max="5" width="12.5703125" hidden="1" customWidth="1"/>
    <col min="6" max="8" width="9.140625" hidden="1" customWidth="1"/>
    <col min="13" max="14" width="10.140625" bestFit="1" customWidth="1"/>
    <col min="23" max="28" width="10.140625" customWidth="1"/>
  </cols>
  <sheetData>
    <row r="1" spans="1:39" x14ac:dyDescent="0.25">
      <c r="A1" s="467" t="s">
        <v>267</v>
      </c>
      <c r="B1" s="468"/>
      <c r="C1" s="468"/>
      <c r="D1" s="468"/>
      <c r="I1" s="264" t="s">
        <v>269</v>
      </c>
      <c r="J1" s="207"/>
      <c r="K1" s="207"/>
      <c r="L1" s="207"/>
      <c r="M1" s="459" t="s">
        <v>252</v>
      </c>
      <c r="N1" s="459" t="s">
        <v>252</v>
      </c>
      <c r="O1" s="459" t="s">
        <v>252</v>
      </c>
      <c r="P1" s="459" t="s">
        <v>252</v>
      </c>
      <c r="Q1" s="459" t="s">
        <v>252</v>
      </c>
      <c r="R1" s="459" t="s">
        <v>252</v>
      </c>
      <c r="S1" s="459" t="s">
        <v>252</v>
      </c>
      <c r="T1" s="459" t="s">
        <v>252</v>
      </c>
    </row>
    <row r="2" spans="1:39" ht="15.75" thickBot="1" x14ac:dyDescent="0.3">
      <c r="A2" s="31"/>
      <c r="B2" s="31"/>
      <c r="C2" s="31"/>
      <c r="D2" s="31"/>
      <c r="E2" s="31"/>
      <c r="F2" s="31"/>
      <c r="G2" s="31"/>
      <c r="H2" s="31"/>
      <c r="I2" s="1" t="s">
        <v>5</v>
      </c>
      <c r="J2" s="1" t="s">
        <v>6</v>
      </c>
      <c r="K2" s="15" t="s">
        <v>7</v>
      </c>
      <c r="L2" s="15" t="s">
        <v>8</v>
      </c>
      <c r="M2" s="15" t="s">
        <v>9</v>
      </c>
      <c r="N2" s="15" t="s">
        <v>10</v>
      </c>
      <c r="O2" s="15" t="s">
        <v>11</v>
      </c>
      <c r="P2" s="1" t="s">
        <v>12</v>
      </c>
      <c r="Q2" s="1" t="s">
        <v>13</v>
      </c>
      <c r="R2" s="1" t="s">
        <v>14</v>
      </c>
      <c r="S2" s="1" t="s">
        <v>15</v>
      </c>
      <c r="T2" s="1" t="s">
        <v>16</v>
      </c>
      <c r="U2" s="15" t="s">
        <v>17</v>
      </c>
    </row>
    <row r="3" spans="1:39" x14ac:dyDescent="0.25">
      <c r="A3" s="469" t="s">
        <v>53</v>
      </c>
      <c r="B3" s="470"/>
      <c r="C3" s="471"/>
      <c r="D3" s="246"/>
      <c r="E3" s="32"/>
      <c r="F3" s="33"/>
      <c r="G3" s="274"/>
      <c r="H3" s="274"/>
      <c r="I3" s="2"/>
      <c r="J3" s="2"/>
      <c r="K3" s="16"/>
      <c r="L3" s="16"/>
      <c r="M3" s="16"/>
      <c r="N3" s="16"/>
      <c r="O3" s="16"/>
      <c r="P3" s="2"/>
      <c r="Q3" s="2"/>
      <c r="R3" s="2"/>
      <c r="S3" s="2"/>
      <c r="T3" s="2"/>
      <c r="U3" s="16"/>
      <c r="V3" s="31"/>
      <c r="W3" s="209" t="s">
        <v>48</v>
      </c>
      <c r="X3" s="210" t="s">
        <v>49</v>
      </c>
      <c r="Y3" s="210" t="s">
        <v>50</v>
      </c>
      <c r="Z3" s="210" t="s">
        <v>51</v>
      </c>
      <c r="AA3" s="210" t="s">
        <v>52</v>
      </c>
      <c r="AB3" s="211" t="s">
        <v>118</v>
      </c>
    </row>
    <row r="4" spans="1:39" x14ac:dyDescent="0.25">
      <c r="A4" s="247"/>
      <c r="B4" s="472" t="s">
        <v>54</v>
      </c>
      <c r="C4" s="473"/>
      <c r="D4" s="248"/>
      <c r="E4" s="24"/>
      <c r="F4" s="25"/>
      <c r="G4" s="275"/>
      <c r="H4" s="275"/>
      <c r="I4" s="10" t="s">
        <v>55</v>
      </c>
      <c r="J4" s="10" t="s">
        <v>56</v>
      </c>
      <c r="K4" s="11" t="s">
        <v>56</v>
      </c>
      <c r="L4" s="11" t="s">
        <v>56</v>
      </c>
      <c r="M4" s="11" t="s">
        <v>56</v>
      </c>
      <c r="N4" s="11"/>
      <c r="O4" s="11"/>
      <c r="P4" s="12"/>
      <c r="Q4" s="12"/>
      <c r="R4" s="12"/>
      <c r="S4" s="12"/>
      <c r="T4" s="12"/>
      <c r="U4" s="19"/>
      <c r="W4" s="215"/>
      <c r="X4" s="216"/>
      <c r="Y4" s="216"/>
      <c r="Z4" s="216"/>
      <c r="AA4" s="216"/>
      <c r="AB4" s="217"/>
    </row>
    <row r="5" spans="1:39" x14ac:dyDescent="0.25">
      <c r="A5" s="249"/>
      <c r="B5" s="250"/>
      <c r="C5" s="251" t="s">
        <v>57</v>
      </c>
      <c r="D5" s="252"/>
      <c r="E5" s="26"/>
      <c r="F5" s="27"/>
      <c r="G5" s="276"/>
      <c r="H5" s="276"/>
      <c r="I5" s="10"/>
      <c r="J5" s="10"/>
      <c r="K5" s="11"/>
      <c r="L5" s="11"/>
      <c r="M5" s="11"/>
      <c r="N5" s="11"/>
      <c r="O5" s="11"/>
      <c r="P5" s="12"/>
      <c r="Q5" s="12"/>
      <c r="R5" s="12"/>
      <c r="S5" s="12"/>
      <c r="T5" s="12"/>
      <c r="U5" s="19"/>
      <c r="W5" s="215"/>
      <c r="X5" s="216"/>
      <c r="Y5" s="216"/>
      <c r="Z5" s="216"/>
      <c r="AA5" s="216"/>
      <c r="AB5" s="217"/>
    </row>
    <row r="6" spans="1:39" x14ac:dyDescent="0.25">
      <c r="A6" s="249"/>
      <c r="B6" s="250"/>
      <c r="C6" s="253"/>
      <c r="D6" s="254"/>
      <c r="E6" s="26" t="s">
        <v>58</v>
      </c>
      <c r="F6" s="27" t="s">
        <v>59</v>
      </c>
      <c r="G6" s="276"/>
      <c r="H6" s="276"/>
      <c r="I6" s="10"/>
      <c r="J6" s="10"/>
      <c r="K6" s="11"/>
      <c r="L6" s="11"/>
      <c r="M6" s="11"/>
      <c r="N6" s="11">
        <f>SUM(I6:M6)</f>
        <v>0</v>
      </c>
      <c r="O6" s="11"/>
      <c r="P6" s="12"/>
      <c r="Q6" s="12"/>
      <c r="R6" s="12"/>
      <c r="S6" s="12"/>
      <c r="T6" s="12"/>
      <c r="U6" s="19"/>
      <c r="V6" s="22"/>
      <c r="W6" s="215"/>
      <c r="X6" s="216"/>
      <c r="Y6" s="216"/>
      <c r="Z6" s="216"/>
      <c r="AA6" s="216"/>
      <c r="AB6" s="219">
        <f>1-SUM(W6:AA6)</f>
        <v>1</v>
      </c>
    </row>
    <row r="7" spans="1:39" x14ac:dyDescent="0.25">
      <c r="A7" s="249"/>
      <c r="B7" s="250"/>
      <c r="C7" s="263" t="s">
        <v>60</v>
      </c>
      <c r="D7" s="254">
        <v>60</v>
      </c>
      <c r="E7" s="26" t="s">
        <v>58</v>
      </c>
      <c r="F7" s="27" t="s">
        <v>61</v>
      </c>
      <c r="G7" s="276"/>
      <c r="H7" s="276"/>
      <c r="I7" s="10">
        <v>1078.8215</v>
      </c>
      <c r="J7" s="10">
        <v>1094.6379999999999</v>
      </c>
      <c r="K7" s="11">
        <v>808.12656111566855</v>
      </c>
      <c r="L7" s="11">
        <v>2043.4167108285476</v>
      </c>
      <c r="M7" s="11">
        <v>6143.4529143171803</v>
      </c>
      <c r="N7" s="11">
        <v>9714.6579024221828</v>
      </c>
      <c r="O7" s="11">
        <v>8802.2969647251848</v>
      </c>
      <c r="P7" s="12">
        <v>874.39617926098663</v>
      </c>
      <c r="Q7" s="12">
        <v>874.39617926098663</v>
      </c>
      <c r="R7" s="12">
        <v>874.39617926098663</v>
      </c>
      <c r="S7" s="12">
        <v>874.39617926098663</v>
      </c>
      <c r="T7" s="12">
        <v>874.39617926098663</v>
      </c>
      <c r="U7" s="19"/>
      <c r="V7" s="22"/>
      <c r="W7" s="215"/>
      <c r="X7" s="216"/>
      <c r="Y7" s="220">
        <v>0.1</v>
      </c>
      <c r="Z7" s="216"/>
      <c r="AA7" s="220"/>
      <c r="AB7" s="219">
        <f t="shared" ref="AB7:AB69" si="0">1-SUM(W7:AA7)</f>
        <v>0.9</v>
      </c>
      <c r="AD7" s="441"/>
      <c r="AE7" s="441"/>
      <c r="AF7" s="441"/>
      <c r="AG7" s="441"/>
      <c r="AH7" s="441"/>
      <c r="AI7" s="441"/>
      <c r="AJ7" s="441"/>
      <c r="AK7" s="441"/>
      <c r="AL7" s="441"/>
      <c r="AM7" s="441"/>
    </row>
    <row r="8" spans="1:39" x14ac:dyDescent="0.25">
      <c r="A8" s="249"/>
      <c r="B8" s="250"/>
      <c r="C8" s="263" t="s">
        <v>62</v>
      </c>
      <c r="D8" s="254">
        <v>61</v>
      </c>
      <c r="E8" s="26" t="s">
        <v>58</v>
      </c>
      <c r="F8" s="27" t="s">
        <v>63</v>
      </c>
      <c r="G8" s="276"/>
      <c r="H8" s="276"/>
      <c r="I8" s="10">
        <v>2758.806</v>
      </c>
      <c r="J8" s="10">
        <v>2369.665</v>
      </c>
      <c r="K8" s="11">
        <v>1628.8606521739132</v>
      </c>
      <c r="L8" s="11">
        <v>2810.6086300246097</v>
      </c>
      <c r="M8" s="11">
        <v>6537.2203290160624</v>
      </c>
      <c r="N8" s="11">
        <v>9624.8328433720908</v>
      </c>
      <c r="O8" s="11">
        <v>11222.928630024608</v>
      </c>
      <c r="P8" s="12">
        <v>2033.7912546272375</v>
      </c>
      <c r="Q8" s="12">
        <v>2033.7912546272375</v>
      </c>
      <c r="R8" s="12">
        <v>2033.7912546272375</v>
      </c>
      <c r="S8" s="12">
        <v>2033.7912546272375</v>
      </c>
      <c r="T8" s="12">
        <v>2033.7912546272375</v>
      </c>
      <c r="U8" s="19"/>
      <c r="V8" s="22"/>
      <c r="W8" s="215"/>
      <c r="X8" s="216"/>
      <c r="Y8" s="220">
        <v>0.1</v>
      </c>
      <c r="Z8" s="216"/>
      <c r="AA8" s="220"/>
      <c r="AB8" s="219">
        <f t="shared" si="0"/>
        <v>0.9</v>
      </c>
      <c r="AD8" s="441"/>
      <c r="AE8" s="441"/>
      <c r="AF8" s="441"/>
      <c r="AG8" s="441"/>
      <c r="AH8" s="441"/>
      <c r="AI8" s="441"/>
      <c r="AJ8" s="441"/>
      <c r="AK8" s="441"/>
      <c r="AL8" s="441"/>
      <c r="AM8" s="441"/>
    </row>
    <row r="9" spans="1:39" x14ac:dyDescent="0.25">
      <c r="A9" s="249"/>
      <c r="B9" s="250"/>
      <c r="C9" s="263" t="s">
        <v>111</v>
      </c>
      <c r="D9" s="255">
        <v>62</v>
      </c>
      <c r="E9" s="26" t="s">
        <v>58</v>
      </c>
      <c r="F9" s="28" t="s">
        <v>64</v>
      </c>
      <c r="G9" s="276"/>
      <c r="H9" s="276"/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125.13712632295542</v>
      </c>
      <c r="P9" s="12">
        <v>378.39141239452186</v>
      </c>
      <c r="Q9" s="12">
        <v>504.36489623030701</v>
      </c>
      <c r="R9" s="12">
        <v>504.30204786555811</v>
      </c>
      <c r="S9" s="12">
        <v>504.29880600806905</v>
      </c>
      <c r="T9" s="12">
        <v>504.60952047461836</v>
      </c>
      <c r="U9" s="19"/>
      <c r="V9" s="22"/>
      <c r="W9" s="215"/>
      <c r="X9" s="216"/>
      <c r="Y9" s="216"/>
      <c r="Z9" s="216"/>
      <c r="AA9" s="216"/>
      <c r="AB9" s="219">
        <f t="shared" si="0"/>
        <v>1</v>
      </c>
      <c r="AD9" s="441"/>
      <c r="AE9" s="441"/>
      <c r="AF9" s="441"/>
      <c r="AG9" s="441"/>
      <c r="AH9" s="441"/>
      <c r="AI9" s="441"/>
      <c r="AJ9" s="441"/>
      <c r="AK9" s="441"/>
      <c r="AL9" s="441"/>
      <c r="AM9" s="441"/>
    </row>
    <row r="10" spans="1:39" x14ac:dyDescent="0.25">
      <c r="A10" s="249"/>
      <c r="B10" s="250"/>
      <c r="C10" s="263" t="s">
        <v>112</v>
      </c>
      <c r="D10" s="255">
        <v>63</v>
      </c>
      <c r="E10" s="26" t="s">
        <v>58</v>
      </c>
      <c r="F10" s="28" t="s">
        <v>65</v>
      </c>
      <c r="G10" s="276"/>
      <c r="H10" s="276"/>
      <c r="I10" s="10">
        <v>14.058</v>
      </c>
      <c r="J10" s="10">
        <v>0</v>
      </c>
      <c r="K10" s="11">
        <v>0</v>
      </c>
      <c r="L10" s="11">
        <v>0</v>
      </c>
      <c r="M10" s="11">
        <v>660.17227235438872</v>
      </c>
      <c r="N10" s="11">
        <v>1540.4019688269073</v>
      </c>
      <c r="O10" s="11">
        <v>253.41763224181364</v>
      </c>
      <c r="P10" s="12">
        <v>766.28782046807248</v>
      </c>
      <c r="Q10" s="12">
        <v>1021.3991766017227</v>
      </c>
      <c r="R10" s="12">
        <v>1021.2719011539565</v>
      </c>
      <c r="S10" s="12">
        <v>1030.0967553757075</v>
      </c>
      <c r="T10" s="12">
        <v>1039.5682912996399</v>
      </c>
      <c r="U10" s="19"/>
      <c r="V10" s="22"/>
      <c r="W10" s="215"/>
      <c r="X10" s="216"/>
      <c r="Y10" s="216"/>
      <c r="Z10" s="216"/>
      <c r="AA10" s="216"/>
      <c r="AB10" s="219">
        <f t="shared" si="0"/>
        <v>1</v>
      </c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</row>
    <row r="11" spans="1:39" x14ac:dyDescent="0.25">
      <c r="A11" s="249"/>
      <c r="B11" s="250"/>
      <c r="C11" s="263" t="s">
        <v>113</v>
      </c>
      <c r="D11" s="255">
        <v>64</v>
      </c>
      <c r="E11" s="26" t="s">
        <v>58</v>
      </c>
      <c r="F11" s="28" t="s">
        <v>66</v>
      </c>
      <c r="G11" s="276"/>
      <c r="H11" s="276"/>
      <c r="I11" s="10">
        <v>6048.607</v>
      </c>
      <c r="J11" s="10">
        <v>9507.432499999999</v>
      </c>
      <c r="K11" s="11">
        <v>10425.863035274815</v>
      </c>
      <c r="L11" s="11">
        <v>10659.024878999178</v>
      </c>
      <c r="M11" s="11">
        <v>10664.653241530239</v>
      </c>
      <c r="N11" s="11">
        <v>11818.431480660674</v>
      </c>
      <c r="O11" s="11">
        <v>5412.8463476070528</v>
      </c>
      <c r="P11" s="12">
        <v>12399.323816069678</v>
      </c>
      <c r="Q11" s="12">
        <v>12399.323816069678</v>
      </c>
      <c r="R11" s="12">
        <v>12399.323816069678</v>
      </c>
      <c r="S11" s="12">
        <v>12399.323816069678</v>
      </c>
      <c r="T11" s="12">
        <v>12399.323816069678</v>
      </c>
      <c r="U11" s="19"/>
      <c r="V11" s="22"/>
      <c r="W11" s="215"/>
      <c r="X11" s="216"/>
      <c r="Y11" s="216"/>
      <c r="Z11" s="216"/>
      <c r="AA11" s="216"/>
      <c r="AB11" s="219">
        <f t="shared" si="0"/>
        <v>1</v>
      </c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</row>
    <row r="12" spans="1:39" x14ac:dyDescent="0.25">
      <c r="A12" s="249"/>
      <c r="B12" s="250"/>
      <c r="C12" s="263" t="s">
        <v>67</v>
      </c>
      <c r="D12" s="254">
        <v>65</v>
      </c>
      <c r="E12" s="26" t="s">
        <v>58</v>
      </c>
      <c r="F12" s="27" t="s">
        <v>68</v>
      </c>
      <c r="G12" s="276"/>
      <c r="H12" s="276"/>
      <c r="I12" s="10">
        <v>19561.404500000001</v>
      </c>
      <c r="J12" s="10">
        <v>17708.875500000002</v>
      </c>
      <c r="K12" s="11">
        <v>14391.948747744051</v>
      </c>
      <c r="L12" s="11">
        <v>14839.968058654635</v>
      </c>
      <c r="M12" s="11">
        <v>15980.868831712944</v>
      </c>
      <c r="N12" s="11">
        <v>15748.130378472579</v>
      </c>
      <c r="O12" s="11">
        <v>6661.9647355163725</v>
      </c>
      <c r="P12" s="12">
        <v>19713.055109178335</v>
      </c>
      <c r="Q12" s="12">
        <v>19815.036261141897</v>
      </c>
      <c r="R12" s="12">
        <v>19815.036261141897</v>
      </c>
      <c r="S12" s="12">
        <v>19815.036261141897</v>
      </c>
      <c r="T12" s="12">
        <v>19815.036261141897</v>
      </c>
      <c r="U12" s="19"/>
      <c r="V12" s="22"/>
      <c r="W12" s="215"/>
      <c r="X12" s="216"/>
      <c r="Y12" s="216"/>
      <c r="Z12" s="216"/>
      <c r="AA12" s="216"/>
      <c r="AB12" s="219">
        <f t="shared" si="0"/>
        <v>1</v>
      </c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</row>
    <row r="13" spans="1:39" x14ac:dyDescent="0.25">
      <c r="A13" s="249"/>
      <c r="B13" s="250"/>
      <c r="C13" s="263" t="s">
        <v>69</v>
      </c>
      <c r="D13" s="254">
        <v>66</v>
      </c>
      <c r="E13" s="26" t="s">
        <v>58</v>
      </c>
      <c r="F13" s="27" t="s">
        <v>70</v>
      </c>
      <c r="G13" s="276"/>
      <c r="H13" s="276"/>
      <c r="I13" s="10">
        <v>0</v>
      </c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430.96944085144105</v>
      </c>
      <c r="Q13" s="12">
        <v>430.96944085144105</v>
      </c>
      <c r="R13" s="12">
        <v>430.96944085144105</v>
      </c>
      <c r="S13" s="12">
        <v>430.96944085144105</v>
      </c>
      <c r="T13" s="12">
        <v>430.96944085144105</v>
      </c>
      <c r="U13" s="19"/>
      <c r="V13" s="22"/>
      <c r="W13" s="215"/>
      <c r="X13" s="216"/>
      <c r="Y13" s="216"/>
      <c r="Z13" s="216"/>
      <c r="AA13" s="216"/>
      <c r="AB13" s="219">
        <f t="shared" si="0"/>
        <v>1</v>
      </c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</row>
    <row r="14" spans="1:39" x14ac:dyDescent="0.25">
      <c r="A14" s="249"/>
      <c r="B14" s="250"/>
      <c r="C14" s="263" t="s">
        <v>71</v>
      </c>
      <c r="D14" s="254">
        <v>67</v>
      </c>
      <c r="E14" s="26" t="s">
        <v>58</v>
      </c>
      <c r="F14" s="27" t="s">
        <v>70</v>
      </c>
      <c r="G14" s="276"/>
      <c r="H14" s="276"/>
      <c r="I14" s="10">
        <v>2075.326</v>
      </c>
      <c r="J14" s="10">
        <v>2993.703</v>
      </c>
      <c r="K14" s="11">
        <v>2894.2291308449544</v>
      </c>
      <c r="L14" s="11">
        <v>2842.7026849876947</v>
      </c>
      <c r="M14" s="11">
        <v>2881.2767868684377</v>
      </c>
      <c r="N14" s="11">
        <v>2842.1580588126544</v>
      </c>
      <c r="O14" s="11">
        <v>1249.1183879093198</v>
      </c>
      <c r="P14" s="12">
        <v>1227.7348821901978</v>
      </c>
      <c r="Q14" s="12">
        <v>1227.7348821901978</v>
      </c>
      <c r="R14" s="12">
        <v>1227.7348821901978</v>
      </c>
      <c r="S14" s="12">
        <v>1227.7348821901978</v>
      </c>
      <c r="T14" s="12">
        <v>1227.7348821901978</v>
      </c>
      <c r="U14" s="19"/>
      <c r="V14" s="22"/>
      <c r="W14" s="215"/>
      <c r="X14" s="216"/>
      <c r="Y14" s="216"/>
      <c r="Z14" s="216"/>
      <c r="AA14" s="216"/>
      <c r="AB14" s="219">
        <f t="shared" si="0"/>
        <v>1</v>
      </c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</row>
    <row r="15" spans="1:39" x14ac:dyDescent="0.25">
      <c r="A15" s="249"/>
      <c r="B15" s="250"/>
      <c r="C15" s="263" t="s">
        <v>72</v>
      </c>
      <c r="D15" s="254">
        <v>68</v>
      </c>
      <c r="E15" s="26" t="s">
        <v>58</v>
      </c>
      <c r="F15" s="27" t="s">
        <v>73</v>
      </c>
      <c r="G15" s="276"/>
      <c r="H15" s="276"/>
      <c r="I15" s="10">
        <v>757.90350000000001</v>
      </c>
      <c r="J15" s="10">
        <v>1417.1255000000001</v>
      </c>
      <c r="K15" s="11">
        <v>1784.1639786710421</v>
      </c>
      <c r="L15" s="11">
        <v>2074.2009840032811</v>
      </c>
      <c r="M15" s="11">
        <v>2422.820330832169</v>
      </c>
      <c r="N15" s="11">
        <v>2624.7533853850809</v>
      </c>
      <c r="O15" s="11">
        <v>1249.1183879093198</v>
      </c>
      <c r="P15" s="12">
        <v>3382.4458072891111</v>
      </c>
      <c r="Q15" s="12">
        <v>3382.4458072891111</v>
      </c>
      <c r="R15" s="12">
        <v>3382.4458072891111</v>
      </c>
      <c r="S15" s="12">
        <v>3382.4458072891111</v>
      </c>
      <c r="T15" s="12">
        <v>3382.4458072891111</v>
      </c>
      <c r="U15" s="19"/>
      <c r="V15" s="22"/>
      <c r="W15" s="215"/>
      <c r="X15" s="216"/>
      <c r="Y15" s="216"/>
      <c r="Z15" s="216"/>
      <c r="AA15" s="220"/>
      <c r="AB15" s="219">
        <f t="shared" si="0"/>
        <v>1</v>
      </c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</row>
    <row r="16" spans="1:39" x14ac:dyDescent="0.25">
      <c r="A16" s="249"/>
      <c r="B16" s="250"/>
      <c r="C16" s="263" t="s">
        <v>74</v>
      </c>
      <c r="D16" s="254">
        <v>69</v>
      </c>
      <c r="E16" s="26" t="s">
        <v>58</v>
      </c>
      <c r="F16" s="27" t="s">
        <v>59</v>
      </c>
      <c r="G16" s="276"/>
      <c r="H16" s="276"/>
      <c r="I16" s="10">
        <v>47.686500000000002</v>
      </c>
      <c r="J16" s="10">
        <v>0.14549999999999999</v>
      </c>
      <c r="K16" s="11">
        <v>0.45947990155865459</v>
      </c>
      <c r="L16" s="11">
        <v>0.45947990155865459</v>
      </c>
      <c r="M16" s="11">
        <v>21.741478208989154</v>
      </c>
      <c r="N16" s="11">
        <v>43.747220620802118</v>
      </c>
      <c r="O16" s="11">
        <v>20.818639798488665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9"/>
      <c r="V16" s="22"/>
      <c r="W16" s="215"/>
      <c r="X16" s="216"/>
      <c r="Y16" s="216"/>
      <c r="Z16" s="216"/>
      <c r="AA16" s="216"/>
      <c r="AB16" s="219">
        <f t="shared" si="0"/>
        <v>1</v>
      </c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</row>
    <row r="17" spans="1:39" x14ac:dyDescent="0.25">
      <c r="A17" s="249"/>
      <c r="B17" s="250"/>
      <c r="C17" s="263" t="s">
        <v>75</v>
      </c>
      <c r="D17" s="254">
        <v>70</v>
      </c>
      <c r="E17" s="26" t="s">
        <v>58</v>
      </c>
      <c r="F17" s="27" t="s">
        <v>76</v>
      </c>
      <c r="G17" s="276"/>
      <c r="H17" s="276"/>
      <c r="I17" s="10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9"/>
      <c r="V17" s="22"/>
      <c r="W17" s="215"/>
      <c r="X17" s="216"/>
      <c r="Y17" s="216"/>
      <c r="Z17" s="216"/>
      <c r="AA17" s="216"/>
      <c r="AB17" s="219">
        <f t="shared" si="0"/>
        <v>1</v>
      </c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</row>
    <row r="18" spans="1:39" x14ac:dyDescent="0.25">
      <c r="A18" s="249"/>
      <c r="B18" s="250"/>
      <c r="C18" s="263" t="s">
        <v>77</v>
      </c>
      <c r="D18" s="254">
        <v>71</v>
      </c>
      <c r="E18" s="26" t="s">
        <v>58</v>
      </c>
      <c r="F18" s="27" t="s">
        <v>78</v>
      </c>
      <c r="G18" s="276"/>
      <c r="H18" s="276"/>
      <c r="I18" s="10">
        <v>1546.0219999999999</v>
      </c>
      <c r="J18" s="10">
        <v>2407.6815000000001</v>
      </c>
      <c r="K18" s="11">
        <v>2110.067263330599</v>
      </c>
      <c r="L18" s="11">
        <v>2382.2452883511073</v>
      </c>
      <c r="M18" s="11">
        <v>2455.4218500989364</v>
      </c>
      <c r="N18" s="11">
        <v>2276.8443701973779</v>
      </c>
      <c r="O18" s="11">
        <v>1249.1183879093198</v>
      </c>
      <c r="P18" s="12">
        <v>2778.0311373578147</v>
      </c>
      <c r="Q18" s="12">
        <v>2778.0311373578147</v>
      </c>
      <c r="R18" s="12">
        <v>2778.0311373578147</v>
      </c>
      <c r="S18" s="12">
        <v>2778.0311373578147</v>
      </c>
      <c r="T18" s="12">
        <v>2778.0311373578147</v>
      </c>
      <c r="U18" s="19"/>
      <c r="V18" s="22"/>
      <c r="W18" s="215"/>
      <c r="X18" s="216"/>
      <c r="Y18" s="216"/>
      <c r="Z18" s="216"/>
      <c r="AA18" s="216"/>
      <c r="AB18" s="219">
        <f t="shared" si="0"/>
        <v>1</v>
      </c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</row>
    <row r="19" spans="1:39" x14ac:dyDescent="0.25">
      <c r="A19" s="249"/>
      <c r="B19" s="250"/>
      <c r="C19" s="263" t="s">
        <v>79</v>
      </c>
      <c r="D19" s="254">
        <v>72</v>
      </c>
      <c r="E19" s="26" t="s">
        <v>58</v>
      </c>
      <c r="F19" s="27" t="s">
        <v>80</v>
      </c>
      <c r="G19" s="276"/>
      <c r="H19" s="276"/>
      <c r="I19" s="10">
        <v>1639.6110000000001</v>
      </c>
      <c r="J19" s="10">
        <v>1624.1025000000002</v>
      </c>
      <c r="K19" s="11">
        <v>1442.5340701394584</v>
      </c>
      <c r="L19" s="11">
        <v>2819.1252924528299</v>
      </c>
      <c r="M19" s="11">
        <v>3105.6385860391611</v>
      </c>
      <c r="N19" s="11">
        <v>1749.0232964575373</v>
      </c>
      <c r="O19" s="11">
        <v>832.74559193954656</v>
      </c>
      <c r="P19" s="12">
        <v>2549.9642700427426</v>
      </c>
      <c r="Q19" s="12">
        <v>2549.9642700427426</v>
      </c>
      <c r="R19" s="12">
        <v>2549.9642700427426</v>
      </c>
      <c r="S19" s="12">
        <v>2549.9642700427426</v>
      </c>
      <c r="T19" s="12">
        <v>2549.9642700427426</v>
      </c>
      <c r="U19" s="19"/>
      <c r="V19" s="22"/>
      <c r="W19" s="215"/>
      <c r="X19" s="216"/>
      <c r="Y19" s="216"/>
      <c r="Z19" s="220">
        <v>0.1</v>
      </c>
      <c r="AA19" s="216"/>
      <c r="AB19" s="219">
        <f t="shared" si="0"/>
        <v>0.9</v>
      </c>
      <c r="AD19" s="441"/>
      <c r="AE19" s="441"/>
      <c r="AF19" s="441"/>
      <c r="AG19" s="441"/>
      <c r="AH19" s="441"/>
      <c r="AI19" s="441"/>
      <c r="AJ19" s="441"/>
      <c r="AK19" s="441"/>
      <c r="AL19" s="441"/>
      <c r="AM19" s="441"/>
    </row>
    <row r="20" spans="1:39" x14ac:dyDescent="0.25">
      <c r="A20" s="249"/>
      <c r="B20" s="250"/>
      <c r="C20" s="263" t="s">
        <v>81</v>
      </c>
      <c r="D20" s="254">
        <v>73</v>
      </c>
      <c r="E20" s="26" t="s">
        <v>58</v>
      </c>
      <c r="F20" s="27" t="s">
        <v>68</v>
      </c>
      <c r="G20" s="276"/>
      <c r="H20" s="276"/>
      <c r="I20" s="10">
        <v>2981.3379999999997</v>
      </c>
      <c r="J20" s="10">
        <v>3248.46</v>
      </c>
      <c r="K20" s="11">
        <v>2727.1738576702214</v>
      </c>
      <c r="L20" s="11">
        <v>4893.6264347826082</v>
      </c>
      <c r="M20" s="11">
        <v>6048.7737785640365</v>
      </c>
      <c r="N20" s="11">
        <v>5249.5133310660885</v>
      </c>
      <c r="O20" s="11">
        <v>2498.2367758186397</v>
      </c>
      <c r="P20" s="12">
        <v>6335.9004500322417</v>
      </c>
      <c r="Q20" s="12">
        <v>6331.2348374139374</v>
      </c>
      <c r="R20" s="12">
        <v>6331.2348374139374</v>
      </c>
      <c r="S20" s="12">
        <v>6331.2348374139374</v>
      </c>
      <c r="T20" s="12">
        <v>6331.2348374139374</v>
      </c>
      <c r="U20" s="19"/>
      <c r="V20" s="22"/>
      <c r="W20" s="215"/>
      <c r="X20" s="216"/>
      <c r="Y20" s="216"/>
      <c r="Z20" s="216"/>
      <c r="AA20" s="216"/>
      <c r="AB20" s="219">
        <f t="shared" si="0"/>
        <v>1</v>
      </c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</row>
    <row r="21" spans="1:39" x14ac:dyDescent="0.25">
      <c r="A21" s="249"/>
      <c r="B21" s="250"/>
      <c r="C21" s="263" t="s">
        <v>82</v>
      </c>
      <c r="D21" s="254">
        <v>74</v>
      </c>
      <c r="E21" s="26" t="s">
        <v>58</v>
      </c>
      <c r="F21" s="27" t="s">
        <v>70</v>
      </c>
      <c r="G21" s="276"/>
      <c r="H21" s="276"/>
      <c r="I21" s="10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9"/>
      <c r="V21" s="22"/>
      <c r="W21" s="215"/>
      <c r="X21" s="216"/>
      <c r="Y21" s="216"/>
      <c r="Z21" s="216"/>
      <c r="AA21" s="216"/>
      <c r="AB21" s="219">
        <f t="shared" si="0"/>
        <v>1</v>
      </c>
      <c r="AD21" s="441"/>
      <c r="AE21" s="441"/>
      <c r="AF21" s="441"/>
      <c r="AG21" s="441"/>
      <c r="AH21" s="441"/>
      <c r="AI21" s="441"/>
      <c r="AJ21" s="441"/>
      <c r="AK21" s="441"/>
      <c r="AL21" s="441"/>
      <c r="AM21" s="441"/>
    </row>
    <row r="22" spans="1:39" x14ac:dyDescent="0.25">
      <c r="A22" s="249"/>
      <c r="B22" s="250"/>
      <c r="C22" s="263" t="s">
        <v>173</v>
      </c>
      <c r="D22" s="254">
        <v>75</v>
      </c>
      <c r="E22" s="26"/>
      <c r="F22" s="27"/>
      <c r="G22" s="276"/>
      <c r="H22" s="276"/>
      <c r="I22" s="10">
        <v>35.693000000000005</v>
      </c>
      <c r="J22" s="10">
        <v>52.802500000000009</v>
      </c>
      <c r="K22" s="11">
        <v>25.969416735028712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9"/>
      <c r="V22" s="22"/>
      <c r="W22" s="215"/>
      <c r="X22" s="216"/>
      <c r="Y22" s="216"/>
      <c r="Z22" s="216"/>
      <c r="AA22" s="216"/>
      <c r="AB22" s="219">
        <f t="shared" si="0"/>
        <v>1</v>
      </c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</row>
    <row r="23" spans="1:39" x14ac:dyDescent="0.25">
      <c r="A23" s="249"/>
      <c r="B23" s="250"/>
      <c r="C23" s="263" t="s">
        <v>174</v>
      </c>
      <c r="D23" s="254">
        <v>76</v>
      </c>
      <c r="E23" s="26"/>
      <c r="F23" s="27"/>
      <c r="G23" s="276"/>
      <c r="H23" s="276"/>
      <c r="I23" s="10">
        <v>0</v>
      </c>
      <c r="J23" s="10">
        <v>0</v>
      </c>
      <c r="K23" s="11">
        <v>0</v>
      </c>
      <c r="L23" s="11">
        <v>738.87404963084475</v>
      </c>
      <c r="M23" s="11">
        <v>2499.3334425758817</v>
      </c>
      <c r="N23" s="11">
        <v>4401.1484823625924</v>
      </c>
      <c r="O23" s="11">
        <v>832.74559193954656</v>
      </c>
      <c r="P23" s="12">
        <v>2304.3059613769938</v>
      </c>
      <c r="Q23" s="12">
        <v>2304.3059613769938</v>
      </c>
      <c r="R23" s="12">
        <v>2304.3059613769938</v>
      </c>
      <c r="S23" s="12">
        <v>2304.3059613769938</v>
      </c>
      <c r="T23" s="12">
        <v>2304.3059613769938</v>
      </c>
      <c r="U23" s="19"/>
      <c r="V23" s="22"/>
      <c r="W23" s="215"/>
      <c r="X23" s="216"/>
      <c r="Y23" s="216"/>
      <c r="Z23" s="216"/>
      <c r="AA23" s="216"/>
      <c r="AB23" s="219">
        <f t="shared" si="0"/>
        <v>1</v>
      </c>
      <c r="AD23" s="441"/>
      <c r="AE23" s="441"/>
      <c r="AF23" s="441"/>
      <c r="AG23" s="441"/>
      <c r="AH23" s="441"/>
      <c r="AI23" s="441"/>
      <c r="AJ23" s="441"/>
      <c r="AK23" s="441"/>
      <c r="AL23" s="441"/>
      <c r="AM23" s="441"/>
    </row>
    <row r="24" spans="1:39" x14ac:dyDescent="0.25">
      <c r="A24" s="249"/>
      <c r="B24" s="250"/>
      <c r="C24" s="263" t="s">
        <v>175</v>
      </c>
      <c r="D24" s="254">
        <v>77</v>
      </c>
      <c r="E24" s="26"/>
      <c r="F24" s="27"/>
      <c r="G24" s="276"/>
      <c r="H24" s="276"/>
      <c r="I24" s="10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700.6635365294552</v>
      </c>
      <c r="P24" s="12">
        <v>1208.6137699412257</v>
      </c>
      <c r="Q24" s="12">
        <v>1208.6137699412257</v>
      </c>
      <c r="R24" s="12">
        <v>1208.6137699412257</v>
      </c>
      <c r="S24" s="12">
        <v>1208.6137699412257</v>
      </c>
      <c r="T24" s="12">
        <v>1208.6137699412257</v>
      </c>
      <c r="U24" s="19"/>
      <c r="V24" s="22"/>
      <c r="W24" s="215"/>
      <c r="X24" s="216"/>
      <c r="Y24" s="220">
        <v>0.1</v>
      </c>
      <c r="Z24" s="216"/>
      <c r="AA24" s="216"/>
      <c r="AB24" s="219">
        <f t="shared" si="0"/>
        <v>0.9</v>
      </c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</row>
    <row r="25" spans="1:39" x14ac:dyDescent="0.25">
      <c r="A25" s="249"/>
      <c r="B25" s="250"/>
      <c r="C25" s="263" t="s">
        <v>176</v>
      </c>
      <c r="D25" s="254">
        <v>78</v>
      </c>
      <c r="E25" s="26"/>
      <c r="F25" s="27"/>
      <c r="G25" s="276"/>
      <c r="H25" s="276"/>
      <c r="I25" s="10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368.8357748519918</v>
      </c>
      <c r="P25" s="12">
        <v>557.64541622796992</v>
      </c>
      <c r="Q25" s="12">
        <v>743.29586580543196</v>
      </c>
      <c r="R25" s="12">
        <v>743.20324451073122</v>
      </c>
      <c r="S25" s="12">
        <v>743.1984668997452</v>
      </c>
      <c r="T25" s="12">
        <v>743.65637501380752</v>
      </c>
      <c r="U25" s="19"/>
      <c r="V25" s="22"/>
      <c r="W25" s="215"/>
      <c r="X25" s="216"/>
      <c r="Y25" s="216"/>
      <c r="Z25" s="216"/>
      <c r="AA25" s="216"/>
      <c r="AB25" s="219">
        <f t="shared" si="0"/>
        <v>1</v>
      </c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</row>
    <row r="26" spans="1:39" x14ac:dyDescent="0.25">
      <c r="A26" s="249"/>
      <c r="B26" s="250"/>
      <c r="C26" s="263"/>
      <c r="D26" s="254"/>
      <c r="E26" s="26"/>
      <c r="F26" s="27"/>
      <c r="G26" s="276"/>
      <c r="H26" s="276"/>
      <c r="I26" s="10"/>
      <c r="J26" s="10"/>
      <c r="K26" s="11"/>
      <c r="L26" s="11"/>
      <c r="M26" s="11"/>
      <c r="N26" s="11"/>
      <c r="O26" s="11"/>
      <c r="P26" s="12"/>
      <c r="Q26" s="12"/>
      <c r="R26" s="12"/>
      <c r="S26" s="12"/>
      <c r="T26" s="12"/>
      <c r="U26" s="19"/>
      <c r="V26" s="22"/>
      <c r="W26" s="215"/>
      <c r="X26" s="216"/>
      <c r="Y26" s="216"/>
      <c r="Z26" s="216"/>
      <c r="AA26" s="216"/>
      <c r="AB26" s="219">
        <f t="shared" si="0"/>
        <v>1</v>
      </c>
    </row>
    <row r="27" spans="1:39" x14ac:dyDescent="0.25">
      <c r="A27" s="249"/>
      <c r="B27" s="250"/>
      <c r="C27" s="256" t="s">
        <v>83</v>
      </c>
      <c r="D27" s="254"/>
      <c r="E27" s="26"/>
      <c r="F27" s="27"/>
      <c r="G27" s="276"/>
      <c r="H27" s="276"/>
      <c r="I27" s="10"/>
      <c r="J27" s="10"/>
      <c r="K27" s="11"/>
      <c r="L27" s="11"/>
      <c r="M27" s="11"/>
      <c r="N27" s="11"/>
      <c r="O27" s="11"/>
      <c r="P27" s="12"/>
      <c r="Q27" s="12"/>
      <c r="R27" s="12"/>
      <c r="S27" s="12"/>
      <c r="T27" s="12"/>
      <c r="U27" s="19"/>
      <c r="V27" s="22"/>
      <c r="W27" s="215"/>
      <c r="X27" s="216"/>
      <c r="Y27" s="216"/>
      <c r="Z27" s="216"/>
      <c r="AA27" s="216"/>
      <c r="AB27" s="219">
        <f t="shared" si="0"/>
        <v>1</v>
      </c>
    </row>
    <row r="28" spans="1:39" x14ac:dyDescent="0.25">
      <c r="A28" s="249"/>
      <c r="B28" s="250"/>
      <c r="C28" s="263" t="s">
        <v>84</v>
      </c>
      <c r="D28" s="254">
        <v>91</v>
      </c>
      <c r="E28" s="26" t="s">
        <v>58</v>
      </c>
      <c r="F28" s="27" t="s">
        <v>61</v>
      </c>
      <c r="G28" s="276"/>
      <c r="H28" s="276"/>
      <c r="I28" s="10">
        <v>3526.3255000000008</v>
      </c>
      <c r="J28" s="10">
        <v>3250.2050000000008</v>
      </c>
      <c r="K28" s="11">
        <v>2828.368584495488</v>
      </c>
      <c r="L28" s="11">
        <v>3574.6638506972927</v>
      </c>
      <c r="M28" s="11">
        <v>3639.3668949958983</v>
      </c>
      <c r="N28" s="11">
        <v>3432.8958162428216</v>
      </c>
      <c r="O28" s="11">
        <v>1849.0458438287155</v>
      </c>
      <c r="P28" s="12">
        <v>411.4805549463465</v>
      </c>
      <c r="Q28" s="12">
        <v>411.4805549463465</v>
      </c>
      <c r="R28" s="12">
        <v>411.4805549463465</v>
      </c>
      <c r="S28" s="12">
        <v>411.4805549463465</v>
      </c>
      <c r="T28" s="12">
        <v>411.4805549463465</v>
      </c>
      <c r="U28" s="19"/>
      <c r="V28" s="22"/>
      <c r="W28" s="230"/>
      <c r="X28" s="216"/>
      <c r="Y28" s="220">
        <v>0.1</v>
      </c>
      <c r="Z28" s="216"/>
      <c r="AA28" s="220"/>
      <c r="AB28" s="219">
        <f t="shared" si="0"/>
        <v>0.9</v>
      </c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</row>
    <row r="29" spans="1:39" x14ac:dyDescent="0.25">
      <c r="A29" s="249"/>
      <c r="B29" s="250"/>
      <c r="C29" s="263" t="s">
        <v>114</v>
      </c>
      <c r="D29" s="254">
        <v>92</v>
      </c>
      <c r="E29" s="26" t="s">
        <v>58</v>
      </c>
      <c r="F29" s="28" t="s">
        <v>64</v>
      </c>
      <c r="G29" s="276"/>
      <c r="H29" s="276"/>
      <c r="I29" s="10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9"/>
      <c r="V29" s="22"/>
      <c r="W29" s="215"/>
      <c r="X29" s="216"/>
      <c r="Y29" s="216"/>
      <c r="Z29" s="216"/>
      <c r="AA29" s="216"/>
      <c r="AB29" s="219">
        <f t="shared" si="0"/>
        <v>1</v>
      </c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</row>
    <row r="30" spans="1:39" x14ac:dyDescent="0.25">
      <c r="A30" s="249"/>
      <c r="B30" s="250"/>
      <c r="C30" s="263" t="s">
        <v>115</v>
      </c>
      <c r="D30" s="254">
        <v>93</v>
      </c>
      <c r="E30" s="26" t="s">
        <v>58</v>
      </c>
      <c r="F30" s="28" t="s">
        <v>65</v>
      </c>
      <c r="G30" s="276"/>
      <c r="H30" s="276"/>
      <c r="I30" s="10">
        <v>-7.4040000000000017</v>
      </c>
      <c r="J30" s="10">
        <v>1.0375000000000001</v>
      </c>
      <c r="K30" s="11">
        <v>4.4323966365873666</v>
      </c>
      <c r="L30" s="11">
        <v>1.5227973748974566</v>
      </c>
      <c r="M30" s="11">
        <v>21.75882088027203</v>
      </c>
      <c r="N30" s="11">
        <v>32.761692086178506</v>
      </c>
      <c r="O30" s="11">
        <v>79.987405541561714</v>
      </c>
      <c r="P30" s="12">
        <v>119.27690045334923</v>
      </c>
      <c r="Q30" s="12">
        <v>119.23978626879328</v>
      </c>
      <c r="R30" s="12">
        <v>139.09574924917686</v>
      </c>
      <c r="S30" s="12">
        <v>158.96554866909065</v>
      </c>
      <c r="T30" s="12">
        <v>159.06349237838756</v>
      </c>
      <c r="U30" s="19"/>
      <c r="V30" s="22"/>
      <c r="W30" s="215"/>
      <c r="X30" s="216"/>
      <c r="Y30" s="216"/>
      <c r="Z30" s="216"/>
      <c r="AA30" s="216"/>
      <c r="AB30" s="219">
        <f t="shared" si="0"/>
        <v>1</v>
      </c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</row>
    <row r="31" spans="1:39" x14ac:dyDescent="0.25">
      <c r="A31" s="249"/>
      <c r="B31" s="250"/>
      <c r="C31" s="263" t="s">
        <v>116</v>
      </c>
      <c r="D31" s="254">
        <v>94</v>
      </c>
      <c r="E31" s="26" t="s">
        <v>58</v>
      </c>
      <c r="F31" s="28" t="s">
        <v>66</v>
      </c>
      <c r="G31" s="276"/>
      <c r="H31" s="276"/>
      <c r="I31" s="10">
        <v>9135.7165000000005</v>
      </c>
      <c r="J31" s="10">
        <v>9470.6859999999997</v>
      </c>
      <c r="K31" s="11">
        <v>5764.13575471698</v>
      </c>
      <c r="L31" s="11">
        <v>5682.5485844954883</v>
      </c>
      <c r="M31" s="11">
        <v>5467.6116378447086</v>
      </c>
      <c r="N31" s="11">
        <v>5906.5377358758824</v>
      </c>
      <c r="O31" s="11">
        <v>5188.2817462423664</v>
      </c>
      <c r="P31" s="12">
        <v>6107.1296407507352</v>
      </c>
      <c r="Q31" s="12">
        <v>6107.1296407507352</v>
      </c>
      <c r="R31" s="12">
        <v>6107.1296407507352</v>
      </c>
      <c r="S31" s="12">
        <v>6107.1296407507352</v>
      </c>
      <c r="T31" s="12">
        <v>6107.1296407507352</v>
      </c>
      <c r="U31" s="19"/>
      <c r="V31" s="22"/>
      <c r="W31" s="215"/>
      <c r="X31" s="216"/>
      <c r="Y31" s="216"/>
      <c r="Z31" s="216"/>
      <c r="AA31" s="216"/>
      <c r="AB31" s="219">
        <f t="shared" si="0"/>
        <v>1</v>
      </c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</row>
    <row r="32" spans="1:39" x14ac:dyDescent="0.25">
      <c r="A32" s="249"/>
      <c r="B32" s="250"/>
      <c r="C32" s="263" t="s">
        <v>85</v>
      </c>
      <c r="D32" s="254">
        <v>95</v>
      </c>
      <c r="E32" s="26" t="s">
        <v>58</v>
      </c>
      <c r="F32" s="27" t="s">
        <v>68</v>
      </c>
      <c r="G32" s="276"/>
      <c r="H32" s="276"/>
      <c r="I32" s="10">
        <v>2092.3285000000001</v>
      </c>
      <c r="J32" s="10">
        <v>1777.6520000000003</v>
      </c>
      <c r="K32" s="11">
        <v>2222.026759228876</v>
      </c>
      <c r="L32" s="11">
        <v>2629.6039167350286</v>
      </c>
      <c r="M32" s="11">
        <v>2363.6499162183613</v>
      </c>
      <c r="N32" s="11">
        <v>2472.6518403364903</v>
      </c>
      <c r="O32" s="11">
        <v>2171.712846347607</v>
      </c>
      <c r="P32" s="12">
        <v>1880.3002550461795</v>
      </c>
      <c r="Q32" s="12">
        <v>1880.3002550461795</v>
      </c>
      <c r="R32" s="12">
        <v>1880.3002550461795</v>
      </c>
      <c r="S32" s="12">
        <v>1880.3002550461795</v>
      </c>
      <c r="T32" s="12">
        <v>1880.3002550461795</v>
      </c>
      <c r="U32" s="19"/>
      <c r="V32" s="22"/>
      <c r="W32" s="215"/>
      <c r="X32" s="216"/>
      <c r="Y32" s="216"/>
      <c r="Z32" s="216"/>
      <c r="AA32" s="216"/>
      <c r="AB32" s="219">
        <f t="shared" si="0"/>
        <v>1</v>
      </c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</row>
    <row r="33" spans="1:39" x14ac:dyDescent="0.25">
      <c r="A33" s="249"/>
      <c r="B33" s="250"/>
      <c r="C33" s="263" t="s">
        <v>86</v>
      </c>
      <c r="D33" s="254">
        <v>96</v>
      </c>
      <c r="E33" s="26" t="s">
        <v>58</v>
      </c>
      <c r="F33" s="27" t="s">
        <v>70</v>
      </c>
      <c r="G33" s="276"/>
      <c r="H33" s="276"/>
      <c r="I33" s="10">
        <v>1666.3920000000001</v>
      </c>
      <c r="J33" s="10">
        <v>1325.8755000000001</v>
      </c>
      <c r="K33" s="11">
        <v>978.25647662018036</v>
      </c>
      <c r="L33" s="11">
        <v>1107.3500836751432</v>
      </c>
      <c r="M33" s="11">
        <v>1269.6102302377353</v>
      </c>
      <c r="N33" s="11">
        <v>1334.7921194912217</v>
      </c>
      <c r="O33" s="11">
        <v>1213.5075566750629</v>
      </c>
      <c r="P33" s="12">
        <v>649.74967219558232</v>
      </c>
      <c r="Q33" s="12">
        <v>649.74967219558232</v>
      </c>
      <c r="R33" s="12">
        <v>649.74967219558232</v>
      </c>
      <c r="S33" s="12">
        <v>649.74967219558232</v>
      </c>
      <c r="T33" s="12">
        <v>649.74967219558232</v>
      </c>
      <c r="U33" s="19"/>
      <c r="V33" s="22"/>
      <c r="W33" s="215"/>
      <c r="X33" s="216"/>
      <c r="Y33" s="216"/>
      <c r="Z33" s="216"/>
      <c r="AA33" s="216"/>
      <c r="AB33" s="219">
        <f t="shared" si="0"/>
        <v>1</v>
      </c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</row>
    <row r="34" spans="1:39" x14ac:dyDescent="0.25">
      <c r="A34" s="249"/>
      <c r="B34" s="250"/>
      <c r="C34" s="263" t="s">
        <v>87</v>
      </c>
      <c r="D34" s="254">
        <v>97</v>
      </c>
      <c r="E34" s="26" t="s">
        <v>58</v>
      </c>
      <c r="F34" s="27" t="s">
        <v>73</v>
      </c>
      <c r="G34" s="276"/>
      <c r="H34" s="276"/>
      <c r="I34" s="10">
        <v>3128.9665000000005</v>
      </c>
      <c r="J34" s="10">
        <v>3428.0940000000001</v>
      </c>
      <c r="K34" s="11">
        <v>3396.5313269073008</v>
      </c>
      <c r="L34" s="11">
        <v>3467.1046230516808</v>
      </c>
      <c r="M34" s="11">
        <v>3331.0696865523978</v>
      </c>
      <c r="N34" s="11">
        <v>3456.9460540667542</v>
      </c>
      <c r="O34" s="11">
        <v>3114.0302267002517</v>
      </c>
      <c r="P34" s="12">
        <v>4304.9310274588688</v>
      </c>
      <c r="Q34" s="12">
        <v>4304.9310274588688</v>
      </c>
      <c r="R34" s="12">
        <v>4304.9310274588688</v>
      </c>
      <c r="S34" s="12">
        <v>4304.9310274588688</v>
      </c>
      <c r="T34" s="12">
        <v>4304.9310274588688</v>
      </c>
      <c r="U34" s="19"/>
      <c r="V34" s="22"/>
      <c r="W34" s="215"/>
      <c r="X34" s="216"/>
      <c r="Y34" s="216"/>
      <c r="Z34" s="216"/>
      <c r="AA34" s="220"/>
      <c r="AB34" s="219">
        <f t="shared" si="0"/>
        <v>1</v>
      </c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</row>
    <row r="35" spans="1:39" x14ac:dyDescent="0.25">
      <c r="A35" s="249"/>
      <c r="B35" s="250"/>
      <c r="C35" s="263" t="s">
        <v>88</v>
      </c>
      <c r="D35" s="254">
        <v>98</v>
      </c>
      <c r="E35" s="26" t="s">
        <v>58</v>
      </c>
      <c r="F35" s="27" t="s">
        <v>76</v>
      </c>
      <c r="G35" s="276"/>
      <c r="H35" s="276"/>
      <c r="I35" s="10">
        <v>561.70550000000003</v>
      </c>
      <c r="J35" s="10">
        <v>441.77499999999998</v>
      </c>
      <c r="K35" s="11">
        <v>501.59625184577516</v>
      </c>
      <c r="L35" s="11">
        <v>540.47423707957341</v>
      </c>
      <c r="M35" s="11">
        <v>465.14572280616505</v>
      </c>
      <c r="N35" s="11">
        <v>481.44625644029128</v>
      </c>
      <c r="O35" s="11">
        <v>437.41057934508819</v>
      </c>
      <c r="P35" s="12">
        <v>388.57789455048919</v>
      </c>
      <c r="Q35" s="12">
        <v>388.57789455048919</v>
      </c>
      <c r="R35" s="12">
        <v>388.57789455048919</v>
      </c>
      <c r="S35" s="12">
        <v>388.57789455048919</v>
      </c>
      <c r="T35" s="12">
        <v>388.57789455048919</v>
      </c>
      <c r="U35" s="19"/>
      <c r="V35" s="22"/>
      <c r="W35" s="215"/>
      <c r="X35" s="216"/>
      <c r="Y35" s="216"/>
      <c r="Z35" s="216"/>
      <c r="AA35" s="216"/>
      <c r="AB35" s="219">
        <f t="shared" si="0"/>
        <v>1</v>
      </c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</row>
    <row r="36" spans="1:39" x14ac:dyDescent="0.25">
      <c r="A36" s="249"/>
      <c r="B36" s="250"/>
      <c r="C36" s="263" t="s">
        <v>89</v>
      </c>
      <c r="D36" s="254">
        <v>99</v>
      </c>
      <c r="E36" s="26" t="s">
        <v>58</v>
      </c>
      <c r="F36" s="27" t="s">
        <v>78</v>
      </c>
      <c r="G36" s="276"/>
      <c r="H36" s="276"/>
      <c r="I36" s="10">
        <v>2746.351095</v>
      </c>
      <c r="J36" s="10">
        <v>2597.2040000000002</v>
      </c>
      <c r="K36" s="11">
        <v>1665.4641238720262</v>
      </c>
      <c r="L36" s="11">
        <v>1698.9102116488925</v>
      </c>
      <c r="M36" s="11">
        <v>2036.0180854446617</v>
      </c>
      <c r="N36" s="11">
        <v>2408.2320148950307</v>
      </c>
      <c r="O36" s="11">
        <v>2016.1209068010075</v>
      </c>
      <c r="P36" s="12">
        <v>3174.8927284089309</v>
      </c>
      <c r="Q36" s="12">
        <v>3174.8927284089309</v>
      </c>
      <c r="R36" s="12">
        <v>3174.8927284089309</v>
      </c>
      <c r="S36" s="12">
        <v>3174.8927284089309</v>
      </c>
      <c r="T36" s="12">
        <v>3174.8927284089309</v>
      </c>
      <c r="U36" s="19"/>
      <c r="V36" s="22"/>
      <c r="W36" s="215"/>
      <c r="X36" s="216"/>
      <c r="Y36" s="216"/>
      <c r="Z36" s="216"/>
      <c r="AA36" s="216"/>
      <c r="AB36" s="219">
        <f t="shared" si="0"/>
        <v>1</v>
      </c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</row>
    <row r="37" spans="1:39" x14ac:dyDescent="0.25">
      <c r="A37" s="249"/>
      <c r="B37" s="250"/>
      <c r="C37" s="263" t="s">
        <v>90</v>
      </c>
      <c r="D37" s="254">
        <v>100</v>
      </c>
      <c r="E37" s="26" t="s">
        <v>58</v>
      </c>
      <c r="F37" s="27" t="s">
        <v>80</v>
      </c>
      <c r="G37" s="276"/>
      <c r="H37" s="276"/>
      <c r="I37" s="10">
        <v>4484.3204999999998</v>
      </c>
      <c r="J37" s="10">
        <v>4657.3150000000005</v>
      </c>
      <c r="K37" s="11">
        <v>4330.8278121410995</v>
      </c>
      <c r="L37" s="11">
        <v>4586.6560106644783</v>
      </c>
      <c r="M37" s="11">
        <v>4683.4641127973737</v>
      </c>
      <c r="N37" s="11">
        <v>4709.2288761279733</v>
      </c>
      <c r="O37" s="11">
        <v>4596.5365239294706</v>
      </c>
      <c r="P37" s="12">
        <v>4160.4680195434212</v>
      </c>
      <c r="Q37" s="12">
        <v>4160.4680195434212</v>
      </c>
      <c r="R37" s="12">
        <v>4160.4680195434212</v>
      </c>
      <c r="S37" s="12">
        <v>4160.4680195434212</v>
      </c>
      <c r="T37" s="12">
        <v>4160.4680195434212</v>
      </c>
      <c r="U37" s="19"/>
      <c r="V37" s="22"/>
      <c r="W37" s="215"/>
      <c r="X37" s="216"/>
      <c r="Y37" s="216"/>
      <c r="Z37" s="220">
        <v>0.1</v>
      </c>
      <c r="AA37" s="216"/>
      <c r="AB37" s="219">
        <f t="shared" si="0"/>
        <v>0.9</v>
      </c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</row>
    <row r="38" spans="1:39" x14ac:dyDescent="0.25">
      <c r="A38" s="249"/>
      <c r="B38" s="250"/>
      <c r="C38" s="263" t="s">
        <v>177</v>
      </c>
      <c r="D38" s="254">
        <v>101</v>
      </c>
      <c r="E38" s="26"/>
      <c r="F38" s="27"/>
      <c r="G38" s="276"/>
      <c r="H38" s="276"/>
      <c r="I38" s="10">
        <v>184.17949999999712</v>
      </c>
      <c r="J38" s="10">
        <v>100.79400000000115</v>
      </c>
      <c r="K38" s="11">
        <v>11.95615996718699</v>
      </c>
      <c r="L38" s="11">
        <v>194.72397333880045</v>
      </c>
      <c r="M38" s="11">
        <v>182.10544052501967</v>
      </c>
      <c r="N38" s="11">
        <v>44.011484823625921</v>
      </c>
      <c r="O38" s="11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9"/>
      <c r="V38" s="22"/>
      <c r="W38" s="215"/>
      <c r="X38" s="216"/>
      <c r="Y38" s="216"/>
      <c r="Z38" s="216"/>
      <c r="AA38" s="216"/>
      <c r="AB38" s="219">
        <f t="shared" si="0"/>
        <v>1</v>
      </c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</row>
    <row r="39" spans="1:39" x14ac:dyDescent="0.25">
      <c r="A39" s="249"/>
      <c r="B39" s="250"/>
      <c r="C39" s="253"/>
      <c r="D39" s="254"/>
      <c r="E39" s="26"/>
      <c r="F39" s="27"/>
      <c r="G39" s="276"/>
      <c r="H39" s="276"/>
      <c r="I39" s="10"/>
      <c r="J39" s="10"/>
      <c r="K39" s="11"/>
      <c r="L39" s="11"/>
      <c r="M39" s="11"/>
      <c r="N39" s="11"/>
      <c r="O39" s="11"/>
      <c r="P39" s="12"/>
      <c r="Q39" s="12"/>
      <c r="R39" s="12"/>
      <c r="S39" s="12"/>
      <c r="T39" s="12"/>
      <c r="U39" s="19"/>
      <c r="V39" s="22"/>
      <c r="W39" s="215"/>
      <c r="X39" s="216"/>
      <c r="Y39" s="216"/>
      <c r="Z39" s="216"/>
      <c r="AA39" s="216"/>
      <c r="AB39" s="219"/>
    </row>
    <row r="40" spans="1:39" x14ac:dyDescent="0.25">
      <c r="A40" s="249"/>
      <c r="B40" s="250"/>
      <c r="C40" s="253"/>
      <c r="D40" s="254"/>
      <c r="E40" s="26"/>
      <c r="F40" s="27"/>
      <c r="G40" s="276"/>
      <c r="H40" s="276"/>
      <c r="I40" s="10"/>
      <c r="J40" s="10"/>
      <c r="K40" s="11"/>
      <c r="L40" s="11"/>
      <c r="M40" s="11"/>
      <c r="N40" s="11"/>
      <c r="O40" s="11"/>
      <c r="P40" s="12"/>
      <c r="Q40" s="12"/>
      <c r="R40" s="12"/>
      <c r="S40" s="12"/>
      <c r="T40" s="12"/>
      <c r="U40" s="19"/>
      <c r="V40" s="22"/>
      <c r="W40" s="215"/>
      <c r="X40" s="216"/>
      <c r="Y40" s="216"/>
      <c r="Z40" s="216"/>
      <c r="AA40" s="216"/>
      <c r="AB40" s="219"/>
    </row>
    <row r="41" spans="1:39" ht="15.75" thickBot="1" x14ac:dyDescent="0.3">
      <c r="A41" s="249"/>
      <c r="B41" s="250"/>
      <c r="C41" s="253"/>
      <c r="D41" s="254"/>
      <c r="E41" s="26"/>
      <c r="F41" s="27"/>
      <c r="G41" s="276"/>
      <c r="H41" s="276"/>
      <c r="I41" s="10"/>
      <c r="J41" s="10"/>
      <c r="K41" s="11"/>
      <c r="L41" s="11"/>
      <c r="M41" s="11"/>
      <c r="N41" s="11"/>
      <c r="O41" s="11"/>
      <c r="P41" s="12"/>
      <c r="Q41" s="12"/>
      <c r="R41" s="12"/>
      <c r="S41" s="12"/>
      <c r="T41" s="12"/>
      <c r="U41" s="19"/>
      <c r="V41" s="22"/>
      <c r="W41" s="215"/>
      <c r="X41" s="216"/>
      <c r="Y41" s="216"/>
      <c r="Z41" s="216"/>
      <c r="AA41" s="216"/>
      <c r="AB41" s="219"/>
    </row>
    <row r="42" spans="1:39" x14ac:dyDescent="0.25">
      <c r="A42" s="247"/>
      <c r="B42" s="257" t="s">
        <v>91</v>
      </c>
      <c r="C42" s="258"/>
      <c r="D42" s="252"/>
      <c r="E42" s="26"/>
      <c r="F42" s="27"/>
      <c r="G42" s="276"/>
      <c r="H42" s="276"/>
      <c r="I42" s="10" t="s">
        <v>110</v>
      </c>
      <c r="J42" s="10" t="s">
        <v>56</v>
      </c>
      <c r="K42" s="11"/>
      <c r="L42" s="11"/>
      <c r="M42" s="11"/>
      <c r="N42" s="11"/>
      <c r="O42" s="11"/>
      <c r="P42" s="12"/>
      <c r="Q42" s="12"/>
      <c r="R42" s="12"/>
      <c r="S42" s="12"/>
      <c r="T42" s="12"/>
      <c r="U42" s="19"/>
      <c r="V42" s="22"/>
      <c r="W42" s="215"/>
      <c r="X42" s="216"/>
      <c r="Y42" s="216"/>
      <c r="Z42" s="216"/>
      <c r="AA42" s="216"/>
      <c r="AB42" s="219"/>
    </row>
    <row r="43" spans="1:39" ht="15" customHeight="1" x14ac:dyDescent="0.25">
      <c r="A43" s="249"/>
      <c r="B43" s="250"/>
      <c r="C43" s="263" t="s">
        <v>178</v>
      </c>
      <c r="D43" s="255">
        <v>106</v>
      </c>
      <c r="E43" s="26" t="s">
        <v>58</v>
      </c>
      <c r="F43" s="28" t="s">
        <v>92</v>
      </c>
      <c r="G43" s="276"/>
      <c r="H43" s="276"/>
      <c r="I43" s="10">
        <v>228.15550000000002</v>
      </c>
      <c r="J43" s="10">
        <v>223.29600000000002</v>
      </c>
      <c r="K43" s="11">
        <v>195.30756562756355</v>
      </c>
      <c r="L43" s="11">
        <v>276.96911525840852</v>
      </c>
      <c r="M43" s="11">
        <v>442.00813665032325</v>
      </c>
      <c r="N43" s="11">
        <v>568.35806774138143</v>
      </c>
      <c r="O43" s="11">
        <v>597.67596390483993</v>
      </c>
      <c r="P43" s="12">
        <v>569.98931150293868</v>
      </c>
      <c r="Q43" s="12">
        <v>569.98931150293868</v>
      </c>
      <c r="R43" s="12">
        <v>569.98931150293868</v>
      </c>
      <c r="S43" s="12">
        <v>569.98931150293868</v>
      </c>
      <c r="T43" s="12">
        <v>321.16484886649874</v>
      </c>
      <c r="U43" s="19"/>
      <c r="V43" s="22"/>
      <c r="W43" s="215"/>
      <c r="X43" s="216"/>
      <c r="Y43" s="216"/>
      <c r="Z43" s="216"/>
      <c r="AA43" s="216"/>
      <c r="AB43" s="219">
        <f t="shared" si="0"/>
        <v>1</v>
      </c>
      <c r="AD43" s="441"/>
      <c r="AE43" s="441"/>
      <c r="AF43" s="441"/>
      <c r="AG43" s="441"/>
      <c r="AH43" s="441"/>
      <c r="AI43" s="441"/>
      <c r="AJ43" s="441"/>
      <c r="AK43" s="441"/>
      <c r="AL43" s="441"/>
      <c r="AM43" s="441"/>
    </row>
    <row r="44" spans="1:39" ht="15" customHeight="1" x14ac:dyDescent="0.25">
      <c r="A44" s="249"/>
      <c r="B44" s="250"/>
      <c r="C44" s="263" t="s">
        <v>179</v>
      </c>
      <c r="D44" s="254">
        <v>107</v>
      </c>
      <c r="E44" s="26" t="s">
        <v>58</v>
      </c>
      <c r="F44" s="27" t="s">
        <v>93</v>
      </c>
      <c r="G44" s="276"/>
      <c r="H44" s="276"/>
      <c r="I44" s="10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9"/>
      <c r="V44" s="22"/>
      <c r="W44" s="215"/>
      <c r="X44" s="216"/>
      <c r="Y44" s="216"/>
      <c r="Z44" s="216"/>
      <c r="AA44" s="216"/>
      <c r="AB44" s="219">
        <f t="shared" si="0"/>
        <v>1</v>
      </c>
      <c r="AD44" s="441"/>
      <c r="AE44" s="441"/>
      <c r="AF44" s="441"/>
      <c r="AG44" s="441"/>
      <c r="AH44" s="441"/>
      <c r="AI44" s="441"/>
      <c r="AJ44" s="441"/>
      <c r="AK44" s="441"/>
      <c r="AL44" s="441"/>
      <c r="AM44" s="441"/>
    </row>
    <row r="45" spans="1:39" ht="15" customHeight="1" x14ac:dyDescent="0.25">
      <c r="A45" s="249"/>
      <c r="B45" s="250"/>
      <c r="C45" s="263" t="s">
        <v>180</v>
      </c>
      <c r="D45" s="255">
        <v>108</v>
      </c>
      <c r="E45" s="26" t="s">
        <v>58</v>
      </c>
      <c r="F45" s="27" t="s">
        <v>94</v>
      </c>
      <c r="G45" s="276"/>
      <c r="H45" s="276"/>
      <c r="I45" s="10">
        <v>6266.1554999999998</v>
      </c>
      <c r="J45" s="10">
        <v>4494.1914999999999</v>
      </c>
      <c r="K45" s="11">
        <v>3708.5520689089412</v>
      </c>
      <c r="L45" s="11">
        <v>9464.242895516818</v>
      </c>
      <c r="M45" s="11">
        <v>15953.552364753896</v>
      </c>
      <c r="N45" s="11">
        <v>15315.116488925347</v>
      </c>
      <c r="O45" s="11">
        <v>12175.77727645611</v>
      </c>
      <c r="P45" s="12">
        <v>9164.9170244242414</v>
      </c>
      <c r="Q45" s="12">
        <v>9001.8802853700618</v>
      </c>
      <c r="R45" s="12">
        <v>9735.0412778133868</v>
      </c>
      <c r="S45" s="12">
        <v>9606.8135322214475</v>
      </c>
      <c r="T45" s="12">
        <v>8813.3100712642699</v>
      </c>
      <c r="U45" s="19"/>
      <c r="V45" s="22"/>
      <c r="W45" s="215"/>
      <c r="X45" s="220">
        <v>0.1</v>
      </c>
      <c r="Y45" s="216"/>
      <c r="Z45" s="216"/>
      <c r="AA45" s="216"/>
      <c r="AB45" s="219">
        <f t="shared" si="0"/>
        <v>0.9</v>
      </c>
      <c r="AD45" s="441"/>
      <c r="AE45" s="441"/>
      <c r="AF45" s="441"/>
      <c r="AG45" s="441"/>
      <c r="AH45" s="441"/>
      <c r="AI45" s="441"/>
      <c r="AJ45" s="441"/>
      <c r="AK45" s="441"/>
      <c r="AL45" s="441"/>
      <c r="AM45" s="441"/>
    </row>
    <row r="46" spans="1:39" ht="15" customHeight="1" x14ac:dyDescent="0.25">
      <c r="A46" s="249"/>
      <c r="B46" s="250"/>
      <c r="C46" s="263" t="s">
        <v>181</v>
      </c>
      <c r="D46" s="254">
        <v>109</v>
      </c>
      <c r="E46" s="26" t="s">
        <v>58</v>
      </c>
      <c r="F46" s="27" t="s">
        <v>95</v>
      </c>
      <c r="G46" s="276"/>
      <c r="H46" s="276"/>
      <c r="I46" s="10">
        <v>0</v>
      </c>
      <c r="J46" s="10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2">
        <v>1071.9201198156986</v>
      </c>
      <c r="Q46" s="12">
        <v>1052.8514953649178</v>
      </c>
      <c r="R46" s="12">
        <v>1138.6013190424999</v>
      </c>
      <c r="S46" s="12">
        <v>1123.6039218972437</v>
      </c>
      <c r="T46" s="12">
        <v>1030.7964995630707</v>
      </c>
      <c r="U46" s="19"/>
      <c r="V46" s="22"/>
      <c r="W46" s="215"/>
      <c r="X46" s="220">
        <v>0.1</v>
      </c>
      <c r="Y46" s="216"/>
      <c r="Z46" s="216"/>
      <c r="AA46" s="216"/>
      <c r="AB46" s="219">
        <f t="shared" si="0"/>
        <v>0.9</v>
      </c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</row>
    <row r="47" spans="1:39" ht="15" customHeight="1" x14ac:dyDescent="0.25">
      <c r="A47" s="249"/>
      <c r="B47" s="250"/>
      <c r="C47" s="263" t="s">
        <v>96</v>
      </c>
      <c r="D47" s="255">
        <v>110</v>
      </c>
      <c r="E47" s="26" t="s">
        <v>58</v>
      </c>
      <c r="F47" s="27" t="s">
        <v>97</v>
      </c>
      <c r="G47" s="276"/>
      <c r="H47" s="276"/>
      <c r="I47" s="10">
        <v>135.22449999999998</v>
      </c>
      <c r="J47" s="10">
        <v>0</v>
      </c>
      <c r="K47" s="11">
        <v>0</v>
      </c>
      <c r="L47" s="11">
        <v>0</v>
      </c>
      <c r="M47" s="11">
        <v>0</v>
      </c>
      <c r="N47" s="11">
        <v>220.0574241181296</v>
      </c>
      <c r="O47" s="11">
        <v>352.09187858900737</v>
      </c>
      <c r="P47" s="12">
        <v>265.05977878522054</v>
      </c>
      <c r="Q47" s="12">
        <v>264.97730281954063</v>
      </c>
      <c r="R47" s="12">
        <v>264.94428428414642</v>
      </c>
      <c r="S47" s="12">
        <v>264.94258111515114</v>
      </c>
      <c r="T47" s="12">
        <v>265.10582063064601</v>
      </c>
      <c r="U47" s="19"/>
      <c r="V47" s="22"/>
      <c r="W47" s="215"/>
      <c r="X47" s="220"/>
      <c r="Y47" s="216"/>
      <c r="Z47" s="216"/>
      <c r="AA47" s="216"/>
      <c r="AB47" s="219">
        <f t="shared" si="0"/>
        <v>1</v>
      </c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</row>
    <row r="48" spans="1:39" ht="15" customHeight="1" x14ac:dyDescent="0.25">
      <c r="A48" s="249"/>
      <c r="B48" s="250"/>
      <c r="C48" s="263" t="s">
        <v>182</v>
      </c>
      <c r="D48" s="254">
        <v>111</v>
      </c>
      <c r="E48" s="26" t="s">
        <v>58</v>
      </c>
      <c r="F48" s="27" t="s">
        <v>98</v>
      </c>
      <c r="G48" s="276"/>
      <c r="H48" s="276"/>
      <c r="I48" s="10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9"/>
      <c r="V48" s="22"/>
      <c r="W48" s="215"/>
      <c r="X48" s="216"/>
      <c r="Y48" s="216"/>
      <c r="Z48" s="216"/>
      <c r="AA48" s="216"/>
      <c r="AB48" s="219">
        <f t="shared" si="0"/>
        <v>1</v>
      </c>
      <c r="AD48" s="441"/>
      <c r="AE48" s="441"/>
      <c r="AF48" s="441"/>
      <c r="AG48" s="441"/>
      <c r="AH48" s="441"/>
      <c r="AI48" s="441"/>
      <c r="AJ48" s="441"/>
      <c r="AK48" s="441"/>
      <c r="AL48" s="441"/>
      <c r="AM48" s="441"/>
    </row>
    <row r="49" spans="1:39" ht="15" customHeight="1" x14ac:dyDescent="0.25">
      <c r="A49" s="249"/>
      <c r="B49" s="250"/>
      <c r="C49" s="263" t="s">
        <v>183</v>
      </c>
      <c r="D49" s="255">
        <v>112</v>
      </c>
      <c r="E49" s="26" t="s">
        <v>58</v>
      </c>
      <c r="F49" s="28" t="s">
        <v>59</v>
      </c>
      <c r="G49" s="276"/>
      <c r="H49" s="276"/>
      <c r="I49" s="10">
        <v>1259.7204999999999</v>
      </c>
      <c r="J49" s="10">
        <v>1431.8820000000001</v>
      </c>
      <c r="K49" s="11">
        <v>1086.9657243642328</v>
      </c>
      <c r="L49" s="11">
        <v>1019.2751804757994</v>
      </c>
      <c r="M49" s="11">
        <v>1357.2785308442656</v>
      </c>
      <c r="N49" s="11">
        <v>1506.6293040189994</v>
      </c>
      <c r="O49" s="11">
        <v>1408.3675143560295</v>
      </c>
      <c r="P49" s="12">
        <v>1413.6521535211759</v>
      </c>
      <c r="Q49" s="12">
        <v>1413.2122817042166</v>
      </c>
      <c r="R49" s="12">
        <v>1413.0361828487808</v>
      </c>
      <c r="S49" s="12">
        <v>1413.0270992808059</v>
      </c>
      <c r="T49" s="12">
        <v>1413.8977100301117</v>
      </c>
      <c r="U49" s="19"/>
      <c r="V49" s="22"/>
      <c r="W49" s="215"/>
      <c r="X49" s="216"/>
      <c r="Y49" s="216"/>
      <c r="Z49" s="216"/>
      <c r="AA49" s="216"/>
      <c r="AB49" s="219">
        <f t="shared" si="0"/>
        <v>1</v>
      </c>
      <c r="AD49" s="441"/>
      <c r="AE49" s="441"/>
      <c r="AF49" s="441"/>
      <c r="AG49" s="441"/>
      <c r="AH49" s="441"/>
      <c r="AI49" s="441"/>
      <c r="AJ49" s="441"/>
      <c r="AK49" s="441"/>
      <c r="AL49" s="441"/>
      <c r="AM49" s="441"/>
    </row>
    <row r="50" spans="1:39" ht="15" customHeight="1" x14ac:dyDescent="0.25">
      <c r="A50" s="249"/>
      <c r="B50" s="250"/>
      <c r="C50" s="263" t="s">
        <v>184</v>
      </c>
      <c r="D50" s="254">
        <v>113</v>
      </c>
      <c r="E50" s="26" t="s">
        <v>58</v>
      </c>
      <c r="F50" s="28" t="s">
        <v>99</v>
      </c>
      <c r="G50" s="276"/>
      <c r="H50" s="276"/>
      <c r="I50" s="10">
        <v>314.78750000000002</v>
      </c>
      <c r="J50" s="10">
        <v>672.10550000000001</v>
      </c>
      <c r="K50" s="11">
        <v>783.35733757178014</v>
      </c>
      <c r="L50" s="11">
        <v>1508.2929499589827</v>
      </c>
      <c r="M50" s="11">
        <v>1845.4026638534842</v>
      </c>
      <c r="N50" s="11">
        <v>1355.355905855125</v>
      </c>
      <c r="O50" s="11">
        <v>1320.3445447087774</v>
      </c>
      <c r="P50" s="12">
        <v>1325.2988939261027</v>
      </c>
      <c r="Q50" s="12">
        <v>1324.8865140977032</v>
      </c>
      <c r="R50" s="12">
        <v>1324.7214214207322</v>
      </c>
      <c r="S50" s="12">
        <v>1324.7129055757557</v>
      </c>
      <c r="T50" s="12">
        <v>1325.5291031532299</v>
      </c>
      <c r="U50" s="19"/>
      <c r="V50" s="22"/>
      <c r="W50" s="215"/>
      <c r="X50" s="216"/>
      <c r="Y50" s="216"/>
      <c r="Z50" s="216"/>
      <c r="AA50" s="216"/>
      <c r="AB50" s="219">
        <f t="shared" si="0"/>
        <v>1</v>
      </c>
      <c r="AD50" s="441"/>
      <c r="AE50" s="441"/>
      <c r="AF50" s="441"/>
      <c r="AG50" s="441"/>
      <c r="AH50" s="441"/>
      <c r="AI50" s="441"/>
      <c r="AJ50" s="441"/>
      <c r="AK50" s="441"/>
      <c r="AL50" s="441"/>
      <c r="AM50" s="441"/>
    </row>
    <row r="51" spans="1:39" ht="15" customHeight="1" x14ac:dyDescent="0.25">
      <c r="A51" s="249"/>
      <c r="B51" s="250"/>
      <c r="C51" s="263" t="s">
        <v>185</v>
      </c>
      <c r="D51" s="255">
        <v>114</v>
      </c>
      <c r="E51" s="26" t="s">
        <v>58</v>
      </c>
      <c r="F51" s="27" t="s">
        <v>100</v>
      </c>
      <c r="G51" s="276"/>
      <c r="H51" s="276"/>
      <c r="I51" s="10">
        <v>3553.5124999999998</v>
      </c>
      <c r="J51" s="10">
        <v>2015.8955000000001</v>
      </c>
      <c r="K51" s="11">
        <v>1859.8654930270714</v>
      </c>
      <c r="L51" s="11">
        <v>2076.2448773584902</v>
      </c>
      <c r="M51" s="11">
        <v>3813.5960401968823</v>
      </c>
      <c r="N51" s="11">
        <v>4719.3515176374076</v>
      </c>
      <c r="O51" s="11">
        <v>4350.9753896636585</v>
      </c>
      <c r="P51" s="12">
        <v>4820.8970612930307</v>
      </c>
      <c r="Q51" s="12">
        <v>4761.3485726280433</v>
      </c>
      <c r="R51" s="12">
        <v>5431.8204450041976</v>
      </c>
      <c r="S51" s="12">
        <v>4582.703106633081</v>
      </c>
      <c r="T51" s="12">
        <v>3793.1342569269514</v>
      </c>
      <c r="U51" s="19"/>
      <c r="V51" s="22"/>
      <c r="W51" s="215"/>
      <c r="X51" s="220">
        <v>0.1</v>
      </c>
      <c r="Y51" s="216"/>
      <c r="Z51" s="216"/>
      <c r="AA51" s="216"/>
      <c r="AB51" s="219">
        <f t="shared" si="0"/>
        <v>0.9</v>
      </c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</row>
    <row r="52" spans="1:39" ht="15" customHeight="1" x14ac:dyDescent="0.25">
      <c r="A52" s="249"/>
      <c r="B52" s="250"/>
      <c r="C52" s="263" t="s">
        <v>186</v>
      </c>
      <c r="D52" s="254">
        <v>115</v>
      </c>
      <c r="E52" s="26"/>
      <c r="F52" s="27"/>
      <c r="G52" s="276"/>
      <c r="H52" s="276"/>
      <c r="I52" s="10">
        <v>674</v>
      </c>
      <c r="J52" s="10">
        <v>419.5</v>
      </c>
      <c r="K52" s="11">
        <v>46.65217391304347</v>
      </c>
      <c r="L52" s="11">
        <v>46.65217391304347</v>
      </c>
      <c r="M52" s="11">
        <v>541.34126333059874</v>
      </c>
      <c r="N52" s="11">
        <v>1289.5365053322394</v>
      </c>
      <c r="O52" s="11">
        <v>1496.3904840032812</v>
      </c>
      <c r="P52" s="12">
        <v>1391.5638386224077</v>
      </c>
      <c r="Q52" s="12">
        <v>1104.0720950814193</v>
      </c>
      <c r="R52" s="12">
        <v>838.99023356646353</v>
      </c>
      <c r="S52" s="12">
        <v>838.98484019797843</v>
      </c>
      <c r="T52" s="12">
        <v>839.50176533037882</v>
      </c>
      <c r="U52" s="19"/>
      <c r="V52" s="22"/>
      <c r="W52" s="215"/>
      <c r="X52" s="220">
        <v>0.1</v>
      </c>
      <c r="Y52" s="216"/>
      <c r="Z52" s="216"/>
      <c r="AA52" s="216"/>
      <c r="AB52" s="219">
        <f t="shared" si="0"/>
        <v>0.9</v>
      </c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</row>
    <row r="53" spans="1:39" ht="15" customHeight="1" x14ac:dyDescent="0.25">
      <c r="A53" s="249"/>
      <c r="B53" s="250"/>
      <c r="C53" s="263" t="s">
        <v>187</v>
      </c>
      <c r="D53" s="255">
        <v>116</v>
      </c>
      <c r="E53" s="26"/>
      <c r="F53" s="27"/>
      <c r="G53" s="276"/>
      <c r="H53" s="276"/>
      <c r="I53" s="10">
        <v>323.40900000000005</v>
      </c>
      <c r="J53" s="10">
        <v>458.8175</v>
      </c>
      <c r="K53" s="11">
        <v>341.0067059064807</v>
      </c>
      <c r="L53" s="11">
        <v>4.8852748154223496E-2</v>
      </c>
      <c r="M53" s="11">
        <v>0</v>
      </c>
      <c r="N53" s="11">
        <v>0</v>
      </c>
      <c r="O53" s="11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9"/>
      <c r="V53" s="22"/>
      <c r="W53" s="215"/>
      <c r="X53" s="220"/>
      <c r="Y53" s="216"/>
      <c r="Z53" s="216"/>
      <c r="AA53" s="216"/>
      <c r="AB53" s="219">
        <f t="shared" si="0"/>
        <v>1</v>
      </c>
      <c r="AD53" s="441"/>
      <c r="AE53" s="441"/>
      <c r="AF53" s="441"/>
      <c r="AG53" s="441"/>
      <c r="AH53" s="441"/>
      <c r="AI53" s="441"/>
      <c r="AJ53" s="441"/>
      <c r="AK53" s="441"/>
      <c r="AL53" s="441"/>
      <c r="AM53" s="441"/>
    </row>
    <row r="54" spans="1:39" ht="15" customHeight="1" x14ac:dyDescent="0.25">
      <c r="A54" s="249"/>
      <c r="B54" s="250"/>
      <c r="C54" s="263" t="s">
        <v>101</v>
      </c>
      <c r="D54" s="254">
        <v>117</v>
      </c>
      <c r="E54" s="26" t="s">
        <v>58</v>
      </c>
      <c r="F54" s="27" t="s">
        <v>102</v>
      </c>
      <c r="G54" s="276"/>
      <c r="H54" s="276"/>
      <c r="I54" s="10">
        <v>149.02549999999999</v>
      </c>
      <c r="J54" s="10">
        <v>211.71050000000002</v>
      </c>
      <c r="K54" s="11">
        <v>220.36418416735029</v>
      </c>
      <c r="L54" s="11">
        <v>230.56692657916318</v>
      </c>
      <c r="M54" s="11">
        <v>240.36124241181295</v>
      </c>
      <c r="N54" s="11">
        <v>279.47292863002457</v>
      </c>
      <c r="O54" s="11">
        <v>279.47292863002457</v>
      </c>
      <c r="P54" s="12">
        <v>276.38129675955412</v>
      </c>
      <c r="Q54" s="12">
        <v>303.25093682031218</v>
      </c>
      <c r="R54" s="12">
        <v>303.21314904874015</v>
      </c>
      <c r="S54" s="12">
        <v>296.4731732081849</v>
      </c>
      <c r="T54" s="12">
        <v>188.78098891279484</v>
      </c>
      <c r="U54" s="19"/>
      <c r="V54" s="22"/>
      <c r="W54" s="215"/>
      <c r="X54" s="216"/>
      <c r="Y54" s="216"/>
      <c r="Z54" s="216"/>
      <c r="AA54" s="216"/>
      <c r="AB54" s="219">
        <f t="shared" si="0"/>
        <v>1</v>
      </c>
      <c r="AD54" s="441"/>
      <c r="AE54" s="441"/>
      <c r="AF54" s="441"/>
      <c r="AG54" s="441"/>
      <c r="AH54" s="441"/>
      <c r="AI54" s="441"/>
      <c r="AJ54" s="441"/>
      <c r="AK54" s="441"/>
      <c r="AL54" s="441"/>
      <c r="AM54" s="441"/>
    </row>
    <row r="55" spans="1:39" ht="15" customHeight="1" x14ac:dyDescent="0.25">
      <c r="A55" s="249"/>
      <c r="B55" s="250"/>
      <c r="C55" s="263"/>
      <c r="D55" s="255">
        <v>118</v>
      </c>
      <c r="E55" s="26" t="s">
        <v>58</v>
      </c>
      <c r="F55" s="27" t="s">
        <v>103</v>
      </c>
      <c r="G55" s="276"/>
      <c r="H55" s="276"/>
      <c r="I55" s="10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9"/>
      <c r="V55" s="22"/>
      <c r="W55" s="215"/>
      <c r="X55" s="216"/>
      <c r="Y55" s="216"/>
      <c r="Z55" s="216"/>
      <c r="AA55" s="216"/>
      <c r="AB55" s="219">
        <f t="shared" si="0"/>
        <v>1</v>
      </c>
      <c r="AD55" s="441"/>
      <c r="AE55" s="441"/>
      <c r="AF55" s="441"/>
      <c r="AG55" s="441"/>
      <c r="AH55" s="441"/>
      <c r="AI55" s="441"/>
      <c r="AJ55" s="441"/>
      <c r="AK55" s="441"/>
      <c r="AL55" s="441"/>
      <c r="AM55" s="441"/>
    </row>
    <row r="56" spans="1:39" ht="15" customHeight="1" x14ac:dyDescent="0.25">
      <c r="A56" s="249"/>
      <c r="B56" s="250"/>
      <c r="C56" s="263" t="s">
        <v>104</v>
      </c>
      <c r="D56" s="254">
        <v>119</v>
      </c>
      <c r="E56" s="26" t="s">
        <v>58</v>
      </c>
      <c r="F56" s="27" t="s">
        <v>105</v>
      </c>
      <c r="G56" s="276"/>
      <c r="H56" s="276"/>
      <c r="I56" s="10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9"/>
      <c r="V56" s="22"/>
      <c r="W56" s="215"/>
      <c r="X56" s="216"/>
      <c r="Y56" s="216"/>
      <c r="Z56" s="216"/>
      <c r="AA56" s="216"/>
      <c r="AB56" s="219">
        <f t="shared" si="0"/>
        <v>1</v>
      </c>
      <c r="AD56" s="441"/>
      <c r="AE56" s="441"/>
      <c r="AF56" s="441"/>
      <c r="AG56" s="441"/>
      <c r="AH56" s="441"/>
      <c r="AI56" s="441"/>
      <c r="AJ56" s="441"/>
      <c r="AK56" s="441"/>
      <c r="AL56" s="441"/>
      <c r="AM56" s="441"/>
    </row>
    <row r="57" spans="1:39" ht="15" customHeight="1" x14ac:dyDescent="0.25">
      <c r="A57" s="249"/>
      <c r="B57" s="250"/>
      <c r="C57" s="263" t="s">
        <v>188</v>
      </c>
      <c r="D57" s="255">
        <v>120</v>
      </c>
      <c r="E57" s="26" t="s">
        <v>58</v>
      </c>
      <c r="F57" s="27" t="s">
        <v>106</v>
      </c>
      <c r="G57" s="276"/>
      <c r="H57" s="276"/>
      <c r="I57" s="10">
        <v>27.034499999999998</v>
      </c>
      <c r="J57" s="10">
        <v>63.100499999999997</v>
      </c>
      <c r="K57" s="11">
        <v>129.52800041017227</v>
      </c>
      <c r="L57" s="11">
        <v>118.53173092698931</v>
      </c>
      <c r="M57" s="11">
        <v>284.81900369155034</v>
      </c>
      <c r="N57" s="11">
        <v>539.14068908941749</v>
      </c>
      <c r="O57" s="11">
        <v>591.95447087776859</v>
      </c>
      <c r="P57" s="12">
        <v>636.14346908452922</v>
      </c>
      <c r="Q57" s="12">
        <v>635.9455267668975</v>
      </c>
      <c r="R57" s="12">
        <v>635.86628228195127</v>
      </c>
      <c r="S57" s="12">
        <v>635.86219467636261</v>
      </c>
      <c r="T57" s="12">
        <v>528.00242608936992</v>
      </c>
      <c r="U57" s="19"/>
      <c r="V57" s="22"/>
      <c r="W57" s="215"/>
      <c r="X57" s="216"/>
      <c r="Y57" s="216"/>
      <c r="Z57" s="216"/>
      <c r="AA57" s="216"/>
      <c r="AB57" s="219">
        <f t="shared" si="0"/>
        <v>1</v>
      </c>
      <c r="AD57" s="441"/>
      <c r="AE57" s="441"/>
      <c r="AF57" s="441"/>
      <c r="AG57" s="441"/>
      <c r="AH57" s="441"/>
      <c r="AI57" s="441"/>
      <c r="AJ57" s="441"/>
      <c r="AK57" s="441"/>
      <c r="AL57" s="441"/>
      <c r="AM57" s="441"/>
    </row>
    <row r="58" spans="1:39" ht="15" customHeight="1" x14ac:dyDescent="0.25">
      <c r="A58" s="249"/>
      <c r="B58" s="250"/>
      <c r="C58" s="263" t="s">
        <v>189</v>
      </c>
      <c r="D58" s="254">
        <v>121</v>
      </c>
      <c r="E58" s="26" t="s">
        <v>58</v>
      </c>
      <c r="F58" s="27" t="s">
        <v>98</v>
      </c>
      <c r="G58" s="276"/>
      <c r="H58" s="276"/>
      <c r="I58" s="10">
        <v>2167.6570000000002</v>
      </c>
      <c r="J58" s="10">
        <v>3022.672</v>
      </c>
      <c r="K58" s="11">
        <v>2377.1060672682524</v>
      </c>
      <c r="L58" s="11">
        <v>2019.2636480721899</v>
      </c>
      <c r="M58" s="11">
        <v>2539.7292398333911</v>
      </c>
      <c r="N58" s="11">
        <v>2272.8321528768697</v>
      </c>
      <c r="O58" s="11">
        <v>2200.5742411812962</v>
      </c>
      <c r="P58" s="12">
        <v>2470.1595298068851</v>
      </c>
      <c r="Q58" s="12">
        <v>2514.2695214105793</v>
      </c>
      <c r="R58" s="12">
        <v>2337.8295549958016</v>
      </c>
      <c r="S58" s="12">
        <v>2161.3895885810243</v>
      </c>
      <c r="T58" s="12">
        <v>2205.4995801847185</v>
      </c>
      <c r="U58" s="19"/>
      <c r="V58" s="22"/>
      <c r="W58" s="215"/>
      <c r="X58" s="216"/>
      <c r="Y58" s="216"/>
      <c r="Z58" s="216"/>
      <c r="AA58" s="216"/>
      <c r="AB58" s="219">
        <f t="shared" si="0"/>
        <v>1</v>
      </c>
      <c r="AD58" s="441"/>
      <c r="AE58" s="441"/>
      <c r="AF58" s="441"/>
      <c r="AG58" s="441"/>
      <c r="AH58" s="441"/>
      <c r="AI58" s="441"/>
      <c r="AJ58" s="441"/>
      <c r="AK58" s="441"/>
      <c r="AL58" s="441"/>
      <c r="AM58" s="441"/>
    </row>
    <row r="59" spans="1:39" ht="15" customHeight="1" x14ac:dyDescent="0.25">
      <c r="A59" s="249"/>
      <c r="B59" s="250"/>
      <c r="C59" s="263" t="s">
        <v>190</v>
      </c>
      <c r="D59" s="255">
        <v>122</v>
      </c>
      <c r="E59" s="26" t="s">
        <v>58</v>
      </c>
      <c r="F59" s="27"/>
      <c r="G59" s="276"/>
      <c r="H59" s="276"/>
      <c r="I59" s="10">
        <v>1252.761</v>
      </c>
      <c r="J59" s="10">
        <v>862.09349999999995</v>
      </c>
      <c r="K59" s="11">
        <v>1168.4587100082031</v>
      </c>
      <c r="L59" s="11">
        <v>1015.2749766201802</v>
      </c>
      <c r="M59" s="11">
        <v>507.38728301886778</v>
      </c>
      <c r="N59" s="11">
        <v>411.06726825266605</v>
      </c>
      <c r="O59" s="11">
        <v>411.06726825266605</v>
      </c>
      <c r="P59" s="12">
        <v>411.98732157850543</v>
      </c>
      <c r="Q59" s="12">
        <v>411.98732157850543</v>
      </c>
      <c r="R59" s="12">
        <v>411.98732157850543</v>
      </c>
      <c r="S59" s="12">
        <v>411.98732157850543</v>
      </c>
      <c r="T59" s="12">
        <v>411.98732157850543</v>
      </c>
      <c r="U59" s="19"/>
      <c r="V59" s="22"/>
      <c r="W59" s="215"/>
      <c r="X59" s="220"/>
      <c r="Y59" s="216"/>
      <c r="Z59" s="216"/>
      <c r="AA59" s="216"/>
      <c r="AB59" s="219">
        <f t="shared" si="0"/>
        <v>1</v>
      </c>
      <c r="AD59" s="441"/>
      <c r="AE59" s="441"/>
      <c r="AF59" s="441"/>
      <c r="AG59" s="441"/>
      <c r="AH59" s="441"/>
      <c r="AI59" s="441"/>
      <c r="AJ59" s="441"/>
      <c r="AK59" s="441"/>
      <c r="AL59" s="441"/>
      <c r="AM59" s="441"/>
    </row>
    <row r="60" spans="1:39" ht="15" customHeight="1" x14ac:dyDescent="0.25">
      <c r="A60" s="249"/>
      <c r="B60" s="250"/>
      <c r="C60" s="263" t="s">
        <v>107</v>
      </c>
      <c r="D60" s="254">
        <v>123</v>
      </c>
      <c r="E60" s="26" t="s">
        <v>58</v>
      </c>
      <c r="F60" s="27"/>
      <c r="G60" s="276"/>
      <c r="H60" s="276"/>
      <c r="I60" s="10">
        <v>0</v>
      </c>
      <c r="J60" s="10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9"/>
      <c r="V60" s="22"/>
      <c r="W60" s="215"/>
      <c r="X60" s="216"/>
      <c r="Y60" s="216"/>
      <c r="Z60" s="216"/>
      <c r="AA60" s="216"/>
      <c r="AB60" s="219">
        <f t="shared" si="0"/>
        <v>1</v>
      </c>
      <c r="AD60" s="441"/>
      <c r="AE60" s="441"/>
      <c r="AF60" s="441"/>
      <c r="AG60" s="441"/>
      <c r="AH60" s="441"/>
      <c r="AI60" s="441"/>
      <c r="AJ60" s="441"/>
      <c r="AK60" s="441"/>
      <c r="AL60" s="441"/>
      <c r="AM60" s="441"/>
    </row>
    <row r="61" spans="1:39" ht="15" customHeight="1" x14ac:dyDescent="0.25">
      <c r="A61" s="249"/>
      <c r="B61" s="250"/>
      <c r="C61" s="263" t="s">
        <v>191</v>
      </c>
      <c r="D61" s="255">
        <v>124</v>
      </c>
      <c r="E61" s="26"/>
      <c r="F61" s="27"/>
      <c r="G61" s="276"/>
      <c r="H61" s="276"/>
      <c r="I61" s="10">
        <v>58.957999999999998</v>
      </c>
      <c r="J61" s="10">
        <v>248.58449999999999</v>
      </c>
      <c r="K61" s="11">
        <v>551.7895898277277</v>
      </c>
      <c r="L61" s="11">
        <v>1137.8130730106645</v>
      </c>
      <c r="M61" s="11">
        <v>1126.2486152584086</v>
      </c>
      <c r="N61" s="11">
        <v>700.22272354388826</v>
      </c>
      <c r="O61" s="11">
        <v>704.18375717801473</v>
      </c>
      <c r="P61" s="12">
        <v>705.75986565911001</v>
      </c>
      <c r="Q61" s="12">
        <v>705.75986565911001</v>
      </c>
      <c r="R61" s="12">
        <v>705.75986565911001</v>
      </c>
      <c r="S61" s="12">
        <v>705.75986565911001</v>
      </c>
      <c r="T61" s="12">
        <v>705.75986565911001</v>
      </c>
      <c r="U61" s="19"/>
      <c r="V61" s="22"/>
      <c r="W61" s="215"/>
      <c r="X61" s="216"/>
      <c r="Y61" s="216"/>
      <c r="Z61" s="216"/>
      <c r="AA61" s="216"/>
      <c r="AB61" s="219">
        <f t="shared" si="0"/>
        <v>1</v>
      </c>
      <c r="AD61" s="441"/>
      <c r="AE61" s="441"/>
      <c r="AF61" s="441"/>
      <c r="AG61" s="441"/>
      <c r="AH61" s="441"/>
      <c r="AI61" s="441"/>
      <c r="AJ61" s="441"/>
      <c r="AK61" s="441"/>
      <c r="AL61" s="441"/>
      <c r="AM61" s="441"/>
    </row>
    <row r="62" spans="1:39" ht="15" customHeight="1" x14ac:dyDescent="0.25">
      <c r="A62" s="249"/>
      <c r="B62" s="250"/>
      <c r="C62" s="263" t="s">
        <v>192</v>
      </c>
      <c r="D62" s="254">
        <v>125</v>
      </c>
      <c r="E62" s="26"/>
      <c r="F62" s="27"/>
      <c r="G62" s="276"/>
      <c r="H62" s="276"/>
      <c r="I62" s="10">
        <v>546.69300000000158</v>
      </c>
      <c r="J62" s="10">
        <v>496.43399999999923</v>
      </c>
      <c r="K62" s="11">
        <v>677.90800686505293</v>
      </c>
      <c r="L62" s="11">
        <v>1460.3485852079571</v>
      </c>
      <c r="M62" s="11">
        <v>1556.1729667507902</v>
      </c>
      <c r="N62" s="11">
        <v>861.63300612732792</v>
      </c>
      <c r="O62" s="11">
        <v>506.13207547169804</v>
      </c>
      <c r="P62" s="12">
        <v>631.17496785310038</v>
      </c>
      <c r="Q62" s="12">
        <v>224.23841170565927</v>
      </c>
      <c r="R62" s="12">
        <v>233.48351954941319</v>
      </c>
      <c r="S62" s="12">
        <v>233.48201862293544</v>
      </c>
      <c r="T62" s="12">
        <v>196.51105940116847</v>
      </c>
      <c r="U62" s="19"/>
      <c r="V62" s="22"/>
      <c r="W62" s="215"/>
      <c r="X62" s="216"/>
      <c r="Y62" s="216"/>
      <c r="Z62" s="216"/>
      <c r="AA62" s="216"/>
      <c r="AB62" s="219">
        <f t="shared" si="0"/>
        <v>1</v>
      </c>
      <c r="AD62" s="441"/>
      <c r="AE62" s="441"/>
      <c r="AF62" s="441"/>
      <c r="AG62" s="441"/>
      <c r="AH62" s="441"/>
      <c r="AI62" s="441"/>
      <c r="AJ62" s="441"/>
      <c r="AK62" s="441"/>
      <c r="AL62" s="441"/>
      <c r="AM62" s="441"/>
    </row>
    <row r="63" spans="1:39" ht="15" customHeight="1" x14ac:dyDescent="0.25">
      <c r="A63" s="249"/>
      <c r="B63" s="250"/>
      <c r="C63" s="263" t="s">
        <v>193</v>
      </c>
      <c r="D63" s="255">
        <v>126</v>
      </c>
      <c r="E63" s="26"/>
      <c r="F63" s="27"/>
      <c r="G63" s="276"/>
      <c r="H63" s="276"/>
      <c r="I63" s="10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44.011484823625921</v>
      </c>
      <c r="P63" s="12">
        <v>1102.7497900923593</v>
      </c>
      <c r="Q63" s="12">
        <v>3705.2392947103272</v>
      </c>
      <c r="R63" s="12">
        <v>4410.999160369437</v>
      </c>
      <c r="S63" s="12">
        <v>1764.3996641477747</v>
      </c>
      <c r="T63" s="12">
        <v>0</v>
      </c>
      <c r="U63" s="19"/>
      <c r="V63" s="22"/>
      <c r="W63" s="215"/>
      <c r="X63" s="220">
        <v>0.1</v>
      </c>
      <c r="Y63" s="216"/>
      <c r="Z63" s="216"/>
      <c r="AA63" s="216"/>
      <c r="AB63" s="219">
        <f t="shared" si="0"/>
        <v>0.9</v>
      </c>
      <c r="AD63" s="441"/>
      <c r="AE63" s="441"/>
      <c r="AF63" s="441"/>
      <c r="AG63" s="441"/>
      <c r="AH63" s="441"/>
      <c r="AI63" s="441"/>
      <c r="AJ63" s="441"/>
      <c r="AK63" s="441"/>
      <c r="AL63" s="441"/>
      <c r="AM63" s="441"/>
    </row>
    <row r="64" spans="1:39" ht="15" customHeight="1" x14ac:dyDescent="0.25">
      <c r="A64" s="249"/>
      <c r="B64" s="250"/>
      <c r="C64" s="263" t="s">
        <v>194</v>
      </c>
      <c r="D64" s="254">
        <v>127</v>
      </c>
      <c r="E64" s="26"/>
      <c r="F64" s="27"/>
      <c r="G64" s="276"/>
      <c r="H64" s="276"/>
      <c r="I64" s="10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9"/>
      <c r="V64" s="22"/>
      <c r="W64" s="215"/>
      <c r="X64" s="216"/>
      <c r="Y64" s="216"/>
      <c r="Z64" s="216"/>
      <c r="AA64" s="216"/>
      <c r="AB64" s="219">
        <f t="shared" si="0"/>
        <v>1</v>
      </c>
    </row>
    <row r="65" spans="1:28" ht="15" customHeight="1" x14ac:dyDescent="0.25">
      <c r="A65" s="249"/>
      <c r="B65" s="250"/>
      <c r="C65" s="263" t="s">
        <v>195</v>
      </c>
      <c r="D65" s="255">
        <v>128</v>
      </c>
      <c r="E65" s="26"/>
      <c r="F65" s="27"/>
      <c r="G65" s="276"/>
      <c r="H65" s="276"/>
      <c r="I65" s="10">
        <v>0</v>
      </c>
      <c r="J65" s="10">
        <v>0</v>
      </c>
      <c r="K65" s="11">
        <v>0</v>
      </c>
      <c r="L65" s="11">
        <v>0</v>
      </c>
      <c r="M65" s="11">
        <v>80.59464835264906</v>
      </c>
      <c r="N65" s="11">
        <v>80.59464835264906</v>
      </c>
      <c r="O65" s="11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9"/>
      <c r="V65" s="22"/>
      <c r="W65" s="215"/>
      <c r="X65" s="216"/>
      <c r="Y65" s="216"/>
      <c r="Z65" s="216"/>
      <c r="AA65" s="216"/>
      <c r="AB65" s="219">
        <f t="shared" si="0"/>
        <v>1</v>
      </c>
    </row>
    <row r="66" spans="1:28" ht="15" customHeight="1" x14ac:dyDescent="0.25">
      <c r="A66" s="249"/>
      <c r="B66" s="250"/>
      <c r="C66" s="263" t="s">
        <v>196</v>
      </c>
      <c r="D66" s="254">
        <v>129</v>
      </c>
      <c r="E66" s="26"/>
      <c r="F66" s="27"/>
      <c r="G66" s="276"/>
      <c r="H66" s="276"/>
      <c r="I66" s="10">
        <v>0</v>
      </c>
      <c r="J66" s="10">
        <v>0</v>
      </c>
      <c r="K66" s="11">
        <v>0</v>
      </c>
      <c r="L66" s="11">
        <v>0</v>
      </c>
      <c r="M66" s="11">
        <v>117.07809339315864</v>
      </c>
      <c r="N66" s="11">
        <v>497.07809339315861</v>
      </c>
      <c r="O66" s="11">
        <v>380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9"/>
      <c r="V66" s="22"/>
      <c r="W66" s="215"/>
      <c r="X66" s="216"/>
      <c r="Y66" s="216"/>
      <c r="Z66" s="216"/>
      <c r="AA66" s="216"/>
      <c r="AB66" s="219">
        <f t="shared" si="0"/>
        <v>1</v>
      </c>
    </row>
    <row r="67" spans="1:28" ht="15" customHeight="1" x14ac:dyDescent="0.25">
      <c r="A67" s="249"/>
      <c r="B67" s="250"/>
      <c r="C67" s="263" t="s">
        <v>197</v>
      </c>
      <c r="D67" s="255">
        <v>130</v>
      </c>
      <c r="E67" s="26"/>
      <c r="F67" s="27"/>
      <c r="G67" s="276"/>
      <c r="H67" s="276"/>
      <c r="I67" s="10">
        <v>0</v>
      </c>
      <c r="J67" s="10">
        <v>0</v>
      </c>
      <c r="K67" s="11">
        <v>0</v>
      </c>
      <c r="L67" s="11">
        <v>0</v>
      </c>
      <c r="M67" s="11">
        <v>126.84399999999999</v>
      </c>
      <c r="N67" s="11">
        <v>483.09399999999999</v>
      </c>
      <c r="O67" s="11">
        <v>356.25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9"/>
      <c r="V67" s="22"/>
      <c r="W67" s="215"/>
      <c r="X67" s="216"/>
      <c r="Y67" s="216"/>
      <c r="Z67" s="216"/>
      <c r="AA67" s="216"/>
      <c r="AB67" s="219">
        <f t="shared" si="0"/>
        <v>1</v>
      </c>
    </row>
    <row r="68" spans="1:28" ht="15" customHeight="1" x14ac:dyDescent="0.25">
      <c r="A68" s="249"/>
      <c r="B68" s="250"/>
      <c r="C68" s="263" t="s">
        <v>198</v>
      </c>
      <c r="D68" s="254">
        <v>131</v>
      </c>
      <c r="E68" s="26"/>
      <c r="F68" s="27"/>
      <c r="G68" s="276"/>
      <c r="H68" s="276"/>
      <c r="I68" s="10">
        <v>0</v>
      </c>
      <c r="J68" s="10">
        <v>0</v>
      </c>
      <c r="K68" s="11">
        <v>0</v>
      </c>
      <c r="L68" s="11">
        <v>0</v>
      </c>
      <c r="M68" s="11">
        <v>0</v>
      </c>
      <c r="N68" s="11">
        <v>118.75</v>
      </c>
      <c r="O68" s="11">
        <v>118.75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9"/>
      <c r="V68" s="22"/>
      <c r="W68" s="215"/>
      <c r="X68" s="216"/>
      <c r="Y68" s="216"/>
      <c r="Z68" s="216"/>
      <c r="AA68" s="216"/>
      <c r="AB68" s="219">
        <f t="shared" si="0"/>
        <v>1</v>
      </c>
    </row>
    <row r="69" spans="1:28" ht="15" customHeight="1" x14ac:dyDescent="0.25">
      <c r="A69" s="249"/>
      <c r="B69" s="250"/>
      <c r="C69" s="263" t="s">
        <v>199</v>
      </c>
      <c r="D69" s="255">
        <v>132</v>
      </c>
      <c r="E69" s="26"/>
      <c r="F69" s="27"/>
      <c r="G69" s="276"/>
      <c r="H69" s="276"/>
      <c r="I69" s="10">
        <v>0</v>
      </c>
      <c r="J69" s="10">
        <v>0</v>
      </c>
      <c r="K69" s="11">
        <v>0</v>
      </c>
      <c r="L69" s="11">
        <v>0</v>
      </c>
      <c r="M69" s="11">
        <v>0</v>
      </c>
      <c r="N69" s="11">
        <v>2232.5</v>
      </c>
      <c r="O69" s="11">
        <v>2232.5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9"/>
      <c r="V69" s="22"/>
      <c r="W69" s="215"/>
      <c r="X69" s="216"/>
      <c r="Y69" s="216"/>
      <c r="Z69" s="216"/>
      <c r="AA69" s="216"/>
      <c r="AB69" s="219">
        <f t="shared" si="0"/>
        <v>1</v>
      </c>
    </row>
    <row r="70" spans="1:28" x14ac:dyDescent="0.25">
      <c r="A70" s="249"/>
      <c r="B70" s="250"/>
      <c r="C70" s="253"/>
      <c r="D70" s="254"/>
      <c r="E70" s="26"/>
      <c r="F70" s="27"/>
      <c r="G70" s="276"/>
      <c r="H70" s="276"/>
      <c r="I70" s="10"/>
      <c r="J70" s="10"/>
      <c r="K70" s="11"/>
      <c r="L70" s="11"/>
      <c r="M70" s="11"/>
      <c r="N70" s="11"/>
      <c r="O70" s="11"/>
      <c r="P70" s="12"/>
      <c r="Q70" s="12"/>
      <c r="R70" s="12"/>
      <c r="S70" s="12"/>
      <c r="T70" s="12"/>
      <c r="U70" s="19"/>
      <c r="V70" s="22"/>
      <c r="W70" s="215"/>
      <c r="X70" s="216"/>
      <c r="Y70" s="216"/>
      <c r="Z70" s="216"/>
      <c r="AA70" s="216"/>
      <c r="AB70" s="219"/>
    </row>
    <row r="71" spans="1:28" ht="15.75" thickBot="1" x14ac:dyDescent="0.3">
      <c r="A71" s="259"/>
      <c r="B71" s="260"/>
      <c r="C71" s="261" t="s">
        <v>108</v>
      </c>
      <c r="D71" s="262"/>
      <c r="E71" s="29"/>
      <c r="F71" s="30" t="s">
        <v>109</v>
      </c>
      <c r="G71" s="277"/>
      <c r="H71" s="277"/>
      <c r="I71" s="272">
        <f t="shared" ref="I71:T71" si="1">SUM(I6:I70)</f>
        <v>83021.252594999984</v>
      </c>
      <c r="J71" s="273">
        <f t="shared" si="1"/>
        <v>84095.552500000005</v>
      </c>
      <c r="K71" s="273">
        <f t="shared" si="1"/>
        <v>73089.853467898662</v>
      </c>
      <c r="L71" s="273">
        <f t="shared" si="1"/>
        <v>89961.335767025012</v>
      </c>
      <c r="M71" s="273">
        <f t="shared" si="1"/>
        <v>113413.58848276109</v>
      </c>
      <c r="N71" s="273">
        <f t="shared" si="1"/>
        <v>125363.93733293748</v>
      </c>
      <c r="O71" s="273">
        <f t="shared" si="1"/>
        <v>91673.145424551534</v>
      </c>
      <c r="P71" s="273">
        <f t="shared" si="1"/>
        <v>104395.31784338733</v>
      </c>
      <c r="Q71" s="273">
        <f t="shared" si="1"/>
        <v>106795.58587259029</v>
      </c>
      <c r="R71" s="273">
        <f t="shared" si="1"/>
        <v>108577.53368220935</v>
      </c>
      <c r="S71" s="273">
        <f t="shared" si="1"/>
        <v>104784.06811231472</v>
      </c>
      <c r="T71" s="273">
        <f t="shared" si="1"/>
        <v>100899.25640722111</v>
      </c>
      <c r="U71" s="273"/>
      <c r="V71" s="22"/>
      <c r="W71" s="222"/>
      <c r="X71" s="223"/>
      <c r="Y71" s="223"/>
      <c r="Z71" s="223"/>
      <c r="AA71" s="223"/>
      <c r="AB71" s="224"/>
    </row>
    <row r="73" spans="1:28" x14ac:dyDescent="0.25">
      <c r="C73" s="212" t="str">
        <f>W3</f>
        <v>Sub-Trans</v>
      </c>
      <c r="D73" s="213"/>
      <c r="E73" s="213"/>
      <c r="F73" s="213"/>
      <c r="G73" s="213"/>
      <c r="H73" s="213"/>
      <c r="I73" s="270">
        <f t="shared" ref="I73:U73" si="2">SUMPRODUCT(I$6:I$70,$W$6:$W$70)</f>
        <v>0</v>
      </c>
      <c r="J73" s="270">
        <f t="shared" si="2"/>
        <v>0</v>
      </c>
      <c r="K73" s="270">
        <f t="shared" si="2"/>
        <v>0</v>
      </c>
      <c r="L73" s="270">
        <f t="shared" si="2"/>
        <v>0</v>
      </c>
      <c r="M73" s="270">
        <f t="shared" si="2"/>
        <v>0</v>
      </c>
      <c r="N73" s="270">
        <f t="shared" si="2"/>
        <v>0</v>
      </c>
      <c r="O73" s="270">
        <f t="shared" si="2"/>
        <v>0</v>
      </c>
      <c r="P73" s="270">
        <f t="shared" si="2"/>
        <v>0</v>
      </c>
      <c r="Q73" s="270">
        <f t="shared" si="2"/>
        <v>0</v>
      </c>
      <c r="R73" s="270">
        <f t="shared" si="2"/>
        <v>0</v>
      </c>
      <c r="S73" s="270">
        <f t="shared" si="2"/>
        <v>0</v>
      </c>
      <c r="T73" s="270">
        <f t="shared" si="2"/>
        <v>0</v>
      </c>
      <c r="U73" s="271">
        <f t="shared" si="2"/>
        <v>0</v>
      </c>
      <c r="V73" s="22"/>
    </row>
    <row r="74" spans="1:28" x14ac:dyDescent="0.25">
      <c r="C74" s="215" t="str">
        <f>X3</f>
        <v>Zone S/Stn</v>
      </c>
      <c r="D74" s="216"/>
      <c r="E74" s="216"/>
      <c r="F74" s="216"/>
      <c r="G74" s="216"/>
      <c r="H74" s="216"/>
      <c r="I74" s="166">
        <f t="shared" ref="I74:U74" si="3">SUMPRODUCT(I$6:I$70,$X$6:$X$70)</f>
        <v>1049.3668</v>
      </c>
      <c r="J74" s="166">
        <f t="shared" si="3"/>
        <v>692.95870000000014</v>
      </c>
      <c r="K74" s="166">
        <f t="shared" si="3"/>
        <v>561.50697358490561</v>
      </c>
      <c r="L74" s="166">
        <f t="shared" si="3"/>
        <v>1158.7139946788352</v>
      </c>
      <c r="M74" s="166">
        <f t="shared" si="3"/>
        <v>2030.8489668281377</v>
      </c>
      <c r="N74" s="166">
        <f t="shared" si="3"/>
        <v>2132.4004511894996</v>
      </c>
      <c r="O74" s="166">
        <f t="shared" si="3"/>
        <v>1806.7154634946676</v>
      </c>
      <c r="P74" s="166">
        <f t="shared" si="3"/>
        <v>1755.2047834247737</v>
      </c>
      <c r="Q74" s="166">
        <f t="shared" si="3"/>
        <v>1962.5391743154769</v>
      </c>
      <c r="R74" s="166">
        <f t="shared" si="3"/>
        <v>2155.5452435795987</v>
      </c>
      <c r="S74" s="166">
        <f t="shared" si="3"/>
        <v>1791.6505065097526</v>
      </c>
      <c r="T74" s="166">
        <f t="shared" si="3"/>
        <v>1447.6742593084671</v>
      </c>
      <c r="U74" s="228">
        <f t="shared" si="3"/>
        <v>0</v>
      </c>
      <c r="V74" s="22"/>
    </row>
    <row r="75" spans="1:28" x14ac:dyDescent="0.25">
      <c r="C75" s="215" t="str">
        <f>Y3</f>
        <v>HV Feeder</v>
      </c>
      <c r="D75" s="216"/>
      <c r="E75" s="216"/>
      <c r="F75" s="216"/>
      <c r="G75" s="216"/>
      <c r="H75" s="216"/>
      <c r="I75" s="166">
        <f t="shared" ref="I75:U75" si="4">SUMPRODUCT(I$6:I$70,$Y$6:$Y$70)</f>
        <v>736.39530000000013</v>
      </c>
      <c r="J75" s="166">
        <f t="shared" si="4"/>
        <v>671.45080000000007</v>
      </c>
      <c r="K75" s="166">
        <f t="shared" si="4"/>
        <v>526.53557977850699</v>
      </c>
      <c r="L75" s="166">
        <f t="shared" si="4"/>
        <v>842.86891915504498</v>
      </c>
      <c r="M75" s="166">
        <f t="shared" si="4"/>
        <v>1632.0040138329143</v>
      </c>
      <c r="N75" s="166">
        <f t="shared" si="4"/>
        <v>2277.2386562037095</v>
      </c>
      <c r="O75" s="166">
        <f t="shared" si="4"/>
        <v>2257.4934975107967</v>
      </c>
      <c r="P75" s="166">
        <f t="shared" si="4"/>
        <v>452.82817587757967</v>
      </c>
      <c r="Q75" s="166">
        <f t="shared" si="4"/>
        <v>452.82817587757967</v>
      </c>
      <c r="R75" s="166">
        <f t="shared" si="4"/>
        <v>452.82817587757967</v>
      </c>
      <c r="S75" s="166">
        <f t="shared" si="4"/>
        <v>452.82817587757967</v>
      </c>
      <c r="T75" s="166">
        <f t="shared" si="4"/>
        <v>452.82817587757967</v>
      </c>
      <c r="U75" s="228">
        <f t="shared" si="4"/>
        <v>0</v>
      </c>
      <c r="V75" s="22"/>
    </row>
    <row r="76" spans="1:28" x14ac:dyDescent="0.25">
      <c r="C76" s="215" t="str">
        <f>Z3</f>
        <v>Dist T/F</v>
      </c>
      <c r="D76" s="216"/>
      <c r="E76" s="216"/>
      <c r="F76" s="216"/>
      <c r="G76" s="216"/>
      <c r="H76" s="216"/>
      <c r="I76" s="166">
        <f t="shared" ref="I76:U76" si="5">SUMPRODUCT(I$6:I$70,$Z$6:$Z$70)</f>
        <v>612.39314999999999</v>
      </c>
      <c r="J76" s="166">
        <f t="shared" si="5"/>
        <v>628.14175000000012</v>
      </c>
      <c r="K76" s="166">
        <f t="shared" si="5"/>
        <v>577.33618822805579</v>
      </c>
      <c r="L76" s="166">
        <f t="shared" si="5"/>
        <v>740.57813031173077</v>
      </c>
      <c r="M76" s="166">
        <f t="shared" si="5"/>
        <v>778.91026988365343</v>
      </c>
      <c r="N76" s="166">
        <f t="shared" si="5"/>
        <v>645.82521725855111</v>
      </c>
      <c r="O76" s="166">
        <f t="shared" si="5"/>
        <v>542.92821158690174</v>
      </c>
      <c r="P76" s="166">
        <f t="shared" si="5"/>
        <v>671.0432289586164</v>
      </c>
      <c r="Q76" s="166">
        <f t="shared" si="5"/>
        <v>671.0432289586164</v>
      </c>
      <c r="R76" s="166">
        <f t="shared" si="5"/>
        <v>671.0432289586164</v>
      </c>
      <c r="S76" s="166">
        <f t="shared" si="5"/>
        <v>671.0432289586164</v>
      </c>
      <c r="T76" s="166">
        <f t="shared" si="5"/>
        <v>671.0432289586164</v>
      </c>
      <c r="U76" s="228">
        <f t="shared" si="5"/>
        <v>0</v>
      </c>
      <c r="V76" s="22"/>
    </row>
    <row r="77" spans="1:28" ht="15.75" thickBot="1" x14ac:dyDescent="0.3">
      <c r="C77" s="215" t="str">
        <f>AA3</f>
        <v>LV Feeder</v>
      </c>
      <c r="D77" s="216"/>
      <c r="E77" s="216"/>
      <c r="F77" s="216"/>
      <c r="G77" s="216"/>
      <c r="H77" s="216"/>
      <c r="I77" s="34">
        <f t="shared" ref="I77:U77" si="6">SUMPRODUCT(I$6:I$70,$AA$6:$AA$70)</f>
        <v>0</v>
      </c>
      <c r="J77" s="23">
        <f t="shared" si="6"/>
        <v>0</v>
      </c>
      <c r="K77" s="23">
        <f t="shared" si="6"/>
        <v>0</v>
      </c>
      <c r="L77" s="23">
        <f t="shared" si="6"/>
        <v>0</v>
      </c>
      <c r="M77" s="23">
        <f t="shared" si="6"/>
        <v>0</v>
      </c>
      <c r="N77" s="23">
        <f t="shared" si="6"/>
        <v>0</v>
      </c>
      <c r="O77" s="23">
        <f t="shared" si="6"/>
        <v>0</v>
      </c>
      <c r="P77" s="23">
        <f t="shared" si="6"/>
        <v>0</v>
      </c>
      <c r="Q77" s="23">
        <f t="shared" si="6"/>
        <v>0</v>
      </c>
      <c r="R77" s="23">
        <f t="shared" si="6"/>
        <v>0</v>
      </c>
      <c r="S77" s="23">
        <f t="shared" si="6"/>
        <v>0</v>
      </c>
      <c r="T77" s="23">
        <f t="shared" si="6"/>
        <v>0</v>
      </c>
      <c r="U77" s="233">
        <f t="shared" si="6"/>
        <v>0</v>
      </c>
      <c r="V77" s="166"/>
    </row>
    <row r="78" spans="1:28" x14ac:dyDescent="0.25">
      <c r="C78" s="215"/>
      <c r="D78" s="216"/>
      <c r="E78" s="216"/>
      <c r="F78" s="216"/>
      <c r="G78" s="216"/>
      <c r="H78" s="216"/>
      <c r="I78" s="166">
        <f>SUM(I73:I77)</f>
        <v>2398.1552500000003</v>
      </c>
      <c r="J78" s="166">
        <f t="shared" ref="J78:M78" si="7">SUM(J73:J77)</f>
        <v>1992.5512500000004</v>
      </c>
      <c r="K78" s="166">
        <f t="shared" si="7"/>
        <v>1665.3787415914683</v>
      </c>
      <c r="L78" s="166">
        <f t="shared" si="7"/>
        <v>2742.161044145611</v>
      </c>
      <c r="M78" s="166">
        <f t="shared" si="7"/>
        <v>4441.7632505447054</v>
      </c>
      <c r="N78" s="166">
        <f t="shared" ref="N78:U78" si="8">SUM(N73:N77)</f>
        <v>5055.4643246517599</v>
      </c>
      <c r="O78" s="166">
        <f t="shared" si="8"/>
        <v>4607.1371725923664</v>
      </c>
      <c r="P78" s="166">
        <f t="shared" si="8"/>
        <v>2879.07618826097</v>
      </c>
      <c r="Q78" s="166">
        <f t="shared" si="8"/>
        <v>3086.4105791516731</v>
      </c>
      <c r="R78" s="166">
        <f t="shared" si="8"/>
        <v>3279.416648415795</v>
      </c>
      <c r="S78" s="166">
        <f t="shared" si="8"/>
        <v>2915.5219113459489</v>
      </c>
      <c r="T78" s="166">
        <f t="shared" si="8"/>
        <v>2571.5456641446631</v>
      </c>
      <c r="U78" s="228">
        <f t="shared" si="8"/>
        <v>0</v>
      </c>
      <c r="V78" s="22"/>
    </row>
    <row r="79" spans="1:28" x14ac:dyDescent="0.25">
      <c r="C79" s="215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7"/>
    </row>
    <row r="80" spans="1:28" x14ac:dyDescent="0.25">
      <c r="C80" s="222" t="s">
        <v>268</v>
      </c>
      <c r="D80" s="223"/>
      <c r="E80" s="223"/>
      <c r="F80" s="223"/>
      <c r="G80" s="223"/>
      <c r="H80" s="223"/>
      <c r="I80" s="23">
        <f t="shared" ref="I80:U80" si="9">SUMPRODUCT(I$6:I$70,$AB$6:$AB$70)</f>
        <v>80623.097345000017</v>
      </c>
      <c r="J80" s="23">
        <f t="shared" si="9"/>
        <v>82103.001250000001</v>
      </c>
      <c r="K80" s="23">
        <f t="shared" si="9"/>
        <v>71424.47472630722</v>
      </c>
      <c r="L80" s="23">
        <f t="shared" si="9"/>
        <v>87219.174722879397</v>
      </c>
      <c r="M80" s="23">
        <f t="shared" si="9"/>
        <v>108971.82523221639</v>
      </c>
      <c r="N80" s="23">
        <f t="shared" si="9"/>
        <v>120308.4730082857</v>
      </c>
      <c r="O80" s="23">
        <f t="shared" si="9"/>
        <v>87066.008251959182</v>
      </c>
      <c r="P80" s="23">
        <f t="shared" si="9"/>
        <v>101516.24165512637</v>
      </c>
      <c r="Q80" s="23">
        <f t="shared" si="9"/>
        <v>103709.17529343863</v>
      </c>
      <c r="R80" s="23">
        <f t="shared" si="9"/>
        <v>105298.11703379356</v>
      </c>
      <c r="S80" s="23">
        <f t="shared" si="9"/>
        <v>101868.54620096876</v>
      </c>
      <c r="T80" s="23">
        <f t="shared" si="9"/>
        <v>98327.710743076444</v>
      </c>
      <c r="U80" s="233">
        <f t="shared" si="9"/>
        <v>0</v>
      </c>
    </row>
    <row r="83" spans="3:35" x14ac:dyDescent="0.25">
      <c r="C83" s="265" t="s">
        <v>214</v>
      </c>
      <c r="D83" s="213"/>
      <c r="E83" s="213"/>
      <c r="F83" s="213"/>
      <c r="G83" s="213"/>
      <c r="H83" s="213"/>
      <c r="I83" s="213"/>
      <c r="J83" s="213"/>
      <c r="K83" s="266">
        <v>106.6</v>
      </c>
      <c r="L83" s="266">
        <v>108.4</v>
      </c>
      <c r="M83" s="266">
        <v>110</v>
      </c>
      <c r="N83" s="266">
        <v>112.1</v>
      </c>
      <c r="O83" s="267">
        <v>114.1</v>
      </c>
      <c r="P83" s="266">
        <f>O83*1.0236</f>
        <v>116.79276</v>
      </c>
      <c r="Q83" s="266">
        <f t="shared" ref="Q83:U83" si="10">P83*1.0236</f>
        <v>119.54906913600001</v>
      </c>
      <c r="R83" s="266">
        <f t="shared" si="10"/>
        <v>122.37042716760962</v>
      </c>
      <c r="S83" s="266">
        <f t="shared" si="10"/>
        <v>125.25836924876522</v>
      </c>
      <c r="T83" s="266">
        <f t="shared" si="10"/>
        <v>128.21446676303609</v>
      </c>
      <c r="U83" s="268">
        <f t="shared" si="10"/>
        <v>131.24032817864375</v>
      </c>
    </row>
    <row r="84" spans="3:35" x14ac:dyDescent="0.25">
      <c r="C84" s="222" t="s">
        <v>215</v>
      </c>
      <c r="D84" s="223"/>
      <c r="E84" s="223"/>
      <c r="F84" s="223"/>
      <c r="G84" s="223"/>
      <c r="H84" s="223"/>
      <c r="I84" s="223"/>
      <c r="J84" s="223"/>
      <c r="K84" s="269">
        <f>$O83/K83</f>
        <v>1.0703564727954973</v>
      </c>
      <c r="L84" s="269">
        <f t="shared" ref="L84" si="11">$O83/L83</f>
        <v>1.0525830258302582</v>
      </c>
      <c r="M84" s="445">
        <f>$L$84</f>
        <v>1.0525830258302582</v>
      </c>
      <c r="N84" s="445">
        <f t="shared" ref="N84:U84" si="12">$L$84</f>
        <v>1.0525830258302582</v>
      </c>
      <c r="O84" s="445">
        <f t="shared" si="12"/>
        <v>1.0525830258302582</v>
      </c>
      <c r="P84" s="445">
        <f t="shared" si="12"/>
        <v>1.0525830258302582</v>
      </c>
      <c r="Q84" s="445">
        <f t="shared" si="12"/>
        <v>1.0525830258302582</v>
      </c>
      <c r="R84" s="445">
        <f t="shared" si="12"/>
        <v>1.0525830258302582</v>
      </c>
      <c r="S84" s="445">
        <f t="shared" si="12"/>
        <v>1.0525830258302582</v>
      </c>
      <c r="T84" s="445">
        <f t="shared" si="12"/>
        <v>1.0525830258302582</v>
      </c>
      <c r="U84" s="446">
        <f t="shared" si="12"/>
        <v>1.0525830258302582</v>
      </c>
    </row>
    <row r="86" spans="3:35" x14ac:dyDescent="0.25">
      <c r="C86" s="212" t="str">
        <f>C73</f>
        <v>Sub-Trans</v>
      </c>
      <c r="D86" s="213"/>
      <c r="E86" s="213"/>
      <c r="F86" s="213"/>
      <c r="G86" s="213"/>
      <c r="H86" s="213"/>
      <c r="I86" s="213"/>
      <c r="J86" s="213"/>
      <c r="K86" s="270">
        <f>K73*K$84</f>
        <v>0</v>
      </c>
      <c r="L86" s="270">
        <f t="shared" ref="L86:U86" si="13">L73*L$84</f>
        <v>0</v>
      </c>
      <c r="M86" s="270">
        <f t="shared" si="13"/>
        <v>0</v>
      </c>
      <c r="N86" s="270">
        <f t="shared" si="13"/>
        <v>0</v>
      </c>
      <c r="O86" s="270">
        <f t="shared" si="13"/>
        <v>0</v>
      </c>
      <c r="P86" s="270">
        <f t="shared" si="13"/>
        <v>0</v>
      </c>
      <c r="Q86" s="270">
        <f t="shared" si="13"/>
        <v>0</v>
      </c>
      <c r="R86" s="270">
        <f t="shared" si="13"/>
        <v>0</v>
      </c>
      <c r="S86" s="270">
        <f t="shared" si="13"/>
        <v>0</v>
      </c>
      <c r="T86" s="270">
        <f t="shared" si="13"/>
        <v>0</v>
      </c>
      <c r="U86" s="271">
        <f t="shared" si="13"/>
        <v>0</v>
      </c>
    </row>
    <row r="87" spans="3:35" x14ac:dyDescent="0.25">
      <c r="C87" s="215" t="str">
        <f t="shared" ref="C87:C90" si="14">C74</f>
        <v>Zone S/Stn</v>
      </c>
      <c r="D87" s="216"/>
      <c r="E87" s="216"/>
      <c r="F87" s="216"/>
      <c r="G87" s="216"/>
      <c r="H87" s="216"/>
      <c r="I87" s="216"/>
      <c r="J87" s="216"/>
      <c r="K87" s="166">
        <f t="shared" ref="K87:U87" si="15">K74*K$84</f>
        <v>601.01262369641404</v>
      </c>
      <c r="L87" s="166">
        <f t="shared" si="15"/>
        <v>1219.6426825909141</v>
      </c>
      <c r="M87" s="166">
        <f t="shared" si="15"/>
        <v>2137.6371505082147</v>
      </c>
      <c r="N87" s="166">
        <f t="shared" si="15"/>
        <v>2244.5285191948515</v>
      </c>
      <c r="O87" s="166">
        <f t="shared" si="15"/>
        <v>1901.7180293795345</v>
      </c>
      <c r="P87" s="166">
        <f t="shared" si="15"/>
        <v>1847.4987618889913</v>
      </c>
      <c r="Q87" s="166">
        <f t="shared" si="15"/>
        <v>2065.735422411401</v>
      </c>
      <c r="R87" s="166">
        <f t="shared" si="15"/>
        <v>2268.8903348010349</v>
      </c>
      <c r="S87" s="166">
        <f t="shared" si="15"/>
        <v>1885.8609113723501</v>
      </c>
      <c r="T87" s="166">
        <f t="shared" si="15"/>
        <v>1523.7973522794841</v>
      </c>
      <c r="U87" s="228">
        <f t="shared" si="15"/>
        <v>0</v>
      </c>
    </row>
    <row r="88" spans="3:35" x14ac:dyDescent="0.25">
      <c r="C88" s="215" t="str">
        <f t="shared" si="14"/>
        <v>HV Feeder</v>
      </c>
      <c r="D88" s="216"/>
      <c r="E88" s="216"/>
      <c r="F88" s="216"/>
      <c r="G88" s="216"/>
      <c r="H88" s="216"/>
      <c r="I88" s="216"/>
      <c r="J88" s="216"/>
      <c r="K88" s="166">
        <f t="shared" ref="K88:U88" si="16">K75*K$84</f>
        <v>563.58076597305489</v>
      </c>
      <c r="L88" s="166">
        <f t="shared" si="16"/>
        <v>887.18951730249648</v>
      </c>
      <c r="M88" s="166">
        <f t="shared" si="16"/>
        <v>1717.8197230473754</v>
      </c>
      <c r="N88" s="166">
        <f t="shared" si="16"/>
        <v>2396.9827552845318</v>
      </c>
      <c r="O88" s="166">
        <f t="shared" si="16"/>
        <v>2376.1993364020468</v>
      </c>
      <c r="P88" s="166">
        <f t="shared" si="16"/>
        <v>476.63925154641913</v>
      </c>
      <c r="Q88" s="166">
        <f t="shared" si="16"/>
        <v>476.63925154641913</v>
      </c>
      <c r="R88" s="166">
        <f t="shared" si="16"/>
        <v>476.63925154641913</v>
      </c>
      <c r="S88" s="166">
        <f t="shared" si="16"/>
        <v>476.63925154641913</v>
      </c>
      <c r="T88" s="166">
        <f t="shared" si="16"/>
        <v>476.63925154641913</v>
      </c>
      <c r="U88" s="228">
        <f t="shared" si="16"/>
        <v>0</v>
      </c>
    </row>
    <row r="89" spans="3:35" x14ac:dyDescent="0.25">
      <c r="C89" s="215" t="str">
        <f t="shared" si="14"/>
        <v>Dist T/F</v>
      </c>
      <c r="D89" s="216"/>
      <c r="E89" s="216"/>
      <c r="F89" s="216"/>
      <c r="G89" s="216"/>
      <c r="H89" s="216"/>
      <c r="I89" s="216"/>
      <c r="J89" s="216"/>
      <c r="K89" s="166">
        <f t="shared" ref="K89:U89" si="17">K76*K$84</f>
        <v>617.9555260489791</v>
      </c>
      <c r="L89" s="166">
        <f t="shared" si="17"/>
        <v>779.51996926723689</v>
      </c>
      <c r="M89" s="166">
        <f t="shared" si="17"/>
        <v>819.86772872439894</v>
      </c>
      <c r="N89" s="166">
        <f t="shared" si="17"/>
        <v>679.78466133948962</v>
      </c>
      <c r="O89" s="166">
        <f t="shared" si="17"/>
        <v>571.47701976075166</v>
      </c>
      <c r="P89" s="166">
        <f t="shared" si="17"/>
        <v>706.32871240016721</v>
      </c>
      <c r="Q89" s="166">
        <f t="shared" si="17"/>
        <v>706.32871240016721</v>
      </c>
      <c r="R89" s="166">
        <f t="shared" si="17"/>
        <v>706.32871240016721</v>
      </c>
      <c r="S89" s="166">
        <f t="shared" si="17"/>
        <v>706.32871240016721</v>
      </c>
      <c r="T89" s="166">
        <f t="shared" si="17"/>
        <v>706.32871240016721</v>
      </c>
      <c r="U89" s="228">
        <f t="shared" si="17"/>
        <v>0</v>
      </c>
    </row>
    <row r="90" spans="3:35" x14ac:dyDescent="0.25">
      <c r="C90" s="222" t="str">
        <f t="shared" si="14"/>
        <v>LV Feeder</v>
      </c>
      <c r="D90" s="216"/>
      <c r="E90" s="216"/>
      <c r="F90" s="216"/>
      <c r="G90" s="216"/>
      <c r="H90" s="216"/>
      <c r="I90" s="216"/>
      <c r="J90" s="216"/>
      <c r="K90" s="23">
        <f t="shared" ref="K90:U90" si="18">K77*K$84</f>
        <v>0</v>
      </c>
      <c r="L90" s="23">
        <f t="shared" si="18"/>
        <v>0</v>
      </c>
      <c r="M90" s="23">
        <f t="shared" si="18"/>
        <v>0</v>
      </c>
      <c r="N90" s="23">
        <f t="shared" si="18"/>
        <v>0</v>
      </c>
      <c r="O90" s="23">
        <f t="shared" si="18"/>
        <v>0</v>
      </c>
      <c r="P90" s="23">
        <f t="shared" si="18"/>
        <v>0</v>
      </c>
      <c r="Q90" s="23">
        <f t="shared" si="18"/>
        <v>0</v>
      </c>
      <c r="R90" s="23">
        <f t="shared" si="18"/>
        <v>0</v>
      </c>
      <c r="S90" s="23">
        <f t="shared" si="18"/>
        <v>0</v>
      </c>
      <c r="T90" s="23">
        <f t="shared" si="18"/>
        <v>0</v>
      </c>
      <c r="U90" s="233">
        <f t="shared" si="18"/>
        <v>0</v>
      </c>
    </row>
    <row r="91" spans="3:35" x14ac:dyDescent="0.25">
      <c r="C91" s="222" t="s">
        <v>212</v>
      </c>
      <c r="D91" s="223"/>
      <c r="E91" s="223"/>
      <c r="F91" s="223"/>
      <c r="G91" s="223"/>
      <c r="H91" s="223"/>
      <c r="I91" s="223"/>
      <c r="J91" s="223"/>
      <c r="K91" s="23">
        <f>SUM(K86:K90)</f>
        <v>1782.5489157184479</v>
      </c>
      <c r="L91" s="23">
        <f t="shared" ref="L91:U91" si="19">SUM(L86:L90)</f>
        <v>2886.3521691606475</v>
      </c>
      <c r="M91" s="23">
        <f t="shared" si="19"/>
        <v>4675.3246022799894</v>
      </c>
      <c r="N91" s="23">
        <f t="shared" si="19"/>
        <v>5321.2959358188727</v>
      </c>
      <c r="O91" s="23">
        <f t="shared" si="19"/>
        <v>4849.3943855423322</v>
      </c>
      <c r="P91" s="23">
        <f t="shared" si="19"/>
        <v>3030.4667258355776</v>
      </c>
      <c r="Q91" s="23">
        <f t="shared" si="19"/>
        <v>3248.7033863579873</v>
      </c>
      <c r="R91" s="23">
        <f t="shared" si="19"/>
        <v>3451.8582987476211</v>
      </c>
      <c r="S91" s="23">
        <f t="shared" si="19"/>
        <v>3068.8288753189363</v>
      </c>
      <c r="T91" s="23">
        <f t="shared" si="19"/>
        <v>2706.7653162260704</v>
      </c>
      <c r="U91" s="233">
        <f t="shared" si="19"/>
        <v>0</v>
      </c>
    </row>
    <row r="93" spans="3:35" x14ac:dyDescent="0.25">
      <c r="C93" s="212" t="s">
        <v>207</v>
      </c>
      <c r="D93" s="213"/>
      <c r="E93" s="213"/>
      <c r="F93" s="213"/>
      <c r="G93" s="213"/>
      <c r="H93" s="213"/>
      <c r="I93" s="213"/>
      <c r="J93" s="213"/>
      <c r="K93" s="212">
        <v>2016</v>
      </c>
      <c r="L93" s="213">
        <v>2017</v>
      </c>
      <c r="M93" s="213">
        <v>2018</v>
      </c>
      <c r="N93" s="225">
        <v>2019</v>
      </c>
      <c r="O93" s="229">
        <v>2020</v>
      </c>
      <c r="P93" s="232">
        <v>2021</v>
      </c>
      <c r="Q93" s="225">
        <v>2022</v>
      </c>
      <c r="R93" s="225">
        <v>2023</v>
      </c>
      <c r="S93" s="225">
        <v>2024</v>
      </c>
      <c r="T93" s="229">
        <v>2025</v>
      </c>
      <c r="U93" s="232">
        <v>2026</v>
      </c>
      <c r="V93" s="225">
        <v>2027</v>
      </c>
      <c r="W93" s="225">
        <v>2028</v>
      </c>
      <c r="X93" s="225">
        <v>2029</v>
      </c>
      <c r="Y93" s="229">
        <v>2030</v>
      </c>
      <c r="Z93" s="232">
        <v>2031</v>
      </c>
      <c r="AA93" s="225">
        <v>2032</v>
      </c>
      <c r="AB93" s="225">
        <v>2033</v>
      </c>
      <c r="AC93" s="225">
        <v>2034</v>
      </c>
      <c r="AD93" s="229">
        <v>2035</v>
      </c>
      <c r="AE93" s="232">
        <v>2036</v>
      </c>
      <c r="AF93" s="225">
        <v>2037</v>
      </c>
      <c r="AG93" s="225">
        <v>2038</v>
      </c>
      <c r="AH93" s="213">
        <v>2039</v>
      </c>
      <c r="AI93" s="214">
        <v>2040</v>
      </c>
    </row>
    <row r="94" spans="3:35" x14ac:dyDescent="0.25">
      <c r="C94" s="215"/>
      <c r="D94" s="216"/>
      <c r="E94" s="216"/>
      <c r="F94" s="216"/>
      <c r="G94" s="216"/>
      <c r="H94" s="216"/>
      <c r="I94" s="216"/>
      <c r="J94" s="216"/>
      <c r="K94" s="215"/>
      <c r="L94" s="216"/>
      <c r="M94" s="216"/>
      <c r="N94" s="216"/>
      <c r="O94" s="217"/>
      <c r="P94" s="215"/>
      <c r="Q94" s="216"/>
      <c r="R94" s="216"/>
      <c r="S94" s="216"/>
      <c r="T94" s="217"/>
      <c r="U94" s="215"/>
      <c r="V94" s="216"/>
      <c r="W94" s="216"/>
      <c r="X94" s="216"/>
      <c r="Y94" s="217"/>
      <c r="Z94" s="215"/>
      <c r="AA94" s="216"/>
      <c r="AB94" s="216"/>
      <c r="AC94" s="216"/>
      <c r="AD94" s="217"/>
      <c r="AE94" s="215"/>
      <c r="AF94" s="216"/>
      <c r="AG94" s="216"/>
      <c r="AH94" s="216"/>
      <c r="AI94" s="217"/>
    </row>
    <row r="95" spans="3:35" x14ac:dyDescent="0.25">
      <c r="C95" s="215" t="str">
        <f>C73</f>
        <v>Sub-Trans</v>
      </c>
      <c r="D95" s="216"/>
      <c r="E95" s="216"/>
      <c r="F95" s="216"/>
      <c r="G95" s="216"/>
      <c r="H95" s="216"/>
      <c r="I95" s="216"/>
      <c r="J95" s="216"/>
      <c r="K95" s="230">
        <f t="shared" ref="K95:T95" si="20">K86*1000</f>
        <v>0</v>
      </c>
      <c r="L95" s="166">
        <f t="shared" si="20"/>
        <v>0</v>
      </c>
      <c r="M95" s="166">
        <f t="shared" si="20"/>
        <v>0</v>
      </c>
      <c r="N95" s="234">
        <f t="shared" si="20"/>
        <v>0</v>
      </c>
      <c r="O95" s="235">
        <f t="shared" si="20"/>
        <v>0</v>
      </c>
      <c r="P95" s="236">
        <f t="shared" si="20"/>
        <v>0</v>
      </c>
      <c r="Q95" s="237">
        <f t="shared" si="20"/>
        <v>0</v>
      </c>
      <c r="R95" s="237">
        <f t="shared" si="20"/>
        <v>0</v>
      </c>
      <c r="S95" s="237">
        <f t="shared" si="20"/>
        <v>0</v>
      </c>
      <c r="T95" s="238">
        <f t="shared" si="20"/>
        <v>0</v>
      </c>
      <c r="U95" s="241">
        <f>AVERAGE(P95:T95)</f>
        <v>0</v>
      </c>
      <c r="V95" s="239">
        <f>U95</f>
        <v>0</v>
      </c>
      <c r="W95" s="239">
        <f>V95</f>
        <v>0</v>
      </c>
      <c r="X95" s="239">
        <f t="shared" ref="X95:AI99" si="21">W95</f>
        <v>0</v>
      </c>
      <c r="Y95" s="240">
        <f t="shared" si="21"/>
        <v>0</v>
      </c>
      <c r="Z95" s="241">
        <f t="shared" si="21"/>
        <v>0</v>
      </c>
      <c r="AA95" s="239">
        <f t="shared" si="21"/>
        <v>0</v>
      </c>
      <c r="AB95" s="239">
        <f t="shared" si="21"/>
        <v>0</v>
      </c>
      <c r="AC95" s="239">
        <f t="shared" si="21"/>
        <v>0</v>
      </c>
      <c r="AD95" s="240">
        <f t="shared" si="21"/>
        <v>0</v>
      </c>
      <c r="AE95" s="241">
        <f t="shared" si="21"/>
        <v>0</v>
      </c>
      <c r="AF95" s="239">
        <f t="shared" si="21"/>
        <v>0</v>
      </c>
      <c r="AG95" s="239">
        <f t="shared" si="21"/>
        <v>0</v>
      </c>
      <c r="AH95" s="226">
        <f t="shared" si="21"/>
        <v>0</v>
      </c>
      <c r="AI95" s="227">
        <f t="shared" si="21"/>
        <v>0</v>
      </c>
    </row>
    <row r="96" spans="3:35" x14ac:dyDescent="0.25">
      <c r="C96" s="215" t="str">
        <f>C74</f>
        <v>Zone S/Stn</v>
      </c>
      <c r="D96" s="216"/>
      <c r="E96" s="216"/>
      <c r="F96" s="216"/>
      <c r="G96" s="216"/>
      <c r="H96" s="216"/>
      <c r="I96" s="216"/>
      <c r="J96" s="216"/>
      <c r="K96" s="230">
        <f t="shared" ref="K96:T96" si="22">K87*1000</f>
        <v>601012.62369641406</v>
      </c>
      <c r="L96" s="166">
        <f t="shared" si="22"/>
        <v>1219642.6825909142</v>
      </c>
      <c r="M96" s="166">
        <f t="shared" si="22"/>
        <v>2137637.1505082147</v>
      </c>
      <c r="N96" s="234">
        <f t="shared" si="22"/>
        <v>2244528.5191948516</v>
      </c>
      <c r="O96" s="235">
        <f t="shared" si="22"/>
        <v>1901718.0293795345</v>
      </c>
      <c r="P96" s="236">
        <f t="shared" si="22"/>
        <v>1847498.7618889913</v>
      </c>
      <c r="Q96" s="237">
        <f t="shared" si="22"/>
        <v>2065735.4224114011</v>
      </c>
      <c r="R96" s="237">
        <f t="shared" si="22"/>
        <v>2268890.334801035</v>
      </c>
      <c r="S96" s="237">
        <f t="shared" si="22"/>
        <v>1885860.9113723501</v>
      </c>
      <c r="T96" s="238">
        <f t="shared" si="22"/>
        <v>1523797.352279484</v>
      </c>
      <c r="U96" s="241">
        <f>AVERAGE(P96:T96)</f>
        <v>1918356.5565506525</v>
      </c>
      <c r="V96" s="239">
        <f t="shared" ref="V96:Z99" si="23">U96</f>
        <v>1918356.5565506525</v>
      </c>
      <c r="W96" s="239">
        <f t="shared" si="23"/>
        <v>1918356.5565506525</v>
      </c>
      <c r="X96" s="239">
        <f t="shared" si="23"/>
        <v>1918356.5565506525</v>
      </c>
      <c r="Y96" s="240">
        <f t="shared" si="23"/>
        <v>1918356.5565506525</v>
      </c>
      <c r="Z96" s="241">
        <f t="shared" si="23"/>
        <v>1918356.5565506525</v>
      </c>
      <c r="AA96" s="239">
        <f t="shared" si="21"/>
        <v>1918356.5565506525</v>
      </c>
      <c r="AB96" s="239">
        <f t="shared" si="21"/>
        <v>1918356.5565506525</v>
      </c>
      <c r="AC96" s="239">
        <f t="shared" si="21"/>
        <v>1918356.5565506525</v>
      </c>
      <c r="AD96" s="240">
        <f t="shared" si="21"/>
        <v>1918356.5565506525</v>
      </c>
      <c r="AE96" s="241">
        <f t="shared" si="21"/>
        <v>1918356.5565506525</v>
      </c>
      <c r="AF96" s="239">
        <f t="shared" si="21"/>
        <v>1918356.5565506525</v>
      </c>
      <c r="AG96" s="239">
        <f t="shared" si="21"/>
        <v>1918356.5565506525</v>
      </c>
      <c r="AH96" s="226">
        <f t="shared" si="21"/>
        <v>1918356.5565506525</v>
      </c>
      <c r="AI96" s="227">
        <f t="shared" si="21"/>
        <v>1918356.5565506525</v>
      </c>
    </row>
    <row r="97" spans="3:35" x14ac:dyDescent="0.25">
      <c r="C97" s="215" t="str">
        <f>C75</f>
        <v>HV Feeder</v>
      </c>
      <c r="D97" s="216"/>
      <c r="E97" s="216"/>
      <c r="F97" s="216"/>
      <c r="G97" s="216"/>
      <c r="H97" s="216"/>
      <c r="I97" s="216"/>
      <c r="J97" s="216"/>
      <c r="K97" s="230">
        <f t="shared" ref="K97:T97" si="24">K88*1000</f>
        <v>563580.76597305492</v>
      </c>
      <c r="L97" s="166">
        <f t="shared" si="24"/>
        <v>887189.51730249648</v>
      </c>
      <c r="M97" s="166">
        <f t="shared" si="24"/>
        <v>1717819.7230473754</v>
      </c>
      <c r="N97" s="234">
        <f t="shared" si="24"/>
        <v>2396982.755284532</v>
      </c>
      <c r="O97" s="235">
        <f t="shared" si="24"/>
        <v>2376199.336402047</v>
      </c>
      <c r="P97" s="236">
        <f t="shared" si="24"/>
        <v>476639.25154641911</v>
      </c>
      <c r="Q97" s="237">
        <f t="shared" si="24"/>
        <v>476639.25154641911</v>
      </c>
      <c r="R97" s="237">
        <f t="shared" si="24"/>
        <v>476639.25154641911</v>
      </c>
      <c r="S97" s="237">
        <f t="shared" si="24"/>
        <v>476639.25154641911</v>
      </c>
      <c r="T97" s="238">
        <f t="shared" si="24"/>
        <v>476639.25154641911</v>
      </c>
      <c r="U97" s="241">
        <f t="shared" ref="U97:U99" si="25">AVERAGE(P97:T97)</f>
        <v>476639.25154641911</v>
      </c>
      <c r="V97" s="239">
        <f t="shared" si="23"/>
        <v>476639.25154641911</v>
      </c>
      <c r="W97" s="239">
        <f t="shared" si="23"/>
        <v>476639.25154641911</v>
      </c>
      <c r="X97" s="239">
        <f t="shared" si="23"/>
        <v>476639.25154641911</v>
      </c>
      <c r="Y97" s="240">
        <f t="shared" si="23"/>
        <v>476639.25154641911</v>
      </c>
      <c r="Z97" s="241">
        <f t="shared" si="23"/>
        <v>476639.25154641911</v>
      </c>
      <c r="AA97" s="239">
        <f t="shared" si="21"/>
        <v>476639.25154641911</v>
      </c>
      <c r="AB97" s="239">
        <f t="shared" si="21"/>
        <v>476639.25154641911</v>
      </c>
      <c r="AC97" s="239">
        <f t="shared" si="21"/>
        <v>476639.25154641911</v>
      </c>
      <c r="AD97" s="240">
        <f t="shared" si="21"/>
        <v>476639.25154641911</v>
      </c>
      <c r="AE97" s="241">
        <f t="shared" si="21"/>
        <v>476639.25154641911</v>
      </c>
      <c r="AF97" s="239">
        <f t="shared" si="21"/>
        <v>476639.25154641911</v>
      </c>
      <c r="AG97" s="239">
        <f t="shared" si="21"/>
        <v>476639.25154641911</v>
      </c>
      <c r="AH97" s="226">
        <f t="shared" si="21"/>
        <v>476639.25154641911</v>
      </c>
      <c r="AI97" s="227">
        <f t="shared" si="21"/>
        <v>476639.25154641911</v>
      </c>
    </row>
    <row r="98" spans="3:35" x14ac:dyDescent="0.25">
      <c r="C98" s="215" t="str">
        <f>C76</f>
        <v>Dist T/F</v>
      </c>
      <c r="D98" s="216"/>
      <c r="E98" s="216"/>
      <c r="F98" s="216"/>
      <c r="G98" s="216"/>
      <c r="H98" s="216"/>
      <c r="I98" s="216"/>
      <c r="J98" s="216"/>
      <c r="K98" s="230">
        <f t="shared" ref="K98:T98" si="26">K89*1000</f>
        <v>617955.52604897914</v>
      </c>
      <c r="L98" s="166">
        <f t="shared" si="26"/>
        <v>779519.96926723688</v>
      </c>
      <c r="M98" s="166">
        <f t="shared" si="26"/>
        <v>819867.728724399</v>
      </c>
      <c r="N98" s="234">
        <f t="shared" si="26"/>
        <v>679784.66133948963</v>
      </c>
      <c r="O98" s="235">
        <f t="shared" si="26"/>
        <v>571477.01976075163</v>
      </c>
      <c r="P98" s="236">
        <f t="shared" si="26"/>
        <v>706328.71240016725</v>
      </c>
      <c r="Q98" s="237">
        <f t="shared" si="26"/>
        <v>706328.71240016725</v>
      </c>
      <c r="R98" s="237">
        <f t="shared" si="26"/>
        <v>706328.71240016725</v>
      </c>
      <c r="S98" s="237">
        <f t="shared" si="26"/>
        <v>706328.71240016725</v>
      </c>
      <c r="T98" s="238">
        <f t="shared" si="26"/>
        <v>706328.71240016725</v>
      </c>
      <c r="U98" s="241">
        <f t="shared" si="25"/>
        <v>706328.71240016725</v>
      </c>
      <c r="V98" s="239">
        <f t="shared" si="23"/>
        <v>706328.71240016725</v>
      </c>
      <c r="W98" s="239">
        <f t="shared" si="23"/>
        <v>706328.71240016725</v>
      </c>
      <c r="X98" s="239">
        <f t="shared" si="23"/>
        <v>706328.71240016725</v>
      </c>
      <c r="Y98" s="240">
        <f t="shared" si="23"/>
        <v>706328.71240016725</v>
      </c>
      <c r="Z98" s="241">
        <f t="shared" si="23"/>
        <v>706328.71240016725</v>
      </c>
      <c r="AA98" s="239">
        <f t="shared" si="21"/>
        <v>706328.71240016725</v>
      </c>
      <c r="AB98" s="239">
        <f t="shared" si="21"/>
        <v>706328.71240016725</v>
      </c>
      <c r="AC98" s="239">
        <f t="shared" si="21"/>
        <v>706328.71240016725</v>
      </c>
      <c r="AD98" s="240">
        <f t="shared" si="21"/>
        <v>706328.71240016725</v>
      </c>
      <c r="AE98" s="241">
        <f t="shared" si="21"/>
        <v>706328.71240016725</v>
      </c>
      <c r="AF98" s="239">
        <f t="shared" si="21"/>
        <v>706328.71240016725</v>
      </c>
      <c r="AG98" s="239">
        <f t="shared" si="21"/>
        <v>706328.71240016725</v>
      </c>
      <c r="AH98" s="226">
        <f t="shared" si="21"/>
        <v>706328.71240016725</v>
      </c>
      <c r="AI98" s="227">
        <f t="shared" si="21"/>
        <v>706328.71240016725</v>
      </c>
    </row>
    <row r="99" spans="3:35" x14ac:dyDescent="0.25">
      <c r="C99" s="215" t="str">
        <f>C77</f>
        <v>LV Feeder</v>
      </c>
      <c r="D99" s="216"/>
      <c r="E99" s="216"/>
      <c r="F99" s="216"/>
      <c r="G99" s="216"/>
      <c r="H99" s="216"/>
      <c r="I99" s="216"/>
      <c r="J99" s="216"/>
      <c r="K99" s="230">
        <f t="shared" ref="K99:T99" si="27">K90*1000</f>
        <v>0</v>
      </c>
      <c r="L99" s="166">
        <f t="shared" si="27"/>
        <v>0</v>
      </c>
      <c r="M99" s="166">
        <f t="shared" si="27"/>
        <v>0</v>
      </c>
      <c r="N99" s="234">
        <f t="shared" si="27"/>
        <v>0</v>
      </c>
      <c r="O99" s="235">
        <f t="shared" si="27"/>
        <v>0</v>
      </c>
      <c r="P99" s="236">
        <f t="shared" si="27"/>
        <v>0</v>
      </c>
      <c r="Q99" s="237">
        <f t="shared" si="27"/>
        <v>0</v>
      </c>
      <c r="R99" s="237">
        <f t="shared" si="27"/>
        <v>0</v>
      </c>
      <c r="S99" s="237">
        <f t="shared" si="27"/>
        <v>0</v>
      </c>
      <c r="T99" s="238">
        <f t="shared" si="27"/>
        <v>0</v>
      </c>
      <c r="U99" s="241">
        <f t="shared" si="25"/>
        <v>0</v>
      </c>
      <c r="V99" s="239">
        <f t="shared" si="23"/>
        <v>0</v>
      </c>
      <c r="W99" s="239">
        <f t="shared" si="23"/>
        <v>0</v>
      </c>
      <c r="X99" s="239">
        <f t="shared" si="23"/>
        <v>0</v>
      </c>
      <c r="Y99" s="240">
        <f t="shared" si="23"/>
        <v>0</v>
      </c>
      <c r="Z99" s="241">
        <f t="shared" si="23"/>
        <v>0</v>
      </c>
      <c r="AA99" s="239">
        <f t="shared" si="21"/>
        <v>0</v>
      </c>
      <c r="AB99" s="239">
        <f t="shared" si="21"/>
        <v>0</v>
      </c>
      <c r="AC99" s="239">
        <f t="shared" si="21"/>
        <v>0</v>
      </c>
      <c r="AD99" s="240">
        <f t="shared" si="21"/>
        <v>0</v>
      </c>
      <c r="AE99" s="241">
        <f t="shared" si="21"/>
        <v>0</v>
      </c>
      <c r="AF99" s="239">
        <f t="shared" si="21"/>
        <v>0</v>
      </c>
      <c r="AG99" s="239">
        <f t="shared" si="21"/>
        <v>0</v>
      </c>
      <c r="AH99" s="226">
        <f t="shared" si="21"/>
        <v>0</v>
      </c>
      <c r="AI99" s="227">
        <f t="shared" si="21"/>
        <v>0</v>
      </c>
    </row>
    <row r="100" spans="3:35" x14ac:dyDescent="0.25">
      <c r="C100" s="215"/>
      <c r="D100" s="216"/>
      <c r="E100" s="216"/>
      <c r="F100" s="216"/>
      <c r="G100" s="216"/>
      <c r="H100" s="216"/>
      <c r="I100" s="216"/>
      <c r="J100" s="216"/>
      <c r="K100" s="215"/>
      <c r="L100" s="216"/>
      <c r="M100" s="216"/>
      <c r="N100" s="216"/>
      <c r="O100" s="217"/>
      <c r="P100" s="215"/>
      <c r="Q100" s="216"/>
      <c r="R100" s="216"/>
      <c r="S100" s="216"/>
      <c r="T100" s="217"/>
      <c r="U100" s="215"/>
      <c r="V100" s="216"/>
      <c r="W100" s="216"/>
      <c r="X100" s="216"/>
      <c r="Y100" s="217"/>
      <c r="Z100" s="215"/>
      <c r="AA100" s="216"/>
      <c r="AB100" s="216"/>
      <c r="AC100" s="216"/>
      <c r="AD100" s="217"/>
      <c r="AE100" s="215"/>
      <c r="AF100" s="216"/>
      <c r="AG100" s="216"/>
      <c r="AH100" s="216"/>
      <c r="AI100" s="217"/>
    </row>
    <row r="101" spans="3:35" x14ac:dyDescent="0.25">
      <c r="C101" s="215" t="s">
        <v>213</v>
      </c>
      <c r="D101" s="216"/>
      <c r="E101" s="216"/>
      <c r="F101" s="216"/>
      <c r="G101" s="216"/>
      <c r="H101" s="216"/>
      <c r="I101" s="216"/>
      <c r="J101" s="216"/>
      <c r="K101" s="231">
        <f t="shared" ref="K101:AF101" si="28">SUM(K95:K100)</f>
        <v>1782548.9157184483</v>
      </c>
      <c r="L101" s="23">
        <f t="shared" si="28"/>
        <v>2886352.1691606478</v>
      </c>
      <c r="M101" s="23">
        <f t="shared" si="28"/>
        <v>4675324.602279989</v>
      </c>
      <c r="N101" s="242">
        <f t="shared" si="28"/>
        <v>5321295.9358188733</v>
      </c>
      <c r="O101" s="243">
        <f t="shared" si="28"/>
        <v>4849394.3855423331</v>
      </c>
      <c r="P101" s="244">
        <f t="shared" si="28"/>
        <v>3030466.7258355776</v>
      </c>
      <c r="Q101" s="242">
        <f t="shared" si="28"/>
        <v>3248703.3863579873</v>
      </c>
      <c r="R101" s="242">
        <f t="shared" si="28"/>
        <v>3451858.2987476215</v>
      </c>
      <c r="S101" s="242">
        <f t="shared" si="28"/>
        <v>3068828.8753189365</v>
      </c>
      <c r="T101" s="243">
        <f t="shared" si="28"/>
        <v>2706765.3162260703</v>
      </c>
      <c r="U101" s="244">
        <f t="shared" si="28"/>
        <v>3101324.5204972387</v>
      </c>
      <c r="V101" s="242">
        <f t="shared" si="28"/>
        <v>3101324.5204972387</v>
      </c>
      <c r="W101" s="242">
        <f t="shared" si="28"/>
        <v>3101324.5204972387</v>
      </c>
      <c r="X101" s="242">
        <f t="shared" si="28"/>
        <v>3101324.5204972387</v>
      </c>
      <c r="Y101" s="243">
        <f t="shared" si="28"/>
        <v>3101324.5204972387</v>
      </c>
      <c r="Z101" s="244">
        <f t="shared" si="28"/>
        <v>3101324.5204972387</v>
      </c>
      <c r="AA101" s="242">
        <f t="shared" si="28"/>
        <v>3101324.5204972387</v>
      </c>
      <c r="AB101" s="242">
        <f t="shared" si="28"/>
        <v>3101324.5204972387</v>
      </c>
      <c r="AC101" s="242">
        <f t="shared" si="28"/>
        <v>3101324.5204972387</v>
      </c>
      <c r="AD101" s="243">
        <f t="shared" si="28"/>
        <v>3101324.5204972387</v>
      </c>
      <c r="AE101" s="244">
        <f t="shared" si="28"/>
        <v>3101324.5204972387</v>
      </c>
      <c r="AF101" s="242">
        <f t="shared" si="28"/>
        <v>3101324.5204972387</v>
      </c>
      <c r="AG101" s="242">
        <f>SUM(AG95:AG100)</f>
        <v>3101324.5204972387</v>
      </c>
      <c r="AH101" s="23">
        <f t="shared" ref="AH101:AI101" si="29">SUM(AH95:AH100)</f>
        <v>3101324.5204972387</v>
      </c>
      <c r="AI101" s="233">
        <f t="shared" si="29"/>
        <v>3101324.5204972387</v>
      </c>
    </row>
    <row r="102" spans="3:35" x14ac:dyDescent="0.25">
      <c r="C102" s="215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7"/>
    </row>
    <row r="103" spans="3:35" x14ac:dyDescent="0.25">
      <c r="C103" s="215" t="s">
        <v>204</v>
      </c>
      <c r="D103" s="216"/>
      <c r="E103" s="216"/>
      <c r="F103" s="216"/>
      <c r="G103" s="216"/>
      <c r="H103" s="216"/>
      <c r="I103" s="216"/>
      <c r="J103" s="216"/>
      <c r="K103" s="216" t="s">
        <v>203</v>
      </c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7"/>
    </row>
    <row r="104" spans="3:35" x14ac:dyDescent="0.25">
      <c r="C104" s="222"/>
      <c r="D104" s="223"/>
      <c r="E104" s="223"/>
      <c r="F104" s="223"/>
      <c r="G104" s="223"/>
      <c r="H104" s="223"/>
      <c r="I104" s="223"/>
      <c r="J104" s="223"/>
      <c r="K104" s="245" t="s">
        <v>206</v>
      </c>
      <c r="L104" s="245"/>
      <c r="M104" s="223"/>
      <c r="N104" s="223"/>
      <c r="O104" s="223"/>
      <c r="P104" s="223"/>
      <c r="Q104" s="223"/>
      <c r="R104" s="223"/>
      <c r="S104" s="223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3"/>
      <c r="AE104" s="223"/>
      <c r="AF104" s="223"/>
      <c r="AG104" s="223"/>
      <c r="AH104" s="223"/>
      <c r="AI104" s="224"/>
    </row>
  </sheetData>
  <mergeCells count="3">
    <mergeCell ref="A3:C3"/>
    <mergeCell ref="B4:C4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42"/>
  <sheetViews>
    <sheetView workbookViewId="0">
      <selection activeCell="R42" sqref="R42:R43"/>
    </sheetView>
  </sheetViews>
  <sheetFormatPr defaultColWidth="9.140625" defaultRowHeight="12.75" x14ac:dyDescent="0.2"/>
  <cols>
    <col min="1" max="2" width="5.7109375" style="35" customWidth="1"/>
    <col min="3" max="4" width="9.140625" style="35"/>
    <col min="5" max="5" width="17.28515625" style="35" customWidth="1"/>
    <col min="6" max="9" width="0" style="35" hidden="1" customWidth="1"/>
    <col min="10" max="10" width="14.85546875" style="35" bestFit="1" customWidth="1"/>
    <col min="11" max="28" width="9.140625" style="35" customWidth="1"/>
    <col min="29" max="16384" width="9.140625" style="35"/>
  </cols>
  <sheetData>
    <row r="1" spans="2:35" s="44" customFormat="1" x14ac:dyDescent="0.2"/>
    <row r="2" spans="2:35" x14ac:dyDescent="0.2">
      <c r="B2" s="133" t="s">
        <v>164</v>
      </c>
      <c r="C2" s="134"/>
      <c r="D2" s="134"/>
      <c r="E2" s="134"/>
      <c r="F2" s="134"/>
      <c r="G2" s="134"/>
      <c r="H2" s="135"/>
    </row>
    <row r="4" spans="2:35" x14ac:dyDescent="0.2">
      <c r="C4" s="136" t="s">
        <v>165</v>
      </c>
      <c r="K4" s="136" t="s">
        <v>166</v>
      </c>
    </row>
    <row r="6" spans="2:35" x14ac:dyDescent="0.2">
      <c r="C6" s="54" t="s">
        <v>119</v>
      </c>
      <c r="D6" s="137" t="s">
        <v>128</v>
      </c>
      <c r="K6" s="138" t="s">
        <v>167</v>
      </c>
      <c r="L6" s="52">
        <v>0</v>
      </c>
      <c r="M6" s="52">
        <v>1</v>
      </c>
      <c r="N6" s="52">
        <v>2</v>
      </c>
      <c r="O6" s="52">
        <v>3</v>
      </c>
      <c r="P6" s="137">
        <v>4</v>
      </c>
    </row>
    <row r="7" spans="2:35" x14ac:dyDescent="0.2">
      <c r="C7" s="139" t="s">
        <v>124</v>
      </c>
      <c r="D7" s="140">
        <f>1.5%*0.8</f>
        <v>1.2E-2</v>
      </c>
      <c r="K7" s="141" t="s">
        <v>128</v>
      </c>
      <c r="L7" s="142">
        <v>0</v>
      </c>
      <c r="M7" s="142">
        <v>0.4</v>
      </c>
      <c r="N7" s="142">
        <f>M7</f>
        <v>0.4</v>
      </c>
      <c r="O7" s="142">
        <f>N7</f>
        <v>0.4</v>
      </c>
      <c r="P7" s="143">
        <v>1</v>
      </c>
    </row>
    <row r="8" spans="2:35" x14ac:dyDescent="0.2">
      <c r="C8" s="139" t="s">
        <v>126</v>
      </c>
      <c r="D8" s="140">
        <f>1.5%*0.8</f>
        <v>1.2E-2</v>
      </c>
      <c r="K8" s="138" t="s">
        <v>168</v>
      </c>
      <c r="L8" s="52">
        <v>-4</v>
      </c>
      <c r="M8" s="52">
        <v>-3</v>
      </c>
      <c r="N8" s="52">
        <v>-2</v>
      </c>
      <c r="O8" s="52">
        <v>-1</v>
      </c>
      <c r="P8" s="137">
        <v>0</v>
      </c>
    </row>
    <row r="9" spans="2:35" x14ac:dyDescent="0.2">
      <c r="C9" s="139" t="s">
        <v>151</v>
      </c>
      <c r="D9" s="140">
        <f>2%*0.8</f>
        <v>1.6E-2</v>
      </c>
      <c r="K9" s="141" t="s">
        <v>169</v>
      </c>
      <c r="L9" s="144">
        <v>0.6</v>
      </c>
      <c r="M9" s="144">
        <v>0</v>
      </c>
      <c r="N9" s="144">
        <v>0</v>
      </c>
      <c r="O9" s="144">
        <v>0.4</v>
      </c>
      <c r="P9" s="145">
        <v>0</v>
      </c>
    </row>
    <row r="10" spans="2:35" x14ac:dyDescent="0.2">
      <c r="C10" s="139" t="s">
        <v>127</v>
      </c>
      <c r="D10" s="140">
        <f t="shared" ref="D10:D11" si="0">2%*0.8</f>
        <v>1.6E-2</v>
      </c>
    </row>
    <row r="11" spans="2:35" x14ac:dyDescent="0.2">
      <c r="C11" s="146" t="s">
        <v>152</v>
      </c>
      <c r="D11" s="147">
        <f t="shared" si="0"/>
        <v>1.6E-2</v>
      </c>
    </row>
    <row r="12" spans="2:35" x14ac:dyDescent="0.2">
      <c r="J12" s="36" t="s">
        <v>117</v>
      </c>
      <c r="K12" s="35">
        <v>0</v>
      </c>
      <c r="L12" s="35">
        <v>1</v>
      </c>
      <c r="M12" s="35">
        <v>2</v>
      </c>
      <c r="N12" s="35">
        <v>3</v>
      </c>
      <c r="O12" s="35">
        <v>4</v>
      </c>
      <c r="P12" s="35">
        <v>5</v>
      </c>
      <c r="Q12" s="35">
        <v>6</v>
      </c>
      <c r="R12" s="35">
        <v>7</v>
      </c>
      <c r="S12" s="35">
        <v>8</v>
      </c>
      <c r="T12" s="35">
        <v>9</v>
      </c>
      <c r="U12" s="35">
        <v>10</v>
      </c>
      <c r="V12" s="35">
        <v>11</v>
      </c>
      <c r="W12" s="35">
        <v>12</v>
      </c>
      <c r="X12" s="35">
        <v>13</v>
      </c>
      <c r="Y12" s="35">
        <v>14</v>
      </c>
      <c r="Z12" s="35">
        <v>15</v>
      </c>
      <c r="AA12" s="35">
        <v>16</v>
      </c>
      <c r="AB12" s="35">
        <v>17</v>
      </c>
      <c r="AC12" s="35">
        <v>18</v>
      </c>
      <c r="AD12" s="35">
        <v>19</v>
      </c>
      <c r="AE12" s="35">
        <v>20</v>
      </c>
      <c r="AF12" s="35">
        <v>21</v>
      </c>
      <c r="AG12" s="35">
        <v>22</v>
      </c>
      <c r="AH12" s="35">
        <v>23</v>
      </c>
      <c r="AI12" s="35">
        <v>24</v>
      </c>
    </row>
    <row r="13" spans="2:35" x14ac:dyDescent="0.2">
      <c r="J13" s="36" t="s">
        <v>170</v>
      </c>
      <c r="K13" s="38" t="s">
        <v>7</v>
      </c>
      <c r="L13" s="39" t="str">
        <f t="shared" ref="L13:AI13" si="1">LEFT(K13,4)+1&amp;"/"&amp;RIGHT(LEFT(K13,4)+2,2)</f>
        <v>2016/17</v>
      </c>
      <c r="M13" s="39" t="str">
        <f t="shared" si="1"/>
        <v>2017/18</v>
      </c>
      <c r="N13" s="39" t="str">
        <f t="shared" si="1"/>
        <v>2018/19</v>
      </c>
      <c r="O13" s="40" t="str">
        <f t="shared" si="1"/>
        <v>2019/20</v>
      </c>
      <c r="P13" s="41" t="str">
        <f t="shared" si="1"/>
        <v>2020/21</v>
      </c>
      <c r="Q13" s="41" t="str">
        <f t="shared" si="1"/>
        <v>2021/22</v>
      </c>
      <c r="R13" s="41" t="str">
        <f t="shared" si="1"/>
        <v>2022/23</v>
      </c>
      <c r="S13" s="41" t="str">
        <f t="shared" si="1"/>
        <v>2023/24</v>
      </c>
      <c r="T13" s="41" t="str">
        <f t="shared" si="1"/>
        <v>2024/25</v>
      </c>
      <c r="U13" s="41" t="str">
        <f t="shared" si="1"/>
        <v>2025/26</v>
      </c>
      <c r="V13" s="41" t="str">
        <f t="shared" si="1"/>
        <v>2026/27</v>
      </c>
      <c r="W13" s="41" t="str">
        <f t="shared" si="1"/>
        <v>2027/28</v>
      </c>
      <c r="X13" s="41" t="str">
        <f t="shared" si="1"/>
        <v>2028/29</v>
      </c>
      <c r="Y13" s="41" t="str">
        <f t="shared" si="1"/>
        <v>2029/30</v>
      </c>
      <c r="Z13" s="41" t="str">
        <f t="shared" si="1"/>
        <v>2030/31</v>
      </c>
      <c r="AA13" s="41" t="str">
        <f t="shared" si="1"/>
        <v>2031/32</v>
      </c>
      <c r="AB13" s="41" t="str">
        <f t="shared" si="1"/>
        <v>2032/33</v>
      </c>
      <c r="AC13" s="41" t="str">
        <f t="shared" si="1"/>
        <v>2033/34</v>
      </c>
      <c r="AD13" s="41" t="str">
        <f t="shared" si="1"/>
        <v>2034/35</v>
      </c>
      <c r="AE13" s="41" t="str">
        <f t="shared" si="1"/>
        <v>2035/36</v>
      </c>
      <c r="AF13" s="41" t="str">
        <f t="shared" si="1"/>
        <v>2036/37</v>
      </c>
      <c r="AG13" s="41" t="str">
        <f t="shared" si="1"/>
        <v>2037/38</v>
      </c>
      <c r="AH13" s="41" t="str">
        <f t="shared" si="1"/>
        <v>2038/39</v>
      </c>
      <c r="AI13" s="62" t="str">
        <f t="shared" si="1"/>
        <v>2039/40</v>
      </c>
    </row>
    <row r="14" spans="2:35" x14ac:dyDescent="0.2">
      <c r="C14" s="136" t="s">
        <v>211</v>
      </c>
      <c r="J14" s="136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</row>
    <row r="15" spans="2:35" x14ac:dyDescent="0.2">
      <c r="C15" s="76" t="s">
        <v>124</v>
      </c>
      <c r="J15" s="148">
        <f t="shared" ref="J15:J20" si="2">SUM(K15:O15)</f>
        <v>29.494497404055366</v>
      </c>
      <c r="K15" s="149">
        <f>(Augmentation!K51+Replacement!K86)/1000</f>
        <v>5.1323746187255006</v>
      </c>
      <c r="L15" s="150">
        <f>(Augmentation!L51+Replacement!L86)/1000</f>
        <v>5.5411800249724328</v>
      </c>
      <c r="M15" s="150">
        <f>(Augmentation!M51+Replacement!M86)/1000</f>
        <v>6.3048854514583619</v>
      </c>
      <c r="N15" s="150">
        <f>(Augmentation!N51+Replacement!N86)/1000</f>
        <v>5.8208294655803394</v>
      </c>
      <c r="O15" s="151">
        <f>(Augmentation!O51+Replacement!O86)/1000</f>
        <v>6.6952278433187313</v>
      </c>
      <c r="P15" s="278">
        <f>(Augmentation!P51+Replacement!P86)/1000</f>
        <v>1.9908791179480925</v>
      </c>
      <c r="Q15" s="278">
        <f>(Augmentation!Q51+Replacement!Q86)/1000</f>
        <v>2.7559153520459736</v>
      </c>
      <c r="R15" s="278">
        <f>(Augmentation!R51+Replacement!R86)/1000</f>
        <v>1.7968547247278577</v>
      </c>
      <c r="S15" s="278">
        <f>(Augmentation!S51+Replacement!S86)/1000</f>
        <v>3.7733475666358154</v>
      </c>
      <c r="T15" s="278">
        <f>(Augmentation!T51+Replacement!T86)/1000</f>
        <v>5.2389759304705441</v>
      </c>
      <c r="U15" s="162">
        <f>AVERAGE(P15:T15)</f>
        <v>3.1111945383656567</v>
      </c>
      <c r="V15" s="162">
        <f t="shared" ref="V15:AI15" si="3">U15</f>
        <v>3.1111945383656567</v>
      </c>
      <c r="W15" s="162">
        <f t="shared" si="3"/>
        <v>3.1111945383656567</v>
      </c>
      <c r="X15" s="162">
        <f t="shared" si="3"/>
        <v>3.1111945383656567</v>
      </c>
      <c r="Y15" s="162">
        <f t="shared" si="3"/>
        <v>3.1111945383656567</v>
      </c>
      <c r="Z15" s="162">
        <f t="shared" si="3"/>
        <v>3.1111945383656567</v>
      </c>
      <c r="AA15" s="162">
        <f t="shared" si="3"/>
        <v>3.1111945383656567</v>
      </c>
      <c r="AB15" s="162">
        <f t="shared" si="3"/>
        <v>3.1111945383656567</v>
      </c>
      <c r="AC15" s="162">
        <f t="shared" si="3"/>
        <v>3.1111945383656567</v>
      </c>
      <c r="AD15" s="162">
        <f t="shared" si="3"/>
        <v>3.1111945383656567</v>
      </c>
      <c r="AE15" s="162">
        <f t="shared" si="3"/>
        <v>3.1111945383656567</v>
      </c>
      <c r="AF15" s="162">
        <f t="shared" si="3"/>
        <v>3.1111945383656567</v>
      </c>
      <c r="AG15" s="162">
        <f t="shared" si="3"/>
        <v>3.1111945383656567</v>
      </c>
      <c r="AH15" s="162">
        <f t="shared" si="3"/>
        <v>3.1111945383656567</v>
      </c>
      <c r="AI15" s="162">
        <f t="shared" si="3"/>
        <v>3.1111945383656567</v>
      </c>
    </row>
    <row r="16" spans="2:35" x14ac:dyDescent="0.2">
      <c r="C16" s="76" t="s">
        <v>126</v>
      </c>
      <c r="J16" s="148">
        <f t="shared" si="2"/>
        <v>54.51748171978889</v>
      </c>
      <c r="K16" s="153">
        <f>(Augmentation!K52+Replacement!K87)/1000</f>
        <v>13.827771444284293</v>
      </c>
      <c r="L16" s="154">
        <f>(Augmentation!L52+Replacement!L87)/1000</f>
        <v>13.212671340285729</v>
      </c>
      <c r="M16" s="154">
        <f>(Augmentation!M52+Replacement!M87)/1000</f>
        <v>12.41187956178009</v>
      </c>
      <c r="N16" s="154">
        <f>(Augmentation!N52+Replacement!N87)/1000</f>
        <v>8.4868577025921912</v>
      </c>
      <c r="O16" s="155">
        <f>(Augmentation!O52+Replacement!O87)/1000</f>
        <v>6.5783016708465887</v>
      </c>
      <c r="P16" s="279">
        <f>(Augmentation!P52+Replacement!P87)/1000</f>
        <v>5.3397953379759278</v>
      </c>
      <c r="Q16" s="279">
        <f>(Augmentation!Q52+Replacement!Q87)/1000</f>
        <v>4.9238182485836486</v>
      </c>
      <c r="R16" s="279">
        <f>(Augmentation!R52+Replacement!R87)/1000</f>
        <v>5.6174385256741957</v>
      </c>
      <c r="S16" s="279">
        <f>(Augmentation!S52+Replacement!S87)/1000</f>
        <v>6.1648973689742359</v>
      </c>
      <c r="T16" s="279">
        <f>(Augmentation!T52+Replacement!T87)/1000</f>
        <v>4.909732962997448</v>
      </c>
      <c r="U16" s="163">
        <f t="shared" ref="U16:U19" si="4">AVERAGE(P16:T16)</f>
        <v>5.3911364888410906</v>
      </c>
      <c r="V16" s="163">
        <f t="shared" ref="V16:AI16" si="5">U16</f>
        <v>5.3911364888410906</v>
      </c>
      <c r="W16" s="163">
        <f t="shared" si="5"/>
        <v>5.3911364888410906</v>
      </c>
      <c r="X16" s="163">
        <f t="shared" si="5"/>
        <v>5.3911364888410906</v>
      </c>
      <c r="Y16" s="163">
        <f t="shared" si="5"/>
        <v>5.3911364888410906</v>
      </c>
      <c r="Z16" s="163">
        <f t="shared" si="5"/>
        <v>5.3911364888410906</v>
      </c>
      <c r="AA16" s="163">
        <f t="shared" si="5"/>
        <v>5.3911364888410906</v>
      </c>
      <c r="AB16" s="163">
        <f t="shared" si="5"/>
        <v>5.3911364888410906</v>
      </c>
      <c r="AC16" s="163">
        <f t="shared" si="5"/>
        <v>5.3911364888410906</v>
      </c>
      <c r="AD16" s="163">
        <f t="shared" si="5"/>
        <v>5.3911364888410906</v>
      </c>
      <c r="AE16" s="163">
        <f t="shared" si="5"/>
        <v>5.3911364888410906</v>
      </c>
      <c r="AF16" s="163">
        <f t="shared" si="5"/>
        <v>5.3911364888410906</v>
      </c>
      <c r="AG16" s="163">
        <f t="shared" si="5"/>
        <v>5.3911364888410906</v>
      </c>
      <c r="AH16" s="163">
        <f t="shared" si="5"/>
        <v>5.3911364888410906</v>
      </c>
      <c r="AI16" s="163">
        <f t="shared" si="5"/>
        <v>5.3911364888410906</v>
      </c>
    </row>
    <row r="17" spans="3:35" x14ac:dyDescent="0.2">
      <c r="C17" s="76" t="s">
        <v>151</v>
      </c>
      <c r="J17" s="148">
        <f t="shared" si="2"/>
        <v>27.627590323524004</v>
      </c>
      <c r="K17" s="153">
        <f>(Augmentation!K53+Replacement!K88)/1000</f>
        <v>1.8702321486793108</v>
      </c>
      <c r="L17" s="154">
        <f>(Augmentation!L53+Replacement!L88)/1000</f>
        <v>2.8872948822568869</v>
      </c>
      <c r="M17" s="154">
        <f>(Augmentation!M53+Replacement!M88)/1000</f>
        <v>6.3724545174662008</v>
      </c>
      <c r="N17" s="154">
        <f>(Augmentation!N53+Replacement!N88)/1000</f>
        <v>8.8201231681768917</v>
      </c>
      <c r="O17" s="155">
        <f>(Augmentation!O53+Replacement!O88)/1000</f>
        <v>7.6774856069447139</v>
      </c>
      <c r="P17" s="279">
        <f>(Augmentation!P53+Replacement!P88)/1000</f>
        <v>3.2921882552076833</v>
      </c>
      <c r="Q17" s="279">
        <f>(Augmentation!Q53+Replacement!Q88)/1000</f>
        <v>1.8288908647417323</v>
      </c>
      <c r="R17" s="279">
        <f>(Augmentation!R53+Replacement!R88)/1000</f>
        <v>1.680685761675341</v>
      </c>
      <c r="S17" s="279">
        <f>(Augmentation!S53+Replacement!S88)/1000</f>
        <v>2.0069606761082044</v>
      </c>
      <c r="T17" s="279">
        <f>(Augmentation!T53+Replacement!T88)/1000</f>
        <v>2.1771913936253351</v>
      </c>
      <c r="U17" s="163">
        <f t="shared" si="4"/>
        <v>2.1971833902716593</v>
      </c>
      <c r="V17" s="163">
        <f t="shared" ref="V17:AI17" si="6">U17</f>
        <v>2.1971833902716593</v>
      </c>
      <c r="W17" s="163">
        <f t="shared" si="6"/>
        <v>2.1971833902716593</v>
      </c>
      <c r="X17" s="163">
        <f t="shared" si="6"/>
        <v>2.1971833902716593</v>
      </c>
      <c r="Y17" s="163">
        <f t="shared" si="6"/>
        <v>2.1971833902716593</v>
      </c>
      <c r="Z17" s="163">
        <f t="shared" si="6"/>
        <v>2.1971833902716593</v>
      </c>
      <c r="AA17" s="163">
        <f t="shared" si="6"/>
        <v>2.1971833902716593</v>
      </c>
      <c r="AB17" s="163">
        <f t="shared" si="6"/>
        <v>2.1971833902716593</v>
      </c>
      <c r="AC17" s="163">
        <f t="shared" si="6"/>
        <v>2.1971833902716593</v>
      </c>
      <c r="AD17" s="163">
        <f t="shared" si="6"/>
        <v>2.1971833902716593</v>
      </c>
      <c r="AE17" s="163">
        <f t="shared" si="6"/>
        <v>2.1971833902716593</v>
      </c>
      <c r="AF17" s="163">
        <f t="shared" si="6"/>
        <v>2.1971833902716593</v>
      </c>
      <c r="AG17" s="163">
        <f t="shared" si="6"/>
        <v>2.1971833902716593</v>
      </c>
      <c r="AH17" s="163">
        <f t="shared" si="6"/>
        <v>2.1971833902716593</v>
      </c>
      <c r="AI17" s="163">
        <f t="shared" si="6"/>
        <v>2.1971833902716593</v>
      </c>
    </row>
    <row r="18" spans="3:35" x14ac:dyDescent="0.2">
      <c r="C18" s="76" t="s">
        <v>127</v>
      </c>
      <c r="J18" s="148">
        <f t="shared" si="2"/>
        <v>11.373085522968669</v>
      </c>
      <c r="K18" s="157">
        <f>(Augmentation!K54+Replacement!K89)/1000</f>
        <v>2.1916322854122963</v>
      </c>
      <c r="L18" s="158">
        <f>(Augmentation!L54+Replacement!L89)/1000</f>
        <v>2.2676934747867028</v>
      </c>
      <c r="M18" s="158">
        <f>(Augmentation!M54+Replacement!M89)/1000</f>
        <v>2.3457264202810375</v>
      </c>
      <c r="N18" s="158">
        <f>(Augmentation!N54+Replacement!N89)/1000</f>
        <v>2.273238725277912</v>
      </c>
      <c r="O18" s="159">
        <f>(Augmentation!O54+Replacement!O89)/1000</f>
        <v>2.2947946172107208</v>
      </c>
      <c r="P18" s="280">
        <f>(Augmentation!P54+Replacement!P89)/1000</f>
        <v>2.4894151624210106</v>
      </c>
      <c r="Q18" s="280">
        <f>(Augmentation!Q54+Replacement!Q89)/1000</f>
        <v>2.5265181925255558</v>
      </c>
      <c r="R18" s="280">
        <f>(Augmentation!R54+Replacement!R89)/1000</f>
        <v>2.5636455163875227</v>
      </c>
      <c r="S18" s="280">
        <f>(Augmentation!S54+Replacement!S89)/1000</f>
        <v>2.5636446797816945</v>
      </c>
      <c r="T18" s="280">
        <f>(Augmentation!T54+Replacement!T89)/1000</f>
        <v>2.600868406660418</v>
      </c>
      <c r="U18" s="164">
        <f t="shared" si="4"/>
        <v>2.54881839155524</v>
      </c>
      <c r="V18" s="164">
        <f t="shared" ref="V18:AI18" si="7">U18</f>
        <v>2.54881839155524</v>
      </c>
      <c r="W18" s="164">
        <f t="shared" si="7"/>
        <v>2.54881839155524</v>
      </c>
      <c r="X18" s="164">
        <f t="shared" si="7"/>
        <v>2.54881839155524</v>
      </c>
      <c r="Y18" s="164">
        <f t="shared" si="7"/>
        <v>2.54881839155524</v>
      </c>
      <c r="Z18" s="164">
        <f t="shared" si="7"/>
        <v>2.54881839155524</v>
      </c>
      <c r="AA18" s="164">
        <f t="shared" si="7"/>
        <v>2.54881839155524</v>
      </c>
      <c r="AB18" s="164">
        <f t="shared" si="7"/>
        <v>2.54881839155524</v>
      </c>
      <c r="AC18" s="164">
        <f t="shared" si="7"/>
        <v>2.54881839155524</v>
      </c>
      <c r="AD18" s="164">
        <f t="shared" si="7"/>
        <v>2.54881839155524</v>
      </c>
      <c r="AE18" s="164">
        <f t="shared" si="7"/>
        <v>2.54881839155524</v>
      </c>
      <c r="AF18" s="164">
        <f t="shared" si="7"/>
        <v>2.54881839155524</v>
      </c>
      <c r="AG18" s="164">
        <f t="shared" si="7"/>
        <v>2.54881839155524</v>
      </c>
      <c r="AH18" s="164">
        <f t="shared" si="7"/>
        <v>2.54881839155524</v>
      </c>
      <c r="AI18" s="164">
        <f t="shared" si="7"/>
        <v>2.54881839155524</v>
      </c>
    </row>
    <row r="19" spans="3:35" x14ac:dyDescent="0.2">
      <c r="C19" s="76" t="s">
        <v>152</v>
      </c>
      <c r="J19" s="148">
        <f t="shared" si="2"/>
        <v>0</v>
      </c>
      <c r="K19" s="157">
        <f>(Augmentation!K55+Replacement!K90)/1000</f>
        <v>0</v>
      </c>
      <c r="L19" s="158">
        <f>(Augmentation!L55+Replacement!L90)/1000</f>
        <v>0</v>
      </c>
      <c r="M19" s="158">
        <f>(Augmentation!M55+Replacement!M90)/1000</f>
        <v>0</v>
      </c>
      <c r="N19" s="158">
        <f>(Augmentation!N55+Replacement!N90)/1000</f>
        <v>0</v>
      </c>
      <c r="O19" s="159">
        <f>(Augmentation!O55+Replacement!O90)/1000</f>
        <v>0</v>
      </c>
      <c r="P19" s="280">
        <f>(Augmentation!P55+Replacement!P90)/1000</f>
        <v>0</v>
      </c>
      <c r="Q19" s="280">
        <f>(Augmentation!Q55+Replacement!Q90)/1000</f>
        <v>0</v>
      </c>
      <c r="R19" s="280">
        <f>(Augmentation!R55+Replacement!R90)/1000</f>
        <v>0</v>
      </c>
      <c r="S19" s="280">
        <f>(Augmentation!S55+Replacement!S90)/1000</f>
        <v>0</v>
      </c>
      <c r="T19" s="280">
        <f>(Augmentation!T55+Replacement!T90)/1000</f>
        <v>0</v>
      </c>
      <c r="U19" s="164">
        <f t="shared" si="4"/>
        <v>0</v>
      </c>
      <c r="V19" s="164">
        <f t="shared" ref="V19:AI19" si="8">U19</f>
        <v>0</v>
      </c>
      <c r="W19" s="164">
        <f t="shared" si="8"/>
        <v>0</v>
      </c>
      <c r="X19" s="164">
        <f t="shared" si="8"/>
        <v>0</v>
      </c>
      <c r="Y19" s="164">
        <f t="shared" si="8"/>
        <v>0</v>
      </c>
      <c r="Z19" s="164">
        <f t="shared" si="8"/>
        <v>0</v>
      </c>
      <c r="AA19" s="164">
        <f t="shared" si="8"/>
        <v>0</v>
      </c>
      <c r="AB19" s="164">
        <f t="shared" si="8"/>
        <v>0</v>
      </c>
      <c r="AC19" s="164">
        <f t="shared" si="8"/>
        <v>0</v>
      </c>
      <c r="AD19" s="164">
        <f t="shared" si="8"/>
        <v>0</v>
      </c>
      <c r="AE19" s="164">
        <f t="shared" si="8"/>
        <v>0</v>
      </c>
      <c r="AF19" s="164">
        <f t="shared" si="8"/>
        <v>0</v>
      </c>
      <c r="AG19" s="164">
        <f t="shared" si="8"/>
        <v>0</v>
      </c>
      <c r="AH19" s="164">
        <f t="shared" si="8"/>
        <v>0</v>
      </c>
      <c r="AI19" s="164">
        <f t="shared" si="8"/>
        <v>0</v>
      </c>
    </row>
    <row r="20" spans="3:35" x14ac:dyDescent="0.2">
      <c r="C20" s="58" t="s">
        <v>117</v>
      </c>
      <c r="J20" s="161">
        <f t="shared" si="2"/>
        <v>123.01265497033694</v>
      </c>
      <c r="K20" s="161">
        <f t="shared" ref="K20:AI20" si="9">SUM(K15:K19)</f>
        <v>23.022010497101402</v>
      </c>
      <c r="L20" s="161">
        <f t="shared" si="9"/>
        <v>23.908839722301749</v>
      </c>
      <c r="M20" s="161">
        <f t="shared" si="9"/>
        <v>27.434945950985693</v>
      </c>
      <c r="N20" s="161">
        <f t="shared" si="9"/>
        <v>25.401049061627337</v>
      </c>
      <c r="O20" s="161">
        <f t="shared" si="9"/>
        <v>23.245809738320752</v>
      </c>
      <c r="P20" s="161">
        <f t="shared" si="9"/>
        <v>13.112277873552715</v>
      </c>
      <c r="Q20" s="161">
        <f t="shared" si="9"/>
        <v>12.035142657896911</v>
      </c>
      <c r="R20" s="161">
        <f t="shared" si="9"/>
        <v>11.658624528464918</v>
      </c>
      <c r="S20" s="161">
        <f t="shared" si="9"/>
        <v>14.508850291499948</v>
      </c>
      <c r="T20" s="161">
        <f t="shared" si="9"/>
        <v>14.926768693753745</v>
      </c>
      <c r="U20" s="161">
        <f t="shared" ref="U20:V20" si="10">SUM(U15:U19)</f>
        <v>13.248332809033647</v>
      </c>
      <c r="V20" s="161">
        <f t="shared" si="10"/>
        <v>13.248332809033647</v>
      </c>
      <c r="W20" s="161">
        <f t="shared" si="9"/>
        <v>13.248332809033647</v>
      </c>
      <c r="X20" s="161">
        <f t="shared" si="9"/>
        <v>13.248332809033647</v>
      </c>
      <c r="Y20" s="161">
        <f t="shared" si="9"/>
        <v>13.248332809033647</v>
      </c>
      <c r="Z20" s="161">
        <f t="shared" si="9"/>
        <v>13.248332809033647</v>
      </c>
      <c r="AA20" s="161">
        <f t="shared" si="9"/>
        <v>13.248332809033647</v>
      </c>
      <c r="AB20" s="161">
        <f t="shared" si="9"/>
        <v>13.248332809033647</v>
      </c>
      <c r="AC20" s="161">
        <f t="shared" si="9"/>
        <v>13.248332809033647</v>
      </c>
      <c r="AD20" s="161">
        <f t="shared" si="9"/>
        <v>13.248332809033647</v>
      </c>
      <c r="AE20" s="161">
        <f t="shared" si="9"/>
        <v>13.248332809033647</v>
      </c>
      <c r="AF20" s="161">
        <f t="shared" si="9"/>
        <v>13.248332809033647</v>
      </c>
      <c r="AG20" s="161">
        <f t="shared" si="9"/>
        <v>13.248332809033647</v>
      </c>
      <c r="AH20" s="161">
        <f t="shared" si="9"/>
        <v>13.248332809033647</v>
      </c>
      <c r="AI20" s="161">
        <f t="shared" si="9"/>
        <v>13.248332809033647</v>
      </c>
    </row>
    <row r="22" spans="3:35" x14ac:dyDescent="0.2">
      <c r="C22" s="136" t="s">
        <v>208</v>
      </c>
    </row>
    <row r="23" spans="3:35" x14ac:dyDescent="0.2">
      <c r="C23" s="76" t="s">
        <v>124</v>
      </c>
      <c r="J23" s="148">
        <f t="shared" ref="J23:J28" si="11">SUM(K23:O23)</f>
        <v>0.14638959114635947</v>
      </c>
      <c r="K23" s="149">
        <f>SUMPRODUCT(K15,$P$9)*$D7</f>
        <v>0</v>
      </c>
      <c r="L23" s="150">
        <f>SUMPRODUCT(K15:L15,$O$9:$P$9)*$D7</f>
        <v>2.4635398169882403E-2</v>
      </c>
      <c r="M23" s="150">
        <f>SUMPRODUCT(K15:M15,$N$9:$P$9)*$D7</f>
        <v>2.6597664119867678E-2</v>
      </c>
      <c r="N23" s="150">
        <f>SUMPRODUCT(K15:N15,$M$9:$P$9)*$D7</f>
        <v>3.0263450167000137E-2</v>
      </c>
      <c r="O23" s="151">
        <f t="shared" ref="O23:X27" si="12">SUMPRODUCT(K15:O15,$L$9:$P$9)*$D7</f>
        <v>6.4893078689609238E-2</v>
      </c>
      <c r="P23" s="152">
        <f t="shared" si="12"/>
        <v>7.2033589827731434E-2</v>
      </c>
      <c r="Q23" s="152">
        <f t="shared" si="12"/>
        <v>5.4951395016651049E-2</v>
      </c>
      <c r="R23" s="152">
        <f t="shared" si="12"/>
        <v>5.5138365841999125E-2</v>
      </c>
      <c r="S23" s="152">
        <f t="shared" si="12"/>
        <v>5.6830543150588574E-2</v>
      </c>
      <c r="T23" s="152">
        <f t="shared" si="12"/>
        <v>3.2446397969078181E-2</v>
      </c>
      <c r="U23" s="152">
        <f t="shared" si="12"/>
        <v>4.4989675000989618E-2</v>
      </c>
      <c r="V23" s="152">
        <f t="shared" si="12"/>
        <v>2.7871087802195733E-2</v>
      </c>
      <c r="W23" s="152">
        <f t="shared" si="12"/>
        <v>4.2101836263933025E-2</v>
      </c>
      <c r="X23" s="152">
        <f t="shared" si="12"/>
        <v>5.2654360483543064E-2</v>
      </c>
      <c r="Y23" s="152">
        <f t="shared" ref="Y23:AH27" si="13">SUMPRODUCT(U15:Y15,$L$9:$P$9)*$D7</f>
        <v>3.7334334460387884E-2</v>
      </c>
      <c r="Z23" s="152">
        <f t="shared" si="13"/>
        <v>3.7334334460387884E-2</v>
      </c>
      <c r="AA23" s="152">
        <f t="shared" si="13"/>
        <v>3.7334334460387884E-2</v>
      </c>
      <c r="AB23" s="152">
        <f t="shared" si="13"/>
        <v>3.7334334460387884E-2</v>
      </c>
      <c r="AC23" s="152">
        <f t="shared" si="13"/>
        <v>3.7334334460387884E-2</v>
      </c>
      <c r="AD23" s="152">
        <f t="shared" si="13"/>
        <v>3.7334334460387884E-2</v>
      </c>
      <c r="AE23" s="152">
        <f t="shared" si="13"/>
        <v>3.7334334460387884E-2</v>
      </c>
      <c r="AF23" s="152">
        <f t="shared" si="13"/>
        <v>3.7334334460387884E-2</v>
      </c>
      <c r="AG23" s="152">
        <f t="shared" si="13"/>
        <v>3.7334334460387884E-2</v>
      </c>
      <c r="AH23" s="152">
        <f t="shared" si="13"/>
        <v>3.7334334460387884E-2</v>
      </c>
      <c r="AI23" s="152">
        <f t="shared" ref="AI23:AI27" si="14">SUMPRODUCT(AE15:AI15,$L$9:$P$9)*$D7</f>
        <v>3.7334334460387884E-2</v>
      </c>
    </row>
    <row r="24" spans="3:35" x14ac:dyDescent="0.2">
      <c r="C24" s="76" t="s">
        <v>126</v>
      </c>
      <c r="J24" s="148">
        <f t="shared" si="11"/>
        <v>0.32966801863376993</v>
      </c>
      <c r="K24" s="153">
        <f>SUMPRODUCT(K16,$P$9)*$D8</f>
        <v>0</v>
      </c>
      <c r="L24" s="154">
        <f>SUMPRODUCT(K16:L16,$O$9:$P$9)*$D8</f>
        <v>6.6373302932564604E-2</v>
      </c>
      <c r="M24" s="154">
        <f>SUMPRODUCT(K16:M16,$N$9:$P$9)*$D8</f>
        <v>6.3420822433371493E-2</v>
      </c>
      <c r="N24" s="154">
        <f>SUMPRODUCT(K16:N16,$M$9:$P$9)*$D8</f>
        <v>5.9577021896544437E-2</v>
      </c>
      <c r="O24" s="155">
        <f t="shared" si="12"/>
        <v>0.14029687137128943</v>
      </c>
      <c r="P24" s="156">
        <f t="shared" si="12"/>
        <v>0.12670708167012087</v>
      </c>
      <c r="Q24" s="156">
        <f t="shared" si="12"/>
        <v>0.1149965504671011</v>
      </c>
      <c r="R24" s="156">
        <f t="shared" si="12"/>
        <v>8.4739703051865289E-2</v>
      </c>
      <c r="S24" s="156">
        <f t="shared" si="12"/>
        <v>7.432747695333157E-2</v>
      </c>
      <c r="T24" s="156">
        <f t="shared" si="12"/>
        <v>6.8038033804503018E-2</v>
      </c>
      <c r="U24" s="156">
        <f t="shared" si="12"/>
        <v>5.9018209612190023E-2</v>
      </c>
      <c r="V24" s="156">
        <f t="shared" si="12"/>
        <v>6.6323012531291442E-2</v>
      </c>
      <c r="W24" s="156">
        <f t="shared" si="12"/>
        <v>7.0264716203051733E-2</v>
      </c>
      <c r="X24" s="156">
        <f t="shared" si="12"/>
        <v>6.1227532480018859E-2</v>
      </c>
      <c r="Y24" s="156">
        <f t="shared" si="13"/>
        <v>6.4693637866093084E-2</v>
      </c>
      <c r="Z24" s="156">
        <f t="shared" si="13"/>
        <v>6.4693637866093084E-2</v>
      </c>
      <c r="AA24" s="156">
        <f t="shared" si="13"/>
        <v>6.4693637866093084E-2</v>
      </c>
      <c r="AB24" s="156">
        <f t="shared" si="13"/>
        <v>6.4693637866093084E-2</v>
      </c>
      <c r="AC24" s="156">
        <f t="shared" si="13"/>
        <v>6.4693637866093084E-2</v>
      </c>
      <c r="AD24" s="156">
        <f t="shared" si="13"/>
        <v>6.4693637866093084E-2</v>
      </c>
      <c r="AE24" s="156">
        <f t="shared" si="13"/>
        <v>6.4693637866093084E-2</v>
      </c>
      <c r="AF24" s="156">
        <f t="shared" si="13"/>
        <v>6.4693637866093084E-2</v>
      </c>
      <c r="AG24" s="156">
        <f t="shared" si="13"/>
        <v>6.4693637866093084E-2</v>
      </c>
      <c r="AH24" s="156">
        <f t="shared" si="13"/>
        <v>6.4693637866093084E-2</v>
      </c>
      <c r="AI24" s="156">
        <f t="shared" si="14"/>
        <v>6.4693637866093084E-2</v>
      </c>
    </row>
    <row r="25" spans="3:35" x14ac:dyDescent="0.2">
      <c r="C25" s="76" t="s">
        <v>151</v>
      </c>
      <c r="J25" s="148">
        <f t="shared" si="11"/>
        <v>0.14563489881342886</v>
      </c>
      <c r="K25" s="153">
        <f>SUMPRODUCT(K17,$P$9)*$D9</f>
        <v>0</v>
      </c>
      <c r="L25" s="154">
        <f>SUMPRODUCT(K17:L17,$O$9:$P$9)*$D9</f>
        <v>1.196948575154759E-2</v>
      </c>
      <c r="M25" s="154">
        <f>SUMPRODUCT(K17:M17,$N$9:$P$9)*$D9</f>
        <v>1.8478687246444078E-2</v>
      </c>
      <c r="N25" s="154">
        <f>SUMPRODUCT(K17:N17,$M$9:$P$9)*$D9</f>
        <v>4.0783708911783692E-2</v>
      </c>
      <c r="O25" s="155">
        <f t="shared" si="12"/>
        <v>7.4403016903653502E-2</v>
      </c>
      <c r="P25" s="156">
        <f t="shared" si="12"/>
        <v>7.6853938754112283E-2</v>
      </c>
      <c r="Q25" s="156">
        <f t="shared" si="12"/>
        <v>8.2245568201004704E-2</v>
      </c>
      <c r="R25" s="156">
        <f t="shared" si="12"/>
        <v>9.6378083948845242E-2</v>
      </c>
      <c r="S25" s="156">
        <f t="shared" si="12"/>
        <v>8.4460250701391432E-2</v>
      </c>
      <c r="T25" s="156">
        <f t="shared" si="12"/>
        <v>4.4449555577086269E-2</v>
      </c>
      <c r="U25" s="156">
        <f t="shared" si="12"/>
        <v>3.1491377220722774E-2</v>
      </c>
      <c r="V25" s="156">
        <f t="shared" si="12"/>
        <v>3.0196557009821896E-2</v>
      </c>
      <c r="W25" s="156">
        <f t="shared" si="12"/>
        <v>3.3328796188377384E-2</v>
      </c>
      <c r="X25" s="156">
        <f t="shared" si="12"/>
        <v>3.4963011076541838E-2</v>
      </c>
      <c r="Y25" s="156">
        <f t="shared" si="13"/>
        <v>3.5154934244346549E-2</v>
      </c>
      <c r="Z25" s="156">
        <f t="shared" si="13"/>
        <v>3.5154934244346549E-2</v>
      </c>
      <c r="AA25" s="156">
        <f t="shared" si="13"/>
        <v>3.5154934244346549E-2</v>
      </c>
      <c r="AB25" s="156">
        <f t="shared" si="13"/>
        <v>3.5154934244346549E-2</v>
      </c>
      <c r="AC25" s="156">
        <f t="shared" si="13"/>
        <v>3.5154934244346549E-2</v>
      </c>
      <c r="AD25" s="156">
        <f t="shared" si="13"/>
        <v>3.5154934244346549E-2</v>
      </c>
      <c r="AE25" s="156">
        <f t="shared" si="13"/>
        <v>3.5154934244346549E-2</v>
      </c>
      <c r="AF25" s="156">
        <f t="shared" si="13"/>
        <v>3.5154934244346549E-2</v>
      </c>
      <c r="AG25" s="156">
        <f t="shared" si="13"/>
        <v>3.5154934244346549E-2</v>
      </c>
      <c r="AH25" s="156">
        <f t="shared" si="13"/>
        <v>3.5154934244346549E-2</v>
      </c>
      <c r="AI25" s="156">
        <f t="shared" si="14"/>
        <v>3.5154934244346549E-2</v>
      </c>
    </row>
    <row r="26" spans="3:35" x14ac:dyDescent="0.2">
      <c r="C26" s="76" t="s">
        <v>127</v>
      </c>
      <c r="J26" s="148">
        <f t="shared" si="11"/>
        <v>7.9140731736808911E-2</v>
      </c>
      <c r="K26" s="157">
        <f>SUMPRODUCT(K18,$P$9)*$D10</f>
        <v>0</v>
      </c>
      <c r="L26" s="158">
        <f>SUMPRODUCT(K18:L18,$O$9:$P$9)*$D10</f>
        <v>1.4026446626638697E-2</v>
      </c>
      <c r="M26" s="158">
        <f>SUMPRODUCT(K18:M18,$N$9:$P$9)*$D10</f>
        <v>1.4513238238634898E-2</v>
      </c>
      <c r="N26" s="158">
        <f>SUMPRODUCT(K18:N18,$M$9:$P$9)*$D10</f>
        <v>1.5012649089798642E-2</v>
      </c>
      <c r="O26" s="159">
        <f t="shared" si="12"/>
        <v>3.5588397781736683E-2</v>
      </c>
      <c r="P26" s="160">
        <f t="shared" si="12"/>
        <v>3.6456542908100957E-2</v>
      </c>
      <c r="Q26" s="160">
        <f t="shared" si="12"/>
        <v>3.8451230674192434E-2</v>
      </c>
      <c r="R26" s="160">
        <f t="shared" si="12"/>
        <v>3.7992808194831515E-2</v>
      </c>
      <c r="S26" s="160">
        <f t="shared" si="12"/>
        <v>3.8437359630103064E-2</v>
      </c>
      <c r="T26" s="160">
        <f t="shared" si="12"/>
        <v>4.0305711509844543E-2</v>
      </c>
      <c r="U26" s="160">
        <f t="shared" si="12"/>
        <v>4.0900132450872005E-2</v>
      </c>
      <c r="V26" s="160">
        <f t="shared" si="12"/>
        <v>4.0923434663273757E-2</v>
      </c>
      <c r="W26" s="160">
        <f t="shared" si="12"/>
        <v>4.0923426631857808E-2</v>
      </c>
      <c r="X26" s="160">
        <f t="shared" si="12"/>
        <v>4.1280774409893556E-2</v>
      </c>
      <c r="Y26" s="160">
        <f t="shared" si="13"/>
        <v>4.0781094264883841E-2</v>
      </c>
      <c r="Z26" s="160">
        <f t="shared" si="13"/>
        <v>4.0781094264883841E-2</v>
      </c>
      <c r="AA26" s="160">
        <f t="shared" si="13"/>
        <v>4.0781094264883841E-2</v>
      </c>
      <c r="AB26" s="160">
        <f t="shared" si="13"/>
        <v>4.0781094264883841E-2</v>
      </c>
      <c r="AC26" s="160">
        <f t="shared" si="13"/>
        <v>4.0781094264883841E-2</v>
      </c>
      <c r="AD26" s="160">
        <f t="shared" si="13"/>
        <v>4.0781094264883841E-2</v>
      </c>
      <c r="AE26" s="160">
        <f t="shared" si="13"/>
        <v>4.0781094264883841E-2</v>
      </c>
      <c r="AF26" s="160">
        <f t="shared" si="13"/>
        <v>4.0781094264883841E-2</v>
      </c>
      <c r="AG26" s="160">
        <f t="shared" si="13"/>
        <v>4.0781094264883841E-2</v>
      </c>
      <c r="AH26" s="160">
        <f t="shared" si="13"/>
        <v>4.0781094264883841E-2</v>
      </c>
      <c r="AI26" s="160">
        <f t="shared" si="14"/>
        <v>4.0781094264883841E-2</v>
      </c>
    </row>
    <row r="27" spans="3:35" x14ac:dyDescent="0.2">
      <c r="C27" s="76" t="s">
        <v>152</v>
      </c>
      <c r="J27" s="148">
        <f t="shared" si="11"/>
        <v>0</v>
      </c>
      <c r="K27" s="157">
        <f>SUMPRODUCT(K19,$P$9)*$D11</f>
        <v>0</v>
      </c>
      <c r="L27" s="158">
        <f>SUMPRODUCT(K19:L19,$O$9:$P$9)*$D11</f>
        <v>0</v>
      </c>
      <c r="M27" s="158">
        <f>SUMPRODUCT(K19:M19,$N$9:$P$9)*$D11</f>
        <v>0</v>
      </c>
      <c r="N27" s="158">
        <f>SUMPRODUCT(K19:N19,$M$9:$P$9)*$D11</f>
        <v>0</v>
      </c>
      <c r="O27" s="159">
        <f t="shared" si="12"/>
        <v>0</v>
      </c>
      <c r="P27" s="160">
        <f t="shared" si="12"/>
        <v>0</v>
      </c>
      <c r="Q27" s="160">
        <f t="shared" si="12"/>
        <v>0</v>
      </c>
      <c r="R27" s="160">
        <f t="shared" si="12"/>
        <v>0</v>
      </c>
      <c r="S27" s="160">
        <f t="shared" si="12"/>
        <v>0</v>
      </c>
      <c r="T27" s="160">
        <f t="shared" si="12"/>
        <v>0</v>
      </c>
      <c r="U27" s="160">
        <f t="shared" si="12"/>
        <v>0</v>
      </c>
      <c r="V27" s="160">
        <f t="shared" si="12"/>
        <v>0</v>
      </c>
      <c r="W27" s="160">
        <f t="shared" si="12"/>
        <v>0</v>
      </c>
      <c r="X27" s="160">
        <f t="shared" si="12"/>
        <v>0</v>
      </c>
      <c r="Y27" s="160">
        <f t="shared" si="13"/>
        <v>0</v>
      </c>
      <c r="Z27" s="160">
        <f t="shared" si="13"/>
        <v>0</v>
      </c>
      <c r="AA27" s="160">
        <f t="shared" si="13"/>
        <v>0</v>
      </c>
      <c r="AB27" s="160">
        <f t="shared" si="13"/>
        <v>0</v>
      </c>
      <c r="AC27" s="160">
        <f t="shared" si="13"/>
        <v>0</v>
      </c>
      <c r="AD27" s="160">
        <f t="shared" si="13"/>
        <v>0</v>
      </c>
      <c r="AE27" s="160">
        <f t="shared" si="13"/>
        <v>0</v>
      </c>
      <c r="AF27" s="160">
        <f t="shared" si="13"/>
        <v>0</v>
      </c>
      <c r="AG27" s="160">
        <f t="shared" si="13"/>
        <v>0</v>
      </c>
      <c r="AH27" s="160">
        <f t="shared" si="13"/>
        <v>0</v>
      </c>
      <c r="AI27" s="160">
        <f t="shared" si="14"/>
        <v>0</v>
      </c>
    </row>
    <row r="28" spans="3:35" x14ac:dyDescent="0.2">
      <c r="C28" s="58" t="s">
        <v>117</v>
      </c>
      <c r="J28" s="161">
        <f t="shared" si="11"/>
        <v>0.7008332403303672</v>
      </c>
      <c r="K28" s="161">
        <f t="shared" ref="K28:AI28" si="15">SUM(K23:K27)</f>
        <v>0</v>
      </c>
      <c r="L28" s="161">
        <f t="shared" si="15"/>
        <v>0.11700463348063329</v>
      </c>
      <c r="M28" s="161">
        <f t="shared" si="15"/>
        <v>0.12301041203831815</v>
      </c>
      <c r="N28" s="161">
        <f t="shared" si="15"/>
        <v>0.1456368300651269</v>
      </c>
      <c r="O28" s="161">
        <f t="shared" si="15"/>
        <v>0.31518136474628883</v>
      </c>
      <c r="P28" s="161">
        <f t="shared" si="15"/>
        <v>0.31205115316006554</v>
      </c>
      <c r="Q28" s="161">
        <f t="shared" si="15"/>
        <v>0.29064474435894927</v>
      </c>
      <c r="R28" s="161">
        <f t="shared" si="15"/>
        <v>0.27424896103754121</v>
      </c>
      <c r="S28" s="161">
        <f t="shared" si="15"/>
        <v>0.25405563043541463</v>
      </c>
      <c r="T28" s="161">
        <f t="shared" si="15"/>
        <v>0.18523969886051203</v>
      </c>
      <c r="U28" s="161">
        <f t="shared" si="15"/>
        <v>0.17639939428477444</v>
      </c>
      <c r="V28" s="161">
        <f t="shared" si="15"/>
        <v>0.16531409200658281</v>
      </c>
      <c r="W28" s="161">
        <f t="shared" si="15"/>
        <v>0.18661877528721996</v>
      </c>
      <c r="X28" s="161">
        <f t="shared" si="15"/>
        <v>0.19012567844999731</v>
      </c>
      <c r="Y28" s="161">
        <f t="shared" si="15"/>
        <v>0.17796400083571134</v>
      </c>
      <c r="Z28" s="161">
        <f t="shared" si="15"/>
        <v>0.17796400083571134</v>
      </c>
      <c r="AA28" s="161">
        <f t="shared" si="15"/>
        <v>0.17796400083571134</v>
      </c>
      <c r="AB28" s="161">
        <f t="shared" si="15"/>
        <v>0.17796400083571134</v>
      </c>
      <c r="AC28" s="161">
        <f t="shared" si="15"/>
        <v>0.17796400083571134</v>
      </c>
      <c r="AD28" s="161">
        <f t="shared" si="15"/>
        <v>0.17796400083571134</v>
      </c>
      <c r="AE28" s="161">
        <f t="shared" si="15"/>
        <v>0.17796400083571134</v>
      </c>
      <c r="AF28" s="161">
        <f t="shared" si="15"/>
        <v>0.17796400083571134</v>
      </c>
      <c r="AG28" s="161">
        <f t="shared" si="15"/>
        <v>0.17796400083571134</v>
      </c>
      <c r="AH28" s="161">
        <f t="shared" si="15"/>
        <v>0.17796400083571134</v>
      </c>
      <c r="AI28" s="161">
        <f t="shared" si="15"/>
        <v>0.17796400083571134</v>
      </c>
    </row>
    <row r="31" spans="3:35" ht="15" x14ac:dyDescent="0.25">
      <c r="C31" s="212" t="s">
        <v>209</v>
      </c>
      <c r="D31" s="213"/>
      <c r="E31" s="213"/>
      <c r="F31" s="213"/>
      <c r="G31" s="213"/>
      <c r="H31" s="213"/>
      <c r="I31" s="213"/>
      <c r="J31" s="213"/>
      <c r="K31" s="212">
        <v>2016</v>
      </c>
      <c r="L31" s="213">
        <v>2017</v>
      </c>
      <c r="M31" s="213">
        <v>2018</v>
      </c>
      <c r="N31" s="225">
        <v>2019</v>
      </c>
      <c r="O31" s="229">
        <v>2020</v>
      </c>
      <c r="P31" s="232">
        <v>2021</v>
      </c>
      <c r="Q31" s="225">
        <v>2022</v>
      </c>
      <c r="R31" s="225">
        <v>2023</v>
      </c>
      <c r="S31" s="225">
        <v>2024</v>
      </c>
      <c r="T31" s="229">
        <v>2025</v>
      </c>
      <c r="U31" s="232">
        <v>2026</v>
      </c>
      <c r="V31" s="225">
        <v>2027</v>
      </c>
      <c r="W31" s="225">
        <v>2028</v>
      </c>
      <c r="X31" s="225">
        <v>2029</v>
      </c>
      <c r="Y31" s="229">
        <v>2030</v>
      </c>
      <c r="Z31" s="232">
        <v>2031</v>
      </c>
      <c r="AA31" s="225">
        <v>2032</v>
      </c>
      <c r="AB31" s="225">
        <v>2033</v>
      </c>
      <c r="AC31" s="225">
        <v>2034</v>
      </c>
      <c r="AD31" s="229">
        <v>2035</v>
      </c>
      <c r="AE31" s="232">
        <v>2036</v>
      </c>
      <c r="AF31" s="225">
        <v>2037</v>
      </c>
      <c r="AG31" s="225">
        <v>2038</v>
      </c>
      <c r="AH31" s="213">
        <v>2039</v>
      </c>
      <c r="AI31" s="214">
        <v>2040</v>
      </c>
    </row>
    <row r="32" spans="3:35" ht="15" x14ac:dyDescent="0.25">
      <c r="C32" s="215"/>
      <c r="D32" s="216"/>
      <c r="E32" s="216"/>
      <c r="F32" s="216"/>
      <c r="G32" s="216"/>
      <c r="H32" s="216"/>
      <c r="I32" s="216"/>
      <c r="J32" s="216"/>
      <c r="K32" s="215"/>
      <c r="L32" s="216"/>
      <c r="M32" s="216"/>
      <c r="N32" s="216"/>
      <c r="O32" s="217"/>
      <c r="P32" s="215"/>
      <c r="Q32" s="216"/>
      <c r="R32" s="216"/>
      <c r="S32" s="216"/>
      <c r="T32" s="217"/>
      <c r="U32" s="215"/>
      <c r="V32" s="216"/>
      <c r="W32" s="216"/>
      <c r="X32" s="216"/>
      <c r="Y32" s="217"/>
      <c r="Z32" s="215"/>
      <c r="AA32" s="216"/>
      <c r="AB32" s="216"/>
      <c r="AC32" s="216"/>
      <c r="AD32" s="217"/>
      <c r="AE32" s="215"/>
      <c r="AF32" s="216"/>
      <c r="AG32" s="216"/>
      <c r="AH32" s="216"/>
      <c r="AI32" s="217"/>
    </row>
    <row r="33" spans="3:35" ht="15" x14ac:dyDescent="0.25">
      <c r="C33" s="215" t="str">
        <f>C23</f>
        <v>ST</v>
      </c>
      <c r="D33" s="216"/>
      <c r="E33" s="216"/>
      <c r="F33" s="216"/>
      <c r="G33" s="216"/>
      <c r="H33" s="216"/>
      <c r="I33" s="216"/>
      <c r="J33" s="216"/>
      <c r="K33" s="230">
        <f>K23*1000000</f>
        <v>0</v>
      </c>
      <c r="L33" s="166">
        <f t="shared" ref="L33:AI37" si="16">L23*1000000</f>
        <v>24635.398169882403</v>
      </c>
      <c r="M33" s="166">
        <f t="shared" si="16"/>
        <v>26597.664119867677</v>
      </c>
      <c r="N33" s="234">
        <f t="shared" si="16"/>
        <v>30263.450167000137</v>
      </c>
      <c r="O33" s="235">
        <f t="shared" si="16"/>
        <v>64893.07868960924</v>
      </c>
      <c r="P33" s="281">
        <f t="shared" si="16"/>
        <v>72033.589827731441</v>
      </c>
      <c r="Q33" s="282">
        <f t="shared" si="16"/>
        <v>54951.395016651048</v>
      </c>
      <c r="R33" s="282">
        <f t="shared" si="16"/>
        <v>55138.365841999126</v>
      </c>
      <c r="S33" s="282">
        <f t="shared" si="16"/>
        <v>56830.543150588572</v>
      </c>
      <c r="T33" s="283">
        <f t="shared" si="16"/>
        <v>32446.397969078182</v>
      </c>
      <c r="U33" s="281">
        <f t="shared" si="16"/>
        <v>44989.67500098962</v>
      </c>
      <c r="V33" s="282">
        <f t="shared" si="16"/>
        <v>27871.087802195732</v>
      </c>
      <c r="W33" s="282">
        <f t="shared" si="16"/>
        <v>42101.836263933023</v>
      </c>
      <c r="X33" s="282">
        <f t="shared" si="16"/>
        <v>52654.360483543067</v>
      </c>
      <c r="Y33" s="283">
        <f t="shared" si="16"/>
        <v>37334.334460387887</v>
      </c>
      <c r="Z33" s="281">
        <f t="shared" si="16"/>
        <v>37334.334460387887</v>
      </c>
      <c r="AA33" s="282">
        <f t="shared" si="16"/>
        <v>37334.334460387887</v>
      </c>
      <c r="AB33" s="282">
        <f t="shared" si="16"/>
        <v>37334.334460387887</v>
      </c>
      <c r="AC33" s="282">
        <f t="shared" si="16"/>
        <v>37334.334460387887</v>
      </c>
      <c r="AD33" s="283">
        <f t="shared" si="16"/>
        <v>37334.334460387887</v>
      </c>
      <c r="AE33" s="281">
        <f t="shared" si="16"/>
        <v>37334.334460387887</v>
      </c>
      <c r="AF33" s="282">
        <f t="shared" si="16"/>
        <v>37334.334460387887</v>
      </c>
      <c r="AG33" s="282">
        <f t="shared" si="16"/>
        <v>37334.334460387887</v>
      </c>
      <c r="AH33" s="284">
        <f t="shared" si="16"/>
        <v>37334.334460387887</v>
      </c>
      <c r="AI33" s="285">
        <f t="shared" si="16"/>
        <v>37334.334460387887</v>
      </c>
    </row>
    <row r="34" spans="3:35" ht="15" x14ac:dyDescent="0.25">
      <c r="C34" s="215" t="str">
        <f>C24</f>
        <v>HV bus</v>
      </c>
      <c r="D34" s="216"/>
      <c r="E34" s="216"/>
      <c r="F34" s="216"/>
      <c r="G34" s="216"/>
      <c r="H34" s="216"/>
      <c r="I34" s="216"/>
      <c r="J34" s="216"/>
      <c r="K34" s="230">
        <f t="shared" ref="K34:Z37" si="17">K24*1000000</f>
        <v>0</v>
      </c>
      <c r="L34" s="166">
        <f t="shared" si="17"/>
        <v>66373.302932564606</v>
      </c>
      <c r="M34" s="166">
        <f t="shared" si="17"/>
        <v>63420.82243337149</v>
      </c>
      <c r="N34" s="234">
        <f t="shared" si="17"/>
        <v>59577.021896544436</v>
      </c>
      <c r="O34" s="235">
        <f t="shared" si="17"/>
        <v>140296.87137128942</v>
      </c>
      <c r="P34" s="281">
        <f t="shared" si="17"/>
        <v>126707.08167012087</v>
      </c>
      <c r="Q34" s="282">
        <f t="shared" si="17"/>
        <v>114996.5504671011</v>
      </c>
      <c r="R34" s="282">
        <f t="shared" si="17"/>
        <v>84739.70305186529</v>
      </c>
      <c r="S34" s="282">
        <f t="shared" si="17"/>
        <v>74327.47695333157</v>
      </c>
      <c r="T34" s="283">
        <f t="shared" si="17"/>
        <v>68038.033804503022</v>
      </c>
      <c r="U34" s="281">
        <f t="shared" si="17"/>
        <v>59018.209612190025</v>
      </c>
      <c r="V34" s="282">
        <f t="shared" si="17"/>
        <v>66323.012531291446</v>
      </c>
      <c r="W34" s="282">
        <f t="shared" si="17"/>
        <v>70264.716203051736</v>
      </c>
      <c r="X34" s="282">
        <f t="shared" si="17"/>
        <v>61227.532480018861</v>
      </c>
      <c r="Y34" s="283">
        <f t="shared" si="17"/>
        <v>64693.637866093086</v>
      </c>
      <c r="Z34" s="281">
        <f t="shared" si="17"/>
        <v>64693.637866093086</v>
      </c>
      <c r="AA34" s="282">
        <f t="shared" si="16"/>
        <v>64693.637866093086</v>
      </c>
      <c r="AB34" s="282">
        <f t="shared" si="16"/>
        <v>64693.637866093086</v>
      </c>
      <c r="AC34" s="282">
        <f t="shared" si="16"/>
        <v>64693.637866093086</v>
      </c>
      <c r="AD34" s="283">
        <f t="shared" si="16"/>
        <v>64693.637866093086</v>
      </c>
      <c r="AE34" s="281">
        <f t="shared" si="16"/>
        <v>64693.637866093086</v>
      </c>
      <c r="AF34" s="282">
        <f t="shared" si="16"/>
        <v>64693.637866093086</v>
      </c>
      <c r="AG34" s="282">
        <f t="shared" si="16"/>
        <v>64693.637866093086</v>
      </c>
      <c r="AH34" s="284">
        <f t="shared" si="16"/>
        <v>64693.637866093086</v>
      </c>
      <c r="AI34" s="285">
        <f t="shared" si="16"/>
        <v>64693.637866093086</v>
      </c>
    </row>
    <row r="35" spans="3:35" ht="15" x14ac:dyDescent="0.25">
      <c r="C35" s="215" t="str">
        <f>C25</f>
        <v>HV net</v>
      </c>
      <c r="D35" s="216"/>
      <c r="E35" s="216"/>
      <c r="F35" s="216"/>
      <c r="G35" s="216"/>
      <c r="H35" s="216"/>
      <c r="I35" s="216"/>
      <c r="J35" s="216"/>
      <c r="K35" s="230">
        <f t="shared" si="17"/>
        <v>0</v>
      </c>
      <c r="L35" s="166">
        <f t="shared" si="16"/>
        <v>11969.485751547591</v>
      </c>
      <c r="M35" s="166">
        <f t="shared" si="16"/>
        <v>18478.687246444078</v>
      </c>
      <c r="N35" s="234">
        <f t="shared" si="16"/>
        <v>40783.708911783695</v>
      </c>
      <c r="O35" s="235">
        <f t="shared" si="16"/>
        <v>74403.016903653508</v>
      </c>
      <c r="P35" s="281">
        <f t="shared" si="16"/>
        <v>76853.938754112285</v>
      </c>
      <c r="Q35" s="282">
        <f t="shared" si="16"/>
        <v>82245.568201004702</v>
      </c>
      <c r="R35" s="282">
        <f t="shared" si="16"/>
        <v>96378.083948845248</v>
      </c>
      <c r="S35" s="282">
        <f t="shared" si="16"/>
        <v>84460.250701391429</v>
      </c>
      <c r="T35" s="283">
        <f t="shared" si="16"/>
        <v>44449.55557708627</v>
      </c>
      <c r="U35" s="281">
        <f t="shared" si="16"/>
        <v>31491.377220722774</v>
      </c>
      <c r="V35" s="282">
        <f t="shared" si="16"/>
        <v>30196.557009821896</v>
      </c>
      <c r="W35" s="282">
        <f t="shared" si="16"/>
        <v>33328.796188377382</v>
      </c>
      <c r="X35" s="282">
        <f t="shared" si="16"/>
        <v>34963.011076541836</v>
      </c>
      <c r="Y35" s="283">
        <f t="shared" si="16"/>
        <v>35154.93424434655</v>
      </c>
      <c r="Z35" s="281">
        <f t="shared" si="16"/>
        <v>35154.93424434655</v>
      </c>
      <c r="AA35" s="282">
        <f t="shared" si="16"/>
        <v>35154.93424434655</v>
      </c>
      <c r="AB35" s="282">
        <f t="shared" si="16"/>
        <v>35154.93424434655</v>
      </c>
      <c r="AC35" s="282">
        <f t="shared" si="16"/>
        <v>35154.93424434655</v>
      </c>
      <c r="AD35" s="283">
        <f t="shared" si="16"/>
        <v>35154.93424434655</v>
      </c>
      <c r="AE35" s="281">
        <f t="shared" si="16"/>
        <v>35154.93424434655</v>
      </c>
      <c r="AF35" s="282">
        <f t="shared" si="16"/>
        <v>35154.93424434655</v>
      </c>
      <c r="AG35" s="282">
        <f t="shared" si="16"/>
        <v>35154.93424434655</v>
      </c>
      <c r="AH35" s="284">
        <f t="shared" si="16"/>
        <v>35154.93424434655</v>
      </c>
      <c r="AI35" s="285">
        <f t="shared" si="16"/>
        <v>35154.93424434655</v>
      </c>
    </row>
    <row r="36" spans="3:35" ht="15" x14ac:dyDescent="0.25">
      <c r="C36" s="215" t="str">
        <f>C26</f>
        <v>LV bus</v>
      </c>
      <c r="D36" s="216"/>
      <c r="E36" s="216"/>
      <c r="F36" s="216"/>
      <c r="G36" s="216"/>
      <c r="H36" s="216"/>
      <c r="I36" s="216"/>
      <c r="J36" s="216"/>
      <c r="K36" s="230">
        <f t="shared" si="17"/>
        <v>0</v>
      </c>
      <c r="L36" s="166">
        <f t="shared" si="16"/>
        <v>14026.446626638697</v>
      </c>
      <c r="M36" s="166">
        <f t="shared" si="16"/>
        <v>14513.238238634898</v>
      </c>
      <c r="N36" s="234">
        <f t="shared" si="16"/>
        <v>15012.649089798642</v>
      </c>
      <c r="O36" s="235">
        <f t="shared" si="16"/>
        <v>35588.397781736683</v>
      </c>
      <c r="P36" s="281">
        <f t="shared" si="16"/>
        <v>36456.542908100957</v>
      </c>
      <c r="Q36" s="282">
        <f t="shared" si="16"/>
        <v>38451.230674192433</v>
      </c>
      <c r="R36" s="282">
        <f t="shared" si="16"/>
        <v>37992.808194831516</v>
      </c>
      <c r="S36" s="282">
        <f t="shared" si="16"/>
        <v>38437.359630103063</v>
      </c>
      <c r="T36" s="283">
        <f t="shared" si="16"/>
        <v>40305.711509844543</v>
      </c>
      <c r="U36" s="281">
        <f t="shared" si="16"/>
        <v>40900.132450872006</v>
      </c>
      <c r="V36" s="282">
        <f t="shared" si="16"/>
        <v>40923.434663273758</v>
      </c>
      <c r="W36" s="282">
        <f t="shared" si="16"/>
        <v>40923.426631857808</v>
      </c>
      <c r="X36" s="282">
        <f t="shared" si="16"/>
        <v>41280.774409893558</v>
      </c>
      <c r="Y36" s="283">
        <f t="shared" si="16"/>
        <v>40781.094264883839</v>
      </c>
      <c r="Z36" s="281">
        <f t="shared" si="16"/>
        <v>40781.094264883839</v>
      </c>
      <c r="AA36" s="282">
        <f t="shared" si="16"/>
        <v>40781.094264883839</v>
      </c>
      <c r="AB36" s="282">
        <f t="shared" si="16"/>
        <v>40781.094264883839</v>
      </c>
      <c r="AC36" s="282">
        <f t="shared" si="16"/>
        <v>40781.094264883839</v>
      </c>
      <c r="AD36" s="283">
        <f t="shared" si="16"/>
        <v>40781.094264883839</v>
      </c>
      <c r="AE36" s="281">
        <f t="shared" si="16"/>
        <v>40781.094264883839</v>
      </c>
      <c r="AF36" s="282">
        <f t="shared" si="16"/>
        <v>40781.094264883839</v>
      </c>
      <c r="AG36" s="282">
        <f t="shared" si="16"/>
        <v>40781.094264883839</v>
      </c>
      <c r="AH36" s="284">
        <f t="shared" si="16"/>
        <v>40781.094264883839</v>
      </c>
      <c r="AI36" s="285">
        <f t="shared" si="16"/>
        <v>40781.094264883839</v>
      </c>
    </row>
    <row r="37" spans="3:35" ht="15" x14ac:dyDescent="0.25">
      <c r="C37" s="215" t="str">
        <f>C27</f>
        <v>LV net</v>
      </c>
      <c r="D37" s="216"/>
      <c r="E37" s="216"/>
      <c r="F37" s="216"/>
      <c r="G37" s="216"/>
      <c r="H37" s="216"/>
      <c r="I37" s="216"/>
      <c r="J37" s="216"/>
      <c r="K37" s="230">
        <f t="shared" si="17"/>
        <v>0</v>
      </c>
      <c r="L37" s="166">
        <f t="shared" si="16"/>
        <v>0</v>
      </c>
      <c r="M37" s="166">
        <f t="shared" si="16"/>
        <v>0</v>
      </c>
      <c r="N37" s="234">
        <f t="shared" si="16"/>
        <v>0</v>
      </c>
      <c r="O37" s="235">
        <f t="shared" si="16"/>
        <v>0</v>
      </c>
      <c r="P37" s="281">
        <f t="shared" si="16"/>
        <v>0</v>
      </c>
      <c r="Q37" s="282">
        <f t="shared" si="16"/>
        <v>0</v>
      </c>
      <c r="R37" s="282">
        <f t="shared" si="16"/>
        <v>0</v>
      </c>
      <c r="S37" s="282">
        <f t="shared" si="16"/>
        <v>0</v>
      </c>
      <c r="T37" s="283">
        <f t="shared" si="16"/>
        <v>0</v>
      </c>
      <c r="U37" s="281">
        <f t="shared" si="16"/>
        <v>0</v>
      </c>
      <c r="V37" s="282">
        <f t="shared" si="16"/>
        <v>0</v>
      </c>
      <c r="W37" s="282">
        <f t="shared" si="16"/>
        <v>0</v>
      </c>
      <c r="X37" s="282">
        <f t="shared" si="16"/>
        <v>0</v>
      </c>
      <c r="Y37" s="283">
        <f t="shared" si="16"/>
        <v>0</v>
      </c>
      <c r="Z37" s="281">
        <f t="shared" si="16"/>
        <v>0</v>
      </c>
      <c r="AA37" s="282">
        <f t="shared" si="16"/>
        <v>0</v>
      </c>
      <c r="AB37" s="282">
        <f t="shared" si="16"/>
        <v>0</v>
      </c>
      <c r="AC37" s="282">
        <f t="shared" si="16"/>
        <v>0</v>
      </c>
      <c r="AD37" s="283">
        <f t="shared" si="16"/>
        <v>0</v>
      </c>
      <c r="AE37" s="281">
        <f t="shared" si="16"/>
        <v>0</v>
      </c>
      <c r="AF37" s="282">
        <f t="shared" si="16"/>
        <v>0</v>
      </c>
      <c r="AG37" s="282">
        <f t="shared" si="16"/>
        <v>0</v>
      </c>
      <c r="AH37" s="284">
        <f t="shared" si="16"/>
        <v>0</v>
      </c>
      <c r="AI37" s="285">
        <f t="shared" si="16"/>
        <v>0</v>
      </c>
    </row>
    <row r="38" spans="3:35" ht="15" x14ac:dyDescent="0.25">
      <c r="C38" s="215"/>
      <c r="D38" s="216"/>
      <c r="E38" s="216"/>
      <c r="F38" s="216"/>
      <c r="G38" s="216"/>
      <c r="H38" s="216"/>
      <c r="I38" s="216"/>
      <c r="J38" s="216"/>
      <c r="K38" s="215"/>
      <c r="L38" s="216"/>
      <c r="M38" s="216"/>
      <c r="N38" s="216"/>
      <c r="O38" s="217"/>
      <c r="P38" s="215"/>
      <c r="Q38" s="216"/>
      <c r="R38" s="216"/>
      <c r="S38" s="216"/>
      <c r="T38" s="217"/>
      <c r="U38" s="215"/>
      <c r="V38" s="216"/>
      <c r="W38" s="216"/>
      <c r="X38" s="216"/>
      <c r="Y38" s="217"/>
      <c r="Z38" s="215"/>
      <c r="AA38" s="216"/>
      <c r="AB38" s="216"/>
      <c r="AC38" s="216"/>
      <c r="AD38" s="217"/>
      <c r="AE38" s="215"/>
      <c r="AF38" s="216"/>
      <c r="AG38" s="216"/>
      <c r="AH38" s="216"/>
      <c r="AI38" s="217"/>
    </row>
    <row r="39" spans="3:35" ht="15" x14ac:dyDescent="0.25">
      <c r="C39" s="215" t="s">
        <v>210</v>
      </c>
      <c r="D39" s="216"/>
      <c r="E39" s="216"/>
      <c r="F39" s="216"/>
      <c r="G39" s="216"/>
      <c r="H39" s="216"/>
      <c r="I39" s="216"/>
      <c r="J39" s="216"/>
      <c r="K39" s="231">
        <f t="shared" ref="K39:AH39" si="18">SUM(K33:K38)</f>
        <v>0</v>
      </c>
      <c r="L39" s="23">
        <f t="shared" si="18"/>
        <v>117004.6334806333</v>
      </c>
      <c r="M39" s="23">
        <f t="shared" si="18"/>
        <v>123010.41203831814</v>
      </c>
      <c r="N39" s="242">
        <f t="shared" si="18"/>
        <v>145636.83006512691</v>
      </c>
      <c r="O39" s="243">
        <f t="shared" si="18"/>
        <v>315181.36474628886</v>
      </c>
      <c r="P39" s="244">
        <f t="shared" si="18"/>
        <v>312051.15316006553</v>
      </c>
      <c r="Q39" s="242">
        <f t="shared" si="18"/>
        <v>290644.74435894931</v>
      </c>
      <c r="R39" s="242">
        <f t="shared" si="18"/>
        <v>274248.96103754116</v>
      </c>
      <c r="S39" s="242">
        <f t="shared" si="18"/>
        <v>254055.63043541461</v>
      </c>
      <c r="T39" s="243">
        <f t="shared" si="18"/>
        <v>185239.69886051203</v>
      </c>
      <c r="U39" s="244">
        <f t="shared" si="18"/>
        <v>176399.39428477443</v>
      </c>
      <c r="V39" s="242">
        <f t="shared" si="18"/>
        <v>165314.09200658282</v>
      </c>
      <c r="W39" s="242">
        <f t="shared" si="18"/>
        <v>186618.77528721996</v>
      </c>
      <c r="X39" s="242">
        <f t="shared" si="18"/>
        <v>190125.67844999733</v>
      </c>
      <c r="Y39" s="243">
        <f t="shared" si="18"/>
        <v>177964.00083571137</v>
      </c>
      <c r="Z39" s="244">
        <f t="shared" si="18"/>
        <v>177964.00083571137</v>
      </c>
      <c r="AA39" s="242">
        <f t="shared" si="18"/>
        <v>177964.00083571137</v>
      </c>
      <c r="AB39" s="242">
        <f t="shared" si="18"/>
        <v>177964.00083571137</v>
      </c>
      <c r="AC39" s="242">
        <f t="shared" si="18"/>
        <v>177964.00083571137</v>
      </c>
      <c r="AD39" s="243">
        <f t="shared" si="18"/>
        <v>177964.00083571137</v>
      </c>
      <c r="AE39" s="244">
        <f t="shared" si="18"/>
        <v>177964.00083571137</v>
      </c>
      <c r="AF39" s="242">
        <f t="shared" si="18"/>
        <v>177964.00083571137</v>
      </c>
      <c r="AG39" s="242">
        <f t="shared" si="18"/>
        <v>177964.00083571137</v>
      </c>
      <c r="AH39" s="23">
        <f t="shared" si="18"/>
        <v>177964.00083571137</v>
      </c>
      <c r="AI39" s="233">
        <f>SUM(AI33:AI38)</f>
        <v>177964.00083571137</v>
      </c>
    </row>
    <row r="40" spans="3:35" ht="15" x14ac:dyDescent="0.25">
      <c r="C40" s="215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7"/>
    </row>
    <row r="41" spans="3:35" ht="15" x14ac:dyDescent="0.25">
      <c r="C41" s="215" t="s">
        <v>204</v>
      </c>
      <c r="D41" s="216"/>
      <c r="E41" s="216"/>
      <c r="F41" s="216"/>
      <c r="G41" s="216"/>
      <c r="H41" s="216"/>
      <c r="I41" s="216"/>
      <c r="J41" s="216"/>
      <c r="K41" s="286" t="s">
        <v>206</v>
      </c>
      <c r="L41" s="28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7"/>
    </row>
    <row r="42" spans="3:35" ht="15" x14ac:dyDescent="0.25">
      <c r="C42" s="222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4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55"/>
  <sheetViews>
    <sheetView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J15" sqref="J15"/>
    </sheetView>
  </sheetViews>
  <sheetFormatPr defaultColWidth="12.5703125" defaultRowHeight="12.75" x14ac:dyDescent="0.2"/>
  <cols>
    <col min="1" max="1" width="5.7109375" style="35" customWidth="1"/>
    <col min="2" max="2" width="11.5703125" style="35" bestFit="1" customWidth="1"/>
    <col min="3" max="3" width="43.5703125" style="35" customWidth="1"/>
    <col min="4" max="8" width="10.140625" style="35" hidden="1" customWidth="1"/>
    <col min="9" max="9" width="0.140625" style="35" hidden="1" customWidth="1"/>
    <col min="10" max="35" width="10.7109375" style="35" customWidth="1"/>
    <col min="36" max="16384" width="12.5703125" style="35"/>
  </cols>
  <sheetData>
    <row r="1" spans="2:35" x14ac:dyDescent="0.2">
      <c r="J1" s="35">
        <v>0</v>
      </c>
      <c r="K1" s="35">
        <v>1</v>
      </c>
      <c r="L1" s="35">
        <v>2</v>
      </c>
      <c r="M1" s="35">
        <v>3</v>
      </c>
      <c r="N1" s="35">
        <v>4</v>
      </c>
      <c r="O1" s="35">
        <v>5</v>
      </c>
      <c r="P1" s="35">
        <v>6</v>
      </c>
      <c r="Q1" s="35">
        <v>7</v>
      </c>
      <c r="R1" s="35">
        <v>8</v>
      </c>
      <c r="S1" s="35">
        <v>9</v>
      </c>
      <c r="T1" s="35">
        <v>10</v>
      </c>
      <c r="U1" s="35">
        <v>11</v>
      </c>
      <c r="V1" s="35">
        <v>12</v>
      </c>
      <c r="W1" s="35">
        <v>13</v>
      </c>
      <c r="X1" s="35">
        <v>14</v>
      </c>
      <c r="Y1" s="35">
        <v>15</v>
      </c>
      <c r="Z1" s="35">
        <v>16</v>
      </c>
      <c r="AA1" s="35">
        <v>17</v>
      </c>
      <c r="AB1" s="35">
        <v>18</v>
      </c>
      <c r="AC1" s="35">
        <v>19</v>
      </c>
      <c r="AD1" s="35">
        <v>20</v>
      </c>
      <c r="AE1" s="35">
        <v>21</v>
      </c>
      <c r="AF1" s="35">
        <v>22</v>
      </c>
      <c r="AG1" s="35">
        <v>23</v>
      </c>
      <c r="AH1" s="35">
        <v>24</v>
      </c>
      <c r="AI1" s="35">
        <v>25</v>
      </c>
    </row>
    <row r="2" spans="2:35" x14ac:dyDescent="0.2">
      <c r="D2" s="36"/>
      <c r="E2" s="36"/>
      <c r="F2" s="36"/>
      <c r="G2" s="36"/>
      <c r="H2" s="36"/>
      <c r="I2" s="36"/>
      <c r="J2" s="37" t="s">
        <v>6</v>
      </c>
      <c r="K2" s="38" t="s">
        <v>7</v>
      </c>
      <c r="L2" s="39" t="s">
        <v>8</v>
      </c>
      <c r="M2" s="39" t="s">
        <v>9</v>
      </c>
      <c r="N2" s="39" t="s">
        <v>10</v>
      </c>
      <c r="O2" s="40" t="s">
        <v>11</v>
      </c>
      <c r="P2" s="41" t="s">
        <v>12</v>
      </c>
      <c r="Q2" s="41" t="s">
        <v>13</v>
      </c>
      <c r="R2" s="41" t="s">
        <v>14</v>
      </c>
      <c r="S2" s="41" t="s">
        <v>15</v>
      </c>
      <c r="T2" s="41" t="s">
        <v>16</v>
      </c>
      <c r="U2" s="41" t="s">
        <v>17</v>
      </c>
      <c r="V2" s="41" t="s">
        <v>129</v>
      </c>
      <c r="W2" s="41" t="s">
        <v>130</v>
      </c>
      <c r="X2" s="41" t="s">
        <v>131</v>
      </c>
      <c r="Y2" s="41" t="s">
        <v>132</v>
      </c>
      <c r="Z2" s="41" t="s">
        <v>133</v>
      </c>
      <c r="AA2" s="41" t="s">
        <v>134</v>
      </c>
      <c r="AB2" s="41" t="s">
        <v>135</v>
      </c>
      <c r="AC2" s="41" t="s">
        <v>136</v>
      </c>
      <c r="AD2" s="41" t="s">
        <v>137</v>
      </c>
      <c r="AE2" s="41" t="s">
        <v>138</v>
      </c>
      <c r="AF2" s="41" t="s">
        <v>139</v>
      </c>
      <c r="AG2" s="41" t="s">
        <v>140</v>
      </c>
      <c r="AH2" s="41" t="s">
        <v>141</v>
      </c>
      <c r="AI2" s="41" t="s">
        <v>142</v>
      </c>
    </row>
    <row r="3" spans="2:35" ht="13.5" customHeight="1" x14ac:dyDescent="0.2">
      <c r="D3" s="45"/>
      <c r="E3" s="45"/>
      <c r="F3" s="45"/>
      <c r="G3" s="45"/>
      <c r="H3" s="45"/>
      <c r="I3" s="45"/>
      <c r="J3" s="45"/>
      <c r="K3" s="48"/>
      <c r="L3" s="48"/>
      <c r="M3" s="48"/>
      <c r="N3" s="48"/>
      <c r="O3" s="48"/>
    </row>
    <row r="4" spans="2:35" ht="13.5" customHeight="1" x14ac:dyDescent="0.2">
      <c r="D4" s="45"/>
      <c r="E4" s="45"/>
      <c r="F4" s="45"/>
      <c r="G4" s="45"/>
      <c r="H4" s="45"/>
      <c r="I4" s="45"/>
      <c r="J4" s="45"/>
      <c r="K4" s="48"/>
      <c r="L4" s="48"/>
      <c r="M4" s="48"/>
      <c r="N4" s="48"/>
      <c r="O4" s="48"/>
    </row>
    <row r="5" spans="2:35" ht="13.5" customHeight="1" x14ac:dyDescent="0.2">
      <c r="B5" s="136" t="s">
        <v>223</v>
      </c>
      <c r="D5" s="45"/>
      <c r="E5" s="45"/>
      <c r="F5" s="45"/>
      <c r="G5" s="45"/>
      <c r="H5" s="45"/>
      <c r="I5" s="45"/>
      <c r="J5" s="45"/>
      <c r="K5" s="48"/>
      <c r="L5" s="48"/>
      <c r="M5" s="366" t="s">
        <v>228</v>
      </c>
      <c r="N5" s="48"/>
      <c r="O5" s="48"/>
    </row>
    <row r="6" spans="2:35" ht="13.5" customHeight="1" x14ac:dyDescent="0.25">
      <c r="B6" s="61" t="s">
        <v>124</v>
      </c>
      <c r="C6" s="35" t="s">
        <v>232</v>
      </c>
      <c r="D6"/>
      <c r="E6"/>
      <c r="F6"/>
      <c r="G6"/>
      <c r="H6"/>
      <c r="I6"/>
      <c r="J6"/>
      <c r="K6"/>
      <c r="M6" s="168">
        <f>144-M7</f>
        <v>73</v>
      </c>
      <c r="N6" s="327">
        <f>M6/$M$11</f>
        <v>2.2047719722138325E-2</v>
      </c>
      <c r="O6" s="327"/>
    </row>
    <row r="7" spans="2:35" ht="13.5" customHeight="1" x14ac:dyDescent="0.25">
      <c r="B7" s="61" t="s">
        <v>123</v>
      </c>
      <c r="C7" s="35" t="s">
        <v>231</v>
      </c>
      <c r="D7"/>
      <c r="E7"/>
      <c r="F7"/>
      <c r="G7"/>
      <c r="H7"/>
      <c r="I7"/>
      <c r="J7"/>
      <c r="K7"/>
      <c r="M7" s="168">
        <v>71</v>
      </c>
      <c r="N7" s="327">
        <f t="shared" ref="N7:N10" si="0">M7/$M$11</f>
        <v>2.1443672606463304E-2</v>
      </c>
      <c r="O7" s="327"/>
    </row>
    <row r="8" spans="2:35" ht="13.5" customHeight="1" x14ac:dyDescent="0.25">
      <c r="B8" s="61" t="s">
        <v>122</v>
      </c>
      <c r="C8" s="35" t="s">
        <v>229</v>
      </c>
      <c r="D8"/>
      <c r="E8"/>
      <c r="F8"/>
      <c r="G8"/>
      <c r="H8"/>
      <c r="I8"/>
      <c r="J8"/>
      <c r="K8"/>
      <c r="M8" s="168">
        <v>176</v>
      </c>
      <c r="N8" s="327">
        <f t="shared" si="0"/>
        <v>5.3156146179401995E-2</v>
      </c>
      <c r="O8" s="327"/>
    </row>
    <row r="9" spans="2:35" ht="13.5" customHeight="1" x14ac:dyDescent="0.25">
      <c r="B9" s="61" t="s">
        <v>121</v>
      </c>
      <c r="C9" s="35" t="s">
        <v>230</v>
      </c>
      <c r="D9"/>
      <c r="E9"/>
      <c r="F9"/>
      <c r="G9"/>
      <c r="H9"/>
      <c r="I9"/>
      <c r="J9"/>
      <c r="K9"/>
      <c r="M9" s="168">
        <v>809</v>
      </c>
      <c r="N9" s="327">
        <f t="shared" si="0"/>
        <v>0.24433705829054667</v>
      </c>
      <c r="O9" s="327"/>
    </row>
    <row r="10" spans="2:35" ht="13.5" customHeight="1" x14ac:dyDescent="0.25">
      <c r="B10" s="61" t="s">
        <v>120</v>
      </c>
      <c r="C10" s="35" t="s">
        <v>224</v>
      </c>
      <c r="D10"/>
      <c r="E10"/>
      <c r="F10"/>
      <c r="G10"/>
      <c r="H10"/>
      <c r="I10"/>
      <c r="J10"/>
      <c r="K10"/>
      <c r="M10" s="329">
        <f>607+1575</f>
        <v>2182</v>
      </c>
      <c r="N10" s="328">
        <f t="shared" si="0"/>
        <v>0.65901540320144969</v>
      </c>
      <c r="O10" s="327"/>
    </row>
    <row r="11" spans="2:35" ht="13.5" customHeight="1" x14ac:dyDescent="0.25">
      <c r="B11" s="49"/>
      <c r="D11"/>
      <c r="E11"/>
      <c r="F11"/>
      <c r="G11"/>
      <c r="H11"/>
      <c r="I11"/>
      <c r="J11"/>
      <c r="K11"/>
      <c r="L11" s="48"/>
      <c r="M11" s="63">
        <f>SUM(M6:M10)</f>
        <v>3311</v>
      </c>
      <c r="N11" s="327">
        <f>SUM(N6:N10)</f>
        <v>1</v>
      </c>
      <c r="O11" s="48"/>
    </row>
    <row r="12" spans="2:35" ht="13.5" customHeight="1" x14ac:dyDescent="0.2">
      <c r="D12" s="45"/>
      <c r="E12" s="45"/>
      <c r="F12" s="45"/>
      <c r="G12" s="45"/>
      <c r="H12" s="45"/>
      <c r="I12" s="45"/>
      <c r="J12" s="45"/>
      <c r="K12" s="48"/>
      <c r="L12" s="48"/>
      <c r="M12" s="48"/>
      <c r="N12" s="48"/>
      <c r="O12" s="48"/>
    </row>
    <row r="13" spans="2:35" ht="13.5" customHeight="1" x14ac:dyDescent="0.2">
      <c r="J13" s="45"/>
      <c r="K13" s="45"/>
      <c r="L13" s="45"/>
      <c r="M13" s="45"/>
      <c r="N13" s="45"/>
      <c r="O13" s="45"/>
      <c r="P13" s="379">
        <v>2912.5872824893436</v>
      </c>
      <c r="Q13" s="380">
        <v>2920.6756682846144</v>
      </c>
      <c r="R13" s="380">
        <v>2928.6951157925532</v>
      </c>
      <c r="S13" s="380">
        <v>2936.7612689571001</v>
      </c>
      <c r="T13" s="381">
        <v>2944.9206331485575</v>
      </c>
    </row>
    <row r="14" spans="2:35" ht="13.5" customHeight="1" x14ac:dyDescent="0.2">
      <c r="B14" s="42" t="s">
        <v>144</v>
      </c>
      <c r="J14" s="45"/>
      <c r="K14" s="45"/>
      <c r="L14" s="45"/>
      <c r="M14" s="45"/>
      <c r="N14" s="45"/>
      <c r="O14" s="45"/>
    </row>
    <row r="15" spans="2:35" ht="13.5" customHeight="1" x14ac:dyDescent="0.2">
      <c r="B15" s="35" t="s">
        <v>145</v>
      </c>
      <c r="C15" s="35" t="s">
        <v>143</v>
      </c>
      <c r="J15" s="168">
        <f>_xlfn.FORECAST.LINEAR(0,K15:T15,K1:T1)</f>
        <v>2819.1460681535555</v>
      </c>
      <c r="K15" s="382">
        <v>2826.3744149736008</v>
      </c>
      <c r="L15" s="345">
        <v>2840.7647269881745</v>
      </c>
      <c r="M15" s="345">
        <v>2827.4007417521134</v>
      </c>
      <c r="N15" s="380">
        <v>2885.5996014783495</v>
      </c>
      <c r="O15" s="381">
        <v>2898.609252164747</v>
      </c>
      <c r="P15" s="379">
        <f>O15*1.002</f>
        <v>2904.4064706690765</v>
      </c>
      <c r="Q15" s="379">
        <f t="shared" ref="Q15:T15" si="1">P15*1.002</f>
        <v>2910.2152836104146</v>
      </c>
      <c r="R15" s="379">
        <f t="shared" si="1"/>
        <v>2916.0357141776353</v>
      </c>
      <c r="S15" s="379">
        <f t="shared" si="1"/>
        <v>2921.8677856059908</v>
      </c>
      <c r="T15" s="379">
        <f t="shared" si="1"/>
        <v>2927.7115211772029</v>
      </c>
    </row>
    <row r="16" spans="2:35" ht="13.5" customHeight="1" x14ac:dyDescent="0.2"/>
    <row r="17" spans="2:35" ht="13.5" customHeight="1" x14ac:dyDescent="0.2">
      <c r="B17" s="35" t="s">
        <v>270</v>
      </c>
      <c r="O17" s="447">
        <v>1447</v>
      </c>
      <c r="P17" s="447">
        <f>O17*1.0045</f>
        <v>1453.5114999999998</v>
      </c>
      <c r="Q17" s="447">
        <f t="shared" ref="Q17:AI17" si="2">P17*1.0045</f>
        <v>1460.0523017499997</v>
      </c>
      <c r="R17" s="447">
        <f t="shared" si="2"/>
        <v>1466.6225371078747</v>
      </c>
      <c r="S17" s="447">
        <f t="shared" si="2"/>
        <v>1473.2223385248601</v>
      </c>
      <c r="T17" s="447">
        <f t="shared" si="2"/>
        <v>1479.8518390482218</v>
      </c>
      <c r="U17" s="447">
        <f t="shared" si="2"/>
        <v>1486.5111723239388</v>
      </c>
      <c r="V17" s="447">
        <f t="shared" si="2"/>
        <v>1493.2004725993966</v>
      </c>
      <c r="W17" s="447">
        <f t="shared" si="2"/>
        <v>1499.9198747260937</v>
      </c>
      <c r="X17" s="447">
        <f t="shared" si="2"/>
        <v>1506.6695141623611</v>
      </c>
      <c r="Y17" s="447">
        <f t="shared" si="2"/>
        <v>1513.4495269760916</v>
      </c>
      <c r="Z17" s="447">
        <f t="shared" si="2"/>
        <v>1520.260049847484</v>
      </c>
      <c r="AA17" s="447">
        <f t="shared" si="2"/>
        <v>1527.1012200717976</v>
      </c>
      <c r="AB17" s="447">
        <f t="shared" si="2"/>
        <v>1533.9731755621206</v>
      </c>
      <c r="AC17" s="447">
        <f t="shared" si="2"/>
        <v>1540.87605485215</v>
      </c>
      <c r="AD17" s="447">
        <f t="shared" si="2"/>
        <v>1547.8099970989847</v>
      </c>
      <c r="AE17" s="447">
        <f t="shared" si="2"/>
        <v>1554.7751420859302</v>
      </c>
      <c r="AF17" s="447">
        <f t="shared" si="2"/>
        <v>1561.7716302253168</v>
      </c>
      <c r="AG17" s="447">
        <f t="shared" si="2"/>
        <v>1568.7996025613306</v>
      </c>
      <c r="AH17" s="447">
        <f t="shared" si="2"/>
        <v>1575.8592007728566</v>
      </c>
      <c r="AI17" s="447">
        <f t="shared" si="2"/>
        <v>1582.9505671763345</v>
      </c>
    </row>
    <row r="18" spans="2:35" ht="13.5" customHeight="1" x14ac:dyDescent="0.2">
      <c r="C18" s="35" t="s">
        <v>271</v>
      </c>
      <c r="P18" s="447">
        <f>P17-O17</f>
        <v>6.5114999999998417</v>
      </c>
      <c r="Q18" s="447">
        <f t="shared" ref="Q18:AI18" si="3">Q17-P17</f>
        <v>6.5408017499999005</v>
      </c>
      <c r="R18" s="447">
        <f t="shared" si="3"/>
        <v>6.5702353578749353</v>
      </c>
      <c r="S18" s="447">
        <f t="shared" si="3"/>
        <v>6.5998014169854287</v>
      </c>
      <c r="T18" s="447">
        <f t="shared" si="3"/>
        <v>6.6295005233616848</v>
      </c>
      <c r="U18" s="447">
        <f t="shared" si="3"/>
        <v>6.6593332757170174</v>
      </c>
      <c r="V18" s="447">
        <f t="shared" si="3"/>
        <v>6.6893002754577537</v>
      </c>
      <c r="W18" s="447">
        <f t="shared" si="3"/>
        <v>6.7194021266971049</v>
      </c>
      <c r="X18" s="447">
        <f t="shared" si="3"/>
        <v>6.7496394362674437</v>
      </c>
      <c r="Y18" s="447">
        <f t="shared" si="3"/>
        <v>6.7800128137305364</v>
      </c>
      <c r="Z18" s="447">
        <f t="shared" si="3"/>
        <v>6.8105228713923225</v>
      </c>
      <c r="AA18" s="447">
        <f t="shared" si="3"/>
        <v>6.8411702243136006</v>
      </c>
      <c r="AB18" s="447">
        <f t="shared" si="3"/>
        <v>6.8719554903229891</v>
      </c>
      <c r="AC18" s="447">
        <f t="shared" si="3"/>
        <v>6.902879290029432</v>
      </c>
      <c r="AD18" s="447">
        <f t="shared" si="3"/>
        <v>6.9339422468347038</v>
      </c>
      <c r="AE18" s="447">
        <f t="shared" si="3"/>
        <v>6.9651449869454609</v>
      </c>
      <c r="AF18" s="447">
        <f t="shared" si="3"/>
        <v>6.9964881393866563</v>
      </c>
      <c r="AG18" s="447">
        <f t="shared" si="3"/>
        <v>7.0279723360138178</v>
      </c>
      <c r="AH18" s="447">
        <f t="shared" si="3"/>
        <v>7.0595982115260085</v>
      </c>
      <c r="AI18" s="447">
        <f t="shared" si="3"/>
        <v>7.0913664034778776</v>
      </c>
    </row>
    <row r="19" spans="2:35" ht="13.5" customHeight="1" x14ac:dyDescent="0.2"/>
    <row r="20" spans="2:35" s="50" customFormat="1" ht="13.5" customHeight="1" x14ac:dyDescent="0.2"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</row>
    <row r="21" spans="2:35" s="50" customFormat="1" ht="13.5" customHeight="1" x14ac:dyDescent="0.2">
      <c r="B21" s="340" t="s">
        <v>225</v>
      </c>
      <c r="C21" s="331"/>
      <c r="D21" s="331"/>
      <c r="E21" s="331"/>
      <c r="F21" s="331"/>
      <c r="G21" s="331"/>
      <c r="H21" s="331"/>
      <c r="I21" s="331"/>
      <c r="J21" s="365">
        <f t="shared" ref="J21:O21" si="4">J15</f>
        <v>2819.1460681535555</v>
      </c>
      <c r="K21" s="383">
        <f t="shared" si="4"/>
        <v>2826.3744149736008</v>
      </c>
      <c r="L21" s="365">
        <f t="shared" si="4"/>
        <v>2840.7647269881745</v>
      </c>
      <c r="M21" s="365">
        <f t="shared" si="4"/>
        <v>2827.4007417521134</v>
      </c>
      <c r="N21" s="365">
        <f t="shared" si="4"/>
        <v>2885.5996014783495</v>
      </c>
      <c r="O21" s="384">
        <f t="shared" si="4"/>
        <v>2898.609252164747</v>
      </c>
      <c r="P21" s="383">
        <f>O21+P18</f>
        <v>2905.1207521647466</v>
      </c>
      <c r="Q21" s="365">
        <f t="shared" ref="Q21:AI21" si="5">P21+Q18</f>
        <v>2911.6615539147465</v>
      </c>
      <c r="R21" s="365">
        <f t="shared" si="5"/>
        <v>2918.2317892726214</v>
      </c>
      <c r="S21" s="365">
        <f t="shared" si="5"/>
        <v>2924.8315906896069</v>
      </c>
      <c r="T21" s="384">
        <f t="shared" si="5"/>
        <v>2931.4610912129683</v>
      </c>
      <c r="U21" s="383">
        <f t="shared" si="5"/>
        <v>2938.1204244886853</v>
      </c>
      <c r="V21" s="365">
        <f t="shared" si="5"/>
        <v>2944.8097247641431</v>
      </c>
      <c r="W21" s="365">
        <f t="shared" si="5"/>
        <v>2951.5291268908404</v>
      </c>
      <c r="X21" s="365">
        <f t="shared" si="5"/>
        <v>2958.2787663271079</v>
      </c>
      <c r="Y21" s="384">
        <f t="shared" si="5"/>
        <v>2965.0587791408384</v>
      </c>
      <c r="Z21" s="383">
        <f t="shared" si="5"/>
        <v>2971.8693020122309</v>
      </c>
      <c r="AA21" s="365">
        <f t="shared" si="5"/>
        <v>2978.7104722365448</v>
      </c>
      <c r="AB21" s="365">
        <f t="shared" si="5"/>
        <v>2985.5824277268675</v>
      </c>
      <c r="AC21" s="365">
        <f t="shared" si="5"/>
        <v>2992.485307016897</v>
      </c>
      <c r="AD21" s="384">
        <f t="shared" si="5"/>
        <v>2999.4192492637317</v>
      </c>
      <c r="AE21" s="383">
        <f t="shared" si="5"/>
        <v>3006.3843942506774</v>
      </c>
      <c r="AF21" s="365">
        <f t="shared" si="5"/>
        <v>3013.380882390064</v>
      </c>
      <c r="AG21" s="365">
        <f t="shared" si="5"/>
        <v>3020.4088547260781</v>
      </c>
      <c r="AH21" s="365">
        <f t="shared" si="5"/>
        <v>3027.4684529376041</v>
      </c>
      <c r="AI21" s="384">
        <f t="shared" si="5"/>
        <v>3034.5598193410819</v>
      </c>
    </row>
    <row r="22" spans="2:35" s="50" customFormat="1" ht="13.5" customHeight="1" x14ac:dyDescent="0.2">
      <c r="B22" s="332"/>
      <c r="C22" s="333"/>
      <c r="D22" s="333"/>
      <c r="E22" s="333"/>
      <c r="F22" s="333"/>
      <c r="G22" s="333"/>
      <c r="H22" s="333"/>
      <c r="I22" s="333"/>
      <c r="J22" s="334"/>
      <c r="K22" s="385">
        <f>K21/J21-1</f>
        <v>2.5640199710472711E-3</v>
      </c>
      <c r="L22" s="335">
        <f t="shared" ref="L22:V22" si="6">L21/K21-1</f>
        <v>5.0914386778824205E-3</v>
      </c>
      <c r="M22" s="335">
        <f t="shared" si="6"/>
        <v>-4.7043618604170057E-3</v>
      </c>
      <c r="N22" s="335">
        <f t="shared" si="6"/>
        <v>2.0583873685401599E-2</v>
      </c>
      <c r="O22" s="386">
        <f t="shared" si="6"/>
        <v>4.5084739683676212E-3</v>
      </c>
      <c r="P22" s="385">
        <f t="shared" si="6"/>
        <v>2.2464221402511697E-3</v>
      </c>
      <c r="Q22" s="335">
        <f t="shared" si="6"/>
        <v>2.2514732804570503E-3</v>
      </c>
      <c r="R22" s="335">
        <f t="shared" si="6"/>
        <v>2.2565244058125877E-3</v>
      </c>
      <c r="S22" s="335">
        <f t="shared" si="6"/>
        <v>2.2615754654056186E-3</v>
      </c>
      <c r="T22" s="386">
        <f t="shared" si="6"/>
        <v>2.2666264083253118E-3</v>
      </c>
      <c r="U22" s="385">
        <f t="shared" si="6"/>
        <v>2.2716771836672756E-3</v>
      </c>
      <c r="V22" s="335">
        <f t="shared" si="6"/>
        <v>2.276727740532225E-3</v>
      </c>
      <c r="W22" s="335">
        <f t="shared" ref="W22" si="7">W21/V21-1</f>
        <v>2.2817780280304234E-3</v>
      </c>
      <c r="X22" s="335">
        <f t="shared" ref="X22" si="8">X21/W21-1</f>
        <v>2.2868279952830139E-3</v>
      </c>
      <c r="Y22" s="386">
        <f t="shared" ref="Y22" si="9">Y21/X21-1</f>
        <v>2.2918775914240186E-3</v>
      </c>
      <c r="Z22" s="385">
        <f t="shared" ref="Z22" si="10">Z21/Y21-1</f>
        <v>2.2969267656023362E-3</v>
      </c>
      <c r="AA22" s="335">
        <f t="shared" ref="AA22" si="11">AA21/Z21-1</f>
        <v>2.3019754669835191E-3</v>
      </c>
      <c r="AB22" s="335">
        <f t="shared" ref="AB22" si="12">AB21/AA21-1</f>
        <v>2.3070236447528814E-3</v>
      </c>
      <c r="AC22" s="335">
        <f t="shared" ref="AC22" si="13">AC21/AB21-1</f>
        <v>2.3120712481166095E-3</v>
      </c>
      <c r="AD22" s="386">
        <f t="shared" ref="AD22" si="14">AD21/AC21-1</f>
        <v>2.3171182263035384E-3</v>
      </c>
      <c r="AE22" s="335">
        <f t="shared" ref="AE22" si="15">AE21/AD21-1</f>
        <v>2.3221645285684822E-3</v>
      </c>
      <c r="AF22" s="335">
        <f t="shared" ref="AF22" si="16">AF21/AE21-1</f>
        <v>2.3272101041924564E-3</v>
      </c>
      <c r="AG22" s="335">
        <f t="shared" ref="AG22" si="17">AG21/AF21-1</f>
        <v>2.3322549024866746E-3</v>
      </c>
      <c r="AH22" s="335">
        <f t="shared" ref="AH22" si="18">AH21/AG21-1</f>
        <v>2.3372988727932142E-3</v>
      </c>
      <c r="AI22" s="335">
        <f t="shared" ref="AI22" si="19">AI21/AH21-1</f>
        <v>2.3423419644874599E-3</v>
      </c>
    </row>
    <row r="23" spans="2:35" s="50" customFormat="1" ht="13.5" customHeight="1" x14ac:dyDescent="0.2">
      <c r="B23" s="71"/>
      <c r="C23" s="71"/>
      <c r="D23" s="71"/>
      <c r="E23" s="71"/>
      <c r="F23" s="71"/>
      <c r="G23" s="71"/>
      <c r="H23" s="71"/>
      <c r="I23" s="71"/>
      <c r="J23" s="65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</row>
    <row r="24" spans="2:35" s="50" customFormat="1" ht="13.5" customHeight="1" x14ac:dyDescent="0.2">
      <c r="B24" s="71"/>
      <c r="C24" s="71"/>
      <c r="D24" s="71"/>
      <c r="E24" s="71"/>
      <c r="F24" s="71"/>
      <c r="G24" s="71"/>
      <c r="H24" s="71"/>
      <c r="I24" s="71"/>
      <c r="J24" s="65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</row>
    <row r="25" spans="2:35" s="50" customFormat="1" ht="13.5" customHeight="1" x14ac:dyDescent="0.2">
      <c r="B25" s="343" t="s">
        <v>226</v>
      </c>
      <c r="C25" s="331"/>
      <c r="D25" s="331"/>
      <c r="E25" s="331"/>
      <c r="F25" s="331"/>
      <c r="G25" s="331"/>
      <c r="H25" s="331"/>
      <c r="I25" s="331"/>
      <c r="J25" s="387"/>
      <c r="K25" s="392"/>
      <c r="L25" s="393"/>
      <c r="M25" s="393"/>
      <c r="N25" s="393"/>
      <c r="O25" s="394"/>
      <c r="P25" s="392"/>
      <c r="Q25" s="393"/>
      <c r="R25" s="393"/>
      <c r="S25" s="393"/>
      <c r="T25" s="394"/>
      <c r="U25" s="392"/>
      <c r="V25" s="393"/>
      <c r="W25" s="393"/>
      <c r="X25" s="393"/>
      <c r="Y25" s="394"/>
      <c r="Z25" s="392"/>
      <c r="AA25" s="393"/>
      <c r="AB25" s="393"/>
      <c r="AC25" s="393"/>
      <c r="AD25" s="394"/>
      <c r="AE25" s="392"/>
      <c r="AF25" s="393"/>
      <c r="AG25" s="393"/>
      <c r="AH25" s="393"/>
      <c r="AI25" s="394"/>
    </row>
    <row r="26" spans="2:35" s="50" customFormat="1" ht="13.5" customHeight="1" x14ac:dyDescent="0.2">
      <c r="B26" s="342" t="s">
        <v>124</v>
      </c>
      <c r="C26" s="71"/>
      <c r="D26" s="388"/>
      <c r="E26" s="388"/>
      <c r="F26" s="388"/>
      <c r="G26" s="388"/>
      <c r="H26" s="388"/>
      <c r="I26" s="388"/>
      <c r="J26" s="389">
        <f t="shared" ref="J26:AI26" si="20">$N6*J$21</f>
        <v>62.155742366417861</v>
      </c>
      <c r="K26" s="395">
        <f t="shared" si="20"/>
        <v>62.315110931160632</v>
      </c>
      <c r="L26" s="396">
        <f t="shared" si="20"/>
        <v>62.632384497172069</v>
      </c>
      <c r="M26" s="396">
        <f t="shared" si="20"/>
        <v>62.337739096316596</v>
      </c>
      <c r="N26" s="396">
        <f t="shared" si="20"/>
        <v>63.620891243708698</v>
      </c>
      <c r="O26" s="389">
        <f t="shared" si="20"/>
        <v>63.907724375725316</v>
      </c>
      <c r="P26" s="395">
        <f t="shared" si="20"/>
        <v>64.051288102696006</v>
      </c>
      <c r="Q26" s="396">
        <f t="shared" si="20"/>
        <v>64.195497866438075</v>
      </c>
      <c r="R26" s="396">
        <f t="shared" si="20"/>
        <v>64.340356574116981</v>
      </c>
      <c r="S26" s="396">
        <f t="shared" si="20"/>
        <v>64.48586714598045</v>
      </c>
      <c r="T26" s="389">
        <f t="shared" si="20"/>
        <v>64.632032515417293</v>
      </c>
      <c r="U26" s="395">
        <f t="shared" si="20"/>
        <v>64.778855629016618</v>
      </c>
      <c r="V26" s="396">
        <f t="shared" si="20"/>
        <v>64.926339446627125</v>
      </c>
      <c r="W26" s="396">
        <f t="shared" si="20"/>
        <v>65.074486941416893</v>
      </c>
      <c r="X26" s="396">
        <f t="shared" si="20"/>
        <v>65.223301099933209</v>
      </c>
      <c r="Y26" s="389">
        <f t="shared" si="20"/>
        <v>65.37278492216285</v>
      </c>
      <c r="Z26" s="395">
        <f t="shared" si="20"/>
        <v>65.52294142159252</v>
      </c>
      <c r="AA26" s="396">
        <f t="shared" si="20"/>
        <v>65.673773625269632</v>
      </c>
      <c r="AB26" s="396">
        <f t="shared" si="20"/>
        <v>65.825284573863271</v>
      </c>
      <c r="AC26" s="396">
        <f t="shared" si="20"/>
        <v>65.977477321725601</v>
      </c>
      <c r="AD26" s="389">
        <f t="shared" si="20"/>
        <v>66.13035493695331</v>
      </c>
      <c r="AE26" s="395">
        <f t="shared" si="20"/>
        <v>66.283920501449543</v>
      </c>
      <c r="AF26" s="396">
        <f t="shared" si="20"/>
        <v>66.438177110986004</v>
      </c>
      <c r="AG26" s="396">
        <f t="shared" si="20"/>
        <v>66.593127875265381</v>
      </c>
      <c r="AH26" s="396">
        <f t="shared" si="20"/>
        <v>66.74877591798402</v>
      </c>
      <c r="AI26" s="389">
        <f t="shared" si="20"/>
        <v>66.905124376894889</v>
      </c>
    </row>
    <row r="27" spans="2:35" s="50" customFormat="1" ht="13.5" customHeight="1" x14ac:dyDescent="0.2">
      <c r="B27" s="342" t="s">
        <v>123</v>
      </c>
      <c r="C27" s="71"/>
      <c r="D27" s="388"/>
      <c r="E27" s="388"/>
      <c r="F27" s="388"/>
      <c r="G27" s="388"/>
      <c r="H27" s="388"/>
      <c r="I27" s="388"/>
      <c r="J27" s="389">
        <f t="shared" ref="J27:AI27" si="21">$N7*J$21</f>
        <v>60.452845315283128</v>
      </c>
      <c r="K27" s="395">
        <f t="shared" si="21"/>
        <v>60.607847617978152</v>
      </c>
      <c r="L27" s="396">
        <f t="shared" si="21"/>
        <v>60.916428757523526</v>
      </c>
      <c r="M27" s="396">
        <f t="shared" si="21"/>
        <v>60.629855833403816</v>
      </c>
      <c r="N27" s="396">
        <f t="shared" si="21"/>
        <v>61.877853127442712</v>
      </c>
      <c r="O27" s="389">
        <f t="shared" si="21"/>
        <v>62.156827817486267</v>
      </c>
      <c r="P27" s="395">
        <f t="shared" si="21"/>
        <v>62.296458291663242</v>
      </c>
      <c r="Q27" s="396">
        <f t="shared" si="21"/>
        <v>62.436717102974022</v>
      </c>
      <c r="R27" s="396">
        <f t="shared" si="21"/>
        <v>62.577607078935706</v>
      </c>
      <c r="S27" s="396">
        <f t="shared" si="21"/>
        <v>62.719131059789213</v>
      </c>
      <c r="T27" s="389">
        <f t="shared" si="21"/>
        <v>62.861291898556551</v>
      </c>
      <c r="U27" s="395">
        <f t="shared" si="21"/>
        <v>63.004092461098352</v>
      </c>
      <c r="V27" s="396">
        <f t="shared" si="21"/>
        <v>63.147535626171596</v>
      </c>
      <c r="W27" s="396">
        <f t="shared" si="21"/>
        <v>63.291624285487664</v>
      </c>
      <c r="X27" s="396">
        <f t="shared" si="21"/>
        <v>63.436361343770656</v>
      </c>
      <c r="Y27" s="389">
        <f t="shared" si="21"/>
        <v>63.581749718815921</v>
      </c>
      <c r="Z27" s="395">
        <f t="shared" si="21"/>
        <v>63.727792341548898</v>
      </c>
      <c r="AA27" s="396">
        <f t="shared" si="21"/>
        <v>63.874492156084166</v>
      </c>
      <c r="AB27" s="396">
        <f t="shared" si="21"/>
        <v>64.021852119784839</v>
      </c>
      <c r="AC27" s="396">
        <f t="shared" si="21"/>
        <v>64.169875203322164</v>
      </c>
      <c r="AD27" s="389">
        <f t="shared" si="21"/>
        <v>64.318564390735403</v>
      </c>
      <c r="AE27" s="395">
        <f t="shared" si="21"/>
        <v>64.46792267949202</v>
      </c>
      <c r="AF27" s="396">
        <f t="shared" si="21"/>
        <v>64.617953080548034</v>
      </c>
      <c r="AG27" s="396">
        <f t="shared" si="21"/>
        <v>64.768658618408807</v>
      </c>
      <c r="AH27" s="396">
        <f t="shared" si="21"/>
        <v>64.920042331189933</v>
      </c>
      <c r="AI27" s="389">
        <f t="shared" si="21"/>
        <v>65.072107270678586</v>
      </c>
    </row>
    <row r="28" spans="2:35" s="50" customFormat="1" ht="13.5" customHeight="1" x14ac:dyDescent="0.2">
      <c r="B28" s="342" t="s">
        <v>122</v>
      </c>
      <c r="C28" s="71"/>
      <c r="D28" s="388"/>
      <c r="E28" s="388"/>
      <c r="F28" s="388"/>
      <c r="G28" s="388"/>
      <c r="H28" s="388"/>
      <c r="I28" s="388"/>
      <c r="J28" s="389">
        <f t="shared" ref="J28:AI28" si="22">$N8*J$21</f>
        <v>149.85494049985678</v>
      </c>
      <c r="K28" s="395">
        <f t="shared" si="22"/>
        <v>150.23917156005851</v>
      </c>
      <c r="L28" s="396">
        <f t="shared" si="22"/>
        <v>151.0041050890724</v>
      </c>
      <c r="M28" s="396">
        <f t="shared" si="22"/>
        <v>150.29372713632497</v>
      </c>
      <c r="N28" s="396">
        <f t="shared" si="22"/>
        <v>153.3873542314073</v>
      </c>
      <c r="O28" s="389">
        <f t="shared" si="22"/>
        <v>154.07889712503638</v>
      </c>
      <c r="P28" s="395">
        <f t="shared" si="22"/>
        <v>154.42502337088354</v>
      </c>
      <c r="Q28" s="396">
        <f t="shared" si="22"/>
        <v>154.77270718483703</v>
      </c>
      <c r="R28" s="396">
        <f t="shared" si="22"/>
        <v>155.12195557595331</v>
      </c>
      <c r="S28" s="396">
        <f t="shared" si="22"/>
        <v>155.47277558482961</v>
      </c>
      <c r="T28" s="389">
        <f t="shared" si="22"/>
        <v>155.82517428374584</v>
      </c>
      <c r="U28" s="395">
        <f t="shared" si="22"/>
        <v>156.17915877680718</v>
      </c>
      <c r="V28" s="396">
        <f t="shared" si="22"/>
        <v>156.53473620008734</v>
      </c>
      <c r="W28" s="396">
        <f t="shared" si="22"/>
        <v>156.89191372177226</v>
      </c>
      <c r="X28" s="396">
        <f t="shared" si="22"/>
        <v>157.25069854230475</v>
      </c>
      <c r="Y28" s="389">
        <f t="shared" si="22"/>
        <v>157.61109789452962</v>
      </c>
      <c r="Z28" s="395">
        <f t="shared" si="22"/>
        <v>157.97311904383952</v>
      </c>
      <c r="AA28" s="396">
        <f t="shared" si="22"/>
        <v>158.33676928832131</v>
      </c>
      <c r="AB28" s="396">
        <f t="shared" si="22"/>
        <v>158.70205595890326</v>
      </c>
      <c r="AC28" s="396">
        <f t="shared" si="22"/>
        <v>159.06898641950283</v>
      </c>
      <c r="AD28" s="389">
        <f t="shared" si="22"/>
        <v>159.43756806717511</v>
      </c>
      <c r="AE28" s="395">
        <f t="shared" si="22"/>
        <v>159.80780833226191</v>
      </c>
      <c r="AF28" s="396">
        <f t="shared" si="22"/>
        <v>160.17971467854161</v>
      </c>
      <c r="AG28" s="396">
        <f t="shared" si="22"/>
        <v>160.55329460337956</v>
      </c>
      <c r="AH28" s="396">
        <f t="shared" si="22"/>
        <v>160.9285556378793</v>
      </c>
      <c r="AI28" s="389">
        <f t="shared" si="22"/>
        <v>161.30550534703426</v>
      </c>
    </row>
    <row r="29" spans="2:35" s="50" customFormat="1" ht="13.5" customHeight="1" x14ac:dyDescent="0.2">
      <c r="B29" s="342" t="s">
        <v>121</v>
      </c>
      <c r="C29" s="71"/>
      <c r="D29" s="388"/>
      <c r="E29" s="388"/>
      <c r="F29" s="388"/>
      <c r="G29" s="388"/>
      <c r="H29" s="388"/>
      <c r="I29" s="388"/>
      <c r="J29" s="389">
        <f t="shared" ref="J29:AI29" si="23">$N9*J$21</f>
        <v>688.82185718400069</v>
      </c>
      <c r="K29" s="395">
        <f t="shared" si="23"/>
        <v>690.58801018231441</v>
      </c>
      <c r="L29" s="396">
        <f t="shared" si="23"/>
        <v>694.10409668783848</v>
      </c>
      <c r="M29" s="396">
        <f t="shared" si="23"/>
        <v>690.83877984822107</v>
      </c>
      <c r="N29" s="396">
        <f t="shared" si="23"/>
        <v>705.05891802959377</v>
      </c>
      <c r="O29" s="389">
        <f t="shared" si="23"/>
        <v>708.23765780769565</v>
      </c>
      <c r="P29" s="395">
        <f t="shared" si="23"/>
        <v>709.82865856275441</v>
      </c>
      <c r="Q29" s="396">
        <f t="shared" si="23"/>
        <v>711.4268188212111</v>
      </c>
      <c r="R29" s="396">
        <f t="shared" si="23"/>
        <v>713.03217080083084</v>
      </c>
      <c r="S29" s="396">
        <f t="shared" si="23"/>
        <v>714.64474686435881</v>
      </c>
      <c r="T29" s="389">
        <f t="shared" si="23"/>
        <v>716.26457952017256</v>
      </c>
      <c r="U29" s="395">
        <f t="shared" si="23"/>
        <v>717.89170142293767</v>
      </c>
      <c r="V29" s="396">
        <f t="shared" si="23"/>
        <v>719.52614537426507</v>
      </c>
      <c r="W29" s="396">
        <f t="shared" si="23"/>
        <v>721.1679443233736</v>
      </c>
      <c r="X29" s="396">
        <f t="shared" si="23"/>
        <v>722.81713136775306</v>
      </c>
      <c r="Y29" s="389">
        <f t="shared" si="23"/>
        <v>724.47373975383221</v>
      </c>
      <c r="Z29" s="395">
        <f t="shared" si="23"/>
        <v>726.13780287764871</v>
      </c>
      <c r="AA29" s="396">
        <f t="shared" si="23"/>
        <v>727.80935428552243</v>
      </c>
      <c r="AB29" s="396">
        <f t="shared" si="23"/>
        <v>729.4884276747315</v>
      </c>
      <c r="AC29" s="396">
        <f t="shared" si="23"/>
        <v>731.17505689419204</v>
      </c>
      <c r="AD29" s="389">
        <f t="shared" si="23"/>
        <v>732.86927594514009</v>
      </c>
      <c r="AE29" s="395">
        <f t="shared" si="23"/>
        <v>734.57111898181756</v>
      </c>
      <c r="AF29" s="396">
        <f t="shared" si="23"/>
        <v>736.28062031216007</v>
      </c>
      <c r="AG29" s="396">
        <f t="shared" si="23"/>
        <v>737.99781439848903</v>
      </c>
      <c r="AH29" s="396">
        <f t="shared" si="23"/>
        <v>739.72273585820653</v>
      </c>
      <c r="AI29" s="389">
        <f t="shared" si="23"/>
        <v>741.45541946449271</v>
      </c>
    </row>
    <row r="30" spans="2:35" s="50" customFormat="1" ht="13.5" customHeight="1" x14ac:dyDescent="0.25">
      <c r="B30" s="342" t="s">
        <v>120</v>
      </c>
      <c r="C30" s="390"/>
      <c r="D30" s="388"/>
      <c r="E30" s="388"/>
      <c r="F30" s="388"/>
      <c r="G30" s="388"/>
      <c r="H30" s="388"/>
      <c r="I30" s="388"/>
      <c r="J30" s="391">
        <f t="shared" ref="J30:AI30" si="24">$N10*J$21</f>
        <v>1857.8606827879969</v>
      </c>
      <c r="K30" s="397">
        <f t="shared" si="24"/>
        <v>1862.624274682089</v>
      </c>
      <c r="L30" s="338">
        <f t="shared" si="24"/>
        <v>1872.107711956568</v>
      </c>
      <c r="M30" s="338">
        <f t="shared" si="24"/>
        <v>1863.300639837847</v>
      </c>
      <c r="N30" s="338">
        <f t="shared" si="24"/>
        <v>1901.6545848461972</v>
      </c>
      <c r="O30" s="391">
        <f t="shared" si="24"/>
        <v>1910.2281450388032</v>
      </c>
      <c r="P30" s="397">
        <f t="shared" si="24"/>
        <v>1914.5193238367492</v>
      </c>
      <c r="Q30" s="338">
        <f t="shared" si="24"/>
        <v>1918.8298129392863</v>
      </c>
      <c r="R30" s="338">
        <f t="shared" si="24"/>
        <v>1923.1596992427847</v>
      </c>
      <c r="S30" s="338">
        <f t="shared" si="24"/>
        <v>1927.5090700346486</v>
      </c>
      <c r="T30" s="391">
        <f t="shared" si="24"/>
        <v>1931.878012995076</v>
      </c>
      <c r="U30" s="397">
        <f t="shared" si="24"/>
        <v>1936.2666161988254</v>
      </c>
      <c r="V30" s="338">
        <f t="shared" si="24"/>
        <v>1940.6749681169917</v>
      </c>
      <c r="W30" s="338">
        <f t="shared" si="24"/>
        <v>1945.10315761879</v>
      </c>
      <c r="X30" s="338">
        <f t="shared" si="24"/>
        <v>1949.5512739733463</v>
      </c>
      <c r="Y30" s="391">
        <f t="shared" si="24"/>
        <v>1954.0194068514977</v>
      </c>
      <c r="Z30" s="397">
        <f t="shared" si="24"/>
        <v>1958.5076463276012</v>
      </c>
      <c r="AA30" s="338">
        <f t="shared" si="24"/>
        <v>1963.0160828813471</v>
      </c>
      <c r="AB30" s="338">
        <f t="shared" si="24"/>
        <v>1967.5448073995847</v>
      </c>
      <c r="AC30" s="338">
        <f t="shared" si="24"/>
        <v>1972.0939111781543</v>
      </c>
      <c r="AD30" s="391">
        <f t="shared" si="24"/>
        <v>1976.6634859237276</v>
      </c>
      <c r="AE30" s="397">
        <f t="shared" si="24"/>
        <v>1981.2536237556562</v>
      </c>
      <c r="AF30" s="338">
        <f t="shared" si="24"/>
        <v>1985.8644172078282</v>
      </c>
      <c r="AG30" s="338">
        <f t="shared" si="24"/>
        <v>1990.4959592305352</v>
      </c>
      <c r="AH30" s="338">
        <f t="shared" si="24"/>
        <v>1995.1483431923443</v>
      </c>
      <c r="AI30" s="391">
        <f t="shared" si="24"/>
        <v>1999.8216628819814</v>
      </c>
    </row>
    <row r="31" spans="2:35" s="50" customFormat="1" ht="13.5" customHeight="1" x14ac:dyDescent="0.2">
      <c r="B31" s="332"/>
      <c r="C31" s="333"/>
      <c r="D31" s="333"/>
      <c r="E31" s="333"/>
      <c r="F31" s="333"/>
      <c r="G31" s="333"/>
      <c r="H31" s="333"/>
      <c r="I31" s="333"/>
      <c r="J31" s="391">
        <f>SUM(J26:J30)</f>
        <v>2819.1460681535555</v>
      </c>
      <c r="K31" s="397">
        <f t="shared" ref="K31:AI31" si="25">SUM(K26:K30)</f>
        <v>2826.3744149736008</v>
      </c>
      <c r="L31" s="338">
        <f t="shared" si="25"/>
        <v>2840.7647269881745</v>
      </c>
      <c r="M31" s="338">
        <f t="shared" si="25"/>
        <v>2827.4007417521134</v>
      </c>
      <c r="N31" s="338">
        <f t="shared" si="25"/>
        <v>2885.5996014783495</v>
      </c>
      <c r="O31" s="391">
        <f t="shared" si="25"/>
        <v>2898.609252164747</v>
      </c>
      <c r="P31" s="397">
        <f t="shared" si="25"/>
        <v>2905.1207521647466</v>
      </c>
      <c r="Q31" s="338">
        <f t="shared" si="25"/>
        <v>2911.6615539147465</v>
      </c>
      <c r="R31" s="338">
        <f t="shared" si="25"/>
        <v>2918.2317892726214</v>
      </c>
      <c r="S31" s="338">
        <f t="shared" si="25"/>
        <v>2924.8315906896069</v>
      </c>
      <c r="T31" s="391">
        <f t="shared" si="25"/>
        <v>2931.4610912129683</v>
      </c>
      <c r="U31" s="397">
        <f t="shared" si="25"/>
        <v>2938.1204244886853</v>
      </c>
      <c r="V31" s="338">
        <f t="shared" si="25"/>
        <v>2944.8097247641426</v>
      </c>
      <c r="W31" s="338">
        <f t="shared" si="25"/>
        <v>2951.5291268908404</v>
      </c>
      <c r="X31" s="338">
        <f t="shared" si="25"/>
        <v>2958.2787663271079</v>
      </c>
      <c r="Y31" s="391">
        <f t="shared" si="25"/>
        <v>2965.0587791408384</v>
      </c>
      <c r="Z31" s="397">
        <f t="shared" si="25"/>
        <v>2971.8693020122309</v>
      </c>
      <c r="AA31" s="338">
        <f t="shared" si="25"/>
        <v>2978.7104722365448</v>
      </c>
      <c r="AB31" s="338">
        <f t="shared" si="25"/>
        <v>2985.5824277268675</v>
      </c>
      <c r="AC31" s="338">
        <f t="shared" si="25"/>
        <v>2992.485307016897</v>
      </c>
      <c r="AD31" s="391">
        <f t="shared" si="25"/>
        <v>2999.4192492637317</v>
      </c>
      <c r="AE31" s="397">
        <f t="shared" si="25"/>
        <v>3006.3843942506774</v>
      </c>
      <c r="AF31" s="338">
        <f t="shared" si="25"/>
        <v>3013.3808823900636</v>
      </c>
      <c r="AG31" s="338">
        <f t="shared" si="25"/>
        <v>3020.4088547260781</v>
      </c>
      <c r="AH31" s="338">
        <f t="shared" si="25"/>
        <v>3027.4684529376041</v>
      </c>
      <c r="AI31" s="391">
        <f t="shared" si="25"/>
        <v>3034.5598193410819</v>
      </c>
    </row>
    <row r="32" spans="2:35" s="50" customFormat="1" ht="13.5" customHeight="1" x14ac:dyDescent="0.2"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</row>
    <row r="33" spans="2:35" s="50" customFormat="1" ht="13.5" customHeight="1" x14ac:dyDescent="0.2"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</row>
    <row r="34" spans="2:35" s="50" customFormat="1" ht="13.5" customHeight="1" x14ac:dyDescent="0.25">
      <c r="B34" s="343" t="s">
        <v>227</v>
      </c>
      <c r="C34" s="331"/>
      <c r="D34" s="331"/>
      <c r="E34" s="331"/>
      <c r="F34" s="331"/>
      <c r="G34" s="331"/>
      <c r="H34" s="331"/>
      <c r="I34" s="331"/>
      <c r="J34" s="344"/>
      <c r="K34" s="359" t="str">
        <f>K2</f>
        <v>2015/16</v>
      </c>
      <c r="L34" s="359" t="str">
        <f t="shared" ref="L34:AI34" si="26">L2</f>
        <v>2016/17</v>
      </c>
      <c r="M34" s="359" t="str">
        <f t="shared" si="26"/>
        <v>2017/18</v>
      </c>
      <c r="N34" s="360" t="str">
        <f t="shared" si="26"/>
        <v>2018/19</v>
      </c>
      <c r="O34" s="361" t="str">
        <f t="shared" si="26"/>
        <v>2019/20</v>
      </c>
      <c r="P34" s="362" t="str">
        <f t="shared" si="26"/>
        <v>2020/21</v>
      </c>
      <c r="Q34" s="360" t="str">
        <f t="shared" si="26"/>
        <v>2021/22</v>
      </c>
      <c r="R34" s="360" t="str">
        <f t="shared" si="26"/>
        <v>2022/23</v>
      </c>
      <c r="S34" s="360" t="str">
        <f t="shared" si="26"/>
        <v>2023/24</v>
      </c>
      <c r="T34" s="361" t="str">
        <f t="shared" si="26"/>
        <v>2024/25</v>
      </c>
      <c r="U34" s="362" t="str">
        <f t="shared" si="26"/>
        <v>2025/26</v>
      </c>
      <c r="V34" s="360" t="str">
        <f t="shared" si="26"/>
        <v>2026/27</v>
      </c>
      <c r="W34" s="360" t="str">
        <f t="shared" si="26"/>
        <v>2027/28</v>
      </c>
      <c r="X34" s="360" t="str">
        <f t="shared" si="26"/>
        <v>2028/29</v>
      </c>
      <c r="Y34" s="361" t="str">
        <f t="shared" si="26"/>
        <v>2029/30</v>
      </c>
      <c r="Z34" s="362" t="str">
        <f t="shared" si="26"/>
        <v>2030/31</v>
      </c>
      <c r="AA34" s="360" t="str">
        <f t="shared" si="26"/>
        <v>2031/32</v>
      </c>
      <c r="AB34" s="360" t="str">
        <f t="shared" si="26"/>
        <v>2032/33</v>
      </c>
      <c r="AC34" s="360" t="str">
        <f t="shared" si="26"/>
        <v>2033/34</v>
      </c>
      <c r="AD34" s="361" t="str">
        <f t="shared" si="26"/>
        <v>2034/35</v>
      </c>
      <c r="AE34" s="362" t="str">
        <f t="shared" si="26"/>
        <v>2035/36</v>
      </c>
      <c r="AF34" s="360" t="str">
        <f t="shared" si="26"/>
        <v>2036/37</v>
      </c>
      <c r="AG34" s="360" t="str">
        <f t="shared" si="26"/>
        <v>2037/38</v>
      </c>
      <c r="AH34" s="359" t="str">
        <f t="shared" si="26"/>
        <v>2038/39</v>
      </c>
      <c r="AI34" s="363" t="str">
        <f t="shared" si="26"/>
        <v>2039/40</v>
      </c>
    </row>
    <row r="35" spans="2:35" s="50" customFormat="1" ht="13.5" customHeight="1" x14ac:dyDescent="0.25">
      <c r="B35" s="341"/>
      <c r="C35" s="71"/>
      <c r="D35" s="71"/>
      <c r="E35" s="71"/>
      <c r="F35" s="71"/>
      <c r="G35" s="71"/>
      <c r="H35" s="71"/>
      <c r="I35" s="71"/>
      <c r="J35" s="72"/>
      <c r="K35" s="216"/>
      <c r="L35" s="216"/>
      <c r="M35" s="216"/>
      <c r="N35" s="216"/>
      <c r="O35" s="217"/>
      <c r="P35" s="215"/>
      <c r="Q35" s="216"/>
      <c r="R35" s="216"/>
      <c r="S35" s="216"/>
      <c r="T35" s="217"/>
      <c r="U35" s="215"/>
      <c r="V35" s="216"/>
      <c r="W35" s="216"/>
      <c r="X35" s="216"/>
      <c r="Y35" s="217"/>
      <c r="Z35" s="215"/>
      <c r="AA35" s="216"/>
      <c r="AB35" s="216"/>
      <c r="AC35" s="216"/>
      <c r="AD35" s="217"/>
      <c r="AE35" s="215"/>
      <c r="AF35" s="216"/>
      <c r="AG35" s="216"/>
      <c r="AH35" s="216"/>
      <c r="AI35" s="217"/>
    </row>
    <row r="36" spans="2:35" s="50" customFormat="1" ht="13.5" customHeight="1" x14ac:dyDescent="0.25">
      <c r="B36" s="342" t="s">
        <v>124</v>
      </c>
      <c r="C36" s="71"/>
      <c r="D36" s="71"/>
      <c r="E36" s="71"/>
      <c r="F36" s="71"/>
      <c r="G36" s="71"/>
      <c r="H36" s="71"/>
      <c r="I36" s="71"/>
      <c r="J36" s="72"/>
      <c r="K36" s="349">
        <f>K26-J26</f>
        <v>0.1593685647427705</v>
      </c>
      <c r="L36" s="349">
        <f t="shared" ref="L36:AI40" si="27">L26-K26</f>
        <v>0.31727356601143697</v>
      </c>
      <c r="M36" s="349">
        <f t="shared" si="27"/>
        <v>-0.29464540085547242</v>
      </c>
      <c r="N36" s="350">
        <f t="shared" si="27"/>
        <v>1.2831521473921015</v>
      </c>
      <c r="O36" s="351">
        <f t="shared" si="27"/>
        <v>0.28683313201661775</v>
      </c>
      <c r="P36" s="352">
        <f t="shared" si="27"/>
        <v>0.1435637269706902</v>
      </c>
      <c r="Q36" s="353">
        <f t="shared" si="27"/>
        <v>0.14420976374206873</v>
      </c>
      <c r="R36" s="353">
        <f t="shared" si="27"/>
        <v>0.14485870767890674</v>
      </c>
      <c r="S36" s="353">
        <f t="shared" si="27"/>
        <v>0.14551057186346839</v>
      </c>
      <c r="T36" s="354">
        <f t="shared" si="27"/>
        <v>0.14616536943684366</v>
      </c>
      <c r="U36" s="352">
        <f t="shared" si="27"/>
        <v>0.14682311359932498</v>
      </c>
      <c r="V36" s="353">
        <f t="shared" si="27"/>
        <v>0.14748381761050666</v>
      </c>
      <c r="W36" s="353">
        <f t="shared" si="27"/>
        <v>0.14814749478976807</v>
      </c>
      <c r="X36" s="353">
        <f t="shared" si="27"/>
        <v>0.1488141585163163</v>
      </c>
      <c r="Y36" s="354">
        <f t="shared" si="27"/>
        <v>0.14948382222964085</v>
      </c>
      <c r="Z36" s="352">
        <f t="shared" si="27"/>
        <v>0.15015649942967002</v>
      </c>
      <c r="AA36" s="353">
        <f t="shared" si="27"/>
        <v>0.15083220367711192</v>
      </c>
      <c r="AB36" s="353">
        <f t="shared" si="27"/>
        <v>0.15151094859363923</v>
      </c>
      <c r="AC36" s="353">
        <f t="shared" si="27"/>
        <v>0.15219274786232972</v>
      </c>
      <c r="AD36" s="354">
        <f t="shared" si="27"/>
        <v>0.15287761522770893</v>
      </c>
      <c r="AE36" s="352">
        <f t="shared" si="27"/>
        <v>0.15356556449623326</v>
      </c>
      <c r="AF36" s="353">
        <f t="shared" si="27"/>
        <v>0.15425660953646059</v>
      </c>
      <c r="AG36" s="353">
        <f t="shared" si="27"/>
        <v>0.15495076427937704</v>
      </c>
      <c r="AH36" s="355">
        <f t="shared" si="27"/>
        <v>0.15564804271863864</v>
      </c>
      <c r="AI36" s="356">
        <f t="shared" si="27"/>
        <v>0.15634845891086968</v>
      </c>
    </row>
    <row r="37" spans="2:35" s="50" customFormat="1" ht="13.5" customHeight="1" x14ac:dyDescent="0.25">
      <c r="B37" s="342" t="s">
        <v>123</v>
      </c>
      <c r="C37" s="71"/>
      <c r="D37" s="71"/>
      <c r="E37" s="71"/>
      <c r="F37" s="71"/>
      <c r="G37" s="71"/>
      <c r="H37" s="71"/>
      <c r="I37" s="71"/>
      <c r="J37" s="72"/>
      <c r="K37" s="349">
        <f t="shared" ref="K37:U40" si="28">K27-J27</f>
        <v>0.15500230269502424</v>
      </c>
      <c r="L37" s="349">
        <f t="shared" si="28"/>
        <v>0.30858113954537458</v>
      </c>
      <c r="M37" s="349">
        <f t="shared" si="28"/>
        <v>-0.28657292411971014</v>
      </c>
      <c r="N37" s="350">
        <f t="shared" si="28"/>
        <v>1.2479972940388961</v>
      </c>
      <c r="O37" s="351">
        <f t="shared" si="28"/>
        <v>0.27897469004355457</v>
      </c>
      <c r="P37" s="352">
        <f t="shared" si="28"/>
        <v>0.13963047417697538</v>
      </c>
      <c r="Q37" s="353">
        <f t="shared" si="28"/>
        <v>0.14025881131077966</v>
      </c>
      <c r="R37" s="353">
        <f t="shared" si="28"/>
        <v>0.1408899759616844</v>
      </c>
      <c r="S37" s="353">
        <f t="shared" si="28"/>
        <v>0.14152398085350626</v>
      </c>
      <c r="T37" s="354">
        <f t="shared" si="28"/>
        <v>0.14216083876733876</v>
      </c>
      <c r="U37" s="352">
        <f t="shared" si="28"/>
        <v>0.14280056254180096</v>
      </c>
      <c r="V37" s="353">
        <f t="shared" si="27"/>
        <v>0.14344316507324351</v>
      </c>
      <c r="W37" s="353">
        <f t="shared" si="27"/>
        <v>0.1440886593160684</v>
      </c>
      <c r="X37" s="353">
        <f t="shared" si="27"/>
        <v>0.14473705828299188</v>
      </c>
      <c r="Y37" s="354">
        <f t="shared" si="27"/>
        <v>0.1453883750452647</v>
      </c>
      <c r="Z37" s="352">
        <f t="shared" si="27"/>
        <v>0.14604262273297763</v>
      </c>
      <c r="AA37" s="353">
        <f t="shared" si="27"/>
        <v>0.14669981453526759</v>
      </c>
      <c r="AB37" s="353">
        <f t="shared" si="27"/>
        <v>0.14735996370067284</v>
      </c>
      <c r="AC37" s="353">
        <f t="shared" si="27"/>
        <v>0.14802308353732485</v>
      </c>
      <c r="AD37" s="354">
        <f t="shared" si="27"/>
        <v>0.14868918741323967</v>
      </c>
      <c r="AE37" s="352">
        <f t="shared" si="27"/>
        <v>0.14935828875661628</v>
      </c>
      <c r="AF37" s="353">
        <f t="shared" si="27"/>
        <v>0.15003040105601428</v>
      </c>
      <c r="AG37" s="353">
        <f t="shared" si="27"/>
        <v>0.15070553786077312</v>
      </c>
      <c r="AH37" s="355">
        <f t="shared" si="27"/>
        <v>0.15138371278112572</v>
      </c>
      <c r="AI37" s="356">
        <f t="shared" si="27"/>
        <v>0.15206493948865329</v>
      </c>
    </row>
    <row r="38" spans="2:35" s="50" customFormat="1" ht="13.5" customHeight="1" x14ac:dyDescent="0.25">
      <c r="B38" s="342" t="s">
        <v>122</v>
      </c>
      <c r="C38" s="71"/>
      <c r="D38" s="71"/>
      <c r="E38" s="71"/>
      <c r="F38" s="71"/>
      <c r="G38" s="71"/>
      <c r="H38" s="71"/>
      <c r="I38" s="71"/>
      <c r="J38" s="72"/>
      <c r="K38" s="349">
        <f t="shared" si="28"/>
        <v>0.38423106020172781</v>
      </c>
      <c r="L38" s="349">
        <f t="shared" si="28"/>
        <v>0.76493352901388789</v>
      </c>
      <c r="M38" s="349">
        <f t="shared" si="28"/>
        <v>-0.71037795274742166</v>
      </c>
      <c r="N38" s="350">
        <f t="shared" si="28"/>
        <v>3.0936270950823257</v>
      </c>
      <c r="O38" s="351">
        <f t="shared" si="28"/>
        <v>0.69154289362907662</v>
      </c>
      <c r="P38" s="352">
        <f t="shared" si="28"/>
        <v>0.34612624584715945</v>
      </c>
      <c r="Q38" s="353">
        <f t="shared" si="28"/>
        <v>0.34768381395349479</v>
      </c>
      <c r="R38" s="353">
        <f t="shared" si="28"/>
        <v>0.34924839111627648</v>
      </c>
      <c r="S38" s="353">
        <f t="shared" si="28"/>
        <v>0.35082000887629761</v>
      </c>
      <c r="T38" s="354">
        <f t="shared" si="28"/>
        <v>0.35239869891623243</v>
      </c>
      <c r="U38" s="352">
        <f t="shared" si="28"/>
        <v>0.35398449306134694</v>
      </c>
      <c r="V38" s="353">
        <f t="shared" si="27"/>
        <v>0.35557742328015252</v>
      </c>
      <c r="W38" s="353">
        <f t="shared" si="27"/>
        <v>0.35717752168491756</v>
      </c>
      <c r="X38" s="353">
        <f t="shared" si="27"/>
        <v>0.35878482053249172</v>
      </c>
      <c r="Y38" s="354">
        <f t="shared" si="27"/>
        <v>0.36039935222487429</v>
      </c>
      <c r="Z38" s="352">
        <f t="shared" si="27"/>
        <v>0.36202114930989637</v>
      </c>
      <c r="AA38" s="353">
        <f t="shared" si="27"/>
        <v>0.36365024448178929</v>
      </c>
      <c r="AB38" s="353">
        <f t="shared" si="27"/>
        <v>0.36528667058195197</v>
      </c>
      <c r="AC38" s="353">
        <f t="shared" si="27"/>
        <v>0.36693046059957624</v>
      </c>
      <c r="AD38" s="354">
        <f t="shared" si="27"/>
        <v>0.36858164767227208</v>
      </c>
      <c r="AE38" s="352">
        <f t="shared" si="27"/>
        <v>0.37024026508680663</v>
      </c>
      <c r="AF38" s="353">
        <f t="shared" si="27"/>
        <v>0.37190634627970098</v>
      </c>
      <c r="AG38" s="353">
        <f t="shared" si="27"/>
        <v>0.37357992483794078</v>
      </c>
      <c r="AH38" s="355">
        <f t="shared" si="27"/>
        <v>0.37526103449974357</v>
      </c>
      <c r="AI38" s="356">
        <f t="shared" si="27"/>
        <v>0.37694970915495674</v>
      </c>
    </row>
    <row r="39" spans="2:35" s="50" customFormat="1" ht="13.5" customHeight="1" x14ac:dyDescent="0.25">
      <c r="B39" s="342" t="s">
        <v>121</v>
      </c>
      <c r="C39" s="71"/>
      <c r="D39" s="71"/>
      <c r="E39" s="71"/>
      <c r="F39" s="71"/>
      <c r="G39" s="71"/>
      <c r="H39" s="71"/>
      <c r="I39" s="71"/>
      <c r="J39" s="72"/>
      <c r="K39" s="349">
        <f t="shared" si="28"/>
        <v>1.7661529983137143</v>
      </c>
      <c r="L39" s="349">
        <f t="shared" si="28"/>
        <v>3.516086505524072</v>
      </c>
      <c r="M39" s="349">
        <f t="shared" si="28"/>
        <v>-3.2653168396174124</v>
      </c>
      <c r="N39" s="350">
        <f t="shared" si="28"/>
        <v>14.220138181372704</v>
      </c>
      <c r="O39" s="351">
        <f t="shared" si="28"/>
        <v>3.1787397781018853</v>
      </c>
      <c r="P39" s="352">
        <f t="shared" si="28"/>
        <v>1.5910007550587579</v>
      </c>
      <c r="Q39" s="353">
        <f t="shared" si="28"/>
        <v>1.5981602584566872</v>
      </c>
      <c r="R39" s="353">
        <f t="shared" si="28"/>
        <v>1.6053519796197406</v>
      </c>
      <c r="S39" s="353">
        <f t="shared" si="28"/>
        <v>1.6125760635279676</v>
      </c>
      <c r="T39" s="354">
        <f t="shared" si="28"/>
        <v>1.6198326558137524</v>
      </c>
      <c r="U39" s="352">
        <f t="shared" si="28"/>
        <v>1.6271219027651114</v>
      </c>
      <c r="V39" s="353">
        <f t="shared" si="27"/>
        <v>1.6344439513273983</v>
      </c>
      <c r="W39" s="353">
        <f t="shared" si="27"/>
        <v>1.6417989491085336</v>
      </c>
      <c r="X39" s="353">
        <f t="shared" si="27"/>
        <v>1.6491870443794596</v>
      </c>
      <c r="Y39" s="354">
        <f t="shared" si="27"/>
        <v>1.6566083860791423</v>
      </c>
      <c r="Z39" s="352">
        <f t="shared" si="27"/>
        <v>1.6640631238165042</v>
      </c>
      <c r="AA39" s="353">
        <f t="shared" si="27"/>
        <v>1.6715514078737215</v>
      </c>
      <c r="AB39" s="353">
        <f t="shared" si="27"/>
        <v>1.6790733892090657</v>
      </c>
      <c r="AC39" s="353">
        <f t="shared" si="27"/>
        <v>1.6866292194605421</v>
      </c>
      <c r="AD39" s="354">
        <f t="shared" si="27"/>
        <v>1.6942190509480497</v>
      </c>
      <c r="AE39" s="352">
        <f t="shared" si="27"/>
        <v>1.7018430366774737</v>
      </c>
      <c r="AF39" s="353">
        <f t="shared" si="27"/>
        <v>1.7095013303425048</v>
      </c>
      <c r="AG39" s="353">
        <f t="shared" si="27"/>
        <v>1.7171940863289592</v>
      </c>
      <c r="AH39" s="355">
        <f t="shared" si="27"/>
        <v>1.7249214597175069</v>
      </c>
      <c r="AI39" s="356">
        <f t="shared" si="27"/>
        <v>1.732683606286173</v>
      </c>
    </row>
    <row r="40" spans="2:35" s="50" customFormat="1" ht="13.5" customHeight="1" x14ac:dyDescent="0.25">
      <c r="B40" s="342" t="s">
        <v>120</v>
      </c>
      <c r="C40" s="71"/>
      <c r="D40" s="71"/>
      <c r="E40" s="71"/>
      <c r="F40" s="71"/>
      <c r="G40" s="71"/>
      <c r="H40" s="71"/>
      <c r="I40" s="71"/>
      <c r="J40" s="72"/>
      <c r="K40" s="349">
        <f t="shared" si="28"/>
        <v>4.7635918940920874</v>
      </c>
      <c r="L40" s="349">
        <f t="shared" si="28"/>
        <v>9.4834372744790016</v>
      </c>
      <c r="M40" s="349">
        <f t="shared" si="28"/>
        <v>-8.8070721187209529</v>
      </c>
      <c r="N40" s="350">
        <f t="shared" si="28"/>
        <v>38.353945008350138</v>
      </c>
      <c r="O40" s="351">
        <f t="shared" si="28"/>
        <v>8.5735601926060099</v>
      </c>
      <c r="P40" s="352">
        <f t="shared" si="28"/>
        <v>4.2911787979460314</v>
      </c>
      <c r="Q40" s="353">
        <f t="shared" si="28"/>
        <v>4.3104891025370762</v>
      </c>
      <c r="R40" s="353">
        <f t="shared" si="28"/>
        <v>4.3298863034983697</v>
      </c>
      <c r="S40" s="353">
        <f t="shared" si="28"/>
        <v>4.3493707918639757</v>
      </c>
      <c r="T40" s="354">
        <f t="shared" si="28"/>
        <v>4.3689429604273755</v>
      </c>
      <c r="U40" s="352">
        <f t="shared" si="28"/>
        <v>4.388603203749426</v>
      </c>
      <c r="V40" s="353">
        <f t="shared" si="27"/>
        <v>4.4083519181663178</v>
      </c>
      <c r="W40" s="353">
        <f t="shared" si="27"/>
        <v>4.4281895017982151</v>
      </c>
      <c r="X40" s="353">
        <f t="shared" si="27"/>
        <v>4.4481163545563049</v>
      </c>
      <c r="Y40" s="354">
        <f t="shared" si="27"/>
        <v>4.4681328781514367</v>
      </c>
      <c r="Z40" s="352">
        <f t="shared" si="27"/>
        <v>4.4882394761034448</v>
      </c>
      <c r="AA40" s="353">
        <f t="shared" si="27"/>
        <v>4.5084365537459234</v>
      </c>
      <c r="AB40" s="353">
        <f t="shared" si="27"/>
        <v>4.5287245182375955</v>
      </c>
      <c r="AC40" s="353">
        <f t="shared" si="27"/>
        <v>4.549103778569588</v>
      </c>
      <c r="AD40" s="354">
        <f t="shared" si="27"/>
        <v>4.5695747455733908</v>
      </c>
      <c r="AE40" s="352">
        <f t="shared" si="27"/>
        <v>4.5901378319285868</v>
      </c>
      <c r="AF40" s="353">
        <f t="shared" si="27"/>
        <v>4.6107934521719471</v>
      </c>
      <c r="AG40" s="353">
        <f t="shared" si="27"/>
        <v>4.6315420227069808</v>
      </c>
      <c r="AH40" s="355">
        <f t="shared" si="27"/>
        <v>4.6523839618091642</v>
      </c>
      <c r="AI40" s="356">
        <f t="shared" si="27"/>
        <v>4.6733196896370828</v>
      </c>
    </row>
    <row r="41" spans="2:35" ht="13.5" customHeight="1" x14ac:dyDescent="0.2">
      <c r="B41" s="346"/>
      <c r="C41" s="347"/>
      <c r="D41" s="347"/>
      <c r="E41" s="347"/>
      <c r="F41" s="347"/>
      <c r="G41" s="347"/>
      <c r="H41" s="347"/>
      <c r="I41" s="347"/>
      <c r="J41" s="348"/>
      <c r="K41" s="357">
        <f t="shared" ref="K41:AH41" si="29">SUM(K36:K40)</f>
        <v>7.2283468200453243</v>
      </c>
      <c r="L41" s="357">
        <f t="shared" si="29"/>
        <v>14.390312014573773</v>
      </c>
      <c r="M41" s="357">
        <f t="shared" si="29"/>
        <v>-13.363985236060969</v>
      </c>
      <c r="N41" s="364">
        <f t="shared" si="29"/>
        <v>58.198859726236165</v>
      </c>
      <c r="O41" s="364">
        <f t="shared" si="29"/>
        <v>13.009650686397144</v>
      </c>
      <c r="P41" s="364">
        <f t="shared" si="29"/>
        <v>6.5114999999996144</v>
      </c>
      <c r="Q41" s="364">
        <f t="shared" si="29"/>
        <v>6.5408017500001066</v>
      </c>
      <c r="R41" s="364">
        <f t="shared" si="29"/>
        <v>6.5702353578749779</v>
      </c>
      <c r="S41" s="364">
        <f t="shared" si="29"/>
        <v>6.5998014169852155</v>
      </c>
      <c r="T41" s="364">
        <f t="shared" si="29"/>
        <v>6.6295005233615427</v>
      </c>
      <c r="U41" s="364">
        <f t="shared" si="29"/>
        <v>6.6593332757170103</v>
      </c>
      <c r="V41" s="364">
        <f t="shared" si="29"/>
        <v>6.6893002754576187</v>
      </c>
      <c r="W41" s="364">
        <f t="shared" si="29"/>
        <v>6.7194021266975028</v>
      </c>
      <c r="X41" s="364">
        <f t="shared" si="29"/>
        <v>6.7496394362675645</v>
      </c>
      <c r="Y41" s="364">
        <f t="shared" si="29"/>
        <v>6.7800128137303588</v>
      </c>
      <c r="Z41" s="364">
        <f t="shared" si="29"/>
        <v>6.810522871392493</v>
      </c>
      <c r="AA41" s="364">
        <f t="shared" si="29"/>
        <v>6.8411702243138137</v>
      </c>
      <c r="AB41" s="364">
        <f t="shared" si="29"/>
        <v>6.8719554903229252</v>
      </c>
      <c r="AC41" s="364">
        <f t="shared" si="29"/>
        <v>6.902879290029361</v>
      </c>
      <c r="AD41" s="364">
        <f t="shared" si="29"/>
        <v>6.9339422468346612</v>
      </c>
      <c r="AE41" s="364">
        <f t="shared" si="29"/>
        <v>6.9651449869457167</v>
      </c>
      <c r="AF41" s="364">
        <f t="shared" si="29"/>
        <v>6.9964881393866278</v>
      </c>
      <c r="AG41" s="364">
        <f t="shared" si="29"/>
        <v>7.0279723360140309</v>
      </c>
      <c r="AH41" s="357">
        <f t="shared" si="29"/>
        <v>7.0595982115261791</v>
      </c>
      <c r="AI41" s="358">
        <f>SUM(AI36:AI40)</f>
        <v>7.0913664034777355</v>
      </c>
    </row>
    <row r="42" spans="2:35" ht="13.5" customHeight="1" x14ac:dyDescent="0.2"/>
    <row r="43" spans="2:35" ht="13.5" customHeight="1" x14ac:dyDescent="0.2"/>
    <row r="44" spans="2:35" ht="13.5" customHeight="1" x14ac:dyDescent="0.2"/>
    <row r="45" spans="2:35" ht="13.5" customHeight="1" x14ac:dyDescent="0.2"/>
    <row r="46" spans="2:35" ht="13.5" customHeight="1" x14ac:dyDescent="0.2"/>
    <row r="47" spans="2:35" ht="13.5" customHeight="1" x14ac:dyDescent="0.2"/>
    <row r="48" spans="2:35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I85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J23" sqref="J23"/>
    </sheetView>
  </sheetViews>
  <sheetFormatPr defaultColWidth="12.42578125" defaultRowHeight="12.75" x14ac:dyDescent="0.2"/>
  <cols>
    <col min="1" max="2" width="5.7109375" style="35" customWidth="1"/>
    <col min="3" max="3" width="20.7109375" style="35" customWidth="1"/>
    <col min="4" max="6" width="9.140625" style="35" hidden="1" customWidth="1"/>
    <col min="7" max="7" width="8.5703125" style="35" customWidth="1"/>
    <col min="8" max="8" width="8.7109375" style="35" customWidth="1"/>
    <col min="9" max="9" width="9.5703125" style="35" bestFit="1" customWidth="1"/>
    <col min="10" max="12" width="10.7109375" style="78" customWidth="1"/>
    <col min="13" max="35" width="10.7109375" style="35" customWidth="1"/>
    <col min="36" max="38" width="8.7109375" style="35" customWidth="1"/>
    <col min="39" max="16384" width="12.42578125" style="35"/>
  </cols>
  <sheetData>
    <row r="1" spans="1:35" x14ac:dyDescent="0.2">
      <c r="A1" s="50"/>
      <c r="B1" s="50"/>
      <c r="C1" s="50"/>
      <c r="D1" s="50"/>
      <c r="E1" s="50"/>
      <c r="F1" s="50"/>
      <c r="G1" s="50"/>
      <c r="H1" s="50"/>
      <c r="I1" s="50"/>
      <c r="J1" s="56"/>
      <c r="K1" s="56"/>
      <c r="L1" s="56"/>
      <c r="M1" s="50"/>
      <c r="N1" s="50"/>
      <c r="O1" s="50"/>
      <c r="P1" s="50"/>
      <c r="Q1" s="50"/>
      <c r="R1" s="50"/>
      <c r="S1" s="50"/>
      <c r="T1" s="50"/>
      <c r="U1" s="50"/>
      <c r="V1" s="50"/>
      <c r="W1" s="57"/>
      <c r="X1" s="50"/>
      <c r="Y1" s="50"/>
      <c r="Z1" s="50"/>
      <c r="AA1" s="50"/>
      <c r="AB1" s="50"/>
      <c r="AC1" s="50"/>
    </row>
    <row r="2" spans="1:35" x14ac:dyDescent="0.2">
      <c r="A2" s="50"/>
      <c r="B2" s="58" t="str">
        <f ca="1">"Filename:  "&amp;MID(CELL("filename",B3),FIND("[",CELL("filename",B3))+1,FIND("]",CELL("filename",B3))-FIND("[",CELL("filename",B3))-1)</f>
        <v>Filename:  SAPN - 17.2 - Long Run Marginal Cost Model - December 2019 - Public_PJ.xlsx</v>
      </c>
      <c r="J2" s="56"/>
      <c r="K2" s="56"/>
      <c r="L2" s="56"/>
      <c r="M2" s="50"/>
      <c r="N2" s="50"/>
      <c r="O2" s="50"/>
      <c r="P2" s="50"/>
      <c r="Q2" s="50"/>
      <c r="R2" s="50"/>
      <c r="S2" s="50"/>
      <c r="T2" s="50"/>
      <c r="U2" s="50"/>
      <c r="V2" s="50"/>
      <c r="W2" s="57"/>
      <c r="X2" s="50"/>
      <c r="Y2" s="50"/>
      <c r="Z2" s="50"/>
      <c r="AA2" s="50"/>
      <c r="AB2" s="50"/>
      <c r="AC2" s="50"/>
    </row>
    <row r="3" spans="1:35" x14ac:dyDescent="0.2">
      <c r="A3" s="50"/>
      <c r="G3" s="59" t="s">
        <v>146</v>
      </c>
      <c r="H3" s="60" t="s">
        <v>147</v>
      </c>
      <c r="J3" s="61">
        <v>0</v>
      </c>
      <c r="K3" s="61">
        <f>J3+1</f>
        <v>1</v>
      </c>
      <c r="L3" s="61">
        <f t="shared" ref="L3:AI3" si="0">K3+1</f>
        <v>2</v>
      </c>
      <c r="M3" s="61">
        <f t="shared" si="0"/>
        <v>3</v>
      </c>
      <c r="N3" s="61">
        <f t="shared" si="0"/>
        <v>4</v>
      </c>
      <c r="O3" s="61">
        <f t="shared" si="0"/>
        <v>5</v>
      </c>
      <c r="P3" s="61">
        <f t="shared" si="0"/>
        <v>6</v>
      </c>
      <c r="Q3" s="61">
        <f t="shared" si="0"/>
        <v>7</v>
      </c>
      <c r="R3" s="61">
        <f t="shared" si="0"/>
        <v>8</v>
      </c>
      <c r="S3" s="61">
        <f t="shared" si="0"/>
        <v>9</v>
      </c>
      <c r="T3" s="61">
        <f t="shared" si="0"/>
        <v>10</v>
      </c>
      <c r="U3" s="61">
        <f t="shared" si="0"/>
        <v>11</v>
      </c>
      <c r="V3" s="61">
        <f t="shared" si="0"/>
        <v>12</v>
      </c>
      <c r="W3" s="61">
        <f t="shared" si="0"/>
        <v>13</v>
      </c>
      <c r="X3" s="61">
        <f t="shared" si="0"/>
        <v>14</v>
      </c>
      <c r="Y3" s="61">
        <f t="shared" si="0"/>
        <v>15</v>
      </c>
      <c r="Z3" s="61">
        <f t="shared" si="0"/>
        <v>16</v>
      </c>
      <c r="AA3" s="61">
        <f t="shared" si="0"/>
        <v>17</v>
      </c>
      <c r="AB3" s="61">
        <f t="shared" si="0"/>
        <v>18</v>
      </c>
      <c r="AC3" s="61">
        <f t="shared" si="0"/>
        <v>19</v>
      </c>
      <c r="AD3" s="61">
        <f t="shared" si="0"/>
        <v>20</v>
      </c>
      <c r="AE3" s="61">
        <f t="shared" si="0"/>
        <v>21</v>
      </c>
      <c r="AF3" s="61">
        <f t="shared" si="0"/>
        <v>22</v>
      </c>
      <c r="AG3" s="61">
        <f t="shared" si="0"/>
        <v>23</v>
      </c>
      <c r="AH3" s="61">
        <f t="shared" si="0"/>
        <v>24</v>
      </c>
      <c r="AI3" s="61">
        <f t="shared" si="0"/>
        <v>25</v>
      </c>
    </row>
    <row r="4" spans="1:35" x14ac:dyDescent="0.2">
      <c r="A4" s="50"/>
      <c r="B4" s="43" t="s">
        <v>148</v>
      </c>
      <c r="C4" s="50"/>
      <c r="D4" s="50"/>
      <c r="E4" s="50"/>
      <c r="F4" s="50"/>
      <c r="G4" s="458">
        <v>2.1234857366158585E-2</v>
      </c>
      <c r="H4" s="167">
        <v>50</v>
      </c>
      <c r="I4" s="50"/>
      <c r="J4" s="37" t="s">
        <v>6</v>
      </c>
      <c r="K4" s="38" t="str">
        <f t="shared" ref="K4:AI4" si="1">LEFT(J4,4)+1&amp;"/"&amp;RIGHT(LEFT(J4,4)+2,2)</f>
        <v>2015/16</v>
      </c>
      <c r="L4" s="39" t="str">
        <f t="shared" si="1"/>
        <v>2016/17</v>
      </c>
      <c r="M4" s="39" t="str">
        <f t="shared" si="1"/>
        <v>2017/18</v>
      </c>
      <c r="N4" s="39" t="str">
        <f t="shared" si="1"/>
        <v>2018/19</v>
      </c>
      <c r="O4" s="40" t="str">
        <f t="shared" si="1"/>
        <v>2019/20</v>
      </c>
      <c r="P4" s="287" t="str">
        <f t="shared" si="1"/>
        <v>2020/21</v>
      </c>
      <c r="Q4" s="41" t="str">
        <f t="shared" si="1"/>
        <v>2021/22</v>
      </c>
      <c r="R4" s="41" t="str">
        <f t="shared" si="1"/>
        <v>2022/23</v>
      </c>
      <c r="S4" s="41" t="str">
        <f t="shared" si="1"/>
        <v>2023/24</v>
      </c>
      <c r="T4" s="62" t="str">
        <f t="shared" si="1"/>
        <v>2024/25</v>
      </c>
      <c r="U4" s="287" t="str">
        <f t="shared" si="1"/>
        <v>2025/26</v>
      </c>
      <c r="V4" s="41" t="str">
        <f t="shared" si="1"/>
        <v>2026/27</v>
      </c>
      <c r="W4" s="41" t="str">
        <f t="shared" si="1"/>
        <v>2027/28</v>
      </c>
      <c r="X4" s="41" t="str">
        <f t="shared" si="1"/>
        <v>2028/29</v>
      </c>
      <c r="Y4" s="62" t="str">
        <f t="shared" si="1"/>
        <v>2029/30</v>
      </c>
      <c r="Z4" s="287" t="str">
        <f t="shared" si="1"/>
        <v>2030/31</v>
      </c>
      <c r="AA4" s="41" t="str">
        <f t="shared" si="1"/>
        <v>2031/32</v>
      </c>
      <c r="AB4" s="41" t="str">
        <f t="shared" si="1"/>
        <v>2032/33</v>
      </c>
      <c r="AC4" s="41" t="str">
        <f t="shared" si="1"/>
        <v>2033/34</v>
      </c>
      <c r="AD4" s="62" t="str">
        <f t="shared" si="1"/>
        <v>2034/35</v>
      </c>
      <c r="AE4" s="287" t="str">
        <f t="shared" si="1"/>
        <v>2035/36</v>
      </c>
      <c r="AF4" s="41" t="str">
        <f t="shared" si="1"/>
        <v>2036/37</v>
      </c>
      <c r="AG4" s="41" t="str">
        <f t="shared" si="1"/>
        <v>2037/38</v>
      </c>
      <c r="AH4" s="41" t="str">
        <f t="shared" si="1"/>
        <v>2038/39</v>
      </c>
      <c r="AI4" s="62" t="str">
        <f t="shared" si="1"/>
        <v>2039/40</v>
      </c>
    </row>
    <row r="5" spans="1:35" x14ac:dyDescent="0.2">
      <c r="A5" s="50"/>
      <c r="B5" s="50"/>
      <c r="C5" s="50"/>
      <c r="D5" s="50"/>
      <c r="E5" s="50"/>
      <c r="F5" s="50"/>
      <c r="G5" s="50"/>
      <c r="H5" s="50"/>
      <c r="I5" s="56"/>
      <c r="J5" s="63"/>
      <c r="K5" s="64"/>
      <c r="L5" s="65"/>
      <c r="M5" s="65"/>
      <c r="N5" s="65"/>
      <c r="O5" s="66"/>
      <c r="P5" s="288"/>
      <c r="Q5" s="289"/>
      <c r="R5" s="289"/>
      <c r="S5" s="289"/>
      <c r="T5" s="290"/>
      <c r="U5" s="70"/>
      <c r="V5" s="71"/>
      <c r="W5" s="71"/>
      <c r="X5" s="71"/>
      <c r="Y5" s="72"/>
      <c r="Z5" s="70"/>
      <c r="AA5" s="53"/>
      <c r="AB5" s="53"/>
      <c r="AC5" s="53"/>
      <c r="AD5" s="296"/>
      <c r="AE5" s="55"/>
      <c r="AF5" s="53"/>
      <c r="AG5" s="53"/>
      <c r="AH5" s="53"/>
      <c r="AI5" s="296"/>
    </row>
    <row r="6" spans="1:35" x14ac:dyDescent="0.2">
      <c r="A6" s="50"/>
      <c r="C6" s="67"/>
      <c r="D6" s="67"/>
      <c r="E6" s="67"/>
      <c r="F6" s="67"/>
      <c r="G6" s="68"/>
      <c r="H6" s="69" t="s">
        <v>200</v>
      </c>
      <c r="I6" s="56"/>
      <c r="J6" s="50"/>
      <c r="K6" s="70"/>
      <c r="L6" s="71"/>
      <c r="M6" s="71"/>
      <c r="N6" s="71"/>
      <c r="O6" s="72"/>
      <c r="P6" s="70"/>
      <c r="Q6" s="71"/>
      <c r="R6" s="71"/>
      <c r="S6" s="71"/>
      <c r="T6" s="75"/>
      <c r="U6" s="70"/>
      <c r="V6" s="71"/>
      <c r="W6" s="71"/>
      <c r="X6" s="71"/>
      <c r="Y6" s="72"/>
      <c r="Z6" s="70"/>
      <c r="AA6" s="53"/>
      <c r="AB6" s="53"/>
      <c r="AC6" s="53"/>
      <c r="AD6" s="296"/>
      <c r="AE6" s="55"/>
      <c r="AF6" s="53"/>
      <c r="AG6" s="53"/>
      <c r="AH6" s="53"/>
      <c r="AI6" s="296"/>
    </row>
    <row r="7" spans="1:35" x14ac:dyDescent="0.2">
      <c r="A7" s="50"/>
      <c r="B7" s="67" t="s">
        <v>149</v>
      </c>
      <c r="C7" s="50"/>
      <c r="D7" s="50"/>
      <c r="E7" s="50"/>
      <c r="F7" s="50"/>
      <c r="H7" s="51"/>
      <c r="I7" s="56" t="s">
        <v>150</v>
      </c>
      <c r="J7" s="57"/>
      <c r="K7" s="73"/>
      <c r="L7" s="74"/>
      <c r="M7" s="74"/>
      <c r="N7" s="74"/>
      <c r="O7" s="75"/>
      <c r="P7" s="73"/>
      <c r="Q7" s="74"/>
      <c r="R7" s="74"/>
      <c r="S7" s="74"/>
      <c r="T7" s="75"/>
      <c r="U7" s="70"/>
      <c r="V7" s="71"/>
      <c r="W7" s="71"/>
      <c r="X7" s="71"/>
      <c r="Y7" s="72"/>
      <c r="Z7" s="70"/>
      <c r="AA7" s="53"/>
      <c r="AB7" s="53"/>
      <c r="AC7" s="53"/>
      <c r="AD7" s="296"/>
      <c r="AE7" s="55"/>
      <c r="AF7" s="53"/>
      <c r="AG7" s="53"/>
      <c r="AH7" s="53"/>
      <c r="AI7" s="296"/>
    </row>
    <row r="8" spans="1:35" x14ac:dyDescent="0.2">
      <c r="A8" s="50"/>
      <c r="C8" s="76" t="s">
        <v>124</v>
      </c>
      <c r="D8" s="50"/>
      <c r="E8" s="50"/>
      <c r="F8" s="50"/>
      <c r="G8" s="77"/>
      <c r="H8" s="297">
        <f>NPV($G$4,N8:AG8)</f>
        <v>3.6476254957815937</v>
      </c>
      <c r="I8" s="78"/>
      <c r="J8" s="79">
        <v>0</v>
      </c>
      <c r="K8" s="367">
        <f>Demand!K36</f>
        <v>0.1593685647427705</v>
      </c>
      <c r="L8" s="368">
        <f>Demand!L36</f>
        <v>0.31727356601143697</v>
      </c>
      <c r="M8" s="368">
        <f>Demand!M36</f>
        <v>-0.29464540085547242</v>
      </c>
      <c r="N8" s="368">
        <f>Demand!N36</f>
        <v>1.2831521473921015</v>
      </c>
      <c r="O8" s="369">
        <f>Demand!O36</f>
        <v>0.28683313201661775</v>
      </c>
      <c r="P8" s="367">
        <f>Demand!P36</f>
        <v>0.1435637269706902</v>
      </c>
      <c r="Q8" s="368">
        <f>Demand!Q36</f>
        <v>0.14420976374206873</v>
      </c>
      <c r="R8" s="368">
        <f>Demand!R36</f>
        <v>0.14485870767890674</v>
      </c>
      <c r="S8" s="368">
        <f>Demand!S36</f>
        <v>0.14551057186346839</v>
      </c>
      <c r="T8" s="369">
        <f>Demand!T36</f>
        <v>0.14616536943684366</v>
      </c>
      <c r="U8" s="367">
        <f>Demand!U36</f>
        <v>0.14682311359932498</v>
      </c>
      <c r="V8" s="368">
        <f>Demand!V36</f>
        <v>0.14748381761050666</v>
      </c>
      <c r="W8" s="368">
        <f>Demand!W36</f>
        <v>0.14814749478976807</v>
      </c>
      <c r="X8" s="368">
        <f>Demand!X36</f>
        <v>0.1488141585163163</v>
      </c>
      <c r="Y8" s="369">
        <f>Demand!Y36</f>
        <v>0.14948382222964085</v>
      </c>
      <c r="Z8" s="367">
        <f>Demand!Z36</f>
        <v>0.15015649942967002</v>
      </c>
      <c r="AA8" s="368">
        <f>Demand!AA36</f>
        <v>0.15083220367711192</v>
      </c>
      <c r="AB8" s="368">
        <f>Demand!AB36</f>
        <v>0.15151094859363923</v>
      </c>
      <c r="AC8" s="368">
        <f>Demand!AC36</f>
        <v>0.15219274786232972</v>
      </c>
      <c r="AD8" s="369">
        <f>Demand!AD36</f>
        <v>0.15287761522770893</v>
      </c>
      <c r="AE8" s="367">
        <f>Demand!AE36</f>
        <v>0.15356556449623326</v>
      </c>
      <c r="AF8" s="368">
        <f>Demand!AF36</f>
        <v>0.15425660953646059</v>
      </c>
      <c r="AG8" s="368">
        <f>Demand!AG36</f>
        <v>0.15495076427937704</v>
      </c>
      <c r="AH8" s="368">
        <f>Demand!AH36</f>
        <v>0.15564804271863864</v>
      </c>
      <c r="AI8" s="369">
        <f>Demand!AI36</f>
        <v>0.15634845891086968</v>
      </c>
    </row>
    <row r="9" spans="1:35" x14ac:dyDescent="0.2">
      <c r="A9" s="50"/>
      <c r="C9" s="76" t="s">
        <v>126</v>
      </c>
      <c r="D9" s="50"/>
      <c r="E9" s="50"/>
      <c r="F9" s="50"/>
      <c r="G9" s="77"/>
      <c r="H9" s="297">
        <f t="shared" ref="H9:H13" si="2">NPV($G$4,N9:AG9)</f>
        <v>3.5476905506916943</v>
      </c>
      <c r="I9" s="78"/>
      <c r="J9" s="80">
        <v>0</v>
      </c>
      <c r="K9" s="370">
        <f>Demand!K37</f>
        <v>0.15500230269502424</v>
      </c>
      <c r="L9" s="371">
        <f>Demand!L37</f>
        <v>0.30858113954537458</v>
      </c>
      <c r="M9" s="371">
        <f>Demand!M37</f>
        <v>-0.28657292411971014</v>
      </c>
      <c r="N9" s="371">
        <f>Demand!N37</f>
        <v>1.2479972940388961</v>
      </c>
      <c r="O9" s="372">
        <f>Demand!O37</f>
        <v>0.27897469004355457</v>
      </c>
      <c r="P9" s="370">
        <f>Demand!P37</f>
        <v>0.13963047417697538</v>
      </c>
      <c r="Q9" s="371">
        <f>Demand!Q37</f>
        <v>0.14025881131077966</v>
      </c>
      <c r="R9" s="371">
        <f>Demand!R37</f>
        <v>0.1408899759616844</v>
      </c>
      <c r="S9" s="371">
        <f>Demand!S37</f>
        <v>0.14152398085350626</v>
      </c>
      <c r="T9" s="372">
        <f>Demand!T37</f>
        <v>0.14216083876733876</v>
      </c>
      <c r="U9" s="370">
        <f>Demand!U37</f>
        <v>0.14280056254180096</v>
      </c>
      <c r="V9" s="371">
        <f>Demand!V37</f>
        <v>0.14344316507324351</v>
      </c>
      <c r="W9" s="371">
        <f>Demand!W37</f>
        <v>0.1440886593160684</v>
      </c>
      <c r="X9" s="371">
        <f>Demand!X37</f>
        <v>0.14473705828299188</v>
      </c>
      <c r="Y9" s="372">
        <f>Demand!Y37</f>
        <v>0.1453883750452647</v>
      </c>
      <c r="Z9" s="370">
        <f>Demand!Z37</f>
        <v>0.14604262273297763</v>
      </c>
      <c r="AA9" s="371">
        <f>Demand!AA37</f>
        <v>0.14669981453526759</v>
      </c>
      <c r="AB9" s="371">
        <f>Demand!AB37</f>
        <v>0.14735996370067284</v>
      </c>
      <c r="AC9" s="371">
        <f>Demand!AC37</f>
        <v>0.14802308353732485</v>
      </c>
      <c r="AD9" s="372">
        <f>Demand!AD37</f>
        <v>0.14868918741323967</v>
      </c>
      <c r="AE9" s="370">
        <f>Demand!AE37</f>
        <v>0.14935828875661628</v>
      </c>
      <c r="AF9" s="371">
        <f>Demand!AF37</f>
        <v>0.15003040105601428</v>
      </c>
      <c r="AG9" s="371">
        <f>Demand!AG37</f>
        <v>0.15070553786077312</v>
      </c>
      <c r="AH9" s="371">
        <f>Demand!AH37</f>
        <v>0.15138371278112572</v>
      </c>
      <c r="AI9" s="372">
        <f>Demand!AI37</f>
        <v>0.15206493948865329</v>
      </c>
    </row>
    <row r="10" spans="1:35" x14ac:dyDescent="0.2">
      <c r="A10" s="50"/>
      <c r="C10" s="76" t="s">
        <v>151</v>
      </c>
      <c r="D10" s="50"/>
      <c r="E10" s="50"/>
      <c r="F10" s="50"/>
      <c r="G10" s="77"/>
      <c r="H10" s="297">
        <f t="shared" si="2"/>
        <v>8.7942751679117706</v>
      </c>
      <c r="I10" s="78"/>
      <c r="J10" s="80">
        <v>0</v>
      </c>
      <c r="K10" s="370">
        <f>Demand!K38</f>
        <v>0.38423106020172781</v>
      </c>
      <c r="L10" s="371">
        <f>Demand!L38</f>
        <v>0.76493352901388789</v>
      </c>
      <c r="M10" s="371">
        <f>Demand!M38</f>
        <v>-0.71037795274742166</v>
      </c>
      <c r="N10" s="371">
        <f>Demand!N38</f>
        <v>3.0936270950823257</v>
      </c>
      <c r="O10" s="372">
        <f>Demand!O38</f>
        <v>0.69154289362907662</v>
      </c>
      <c r="P10" s="370">
        <f>Demand!P38</f>
        <v>0.34612624584715945</v>
      </c>
      <c r="Q10" s="371">
        <f>Demand!Q38</f>
        <v>0.34768381395349479</v>
      </c>
      <c r="R10" s="371">
        <f>Demand!R38</f>
        <v>0.34924839111627648</v>
      </c>
      <c r="S10" s="371">
        <f>Demand!S38</f>
        <v>0.35082000887629761</v>
      </c>
      <c r="T10" s="372">
        <f>Demand!T38</f>
        <v>0.35239869891623243</v>
      </c>
      <c r="U10" s="370">
        <f>Demand!U38</f>
        <v>0.35398449306134694</v>
      </c>
      <c r="V10" s="371">
        <f>Demand!V38</f>
        <v>0.35557742328015252</v>
      </c>
      <c r="W10" s="371">
        <f>Demand!W38</f>
        <v>0.35717752168491756</v>
      </c>
      <c r="X10" s="371">
        <f>Demand!X38</f>
        <v>0.35878482053249172</v>
      </c>
      <c r="Y10" s="372">
        <f>Demand!Y38</f>
        <v>0.36039935222487429</v>
      </c>
      <c r="Z10" s="370">
        <f>Demand!Z38</f>
        <v>0.36202114930989637</v>
      </c>
      <c r="AA10" s="371">
        <f>Demand!AA38</f>
        <v>0.36365024448178929</v>
      </c>
      <c r="AB10" s="371">
        <f>Demand!AB38</f>
        <v>0.36528667058195197</v>
      </c>
      <c r="AC10" s="371">
        <f>Demand!AC38</f>
        <v>0.36693046059957624</v>
      </c>
      <c r="AD10" s="372">
        <f>Demand!AD38</f>
        <v>0.36858164767227208</v>
      </c>
      <c r="AE10" s="370">
        <f>Demand!AE38</f>
        <v>0.37024026508680663</v>
      </c>
      <c r="AF10" s="371">
        <f>Demand!AF38</f>
        <v>0.37190634627970098</v>
      </c>
      <c r="AG10" s="371">
        <f>Demand!AG38</f>
        <v>0.37357992483794078</v>
      </c>
      <c r="AH10" s="371">
        <f>Demand!AH38</f>
        <v>0.37526103449974357</v>
      </c>
      <c r="AI10" s="372">
        <f>Demand!AI38</f>
        <v>0.37694970915495674</v>
      </c>
    </row>
    <row r="11" spans="1:35" x14ac:dyDescent="0.2">
      <c r="A11" s="50"/>
      <c r="C11" s="76" t="s">
        <v>127</v>
      </c>
      <c r="D11" s="50"/>
      <c r="E11" s="50"/>
      <c r="F11" s="50"/>
      <c r="G11" s="77"/>
      <c r="H11" s="297">
        <f t="shared" si="2"/>
        <v>40.423685288867176</v>
      </c>
      <c r="I11" s="78"/>
      <c r="J11" s="81">
        <v>0</v>
      </c>
      <c r="K11" s="373">
        <f>Demand!K39</f>
        <v>1.7661529983137143</v>
      </c>
      <c r="L11" s="374">
        <f>Demand!L39</f>
        <v>3.516086505524072</v>
      </c>
      <c r="M11" s="374">
        <f>Demand!M39</f>
        <v>-3.2653168396174124</v>
      </c>
      <c r="N11" s="374">
        <f>Demand!N39</f>
        <v>14.220138181372704</v>
      </c>
      <c r="O11" s="375">
        <f>Demand!O39</f>
        <v>3.1787397781018853</v>
      </c>
      <c r="P11" s="373">
        <f>Demand!P39</f>
        <v>1.5910007550587579</v>
      </c>
      <c r="Q11" s="374">
        <f>Demand!Q39</f>
        <v>1.5981602584566872</v>
      </c>
      <c r="R11" s="374">
        <f>Demand!R39</f>
        <v>1.6053519796197406</v>
      </c>
      <c r="S11" s="374">
        <f>Demand!S39</f>
        <v>1.6125760635279676</v>
      </c>
      <c r="T11" s="375">
        <f>Demand!T39</f>
        <v>1.6198326558137524</v>
      </c>
      <c r="U11" s="373">
        <f>Demand!U39</f>
        <v>1.6271219027651114</v>
      </c>
      <c r="V11" s="374">
        <f>Demand!V39</f>
        <v>1.6344439513273983</v>
      </c>
      <c r="W11" s="374">
        <f>Demand!W39</f>
        <v>1.6417989491085336</v>
      </c>
      <c r="X11" s="374">
        <f>Demand!X39</f>
        <v>1.6491870443794596</v>
      </c>
      <c r="Y11" s="375">
        <f>Demand!Y39</f>
        <v>1.6566083860791423</v>
      </c>
      <c r="Z11" s="373">
        <f>Demand!Z39</f>
        <v>1.6640631238165042</v>
      </c>
      <c r="AA11" s="374">
        <f>Demand!AA39</f>
        <v>1.6715514078737215</v>
      </c>
      <c r="AB11" s="374">
        <f>Demand!AB39</f>
        <v>1.6790733892090657</v>
      </c>
      <c r="AC11" s="374">
        <f>Demand!AC39</f>
        <v>1.6866292194605421</v>
      </c>
      <c r="AD11" s="375">
        <f>Demand!AD39</f>
        <v>1.6942190509480497</v>
      </c>
      <c r="AE11" s="373">
        <f>Demand!AE39</f>
        <v>1.7018430366774737</v>
      </c>
      <c r="AF11" s="374">
        <f>Demand!AF39</f>
        <v>1.7095013303425048</v>
      </c>
      <c r="AG11" s="374">
        <f>Demand!AG39</f>
        <v>1.7171940863289592</v>
      </c>
      <c r="AH11" s="374">
        <f>Demand!AH39</f>
        <v>1.7249214597175069</v>
      </c>
      <c r="AI11" s="375">
        <f>Demand!AI39</f>
        <v>1.732683606286173</v>
      </c>
    </row>
    <row r="12" spans="1:35" x14ac:dyDescent="0.2">
      <c r="A12" s="50"/>
      <c r="C12" s="76" t="s">
        <v>152</v>
      </c>
      <c r="D12" s="50"/>
      <c r="E12" s="50"/>
      <c r="F12" s="50"/>
      <c r="G12" s="77"/>
      <c r="H12" s="298">
        <f t="shared" si="2"/>
        <v>109.02902509308801</v>
      </c>
      <c r="I12" s="78"/>
      <c r="J12" s="81">
        <v>0</v>
      </c>
      <c r="K12" s="373">
        <f>Demand!K40</f>
        <v>4.7635918940920874</v>
      </c>
      <c r="L12" s="374">
        <f>Demand!L40</f>
        <v>9.4834372744790016</v>
      </c>
      <c r="M12" s="374">
        <f>Demand!M40</f>
        <v>-8.8070721187209529</v>
      </c>
      <c r="N12" s="374">
        <f>Demand!N40</f>
        <v>38.353945008350138</v>
      </c>
      <c r="O12" s="375">
        <f>Demand!O40</f>
        <v>8.5735601926060099</v>
      </c>
      <c r="P12" s="373">
        <f>Demand!P40</f>
        <v>4.2911787979460314</v>
      </c>
      <c r="Q12" s="374">
        <f>Demand!Q40</f>
        <v>4.3104891025370762</v>
      </c>
      <c r="R12" s="374">
        <f>Demand!R40</f>
        <v>4.3298863034983697</v>
      </c>
      <c r="S12" s="374">
        <f>Demand!S40</f>
        <v>4.3493707918639757</v>
      </c>
      <c r="T12" s="375">
        <f>Demand!T40</f>
        <v>4.3689429604273755</v>
      </c>
      <c r="U12" s="373">
        <f>Demand!U40</f>
        <v>4.388603203749426</v>
      </c>
      <c r="V12" s="374">
        <f>Demand!V40</f>
        <v>4.4083519181663178</v>
      </c>
      <c r="W12" s="374">
        <f>Demand!W40</f>
        <v>4.4281895017982151</v>
      </c>
      <c r="X12" s="374">
        <f>Demand!X40</f>
        <v>4.4481163545563049</v>
      </c>
      <c r="Y12" s="375">
        <f>Demand!Y40</f>
        <v>4.4681328781514367</v>
      </c>
      <c r="Z12" s="373">
        <f>Demand!Z40</f>
        <v>4.4882394761034448</v>
      </c>
      <c r="AA12" s="374">
        <f>Demand!AA40</f>
        <v>4.5084365537459234</v>
      </c>
      <c r="AB12" s="374">
        <f>Demand!AB40</f>
        <v>4.5287245182375955</v>
      </c>
      <c r="AC12" s="374">
        <f>Demand!AC40</f>
        <v>4.549103778569588</v>
      </c>
      <c r="AD12" s="375">
        <f>Demand!AD40</f>
        <v>4.5695747455733908</v>
      </c>
      <c r="AE12" s="373">
        <f>Demand!AE40</f>
        <v>4.5901378319285868</v>
      </c>
      <c r="AF12" s="374">
        <f>Demand!AF40</f>
        <v>4.6107934521719471</v>
      </c>
      <c r="AG12" s="374">
        <f>Demand!AG40</f>
        <v>4.6315420227069808</v>
      </c>
      <c r="AH12" s="374">
        <f>Demand!AH40</f>
        <v>4.6523839618091642</v>
      </c>
      <c r="AI12" s="375">
        <f>Demand!AI40</f>
        <v>4.6733196896370828</v>
      </c>
    </row>
    <row r="13" spans="1:35" x14ac:dyDescent="0.2">
      <c r="A13" s="50"/>
      <c r="C13" s="50" t="s">
        <v>117</v>
      </c>
      <c r="D13" s="50"/>
      <c r="E13" s="50"/>
      <c r="F13" s="50"/>
      <c r="G13" s="77"/>
      <c r="H13" s="299">
        <f t="shared" si="2"/>
        <v>165.44230159634029</v>
      </c>
      <c r="I13" s="78"/>
      <c r="J13" s="82">
        <f t="shared" ref="J13:AI13" si="3">SUM(J8:J12)</f>
        <v>0</v>
      </c>
      <c r="K13" s="376">
        <f t="shared" si="3"/>
        <v>7.2283468200453243</v>
      </c>
      <c r="L13" s="377">
        <f t="shared" si="3"/>
        <v>14.390312014573773</v>
      </c>
      <c r="M13" s="377">
        <f t="shared" si="3"/>
        <v>-13.363985236060969</v>
      </c>
      <c r="N13" s="377">
        <f t="shared" si="3"/>
        <v>58.198859726236165</v>
      </c>
      <c r="O13" s="378">
        <f t="shared" si="3"/>
        <v>13.009650686397144</v>
      </c>
      <c r="P13" s="376">
        <f t="shared" si="3"/>
        <v>6.5114999999996144</v>
      </c>
      <c r="Q13" s="377">
        <f t="shared" si="3"/>
        <v>6.5408017500001066</v>
      </c>
      <c r="R13" s="377">
        <f t="shared" si="3"/>
        <v>6.5702353578749779</v>
      </c>
      <c r="S13" s="377">
        <f t="shared" si="3"/>
        <v>6.5998014169852155</v>
      </c>
      <c r="T13" s="378">
        <f t="shared" si="3"/>
        <v>6.6295005233615427</v>
      </c>
      <c r="U13" s="376">
        <f t="shared" si="3"/>
        <v>6.6593332757170103</v>
      </c>
      <c r="V13" s="377">
        <f t="shared" si="3"/>
        <v>6.6893002754576187</v>
      </c>
      <c r="W13" s="377">
        <f t="shared" si="3"/>
        <v>6.7194021266975028</v>
      </c>
      <c r="X13" s="377">
        <f t="shared" si="3"/>
        <v>6.7496394362675645</v>
      </c>
      <c r="Y13" s="378">
        <f t="shared" si="3"/>
        <v>6.7800128137303588</v>
      </c>
      <c r="Z13" s="376">
        <f t="shared" si="3"/>
        <v>6.810522871392493</v>
      </c>
      <c r="AA13" s="377">
        <f t="shared" si="3"/>
        <v>6.8411702243138137</v>
      </c>
      <c r="AB13" s="377">
        <f t="shared" si="3"/>
        <v>6.8719554903229252</v>
      </c>
      <c r="AC13" s="377">
        <f t="shared" si="3"/>
        <v>6.902879290029361</v>
      </c>
      <c r="AD13" s="378">
        <f t="shared" si="3"/>
        <v>6.9339422468346612</v>
      </c>
      <c r="AE13" s="376">
        <f t="shared" si="3"/>
        <v>6.9651449869457167</v>
      </c>
      <c r="AF13" s="377">
        <f t="shared" si="3"/>
        <v>6.9964881393866278</v>
      </c>
      <c r="AG13" s="377">
        <f t="shared" si="3"/>
        <v>7.0279723360140309</v>
      </c>
      <c r="AH13" s="377">
        <f t="shared" si="3"/>
        <v>7.0595982115261791</v>
      </c>
      <c r="AI13" s="378">
        <f t="shared" si="3"/>
        <v>7.0913664034777355</v>
      </c>
    </row>
    <row r="14" spans="1:35" x14ac:dyDescent="0.2">
      <c r="A14" s="50"/>
      <c r="B14" s="83"/>
      <c r="C14" s="83"/>
      <c r="D14" s="83"/>
      <c r="E14" s="83"/>
      <c r="F14" s="83"/>
      <c r="G14" s="77"/>
      <c r="H14" s="77"/>
      <c r="I14" s="56"/>
      <c r="J14" s="83"/>
      <c r="K14" s="84"/>
      <c r="L14" s="85"/>
      <c r="M14" s="85"/>
      <c r="N14" s="86"/>
      <c r="O14" s="87"/>
      <c r="P14" s="291"/>
      <c r="Q14" s="86"/>
      <c r="R14" s="86"/>
      <c r="S14" s="86"/>
      <c r="T14" s="292"/>
      <c r="U14" s="70"/>
      <c r="V14" s="71"/>
      <c r="W14" s="71"/>
      <c r="X14" s="71"/>
      <c r="Y14" s="72"/>
      <c r="Z14" s="70"/>
      <c r="AA14" s="53"/>
      <c r="AB14" s="53"/>
      <c r="AC14" s="53"/>
      <c r="AD14" s="296"/>
      <c r="AE14" s="55"/>
      <c r="AF14" s="53"/>
      <c r="AG14" s="53"/>
      <c r="AH14" s="53"/>
      <c r="AI14" s="296"/>
    </row>
    <row r="15" spans="1:35" x14ac:dyDescent="0.2">
      <c r="A15" s="50"/>
      <c r="B15" s="67" t="s">
        <v>153</v>
      </c>
      <c r="C15" s="50"/>
      <c r="D15" s="50"/>
      <c r="E15" s="50"/>
      <c r="F15" s="50"/>
      <c r="G15" s="77"/>
      <c r="H15" s="77"/>
      <c r="I15" s="56" t="s">
        <v>154</v>
      </c>
      <c r="J15" s="88"/>
      <c r="K15" s="89"/>
      <c r="L15" s="90"/>
      <c r="M15" s="90"/>
      <c r="N15" s="90"/>
      <c r="O15" s="91"/>
      <c r="P15" s="89"/>
      <c r="Q15" s="90"/>
      <c r="R15" s="90"/>
      <c r="S15" s="90"/>
      <c r="T15" s="91"/>
      <c r="U15" s="89"/>
      <c r="V15" s="90"/>
      <c r="W15" s="90"/>
      <c r="X15" s="90"/>
      <c r="Y15" s="91"/>
      <c r="Z15" s="89"/>
      <c r="AA15" s="90"/>
      <c r="AB15" s="90"/>
      <c r="AC15" s="90"/>
      <c r="AD15" s="91"/>
      <c r="AE15" s="89"/>
      <c r="AF15" s="90"/>
      <c r="AG15" s="90"/>
      <c r="AH15" s="90"/>
      <c r="AI15" s="91"/>
    </row>
    <row r="16" spans="1:35" x14ac:dyDescent="0.2">
      <c r="A16" s="50"/>
      <c r="C16" s="76" t="s">
        <v>124</v>
      </c>
      <c r="D16" s="50"/>
      <c r="E16" s="50"/>
      <c r="F16" s="50"/>
      <c r="G16" s="77"/>
      <c r="H16" s="77"/>
      <c r="I16" s="78"/>
      <c r="J16" s="88"/>
      <c r="K16" s="96">
        <f>(Augmentation!K60+Replacement!K95)/1000000</f>
        <v>5.1323746187255006</v>
      </c>
      <c r="L16" s="97">
        <f>(Augmentation!L60+Replacement!L95)/1000000</f>
        <v>5.5411800249724328</v>
      </c>
      <c r="M16" s="97">
        <f>(Augmentation!M60+Replacement!M95)/1000000</f>
        <v>6.3048854514583619</v>
      </c>
      <c r="N16" s="97">
        <f>(Augmentation!N60+Replacement!N95)/1000000</f>
        <v>5.8208294655803394</v>
      </c>
      <c r="O16" s="98">
        <f>(Augmentation!O60+Replacement!O95)/1000000</f>
        <v>6.6952278433187313</v>
      </c>
      <c r="P16" s="96">
        <f>(Augmentation!P60+Replacement!P95)/1000000</f>
        <v>1.9908791179480925</v>
      </c>
      <c r="Q16" s="97">
        <f>(Augmentation!Q60+Replacement!Q95)/1000000</f>
        <v>2.7559153520459736</v>
      </c>
      <c r="R16" s="97">
        <f>(Augmentation!R60+Replacement!R95)/1000000</f>
        <v>1.7968547247278577</v>
      </c>
      <c r="S16" s="97">
        <f>(Augmentation!S60+Replacement!S95)/1000000</f>
        <v>3.7733475666358154</v>
      </c>
      <c r="T16" s="98">
        <f>(Augmentation!T60+Replacement!T95)/1000000</f>
        <v>5.2389759304705441</v>
      </c>
      <c r="U16" s="96">
        <f>(Augmentation!U60+Replacement!U95)/1000000</f>
        <v>3.1111945383656572</v>
      </c>
      <c r="V16" s="97">
        <f>(Augmentation!V60+Replacement!V95)/1000000</f>
        <v>3.1111945383656572</v>
      </c>
      <c r="W16" s="97">
        <f>(Augmentation!W60+Replacement!W95)/1000000</f>
        <v>3.1111945383656572</v>
      </c>
      <c r="X16" s="97">
        <f>(Augmentation!X60+Replacement!X95)/1000000</f>
        <v>3.1111945383656572</v>
      </c>
      <c r="Y16" s="98">
        <f>(Augmentation!Y60+Replacement!Y95)/1000000</f>
        <v>3.1111945383656572</v>
      </c>
      <c r="Z16" s="96">
        <f>(Augmentation!Z60+Replacement!Z95)/1000000</f>
        <v>3.1111945383656572</v>
      </c>
      <c r="AA16" s="97">
        <f>(Augmentation!AA60+Replacement!AA95)/1000000</f>
        <v>3.1111945383656572</v>
      </c>
      <c r="AB16" s="97">
        <f>(Augmentation!AB60+Replacement!AB95)/1000000</f>
        <v>3.1111945383656572</v>
      </c>
      <c r="AC16" s="97">
        <f>(Augmentation!AC60+Replacement!AC95)/1000000</f>
        <v>3.1111945383656572</v>
      </c>
      <c r="AD16" s="98">
        <f>(Augmentation!AD60+Replacement!AD95)/1000000</f>
        <v>3.1111945383656572</v>
      </c>
      <c r="AE16" s="96">
        <f>(Augmentation!AE60+Replacement!AE95)/1000000</f>
        <v>3.1111945383656572</v>
      </c>
      <c r="AF16" s="97">
        <f>(Augmentation!AF60+Replacement!AF95)/1000000</f>
        <v>3.1111945383656572</v>
      </c>
      <c r="AG16" s="97">
        <f>(Augmentation!AG60+Replacement!AG95)/1000000</f>
        <v>3.1111945383656572</v>
      </c>
      <c r="AH16" s="97">
        <f>(Augmentation!AH60+Replacement!AH95)/1000000</f>
        <v>3.1111945383656572</v>
      </c>
      <c r="AI16" s="98">
        <f>(Augmentation!AI60+Replacement!AI95)/1000000</f>
        <v>3.1111945383656572</v>
      </c>
    </row>
    <row r="17" spans="1:35" x14ac:dyDescent="0.2">
      <c r="A17" s="50"/>
      <c r="C17" s="76" t="s">
        <v>126</v>
      </c>
      <c r="D17" s="50"/>
      <c r="E17" s="50"/>
      <c r="F17" s="50"/>
      <c r="G17" s="77"/>
      <c r="H17" s="77"/>
      <c r="I17" s="78"/>
      <c r="J17" s="88"/>
      <c r="K17" s="99">
        <f>(Augmentation!K61+Replacement!K96)/1000000</f>
        <v>13.827771444284295</v>
      </c>
      <c r="L17" s="100">
        <f>(Augmentation!L61+Replacement!L96)/1000000</f>
        <v>13.212671340285729</v>
      </c>
      <c r="M17" s="100">
        <f>(Augmentation!M61+Replacement!M96)/1000000</f>
        <v>12.411879561780088</v>
      </c>
      <c r="N17" s="100">
        <f>(Augmentation!N61+Replacement!N96)/1000000</f>
        <v>8.486857702592193</v>
      </c>
      <c r="O17" s="101">
        <f>(Augmentation!O61+Replacement!O96)/1000000</f>
        <v>6.5783016708465878</v>
      </c>
      <c r="P17" s="99">
        <f>(Augmentation!P61+Replacement!P96)/1000000</f>
        <v>5.3397953379759269</v>
      </c>
      <c r="Q17" s="100">
        <f>(Augmentation!Q61+Replacement!Q96)/1000000</f>
        <v>4.9238182485836486</v>
      </c>
      <c r="R17" s="100">
        <f>(Augmentation!R61+Replacement!R96)/1000000</f>
        <v>5.6174385256741957</v>
      </c>
      <c r="S17" s="100">
        <f>(Augmentation!S61+Replacement!S96)/1000000</f>
        <v>6.164897368974235</v>
      </c>
      <c r="T17" s="101">
        <f>(Augmentation!T61+Replacement!T96)/1000000</f>
        <v>4.9097329629974489</v>
      </c>
      <c r="U17" s="99">
        <f>(Augmentation!U61+Replacement!U96)/1000000</f>
        <v>5.3911364888410915</v>
      </c>
      <c r="V17" s="100">
        <f>(Augmentation!V61+Replacement!V96)/1000000</f>
        <v>5.3911364888410915</v>
      </c>
      <c r="W17" s="100">
        <f>(Augmentation!W61+Replacement!W96)/1000000</f>
        <v>5.3911364888410915</v>
      </c>
      <c r="X17" s="100">
        <f>(Augmentation!X61+Replacement!X96)/1000000</f>
        <v>5.3911364888410915</v>
      </c>
      <c r="Y17" s="101">
        <f>(Augmentation!Y61+Replacement!Y96)/1000000</f>
        <v>5.3911364888410915</v>
      </c>
      <c r="Z17" s="99">
        <f>(Augmentation!Z61+Replacement!Z96)/1000000</f>
        <v>5.3911364888410915</v>
      </c>
      <c r="AA17" s="100">
        <f>(Augmentation!AA61+Replacement!AA96)/1000000</f>
        <v>5.3911364888410915</v>
      </c>
      <c r="AB17" s="100">
        <f>(Augmentation!AB61+Replacement!AB96)/1000000</f>
        <v>5.3911364888410915</v>
      </c>
      <c r="AC17" s="100">
        <f>(Augmentation!AC61+Replacement!AC96)/1000000</f>
        <v>5.3911364888410915</v>
      </c>
      <c r="AD17" s="101">
        <f>(Augmentation!AD61+Replacement!AD96)/1000000</f>
        <v>5.3911364888410915</v>
      </c>
      <c r="AE17" s="99">
        <f>(Augmentation!AE61+Replacement!AE96)/1000000</f>
        <v>5.3911364888410915</v>
      </c>
      <c r="AF17" s="100">
        <f>(Augmentation!AF61+Replacement!AF96)/1000000</f>
        <v>5.3911364888410915</v>
      </c>
      <c r="AG17" s="100">
        <f>(Augmentation!AG61+Replacement!AG96)/1000000</f>
        <v>5.3911364888410915</v>
      </c>
      <c r="AH17" s="100">
        <f>(Augmentation!AH61+Replacement!AH96)/1000000</f>
        <v>5.3911364888410915</v>
      </c>
      <c r="AI17" s="101">
        <f>(Augmentation!AI61+Replacement!AI96)/1000000</f>
        <v>5.3911364888410915</v>
      </c>
    </row>
    <row r="18" spans="1:35" x14ac:dyDescent="0.2">
      <c r="A18" s="50"/>
      <c r="C18" s="76" t="s">
        <v>151</v>
      </c>
      <c r="D18" s="50"/>
      <c r="E18" s="50"/>
      <c r="F18" s="50"/>
      <c r="G18" s="77"/>
      <c r="H18" s="77"/>
      <c r="I18" s="78"/>
      <c r="J18" s="88"/>
      <c r="K18" s="99">
        <f>(Augmentation!K62+Replacement!K97)/1000000</f>
        <v>1.870232148679311</v>
      </c>
      <c r="L18" s="100">
        <f>(Augmentation!L62+Replacement!L97)/1000000</f>
        <v>2.8872948822568869</v>
      </c>
      <c r="M18" s="100">
        <f>(Augmentation!M62+Replacement!M97)/1000000</f>
        <v>6.3724545174662017</v>
      </c>
      <c r="N18" s="100">
        <f>(Augmentation!N62+Replacement!N97)/1000000</f>
        <v>8.8201231681768899</v>
      </c>
      <c r="O18" s="101">
        <f>(Augmentation!O62+Replacement!O97)/1000000</f>
        <v>7.6774856069447157</v>
      </c>
      <c r="P18" s="99">
        <f>(Augmentation!P62+Replacement!P97)/1000000</f>
        <v>3.2921882552076833</v>
      </c>
      <c r="Q18" s="100">
        <f>(Augmentation!Q62+Replacement!Q97)/1000000</f>
        <v>1.8288908647417323</v>
      </c>
      <c r="R18" s="100">
        <f>(Augmentation!R62+Replacement!R97)/1000000</f>
        <v>1.6806857616753406</v>
      </c>
      <c r="S18" s="100">
        <f>(Augmentation!S62+Replacement!S97)/1000000</f>
        <v>2.0069606761082048</v>
      </c>
      <c r="T18" s="101">
        <f>(Augmentation!T62+Replacement!T97)/1000000</f>
        <v>2.1771913936253346</v>
      </c>
      <c r="U18" s="99">
        <f>(Augmentation!U62+Replacement!U97)/1000000</f>
        <v>2.1971833902716589</v>
      </c>
      <c r="V18" s="100">
        <f>(Augmentation!V62+Replacement!V97)/1000000</f>
        <v>2.1971833902716589</v>
      </c>
      <c r="W18" s="100">
        <f>(Augmentation!W62+Replacement!W97)/1000000</f>
        <v>2.1971833902716589</v>
      </c>
      <c r="X18" s="100">
        <f>(Augmentation!X62+Replacement!X97)/1000000</f>
        <v>2.1971833902716589</v>
      </c>
      <c r="Y18" s="101">
        <f>(Augmentation!Y62+Replacement!Y97)/1000000</f>
        <v>2.1971833902716589</v>
      </c>
      <c r="Z18" s="99">
        <f>(Augmentation!Z62+Replacement!Z97)/1000000</f>
        <v>2.1971833902716589</v>
      </c>
      <c r="AA18" s="100">
        <f>(Augmentation!AA62+Replacement!AA97)/1000000</f>
        <v>2.1971833902716589</v>
      </c>
      <c r="AB18" s="100">
        <f>(Augmentation!AB62+Replacement!AB97)/1000000</f>
        <v>2.1971833902716589</v>
      </c>
      <c r="AC18" s="100">
        <f>(Augmentation!AC62+Replacement!AC97)/1000000</f>
        <v>2.1971833902716589</v>
      </c>
      <c r="AD18" s="101">
        <f>(Augmentation!AD62+Replacement!AD97)/1000000</f>
        <v>2.1971833902716589</v>
      </c>
      <c r="AE18" s="99">
        <f>(Augmentation!AE62+Replacement!AE97)/1000000</f>
        <v>2.1971833902716589</v>
      </c>
      <c r="AF18" s="100">
        <f>(Augmentation!AF62+Replacement!AF97)/1000000</f>
        <v>2.1971833902716589</v>
      </c>
      <c r="AG18" s="100">
        <f>(Augmentation!AG62+Replacement!AG97)/1000000</f>
        <v>2.1971833902716589</v>
      </c>
      <c r="AH18" s="100">
        <f>(Augmentation!AH62+Replacement!AH97)/1000000</f>
        <v>2.1971833902716589</v>
      </c>
      <c r="AI18" s="101">
        <f>(Augmentation!AI62+Replacement!AI97)/1000000</f>
        <v>2.1971833902716589</v>
      </c>
    </row>
    <row r="19" spans="1:35" x14ac:dyDescent="0.2">
      <c r="A19" s="50"/>
      <c r="C19" s="76" t="s">
        <v>127</v>
      </c>
      <c r="D19" s="50"/>
      <c r="E19" s="50"/>
      <c r="F19" s="50"/>
      <c r="G19" s="77"/>
      <c r="H19" s="77"/>
      <c r="I19" s="78"/>
      <c r="J19" s="88"/>
      <c r="K19" s="102">
        <f>(Augmentation!K63+Replacement!K98)/1000000</f>
        <v>2.1916322854122967</v>
      </c>
      <c r="L19" s="103">
        <f>(Augmentation!L63+Replacement!L98)/1000000</f>
        <v>2.2676934747867024</v>
      </c>
      <c r="M19" s="103">
        <f>(Augmentation!M63+Replacement!M98)/1000000</f>
        <v>2.3457264202810371</v>
      </c>
      <c r="N19" s="103">
        <f>(Augmentation!N63+Replacement!N98)/1000000</f>
        <v>2.273238725277912</v>
      </c>
      <c r="O19" s="104">
        <f>(Augmentation!O63+Replacement!O98)/1000000</f>
        <v>2.2947946172107208</v>
      </c>
      <c r="P19" s="102">
        <f>(Augmentation!P63+Replacement!P98)/1000000</f>
        <v>2.4894151624210106</v>
      </c>
      <c r="Q19" s="103">
        <f>(Augmentation!Q63+Replacement!Q98)/1000000</f>
        <v>2.5265181925255553</v>
      </c>
      <c r="R19" s="103">
        <f>(Augmentation!R63+Replacement!R98)/1000000</f>
        <v>2.5636455163875227</v>
      </c>
      <c r="S19" s="103">
        <f>(Augmentation!S63+Replacement!S98)/1000000</f>
        <v>2.5636446797816945</v>
      </c>
      <c r="T19" s="104">
        <f>(Augmentation!T63+Replacement!T98)/1000000</f>
        <v>2.600868406660418</v>
      </c>
      <c r="U19" s="102">
        <f>(Augmentation!U63+Replacement!U98)/1000000</f>
        <v>2.5488183915552405</v>
      </c>
      <c r="V19" s="103">
        <f>(Augmentation!V63+Replacement!V98)/1000000</f>
        <v>2.5488183915552405</v>
      </c>
      <c r="W19" s="103">
        <f>(Augmentation!W63+Replacement!W98)/1000000</f>
        <v>2.5488183915552405</v>
      </c>
      <c r="X19" s="103">
        <f>(Augmentation!X63+Replacement!X98)/1000000</f>
        <v>2.5488183915552405</v>
      </c>
      <c r="Y19" s="104">
        <f>(Augmentation!Y63+Replacement!Y98)/1000000</f>
        <v>2.5488183915552405</v>
      </c>
      <c r="Z19" s="102">
        <f>(Augmentation!Z63+Replacement!Z98)/1000000</f>
        <v>2.5488183915552405</v>
      </c>
      <c r="AA19" s="103">
        <f>(Augmentation!AA63+Replacement!AA98)/1000000</f>
        <v>2.5488183915552405</v>
      </c>
      <c r="AB19" s="103">
        <f>(Augmentation!AB63+Replacement!AB98)/1000000</f>
        <v>2.5488183915552405</v>
      </c>
      <c r="AC19" s="103">
        <f>(Augmentation!AC63+Replacement!AC98)/1000000</f>
        <v>2.5488183915552405</v>
      </c>
      <c r="AD19" s="104">
        <f>(Augmentation!AD63+Replacement!AD98)/1000000</f>
        <v>2.5488183915552405</v>
      </c>
      <c r="AE19" s="102">
        <f>(Augmentation!AE63+Replacement!AE98)/1000000</f>
        <v>2.5488183915552405</v>
      </c>
      <c r="AF19" s="103">
        <f>(Augmentation!AF63+Replacement!AF98)/1000000</f>
        <v>2.5488183915552405</v>
      </c>
      <c r="AG19" s="103">
        <f>(Augmentation!AG63+Replacement!AG98)/1000000</f>
        <v>2.5488183915552405</v>
      </c>
      <c r="AH19" s="103">
        <f>(Augmentation!AH63+Replacement!AH98)/1000000</f>
        <v>2.5488183915552405</v>
      </c>
      <c r="AI19" s="104">
        <f>(Augmentation!AI63+Replacement!AI98)/1000000</f>
        <v>2.5488183915552405</v>
      </c>
    </row>
    <row r="20" spans="1:35" x14ac:dyDescent="0.2">
      <c r="A20" s="50"/>
      <c r="C20" s="76" t="s">
        <v>152</v>
      </c>
      <c r="D20" s="50"/>
      <c r="E20" s="50"/>
      <c r="F20" s="50"/>
      <c r="G20" s="77"/>
      <c r="H20" s="77"/>
      <c r="I20" s="78"/>
      <c r="J20" s="88"/>
      <c r="K20" s="102">
        <f>(Augmentation!K64+Replacement!K99)/1000000</f>
        <v>0</v>
      </c>
      <c r="L20" s="103">
        <f>(Augmentation!L64+Replacement!L99)/1000000</f>
        <v>0</v>
      </c>
      <c r="M20" s="103">
        <f>(Augmentation!M64+Replacement!M99)/1000000</f>
        <v>0</v>
      </c>
      <c r="N20" s="103">
        <f>(Augmentation!N64+Replacement!N99)/1000000</f>
        <v>0</v>
      </c>
      <c r="O20" s="104">
        <f>(Augmentation!O64+Replacement!O99)/1000000</f>
        <v>0</v>
      </c>
      <c r="P20" s="102">
        <f>(Augmentation!P64+Replacement!P99)/1000000</f>
        <v>0</v>
      </c>
      <c r="Q20" s="103">
        <f>(Augmentation!Q64+Replacement!Q99)/1000000</f>
        <v>0</v>
      </c>
      <c r="R20" s="103">
        <f>(Augmentation!R64+Replacement!R99)/1000000</f>
        <v>0</v>
      </c>
      <c r="S20" s="103">
        <f>(Augmentation!S64+Replacement!S99)/1000000</f>
        <v>0</v>
      </c>
      <c r="T20" s="104">
        <f>(Augmentation!T64+Replacement!T99)/1000000</f>
        <v>0</v>
      </c>
      <c r="U20" s="102">
        <f>(Augmentation!U64+Replacement!U99)/1000000</f>
        <v>0</v>
      </c>
      <c r="V20" s="103">
        <f>(Augmentation!V64+Replacement!V99)/1000000</f>
        <v>0</v>
      </c>
      <c r="W20" s="103">
        <f>(Augmentation!W64+Replacement!W99)/1000000</f>
        <v>0</v>
      </c>
      <c r="X20" s="103">
        <f>(Augmentation!X64+Replacement!X99)/1000000</f>
        <v>0</v>
      </c>
      <c r="Y20" s="104">
        <f>(Augmentation!Y64+Replacement!Y99)/1000000</f>
        <v>0</v>
      </c>
      <c r="Z20" s="102">
        <f>(Augmentation!Z64+Replacement!Z99)/1000000</f>
        <v>0</v>
      </c>
      <c r="AA20" s="103">
        <f>(Augmentation!AA64+Replacement!AA99)/1000000</f>
        <v>0</v>
      </c>
      <c r="AB20" s="103">
        <f>(Augmentation!AB64+Replacement!AB99)/1000000</f>
        <v>0</v>
      </c>
      <c r="AC20" s="103">
        <f>(Augmentation!AC64+Replacement!AC99)/1000000</f>
        <v>0</v>
      </c>
      <c r="AD20" s="104">
        <f>(Augmentation!AD64+Replacement!AD99)/1000000</f>
        <v>0</v>
      </c>
      <c r="AE20" s="102">
        <f>(Augmentation!AE64+Replacement!AE99)/1000000</f>
        <v>0</v>
      </c>
      <c r="AF20" s="103">
        <f>(Augmentation!AF64+Replacement!AF99)/1000000</f>
        <v>0</v>
      </c>
      <c r="AG20" s="103">
        <f>(Augmentation!AG64+Replacement!AG99)/1000000</f>
        <v>0</v>
      </c>
      <c r="AH20" s="103">
        <f>(Augmentation!AH64+Replacement!AH99)/1000000</f>
        <v>0</v>
      </c>
      <c r="AI20" s="104">
        <f>(Augmentation!AI64+Replacement!AI99)/1000000</f>
        <v>0</v>
      </c>
    </row>
    <row r="21" spans="1:35" x14ac:dyDescent="0.2">
      <c r="A21" s="50"/>
      <c r="C21" s="50" t="s">
        <v>117</v>
      </c>
      <c r="D21" s="50"/>
      <c r="E21" s="50"/>
      <c r="F21" s="50"/>
      <c r="G21" s="77"/>
      <c r="H21" s="77"/>
      <c r="I21" s="78"/>
      <c r="J21" s="88"/>
      <c r="K21" s="105">
        <f t="shared" ref="K21:AI21" si="4">SUM(K16:K20)</f>
        <v>23.022010497101402</v>
      </c>
      <c r="L21" s="106">
        <f t="shared" si="4"/>
        <v>23.908839722301749</v>
      </c>
      <c r="M21" s="106">
        <f t="shared" si="4"/>
        <v>27.434945950985689</v>
      </c>
      <c r="N21" s="106">
        <f t="shared" si="4"/>
        <v>25.401049061627333</v>
      </c>
      <c r="O21" s="107">
        <f t="shared" si="4"/>
        <v>23.245809738320752</v>
      </c>
      <c r="P21" s="105">
        <f t="shared" si="4"/>
        <v>13.112277873552713</v>
      </c>
      <c r="Q21" s="106">
        <f t="shared" si="4"/>
        <v>12.035142657896911</v>
      </c>
      <c r="R21" s="106">
        <f t="shared" si="4"/>
        <v>11.658624528464916</v>
      </c>
      <c r="S21" s="106">
        <f t="shared" si="4"/>
        <v>14.50885029149995</v>
      </c>
      <c r="T21" s="107">
        <f t="shared" si="4"/>
        <v>14.926768693753747</v>
      </c>
      <c r="U21" s="105">
        <f t="shared" si="4"/>
        <v>13.248332809033649</v>
      </c>
      <c r="V21" s="106">
        <f t="shared" si="4"/>
        <v>13.248332809033649</v>
      </c>
      <c r="W21" s="106">
        <f t="shared" si="4"/>
        <v>13.248332809033649</v>
      </c>
      <c r="X21" s="106">
        <f t="shared" si="4"/>
        <v>13.248332809033649</v>
      </c>
      <c r="Y21" s="107">
        <f t="shared" si="4"/>
        <v>13.248332809033649</v>
      </c>
      <c r="Z21" s="105">
        <f t="shared" si="4"/>
        <v>13.248332809033649</v>
      </c>
      <c r="AA21" s="106">
        <f t="shared" si="4"/>
        <v>13.248332809033649</v>
      </c>
      <c r="AB21" s="106">
        <f t="shared" si="4"/>
        <v>13.248332809033649</v>
      </c>
      <c r="AC21" s="106">
        <f t="shared" si="4"/>
        <v>13.248332809033649</v>
      </c>
      <c r="AD21" s="107">
        <f t="shared" si="4"/>
        <v>13.248332809033649</v>
      </c>
      <c r="AE21" s="105">
        <f t="shared" si="4"/>
        <v>13.248332809033649</v>
      </c>
      <c r="AF21" s="106">
        <f t="shared" si="4"/>
        <v>13.248332809033649</v>
      </c>
      <c r="AG21" s="106">
        <f t="shared" si="4"/>
        <v>13.248332809033649</v>
      </c>
      <c r="AH21" s="106">
        <f t="shared" si="4"/>
        <v>13.248332809033649</v>
      </c>
      <c r="AI21" s="107">
        <f t="shared" si="4"/>
        <v>13.248332809033649</v>
      </c>
    </row>
    <row r="22" spans="1:35" x14ac:dyDescent="0.2">
      <c r="A22" s="50"/>
      <c r="B22" s="50"/>
      <c r="C22" s="50"/>
      <c r="D22" s="50"/>
      <c r="E22" s="50"/>
      <c r="F22" s="50"/>
      <c r="G22" s="77"/>
      <c r="H22" s="77"/>
      <c r="I22" s="92"/>
      <c r="J22" s="50"/>
      <c r="K22" s="70"/>
      <c r="L22" s="71"/>
      <c r="M22" s="71"/>
      <c r="N22" s="71"/>
      <c r="O22" s="72"/>
      <c r="P22" s="70"/>
      <c r="Q22" s="71"/>
      <c r="R22" s="71"/>
      <c r="S22" s="71"/>
      <c r="T22" s="75"/>
      <c r="U22" s="70"/>
      <c r="V22" s="71"/>
      <c r="W22" s="71"/>
      <c r="X22" s="71"/>
      <c r="Y22" s="72"/>
      <c r="Z22" s="70"/>
      <c r="AA22" s="53"/>
      <c r="AB22" s="53"/>
      <c r="AC22" s="53"/>
      <c r="AD22" s="296"/>
      <c r="AE22" s="55"/>
      <c r="AF22" s="53"/>
      <c r="AG22" s="53"/>
      <c r="AH22" s="53"/>
      <c r="AI22" s="296"/>
    </row>
    <row r="23" spans="1:35" x14ac:dyDescent="0.2">
      <c r="A23" s="50"/>
      <c r="B23" s="67" t="s">
        <v>155</v>
      </c>
      <c r="C23" s="50"/>
      <c r="D23" s="50"/>
      <c r="E23" s="50"/>
      <c r="F23" s="50"/>
      <c r="G23" s="77"/>
      <c r="H23" s="77"/>
      <c r="I23" s="56" t="s">
        <v>154</v>
      </c>
      <c r="J23" s="50"/>
      <c r="K23" s="70"/>
      <c r="L23" s="71"/>
      <c r="M23" s="71"/>
      <c r="N23" s="71"/>
      <c r="O23" s="72"/>
      <c r="P23" s="70"/>
      <c r="Q23" s="71"/>
      <c r="R23" s="71"/>
      <c r="S23" s="71"/>
      <c r="T23" s="75"/>
      <c r="U23" s="70"/>
      <c r="V23" s="71"/>
      <c r="W23" s="71"/>
      <c r="X23" s="71"/>
      <c r="Y23" s="72"/>
      <c r="Z23" s="70"/>
      <c r="AA23" s="53"/>
      <c r="AB23" s="53"/>
      <c r="AC23" s="53"/>
      <c r="AD23" s="296"/>
      <c r="AE23" s="55"/>
      <c r="AF23" s="53"/>
      <c r="AG23" s="53"/>
      <c r="AH23" s="53"/>
      <c r="AI23" s="296"/>
    </row>
    <row r="24" spans="1:35" x14ac:dyDescent="0.2">
      <c r="A24" s="50"/>
      <c r="C24" s="76" t="s">
        <v>124</v>
      </c>
      <c r="D24" s="50"/>
      <c r="E24" s="50"/>
      <c r="F24" s="50"/>
      <c r="G24" s="77"/>
      <c r="H24" s="77"/>
      <c r="I24" s="78"/>
      <c r="J24" s="50"/>
      <c r="K24" s="96">
        <f>-PMT($G$4,$H$4,K16)</f>
        <v>0.16759700028957328</v>
      </c>
      <c r="L24" s="97">
        <f t="shared" ref="L24:AI24" si="5">-PMT($G$4,$H$4,L16)</f>
        <v>0.18094648564069524</v>
      </c>
      <c r="M24" s="97">
        <f t="shared" si="5"/>
        <v>0.2058851832402277</v>
      </c>
      <c r="N24" s="97">
        <f t="shared" si="5"/>
        <v>0.19007840037029092</v>
      </c>
      <c r="O24" s="98">
        <f t="shared" si="5"/>
        <v>0.21863176134911499</v>
      </c>
      <c r="P24" s="96">
        <f t="shared" si="5"/>
        <v>6.5011888822353633E-2</v>
      </c>
      <c r="Q24" s="97">
        <f t="shared" si="5"/>
        <v>8.9994043764791642E-2</v>
      </c>
      <c r="R24" s="97">
        <f t="shared" si="5"/>
        <v>5.8676048455581852E-2</v>
      </c>
      <c r="S24" s="97">
        <f t="shared" si="5"/>
        <v>0.12321815537603234</v>
      </c>
      <c r="T24" s="98">
        <f t="shared" si="5"/>
        <v>0.17107805173313287</v>
      </c>
      <c r="U24" s="96">
        <f t="shared" si="5"/>
        <v>0.10159563763037849</v>
      </c>
      <c r="V24" s="97">
        <f t="shared" si="5"/>
        <v>0.10159563763037849</v>
      </c>
      <c r="W24" s="97">
        <f t="shared" si="5"/>
        <v>0.10159563763037849</v>
      </c>
      <c r="X24" s="97">
        <f t="shared" si="5"/>
        <v>0.10159563763037849</v>
      </c>
      <c r="Y24" s="98">
        <f t="shared" si="5"/>
        <v>0.10159563763037849</v>
      </c>
      <c r="Z24" s="96">
        <f t="shared" si="5"/>
        <v>0.10159563763037849</v>
      </c>
      <c r="AA24" s="97">
        <f t="shared" si="5"/>
        <v>0.10159563763037849</v>
      </c>
      <c r="AB24" s="97">
        <f t="shared" si="5"/>
        <v>0.10159563763037849</v>
      </c>
      <c r="AC24" s="97">
        <f t="shared" si="5"/>
        <v>0.10159563763037849</v>
      </c>
      <c r="AD24" s="98">
        <f t="shared" si="5"/>
        <v>0.10159563763037849</v>
      </c>
      <c r="AE24" s="96">
        <f t="shared" si="5"/>
        <v>0.10159563763037849</v>
      </c>
      <c r="AF24" s="97">
        <f t="shared" si="5"/>
        <v>0.10159563763037849</v>
      </c>
      <c r="AG24" s="97">
        <f t="shared" si="5"/>
        <v>0.10159563763037849</v>
      </c>
      <c r="AH24" s="97">
        <f t="shared" si="5"/>
        <v>0.10159563763037849</v>
      </c>
      <c r="AI24" s="98">
        <f t="shared" si="5"/>
        <v>0.10159563763037849</v>
      </c>
    </row>
    <row r="25" spans="1:35" x14ac:dyDescent="0.2">
      <c r="A25" s="50"/>
      <c r="C25" s="76" t="s">
        <v>126</v>
      </c>
      <c r="D25" s="50"/>
      <c r="E25" s="50"/>
      <c r="F25" s="50"/>
      <c r="G25" s="77"/>
      <c r="H25" s="77"/>
      <c r="I25" s="78"/>
      <c r="J25" s="50"/>
      <c r="K25" s="99">
        <f>-PMT($G$4,$H$4,K17)</f>
        <v>0.45154400972533859</v>
      </c>
      <c r="L25" s="100">
        <f t="shared" ref="K25:AI28" si="6">-PMT($G$4,$H$4,L17)</f>
        <v>0.43145799886949737</v>
      </c>
      <c r="M25" s="100">
        <f t="shared" si="6"/>
        <v>0.40530825145152233</v>
      </c>
      <c r="N25" s="100">
        <f t="shared" si="6"/>
        <v>0.27713719252865499</v>
      </c>
      <c r="O25" s="101">
        <f t="shared" si="6"/>
        <v>0.21481355297239696</v>
      </c>
      <c r="P25" s="99">
        <f t="shared" si="6"/>
        <v>0.17437029587431957</v>
      </c>
      <c r="Q25" s="100">
        <f t="shared" si="6"/>
        <v>0.16078662017828357</v>
      </c>
      <c r="R25" s="100">
        <f t="shared" si="6"/>
        <v>0.18343669668600071</v>
      </c>
      <c r="S25" s="100">
        <f t="shared" si="6"/>
        <v>0.20131389130549066</v>
      </c>
      <c r="T25" s="101">
        <f t="shared" si="6"/>
        <v>0.1603266670790191</v>
      </c>
      <c r="U25" s="99">
        <f t="shared" si="6"/>
        <v>0.17604683422462272</v>
      </c>
      <c r="V25" s="100">
        <f t="shared" si="6"/>
        <v>0.17604683422462272</v>
      </c>
      <c r="W25" s="100">
        <f t="shared" si="6"/>
        <v>0.17604683422462272</v>
      </c>
      <c r="X25" s="100">
        <f t="shared" si="6"/>
        <v>0.17604683422462272</v>
      </c>
      <c r="Y25" s="101">
        <f t="shared" si="6"/>
        <v>0.17604683422462272</v>
      </c>
      <c r="Z25" s="99">
        <f t="shared" si="6"/>
        <v>0.17604683422462272</v>
      </c>
      <c r="AA25" s="100">
        <f t="shared" si="6"/>
        <v>0.17604683422462272</v>
      </c>
      <c r="AB25" s="100">
        <f t="shared" si="6"/>
        <v>0.17604683422462272</v>
      </c>
      <c r="AC25" s="100">
        <f t="shared" si="6"/>
        <v>0.17604683422462272</v>
      </c>
      <c r="AD25" s="101">
        <f t="shared" si="6"/>
        <v>0.17604683422462272</v>
      </c>
      <c r="AE25" s="99">
        <f t="shared" si="6"/>
        <v>0.17604683422462272</v>
      </c>
      <c r="AF25" s="100">
        <f t="shared" si="6"/>
        <v>0.17604683422462272</v>
      </c>
      <c r="AG25" s="100">
        <f t="shared" si="6"/>
        <v>0.17604683422462272</v>
      </c>
      <c r="AH25" s="100">
        <f t="shared" si="6"/>
        <v>0.17604683422462272</v>
      </c>
      <c r="AI25" s="101">
        <f t="shared" si="6"/>
        <v>0.17604683422462272</v>
      </c>
    </row>
    <row r="26" spans="1:35" x14ac:dyDescent="0.2">
      <c r="A26" s="50"/>
      <c r="C26" s="76" t="s">
        <v>151</v>
      </c>
      <c r="D26" s="50"/>
      <c r="E26" s="50"/>
      <c r="F26" s="50"/>
      <c r="G26" s="77"/>
      <c r="H26" s="77"/>
      <c r="I26" s="78"/>
      <c r="J26" s="50"/>
      <c r="K26" s="99">
        <f t="shared" si="6"/>
        <v>6.1072178328559393E-2</v>
      </c>
      <c r="L26" s="100">
        <f t="shared" si="6"/>
        <v>9.4284224587225504E-2</v>
      </c>
      <c r="M26" s="100">
        <f t="shared" si="6"/>
        <v>0.20809164196870109</v>
      </c>
      <c r="N26" s="100">
        <f t="shared" si="6"/>
        <v>0.28801993131555459</v>
      </c>
      <c r="O26" s="101">
        <f t="shared" si="6"/>
        <v>0.25070725601277999</v>
      </c>
      <c r="P26" s="99">
        <f t="shared" si="6"/>
        <v>0.10750596301919757</v>
      </c>
      <c r="Q26" s="100">
        <f t="shared" si="6"/>
        <v>5.9722184282766551E-2</v>
      </c>
      <c r="R26" s="100">
        <f t="shared" si="6"/>
        <v>5.4882566650236365E-2</v>
      </c>
      <c r="S26" s="100">
        <f t="shared" si="6"/>
        <v>6.5537029933016841E-2</v>
      </c>
      <c r="T26" s="101">
        <f t="shared" si="6"/>
        <v>7.1095891031916394E-2</v>
      </c>
      <c r="U26" s="99">
        <f t="shared" si="6"/>
        <v>7.1748726983426742E-2</v>
      </c>
      <c r="V26" s="100">
        <f t="shared" si="6"/>
        <v>7.1748726983426742E-2</v>
      </c>
      <c r="W26" s="100">
        <f t="shared" si="6"/>
        <v>7.1748726983426742E-2</v>
      </c>
      <c r="X26" s="100">
        <f t="shared" si="6"/>
        <v>7.1748726983426742E-2</v>
      </c>
      <c r="Y26" s="101">
        <f t="shared" si="6"/>
        <v>7.1748726983426742E-2</v>
      </c>
      <c r="Z26" s="99">
        <f t="shared" si="6"/>
        <v>7.1748726983426742E-2</v>
      </c>
      <c r="AA26" s="100">
        <f t="shared" si="6"/>
        <v>7.1748726983426742E-2</v>
      </c>
      <c r="AB26" s="100">
        <f t="shared" si="6"/>
        <v>7.1748726983426742E-2</v>
      </c>
      <c r="AC26" s="100">
        <f t="shared" si="6"/>
        <v>7.1748726983426742E-2</v>
      </c>
      <c r="AD26" s="101">
        <f t="shared" si="6"/>
        <v>7.1748726983426742E-2</v>
      </c>
      <c r="AE26" s="99">
        <f t="shared" si="6"/>
        <v>7.1748726983426742E-2</v>
      </c>
      <c r="AF26" s="100">
        <f t="shared" si="6"/>
        <v>7.1748726983426742E-2</v>
      </c>
      <c r="AG26" s="100">
        <f t="shared" si="6"/>
        <v>7.1748726983426742E-2</v>
      </c>
      <c r="AH26" s="100">
        <f t="shared" si="6"/>
        <v>7.1748726983426742E-2</v>
      </c>
      <c r="AI26" s="101">
        <f t="shared" si="6"/>
        <v>7.1748726983426742E-2</v>
      </c>
    </row>
    <row r="27" spans="1:35" x14ac:dyDescent="0.2">
      <c r="A27" s="50"/>
      <c r="C27" s="76" t="s">
        <v>127</v>
      </c>
      <c r="D27" s="50"/>
      <c r="E27" s="50"/>
      <c r="F27" s="50"/>
      <c r="G27" s="77"/>
      <c r="H27" s="77"/>
      <c r="I27" s="78"/>
      <c r="J27" s="50"/>
      <c r="K27" s="102">
        <f t="shared" si="6"/>
        <v>7.1567456403658927E-2</v>
      </c>
      <c r="L27" s="103">
        <f t="shared" si="6"/>
        <v>7.4051224274207142E-2</v>
      </c>
      <c r="M27" s="103">
        <f t="shared" si="6"/>
        <v>7.6599379574659052E-2</v>
      </c>
      <c r="N27" s="103">
        <f t="shared" si="6"/>
        <v>7.4232303680373299E-2</v>
      </c>
      <c r="O27" s="104">
        <f t="shared" si="6"/>
        <v>7.4936208421333542E-2</v>
      </c>
      <c r="P27" s="102">
        <f t="shared" si="6"/>
        <v>8.1291516050858395E-2</v>
      </c>
      <c r="Q27" s="103">
        <f t="shared" si="6"/>
        <v>8.2503110489909603E-2</v>
      </c>
      <c r="R27" s="103">
        <f t="shared" si="6"/>
        <v>8.3715498238329744E-2</v>
      </c>
      <c r="S27" s="103">
        <f t="shared" si="6"/>
        <v>8.3715470919079368E-2</v>
      </c>
      <c r="T27" s="104">
        <f t="shared" si="6"/>
        <v>8.493100669499698E-2</v>
      </c>
      <c r="U27" s="102">
        <f t="shared" si="6"/>
        <v>8.3231320478634824E-2</v>
      </c>
      <c r="V27" s="103">
        <f t="shared" si="6"/>
        <v>8.3231320478634824E-2</v>
      </c>
      <c r="W27" s="103">
        <f t="shared" si="6"/>
        <v>8.3231320478634824E-2</v>
      </c>
      <c r="X27" s="103">
        <f t="shared" si="6"/>
        <v>8.3231320478634824E-2</v>
      </c>
      <c r="Y27" s="104">
        <f t="shared" si="6"/>
        <v>8.3231320478634824E-2</v>
      </c>
      <c r="Z27" s="102">
        <f t="shared" si="6"/>
        <v>8.3231320478634824E-2</v>
      </c>
      <c r="AA27" s="103">
        <f t="shared" si="6"/>
        <v>8.3231320478634824E-2</v>
      </c>
      <c r="AB27" s="103">
        <f t="shared" si="6"/>
        <v>8.3231320478634824E-2</v>
      </c>
      <c r="AC27" s="103">
        <f t="shared" si="6"/>
        <v>8.3231320478634824E-2</v>
      </c>
      <c r="AD27" s="104">
        <f t="shared" si="6"/>
        <v>8.3231320478634824E-2</v>
      </c>
      <c r="AE27" s="102">
        <f t="shared" si="6"/>
        <v>8.3231320478634824E-2</v>
      </c>
      <c r="AF27" s="103">
        <f t="shared" si="6"/>
        <v>8.3231320478634824E-2</v>
      </c>
      <c r="AG27" s="103">
        <f t="shared" si="6"/>
        <v>8.3231320478634824E-2</v>
      </c>
      <c r="AH27" s="103">
        <f t="shared" si="6"/>
        <v>8.3231320478634824E-2</v>
      </c>
      <c r="AI27" s="104">
        <f t="shared" si="6"/>
        <v>8.3231320478634824E-2</v>
      </c>
    </row>
    <row r="28" spans="1:35" x14ac:dyDescent="0.2">
      <c r="A28" s="50"/>
      <c r="C28" s="76" t="s">
        <v>152</v>
      </c>
      <c r="D28" s="50"/>
      <c r="E28" s="50"/>
      <c r="F28" s="50"/>
      <c r="G28" s="77"/>
      <c r="H28" s="77"/>
      <c r="I28" s="78"/>
      <c r="J28" s="50"/>
      <c r="K28" s="102">
        <f t="shared" si="6"/>
        <v>0</v>
      </c>
      <c r="L28" s="103">
        <f t="shared" si="6"/>
        <v>0</v>
      </c>
      <c r="M28" s="103">
        <f t="shared" si="6"/>
        <v>0</v>
      </c>
      <c r="N28" s="103">
        <f t="shared" si="6"/>
        <v>0</v>
      </c>
      <c r="O28" s="104">
        <f t="shared" si="6"/>
        <v>0</v>
      </c>
      <c r="P28" s="102">
        <f t="shared" si="6"/>
        <v>0</v>
      </c>
      <c r="Q28" s="103">
        <f t="shared" si="6"/>
        <v>0</v>
      </c>
      <c r="R28" s="103">
        <f t="shared" si="6"/>
        <v>0</v>
      </c>
      <c r="S28" s="103">
        <f t="shared" si="6"/>
        <v>0</v>
      </c>
      <c r="T28" s="104">
        <f t="shared" si="6"/>
        <v>0</v>
      </c>
      <c r="U28" s="102">
        <f t="shared" si="6"/>
        <v>0</v>
      </c>
      <c r="V28" s="103">
        <f t="shared" si="6"/>
        <v>0</v>
      </c>
      <c r="W28" s="103">
        <f t="shared" si="6"/>
        <v>0</v>
      </c>
      <c r="X28" s="103">
        <f t="shared" si="6"/>
        <v>0</v>
      </c>
      <c r="Y28" s="104">
        <f t="shared" si="6"/>
        <v>0</v>
      </c>
      <c r="Z28" s="102">
        <f t="shared" si="6"/>
        <v>0</v>
      </c>
      <c r="AA28" s="103">
        <f t="shared" si="6"/>
        <v>0</v>
      </c>
      <c r="AB28" s="103">
        <f t="shared" si="6"/>
        <v>0</v>
      </c>
      <c r="AC28" s="103">
        <f t="shared" si="6"/>
        <v>0</v>
      </c>
      <c r="AD28" s="104">
        <f t="shared" si="6"/>
        <v>0</v>
      </c>
      <c r="AE28" s="102">
        <f t="shared" si="6"/>
        <v>0</v>
      </c>
      <c r="AF28" s="103">
        <f t="shared" si="6"/>
        <v>0</v>
      </c>
      <c r="AG28" s="103">
        <f t="shared" si="6"/>
        <v>0</v>
      </c>
      <c r="AH28" s="103">
        <f t="shared" si="6"/>
        <v>0</v>
      </c>
      <c r="AI28" s="104">
        <f t="shared" si="6"/>
        <v>0</v>
      </c>
    </row>
    <row r="29" spans="1:35" s="44" customFormat="1" x14ac:dyDescent="0.2">
      <c r="A29" s="58"/>
      <c r="C29" s="58" t="s">
        <v>117</v>
      </c>
      <c r="D29" s="58"/>
      <c r="E29" s="58"/>
      <c r="F29" s="58"/>
      <c r="G29" s="93"/>
      <c r="H29" s="93"/>
      <c r="I29" s="94"/>
      <c r="J29" s="50"/>
      <c r="K29" s="105">
        <f t="shared" ref="K29" si="7">SUM(K24:K28)</f>
        <v>0.75178064474713013</v>
      </c>
      <c r="L29" s="106">
        <f t="shared" ref="L29:AI29" si="8">SUM(L24:L28)</f>
        <v>0.78073993337162528</v>
      </c>
      <c r="M29" s="106">
        <f t="shared" si="8"/>
        <v>0.89588445623511015</v>
      </c>
      <c r="N29" s="106">
        <f t="shared" si="8"/>
        <v>0.82946782789487372</v>
      </c>
      <c r="O29" s="107">
        <f t="shared" si="8"/>
        <v>0.75908877875562542</v>
      </c>
      <c r="P29" s="105">
        <f t="shared" si="8"/>
        <v>0.42817966376672917</v>
      </c>
      <c r="Q29" s="106">
        <f t="shared" si="8"/>
        <v>0.39300595871575134</v>
      </c>
      <c r="R29" s="106">
        <f t="shared" si="8"/>
        <v>0.38071081003014867</v>
      </c>
      <c r="S29" s="106">
        <f t="shared" si="8"/>
        <v>0.47378454753361926</v>
      </c>
      <c r="T29" s="107">
        <f t="shared" si="8"/>
        <v>0.4874316165390653</v>
      </c>
      <c r="U29" s="105">
        <f t="shared" si="8"/>
        <v>0.43262251931706275</v>
      </c>
      <c r="V29" s="106">
        <f t="shared" si="8"/>
        <v>0.43262251931706275</v>
      </c>
      <c r="W29" s="106">
        <f t="shared" si="8"/>
        <v>0.43262251931706275</v>
      </c>
      <c r="X29" s="106">
        <f t="shared" si="8"/>
        <v>0.43262251931706275</v>
      </c>
      <c r="Y29" s="107">
        <f t="shared" si="8"/>
        <v>0.43262251931706275</v>
      </c>
      <c r="Z29" s="105">
        <f t="shared" si="8"/>
        <v>0.43262251931706275</v>
      </c>
      <c r="AA29" s="106">
        <f t="shared" si="8"/>
        <v>0.43262251931706275</v>
      </c>
      <c r="AB29" s="106">
        <f t="shared" si="8"/>
        <v>0.43262251931706275</v>
      </c>
      <c r="AC29" s="106">
        <f t="shared" si="8"/>
        <v>0.43262251931706275</v>
      </c>
      <c r="AD29" s="107">
        <f t="shared" si="8"/>
        <v>0.43262251931706275</v>
      </c>
      <c r="AE29" s="105">
        <f t="shared" si="8"/>
        <v>0.43262251931706275</v>
      </c>
      <c r="AF29" s="106">
        <f t="shared" si="8"/>
        <v>0.43262251931706275</v>
      </c>
      <c r="AG29" s="106">
        <f t="shared" si="8"/>
        <v>0.43262251931706275</v>
      </c>
      <c r="AH29" s="106">
        <f t="shared" si="8"/>
        <v>0.43262251931706275</v>
      </c>
      <c r="AI29" s="107">
        <f t="shared" si="8"/>
        <v>0.43262251931706275</v>
      </c>
    </row>
    <row r="30" spans="1:35" x14ac:dyDescent="0.2">
      <c r="A30" s="50"/>
      <c r="B30" s="76"/>
      <c r="C30" s="95"/>
      <c r="D30" s="95"/>
      <c r="E30" s="95"/>
      <c r="F30" s="95"/>
      <c r="G30" s="77"/>
      <c r="H30" s="77"/>
      <c r="I30" s="56"/>
      <c r="J30" s="50"/>
      <c r="K30" s="70"/>
      <c r="L30" s="71"/>
      <c r="M30" s="71"/>
      <c r="N30" s="71"/>
      <c r="O30" s="72"/>
      <c r="P30" s="70"/>
      <c r="Q30" s="71"/>
      <c r="R30" s="71"/>
      <c r="S30" s="71"/>
      <c r="T30" s="75"/>
      <c r="U30" s="70"/>
      <c r="V30" s="71"/>
      <c r="W30" s="71"/>
      <c r="X30" s="71"/>
      <c r="Y30" s="72"/>
      <c r="Z30" s="70"/>
      <c r="AA30" s="53"/>
      <c r="AB30" s="53"/>
      <c r="AC30" s="53"/>
      <c r="AD30" s="296"/>
      <c r="AE30" s="55"/>
      <c r="AF30" s="53"/>
      <c r="AG30" s="53"/>
      <c r="AH30" s="53"/>
      <c r="AI30" s="296"/>
    </row>
    <row r="31" spans="1:35" x14ac:dyDescent="0.2">
      <c r="A31" s="50"/>
      <c r="B31" s="67" t="s">
        <v>156</v>
      </c>
      <c r="C31" s="95"/>
      <c r="D31" s="95"/>
      <c r="E31" s="95"/>
      <c r="F31" s="95"/>
      <c r="G31" s="77"/>
      <c r="H31" s="77"/>
      <c r="I31" s="56" t="s">
        <v>157</v>
      </c>
      <c r="J31" s="50"/>
      <c r="K31" s="70"/>
      <c r="L31" s="71"/>
      <c r="M31" s="71"/>
      <c r="N31" s="71"/>
      <c r="O31" s="72"/>
      <c r="P31" s="70"/>
      <c r="Q31" s="71"/>
      <c r="R31" s="71"/>
      <c r="S31" s="71"/>
      <c r="T31" s="75"/>
      <c r="U31" s="70"/>
      <c r="V31" s="71"/>
      <c r="W31" s="71"/>
      <c r="X31" s="71"/>
      <c r="Y31" s="72"/>
      <c r="Z31" s="70"/>
      <c r="AA31" s="53"/>
      <c r="AB31" s="53"/>
      <c r="AC31" s="53"/>
      <c r="AD31" s="296"/>
      <c r="AE31" s="55"/>
      <c r="AF31" s="53"/>
      <c r="AG31" s="53"/>
      <c r="AH31" s="53"/>
      <c r="AI31" s="296"/>
    </row>
    <row r="32" spans="1:35" x14ac:dyDescent="0.2">
      <c r="A32" s="50"/>
      <c r="C32" s="76" t="s">
        <v>124</v>
      </c>
      <c r="D32" s="95"/>
      <c r="E32" s="95"/>
      <c r="F32" s="95"/>
      <c r="G32" s="77"/>
      <c r="H32" s="77"/>
      <c r="I32" s="56"/>
      <c r="J32" s="50"/>
      <c r="K32" s="96">
        <f>Opex!K33/1000000</f>
        <v>0</v>
      </c>
      <c r="L32" s="97">
        <f>Opex!L33/1000000</f>
        <v>2.4635398169882403E-2</v>
      </c>
      <c r="M32" s="97">
        <f>Opex!M33/1000000</f>
        <v>2.6597664119867678E-2</v>
      </c>
      <c r="N32" s="97">
        <f>Opex!N33/1000000</f>
        <v>3.0263450167000137E-2</v>
      </c>
      <c r="O32" s="98">
        <f>Opex!O33/1000000</f>
        <v>6.4893078689609238E-2</v>
      </c>
      <c r="P32" s="96">
        <f>Opex!P33/1000000</f>
        <v>7.2033589827731434E-2</v>
      </c>
      <c r="Q32" s="97">
        <f>Opex!Q33/1000000</f>
        <v>5.4951395016651049E-2</v>
      </c>
      <c r="R32" s="97">
        <f>Opex!R33/1000000</f>
        <v>5.5138365841999125E-2</v>
      </c>
      <c r="S32" s="97">
        <f>Opex!S33/1000000</f>
        <v>5.6830543150588574E-2</v>
      </c>
      <c r="T32" s="98">
        <f>Opex!T33/1000000</f>
        <v>3.2446397969078181E-2</v>
      </c>
      <c r="U32" s="96">
        <f>Opex!U33/1000000</f>
        <v>4.4989675000989618E-2</v>
      </c>
      <c r="V32" s="97">
        <f>Opex!V33/1000000</f>
        <v>2.7871087802195733E-2</v>
      </c>
      <c r="W32" s="97">
        <f>Opex!W33/1000000</f>
        <v>4.2101836263933025E-2</v>
      </c>
      <c r="X32" s="97">
        <f>Opex!X33/1000000</f>
        <v>5.2654360483543064E-2</v>
      </c>
      <c r="Y32" s="98">
        <f>Opex!Y33/1000000</f>
        <v>3.7334334460387884E-2</v>
      </c>
      <c r="Z32" s="96">
        <f>Opex!Z33/1000000</f>
        <v>3.7334334460387884E-2</v>
      </c>
      <c r="AA32" s="97">
        <f>Opex!AA33/1000000</f>
        <v>3.7334334460387884E-2</v>
      </c>
      <c r="AB32" s="97">
        <f>Opex!AB33/1000000</f>
        <v>3.7334334460387884E-2</v>
      </c>
      <c r="AC32" s="97">
        <f>Opex!AC33/1000000</f>
        <v>3.7334334460387884E-2</v>
      </c>
      <c r="AD32" s="98">
        <f>Opex!AD33/1000000</f>
        <v>3.7334334460387884E-2</v>
      </c>
      <c r="AE32" s="96">
        <f>Opex!AE33/1000000</f>
        <v>3.7334334460387884E-2</v>
      </c>
      <c r="AF32" s="97">
        <f>Opex!AF33/1000000</f>
        <v>3.7334334460387884E-2</v>
      </c>
      <c r="AG32" s="97">
        <f>Opex!AG33/1000000</f>
        <v>3.7334334460387884E-2</v>
      </c>
      <c r="AH32" s="97">
        <f>Opex!AH33/1000000</f>
        <v>3.7334334460387884E-2</v>
      </c>
      <c r="AI32" s="98">
        <f>Opex!AI33/1000000</f>
        <v>3.7334334460387884E-2</v>
      </c>
    </row>
    <row r="33" spans="1:35" x14ac:dyDescent="0.2">
      <c r="A33" s="50"/>
      <c r="C33" s="76" t="s">
        <v>126</v>
      </c>
      <c r="D33" s="95"/>
      <c r="E33" s="95"/>
      <c r="F33" s="95"/>
      <c r="G33" s="77"/>
      <c r="H33" s="77"/>
      <c r="I33" s="56"/>
      <c r="J33" s="50"/>
      <c r="K33" s="99">
        <f>Opex!K34/1000000</f>
        <v>0</v>
      </c>
      <c r="L33" s="100">
        <f>Opex!L34/1000000</f>
        <v>6.6373302932564604E-2</v>
      </c>
      <c r="M33" s="100">
        <f>Opex!M34/1000000</f>
        <v>6.3420822433371493E-2</v>
      </c>
      <c r="N33" s="100">
        <f>Opex!N34/1000000</f>
        <v>5.9577021896544437E-2</v>
      </c>
      <c r="O33" s="101">
        <f>Opex!O34/1000000</f>
        <v>0.14029687137128943</v>
      </c>
      <c r="P33" s="99">
        <f>Opex!P34/1000000</f>
        <v>0.12670708167012087</v>
      </c>
      <c r="Q33" s="100">
        <f>Opex!Q34/1000000</f>
        <v>0.1149965504671011</v>
      </c>
      <c r="R33" s="100">
        <f>Opex!R34/1000000</f>
        <v>8.4739703051865289E-2</v>
      </c>
      <c r="S33" s="100">
        <f>Opex!S34/1000000</f>
        <v>7.432747695333157E-2</v>
      </c>
      <c r="T33" s="101">
        <f>Opex!T34/1000000</f>
        <v>6.8038033804503018E-2</v>
      </c>
      <c r="U33" s="99">
        <f>Opex!U34/1000000</f>
        <v>5.9018209612190023E-2</v>
      </c>
      <c r="V33" s="100">
        <f>Opex!V34/1000000</f>
        <v>6.6323012531291442E-2</v>
      </c>
      <c r="W33" s="100">
        <f>Opex!W34/1000000</f>
        <v>7.0264716203051733E-2</v>
      </c>
      <c r="X33" s="100">
        <f>Opex!X34/1000000</f>
        <v>6.1227532480018859E-2</v>
      </c>
      <c r="Y33" s="101">
        <f>Opex!Y34/1000000</f>
        <v>6.4693637866093084E-2</v>
      </c>
      <c r="Z33" s="99">
        <f>Opex!Z34/1000000</f>
        <v>6.4693637866093084E-2</v>
      </c>
      <c r="AA33" s="100">
        <f>Opex!AA34/1000000</f>
        <v>6.4693637866093084E-2</v>
      </c>
      <c r="AB33" s="100">
        <f>Opex!AB34/1000000</f>
        <v>6.4693637866093084E-2</v>
      </c>
      <c r="AC33" s="100">
        <f>Opex!AC34/1000000</f>
        <v>6.4693637866093084E-2</v>
      </c>
      <c r="AD33" s="101">
        <f>Opex!AD34/1000000</f>
        <v>6.4693637866093084E-2</v>
      </c>
      <c r="AE33" s="99">
        <f>Opex!AE34/1000000</f>
        <v>6.4693637866093084E-2</v>
      </c>
      <c r="AF33" s="100">
        <f>Opex!AF34/1000000</f>
        <v>6.4693637866093084E-2</v>
      </c>
      <c r="AG33" s="100">
        <f>Opex!AG34/1000000</f>
        <v>6.4693637866093084E-2</v>
      </c>
      <c r="AH33" s="100">
        <f>Opex!AH34/1000000</f>
        <v>6.4693637866093084E-2</v>
      </c>
      <c r="AI33" s="101">
        <f>Opex!AI34/1000000</f>
        <v>6.4693637866093084E-2</v>
      </c>
    </row>
    <row r="34" spans="1:35" x14ac:dyDescent="0.2">
      <c r="A34" s="50"/>
      <c r="C34" s="76" t="s">
        <v>151</v>
      </c>
      <c r="D34" s="95"/>
      <c r="E34" s="95"/>
      <c r="F34" s="95"/>
      <c r="G34" s="77"/>
      <c r="H34" s="77"/>
      <c r="I34" s="56"/>
      <c r="J34" s="50"/>
      <c r="K34" s="99">
        <f>Opex!K35/1000000</f>
        <v>0</v>
      </c>
      <c r="L34" s="100">
        <f>Opex!L35/1000000</f>
        <v>1.196948575154759E-2</v>
      </c>
      <c r="M34" s="100">
        <f>Opex!M35/1000000</f>
        <v>1.8478687246444078E-2</v>
      </c>
      <c r="N34" s="100">
        <f>Opex!N35/1000000</f>
        <v>4.0783708911783692E-2</v>
      </c>
      <c r="O34" s="101">
        <f>Opex!O35/1000000</f>
        <v>7.4403016903653502E-2</v>
      </c>
      <c r="P34" s="99">
        <f>Opex!P35/1000000</f>
        <v>7.6853938754112283E-2</v>
      </c>
      <c r="Q34" s="100">
        <f>Opex!Q35/1000000</f>
        <v>8.2245568201004704E-2</v>
      </c>
      <c r="R34" s="100">
        <f>Opex!R35/1000000</f>
        <v>9.6378083948845242E-2</v>
      </c>
      <c r="S34" s="100">
        <f>Opex!S35/1000000</f>
        <v>8.4460250701391432E-2</v>
      </c>
      <c r="T34" s="101">
        <f>Opex!T35/1000000</f>
        <v>4.4449555577086269E-2</v>
      </c>
      <c r="U34" s="99">
        <f>Opex!U35/1000000</f>
        <v>3.1491377220722774E-2</v>
      </c>
      <c r="V34" s="100">
        <f>Opex!V35/1000000</f>
        <v>3.0196557009821896E-2</v>
      </c>
      <c r="W34" s="100">
        <f>Opex!W35/1000000</f>
        <v>3.3328796188377384E-2</v>
      </c>
      <c r="X34" s="100">
        <f>Opex!X35/1000000</f>
        <v>3.4963011076541838E-2</v>
      </c>
      <c r="Y34" s="101">
        <f>Opex!Y35/1000000</f>
        <v>3.5154934244346549E-2</v>
      </c>
      <c r="Z34" s="99">
        <f>Opex!Z35/1000000</f>
        <v>3.5154934244346549E-2</v>
      </c>
      <c r="AA34" s="100">
        <f>Opex!AA35/1000000</f>
        <v>3.5154934244346549E-2</v>
      </c>
      <c r="AB34" s="100">
        <f>Opex!AB35/1000000</f>
        <v>3.5154934244346549E-2</v>
      </c>
      <c r="AC34" s="100">
        <f>Opex!AC35/1000000</f>
        <v>3.5154934244346549E-2</v>
      </c>
      <c r="AD34" s="101">
        <f>Opex!AD35/1000000</f>
        <v>3.5154934244346549E-2</v>
      </c>
      <c r="AE34" s="99">
        <f>Opex!AE35/1000000</f>
        <v>3.5154934244346549E-2</v>
      </c>
      <c r="AF34" s="100">
        <f>Opex!AF35/1000000</f>
        <v>3.5154934244346549E-2</v>
      </c>
      <c r="AG34" s="100">
        <f>Opex!AG35/1000000</f>
        <v>3.5154934244346549E-2</v>
      </c>
      <c r="AH34" s="100">
        <f>Opex!AH35/1000000</f>
        <v>3.5154934244346549E-2</v>
      </c>
      <c r="AI34" s="101">
        <f>Opex!AI35/1000000</f>
        <v>3.5154934244346549E-2</v>
      </c>
    </row>
    <row r="35" spans="1:35" x14ac:dyDescent="0.2">
      <c r="A35" s="50"/>
      <c r="C35" s="76" t="s">
        <v>127</v>
      </c>
      <c r="D35" s="95"/>
      <c r="E35" s="95"/>
      <c r="F35" s="95"/>
      <c r="G35" s="77"/>
      <c r="H35" s="77"/>
      <c r="I35" s="56"/>
      <c r="J35" s="50"/>
      <c r="K35" s="102">
        <f>Opex!K36/1000000</f>
        <v>0</v>
      </c>
      <c r="L35" s="103">
        <f>Opex!L36/1000000</f>
        <v>1.4026446626638697E-2</v>
      </c>
      <c r="M35" s="103">
        <f>Opex!M36/1000000</f>
        <v>1.4513238238634898E-2</v>
      </c>
      <c r="N35" s="103">
        <f>Opex!N36/1000000</f>
        <v>1.5012649089798642E-2</v>
      </c>
      <c r="O35" s="104">
        <f>Opex!O36/1000000</f>
        <v>3.5588397781736683E-2</v>
      </c>
      <c r="P35" s="102">
        <f>Opex!P36/1000000</f>
        <v>3.6456542908100957E-2</v>
      </c>
      <c r="Q35" s="103">
        <f>Opex!Q36/1000000</f>
        <v>3.8451230674192434E-2</v>
      </c>
      <c r="R35" s="103">
        <f>Opex!R36/1000000</f>
        <v>3.7992808194831515E-2</v>
      </c>
      <c r="S35" s="103">
        <f>Opex!S36/1000000</f>
        <v>3.8437359630103064E-2</v>
      </c>
      <c r="T35" s="104">
        <f>Opex!T36/1000000</f>
        <v>4.0305711509844543E-2</v>
      </c>
      <c r="U35" s="102">
        <f>Opex!U36/1000000</f>
        <v>4.0900132450872005E-2</v>
      </c>
      <c r="V35" s="103">
        <f>Opex!V36/1000000</f>
        <v>4.0923434663273757E-2</v>
      </c>
      <c r="W35" s="103">
        <f>Opex!W36/1000000</f>
        <v>4.0923426631857808E-2</v>
      </c>
      <c r="X35" s="103">
        <f>Opex!X36/1000000</f>
        <v>4.1280774409893556E-2</v>
      </c>
      <c r="Y35" s="104">
        <f>Opex!Y36/1000000</f>
        <v>4.0781094264883841E-2</v>
      </c>
      <c r="Z35" s="102">
        <f>Opex!Z36/1000000</f>
        <v>4.0781094264883841E-2</v>
      </c>
      <c r="AA35" s="103">
        <f>Opex!AA36/1000000</f>
        <v>4.0781094264883841E-2</v>
      </c>
      <c r="AB35" s="103">
        <f>Opex!AB36/1000000</f>
        <v>4.0781094264883841E-2</v>
      </c>
      <c r="AC35" s="103">
        <f>Opex!AC36/1000000</f>
        <v>4.0781094264883841E-2</v>
      </c>
      <c r="AD35" s="104">
        <f>Opex!AD36/1000000</f>
        <v>4.0781094264883841E-2</v>
      </c>
      <c r="AE35" s="102">
        <f>Opex!AE36/1000000</f>
        <v>4.0781094264883841E-2</v>
      </c>
      <c r="AF35" s="103">
        <f>Opex!AF36/1000000</f>
        <v>4.0781094264883841E-2</v>
      </c>
      <c r="AG35" s="103">
        <f>Opex!AG36/1000000</f>
        <v>4.0781094264883841E-2</v>
      </c>
      <c r="AH35" s="103">
        <f>Opex!AH36/1000000</f>
        <v>4.0781094264883841E-2</v>
      </c>
      <c r="AI35" s="104">
        <f>Opex!AI36/1000000</f>
        <v>4.0781094264883841E-2</v>
      </c>
    </row>
    <row r="36" spans="1:35" x14ac:dyDescent="0.2">
      <c r="A36" s="50"/>
      <c r="C36" s="76" t="s">
        <v>152</v>
      </c>
      <c r="D36" s="95"/>
      <c r="E36" s="95"/>
      <c r="F36" s="95"/>
      <c r="G36" s="77"/>
      <c r="H36" s="77"/>
      <c r="I36" s="56"/>
      <c r="J36" s="50"/>
      <c r="K36" s="102">
        <f>Opex!K37/1000000</f>
        <v>0</v>
      </c>
      <c r="L36" s="103">
        <f>Opex!L37/1000000</f>
        <v>0</v>
      </c>
      <c r="M36" s="103">
        <f>Opex!M37/1000000</f>
        <v>0</v>
      </c>
      <c r="N36" s="103">
        <f>Opex!N37/1000000</f>
        <v>0</v>
      </c>
      <c r="O36" s="104">
        <f>Opex!O37/1000000</f>
        <v>0</v>
      </c>
      <c r="P36" s="102">
        <f>Opex!P37/1000000</f>
        <v>0</v>
      </c>
      <c r="Q36" s="103">
        <f>Opex!Q37/1000000</f>
        <v>0</v>
      </c>
      <c r="R36" s="103">
        <f>Opex!R37/1000000</f>
        <v>0</v>
      </c>
      <c r="S36" s="103">
        <f>Opex!S37/1000000</f>
        <v>0</v>
      </c>
      <c r="T36" s="104">
        <f>Opex!T37/1000000</f>
        <v>0</v>
      </c>
      <c r="U36" s="102">
        <f>Opex!U37/1000000</f>
        <v>0</v>
      </c>
      <c r="V36" s="103">
        <f>Opex!V37/1000000</f>
        <v>0</v>
      </c>
      <c r="W36" s="103">
        <f>Opex!W37/1000000</f>
        <v>0</v>
      </c>
      <c r="X36" s="103">
        <f>Opex!X37/1000000</f>
        <v>0</v>
      </c>
      <c r="Y36" s="104">
        <f>Opex!Y37/1000000</f>
        <v>0</v>
      </c>
      <c r="Z36" s="102">
        <f>Opex!Z37/1000000</f>
        <v>0</v>
      </c>
      <c r="AA36" s="103">
        <f>Opex!AA37/1000000</f>
        <v>0</v>
      </c>
      <c r="AB36" s="103">
        <f>Opex!AB37/1000000</f>
        <v>0</v>
      </c>
      <c r="AC36" s="103">
        <f>Opex!AC37/1000000</f>
        <v>0</v>
      </c>
      <c r="AD36" s="104">
        <f>Opex!AD37/1000000</f>
        <v>0</v>
      </c>
      <c r="AE36" s="102">
        <f>Opex!AE37/1000000</f>
        <v>0</v>
      </c>
      <c r="AF36" s="103">
        <f>Opex!AF37/1000000</f>
        <v>0</v>
      </c>
      <c r="AG36" s="103">
        <f>Opex!AG37/1000000</f>
        <v>0</v>
      </c>
      <c r="AH36" s="103">
        <f>Opex!AH37/1000000</f>
        <v>0</v>
      </c>
      <c r="AI36" s="104">
        <f>Opex!AI37/1000000</f>
        <v>0</v>
      </c>
    </row>
    <row r="37" spans="1:35" s="44" customFormat="1" x14ac:dyDescent="0.2">
      <c r="A37" s="58"/>
      <c r="C37" s="58" t="s">
        <v>117</v>
      </c>
      <c r="D37" s="58"/>
      <c r="E37" s="58"/>
      <c r="F37" s="58"/>
      <c r="G37" s="93"/>
      <c r="H37" s="93"/>
      <c r="I37" s="94"/>
      <c r="J37" s="50"/>
      <c r="K37" s="105">
        <f>Opex!K38/1000000</f>
        <v>0</v>
      </c>
      <c r="L37" s="106">
        <f>Opex!L38/1000000</f>
        <v>0</v>
      </c>
      <c r="M37" s="106">
        <f>Opex!M38/1000000</f>
        <v>0</v>
      </c>
      <c r="N37" s="106">
        <f>Opex!N38/1000000</f>
        <v>0</v>
      </c>
      <c r="O37" s="107">
        <f>Opex!O38/1000000</f>
        <v>0</v>
      </c>
      <c r="P37" s="105">
        <f>Opex!P38/1000000</f>
        <v>0</v>
      </c>
      <c r="Q37" s="106">
        <f>Opex!Q38/1000000</f>
        <v>0</v>
      </c>
      <c r="R37" s="106">
        <f>Opex!R38/1000000</f>
        <v>0</v>
      </c>
      <c r="S37" s="106">
        <f>Opex!S38/1000000</f>
        <v>0</v>
      </c>
      <c r="T37" s="107">
        <f>Opex!T38/1000000</f>
        <v>0</v>
      </c>
      <c r="U37" s="105">
        <f>Opex!U38/1000000</f>
        <v>0</v>
      </c>
      <c r="V37" s="106">
        <f>Opex!V38/1000000</f>
        <v>0</v>
      </c>
      <c r="W37" s="106">
        <f>Opex!W38/1000000</f>
        <v>0</v>
      </c>
      <c r="X37" s="106">
        <f>Opex!X38/1000000</f>
        <v>0</v>
      </c>
      <c r="Y37" s="107">
        <f>Opex!Y38/1000000</f>
        <v>0</v>
      </c>
      <c r="Z37" s="105">
        <f>Opex!Z38/1000000</f>
        <v>0</v>
      </c>
      <c r="AA37" s="106">
        <f>Opex!AA38/1000000</f>
        <v>0</v>
      </c>
      <c r="AB37" s="106">
        <f>Opex!AB38/1000000</f>
        <v>0</v>
      </c>
      <c r="AC37" s="106">
        <f>Opex!AC38/1000000</f>
        <v>0</v>
      </c>
      <c r="AD37" s="107">
        <f>Opex!AD38/1000000</f>
        <v>0</v>
      </c>
      <c r="AE37" s="105">
        <f>Opex!AE38/1000000</f>
        <v>0</v>
      </c>
      <c r="AF37" s="106">
        <f>Opex!AF38/1000000</f>
        <v>0</v>
      </c>
      <c r="AG37" s="106">
        <f>Opex!AG38/1000000</f>
        <v>0</v>
      </c>
      <c r="AH37" s="106">
        <f>Opex!AH38/1000000</f>
        <v>0</v>
      </c>
      <c r="AI37" s="107">
        <f>Opex!AI38/1000000</f>
        <v>0</v>
      </c>
    </row>
    <row r="38" spans="1:35" x14ac:dyDescent="0.2">
      <c r="A38" s="50"/>
      <c r="B38" s="50"/>
      <c r="C38" s="50"/>
      <c r="D38" s="50"/>
      <c r="E38" s="50"/>
      <c r="F38" s="50"/>
      <c r="G38" s="50"/>
      <c r="H38" s="50"/>
      <c r="I38" s="56"/>
      <c r="J38" s="50"/>
      <c r="K38" s="70"/>
      <c r="L38" s="71"/>
      <c r="M38" s="71"/>
      <c r="N38" s="71"/>
      <c r="O38" s="72"/>
      <c r="P38" s="70"/>
      <c r="Q38" s="71"/>
      <c r="R38" s="71"/>
      <c r="S38" s="71"/>
      <c r="T38" s="75"/>
      <c r="U38" s="70"/>
      <c r="V38" s="71"/>
      <c r="W38" s="71"/>
      <c r="X38" s="71"/>
      <c r="Y38" s="72"/>
      <c r="Z38" s="70"/>
      <c r="AA38" s="53"/>
      <c r="AB38" s="53"/>
      <c r="AC38" s="53"/>
      <c r="AD38" s="296"/>
      <c r="AE38" s="55"/>
      <c r="AF38" s="53"/>
      <c r="AG38" s="53"/>
      <c r="AH38" s="53"/>
      <c r="AI38" s="296"/>
    </row>
    <row r="39" spans="1:35" x14ac:dyDescent="0.2">
      <c r="A39" s="50"/>
      <c r="B39" s="67" t="s">
        <v>158</v>
      </c>
      <c r="C39" s="67"/>
      <c r="D39" s="67"/>
      <c r="E39" s="67"/>
      <c r="F39" s="67"/>
      <c r="G39" s="59"/>
      <c r="H39" s="59"/>
      <c r="I39" s="56" t="s">
        <v>157</v>
      </c>
      <c r="J39" s="50"/>
      <c r="K39" s="70"/>
      <c r="L39" s="71"/>
      <c r="M39" s="71"/>
      <c r="N39" s="71"/>
      <c r="O39" s="72"/>
      <c r="P39" s="70"/>
      <c r="Q39" s="71"/>
      <c r="R39" s="71"/>
      <c r="S39" s="71"/>
      <c r="T39" s="75"/>
      <c r="U39" s="70"/>
      <c r="V39" s="71"/>
      <c r="W39" s="71"/>
      <c r="X39" s="71"/>
      <c r="Y39" s="72"/>
      <c r="Z39" s="70"/>
      <c r="AA39" s="53"/>
      <c r="AB39" s="53"/>
      <c r="AC39" s="53"/>
      <c r="AD39" s="296"/>
      <c r="AE39" s="55"/>
      <c r="AF39" s="53"/>
      <c r="AG39" s="53"/>
      <c r="AH39" s="53"/>
      <c r="AI39" s="296"/>
    </row>
    <row r="40" spans="1:35" x14ac:dyDescent="0.2">
      <c r="A40" s="50"/>
      <c r="C40" s="76" t="s">
        <v>124</v>
      </c>
      <c r="D40" s="83"/>
      <c r="E40" s="83"/>
      <c r="F40" s="83"/>
      <c r="G40" s="77"/>
      <c r="H40" s="461">
        <f>NPV($G$4,N40:AG40)</f>
        <v>2.551045463421771</v>
      </c>
      <c r="J40" s="50"/>
      <c r="K40" s="96">
        <f t="shared" ref="K40:AI44" si="9">K24+K32</f>
        <v>0.16759700028957328</v>
      </c>
      <c r="L40" s="97">
        <f t="shared" si="9"/>
        <v>0.20558188381057763</v>
      </c>
      <c r="M40" s="97">
        <f t="shared" si="9"/>
        <v>0.23248284736009539</v>
      </c>
      <c r="N40" s="97">
        <f t="shared" si="9"/>
        <v>0.22034185053729105</v>
      </c>
      <c r="O40" s="98">
        <f t="shared" si="9"/>
        <v>0.28352484003872425</v>
      </c>
      <c r="P40" s="96">
        <f t="shared" si="9"/>
        <v>0.13704547865008507</v>
      </c>
      <c r="Q40" s="97">
        <f t="shared" si="9"/>
        <v>0.1449454387814427</v>
      </c>
      <c r="R40" s="97">
        <f t="shared" si="9"/>
        <v>0.11381441429758098</v>
      </c>
      <c r="S40" s="97">
        <f t="shared" si="9"/>
        <v>0.18004869852662092</v>
      </c>
      <c r="T40" s="98">
        <f t="shared" si="9"/>
        <v>0.20352444970221106</v>
      </c>
      <c r="U40" s="96">
        <f t="shared" si="9"/>
        <v>0.14658531263136809</v>
      </c>
      <c r="V40" s="97">
        <f t="shared" si="9"/>
        <v>0.12946672543257423</v>
      </c>
      <c r="W40" s="97">
        <f t="shared" si="9"/>
        <v>0.14369747389431151</v>
      </c>
      <c r="X40" s="97">
        <f t="shared" si="9"/>
        <v>0.15424999811392154</v>
      </c>
      <c r="Y40" s="98">
        <f t="shared" si="9"/>
        <v>0.13892997209076638</v>
      </c>
      <c r="Z40" s="96">
        <f t="shared" si="9"/>
        <v>0.13892997209076638</v>
      </c>
      <c r="AA40" s="97">
        <f t="shared" si="9"/>
        <v>0.13892997209076638</v>
      </c>
      <c r="AB40" s="97">
        <f t="shared" si="9"/>
        <v>0.13892997209076638</v>
      </c>
      <c r="AC40" s="97">
        <f t="shared" si="9"/>
        <v>0.13892997209076638</v>
      </c>
      <c r="AD40" s="98">
        <f t="shared" si="9"/>
        <v>0.13892997209076638</v>
      </c>
      <c r="AE40" s="96">
        <f t="shared" si="9"/>
        <v>0.13892997209076638</v>
      </c>
      <c r="AF40" s="97">
        <f t="shared" si="9"/>
        <v>0.13892997209076638</v>
      </c>
      <c r="AG40" s="97">
        <f t="shared" si="9"/>
        <v>0.13892997209076638</v>
      </c>
      <c r="AH40" s="97">
        <f t="shared" si="9"/>
        <v>0.13892997209076638</v>
      </c>
      <c r="AI40" s="98">
        <f t="shared" si="9"/>
        <v>0.13892997209076638</v>
      </c>
    </row>
    <row r="41" spans="1:35" x14ac:dyDescent="0.2">
      <c r="A41" s="50"/>
      <c r="C41" s="76" t="s">
        <v>126</v>
      </c>
      <c r="D41" s="83"/>
      <c r="E41" s="83"/>
      <c r="F41" s="83"/>
      <c r="G41" s="77"/>
      <c r="H41" s="461">
        <f t="shared" ref="H41:H45" si="10">NPV($G$4,N41:AG41)</f>
        <v>4.225551708823919</v>
      </c>
      <c r="I41" s="92"/>
      <c r="J41" s="50"/>
      <c r="K41" s="99">
        <f t="shared" si="9"/>
        <v>0.45154400972533859</v>
      </c>
      <c r="L41" s="100">
        <f t="shared" si="9"/>
        <v>0.49783130180206198</v>
      </c>
      <c r="M41" s="100">
        <f t="shared" si="9"/>
        <v>0.46872907388489382</v>
      </c>
      <c r="N41" s="100">
        <f t="shared" si="9"/>
        <v>0.33671421442519944</v>
      </c>
      <c r="O41" s="101">
        <f t="shared" si="9"/>
        <v>0.35511042434368639</v>
      </c>
      <c r="P41" s="99">
        <f t="shared" si="9"/>
        <v>0.30107737754444042</v>
      </c>
      <c r="Q41" s="100">
        <f t="shared" si="9"/>
        <v>0.27578317064538466</v>
      </c>
      <c r="R41" s="100">
        <f t="shared" si="9"/>
        <v>0.268176399737866</v>
      </c>
      <c r="S41" s="100">
        <f t="shared" si="9"/>
        <v>0.27564136825882224</v>
      </c>
      <c r="T41" s="101">
        <f t="shared" si="9"/>
        <v>0.22836470088352212</v>
      </c>
      <c r="U41" s="99">
        <f t="shared" si="9"/>
        <v>0.23506504383681276</v>
      </c>
      <c r="V41" s="100">
        <f t="shared" si="9"/>
        <v>0.24236984675591416</v>
      </c>
      <c r="W41" s="100">
        <f t="shared" si="9"/>
        <v>0.24631155042767444</v>
      </c>
      <c r="X41" s="100">
        <f t="shared" si="9"/>
        <v>0.23727436670464158</v>
      </c>
      <c r="Y41" s="101">
        <f t="shared" si="9"/>
        <v>0.24074047209071581</v>
      </c>
      <c r="Z41" s="99">
        <f t="shared" si="9"/>
        <v>0.24074047209071581</v>
      </c>
      <c r="AA41" s="100">
        <f t="shared" si="9"/>
        <v>0.24074047209071581</v>
      </c>
      <c r="AB41" s="100">
        <f t="shared" si="9"/>
        <v>0.24074047209071581</v>
      </c>
      <c r="AC41" s="100">
        <f t="shared" si="9"/>
        <v>0.24074047209071581</v>
      </c>
      <c r="AD41" s="101">
        <f t="shared" si="9"/>
        <v>0.24074047209071581</v>
      </c>
      <c r="AE41" s="99">
        <f t="shared" si="9"/>
        <v>0.24074047209071581</v>
      </c>
      <c r="AF41" s="100">
        <f t="shared" si="9"/>
        <v>0.24074047209071581</v>
      </c>
      <c r="AG41" s="100">
        <f t="shared" si="9"/>
        <v>0.24074047209071581</v>
      </c>
      <c r="AH41" s="100">
        <f t="shared" si="9"/>
        <v>0.24074047209071581</v>
      </c>
      <c r="AI41" s="101">
        <f t="shared" si="9"/>
        <v>0.24074047209071581</v>
      </c>
    </row>
    <row r="42" spans="1:35" x14ac:dyDescent="0.2">
      <c r="A42" s="50"/>
      <c r="C42" s="76" t="s">
        <v>151</v>
      </c>
      <c r="D42" s="83"/>
      <c r="E42" s="83"/>
      <c r="F42" s="83"/>
      <c r="G42" s="77"/>
      <c r="H42" s="461">
        <f t="shared" si="10"/>
        <v>2.3353982019639252</v>
      </c>
      <c r="I42" s="92"/>
      <c r="J42" s="50"/>
      <c r="K42" s="99">
        <f t="shared" si="9"/>
        <v>6.1072178328559393E-2</v>
      </c>
      <c r="L42" s="100">
        <f t="shared" si="9"/>
        <v>0.10625371033877309</v>
      </c>
      <c r="M42" s="100">
        <f t="shared" si="9"/>
        <v>0.22657032921514517</v>
      </c>
      <c r="N42" s="100">
        <f t="shared" si="9"/>
        <v>0.32880364022733827</v>
      </c>
      <c r="O42" s="101">
        <f t="shared" si="9"/>
        <v>0.32511027291643346</v>
      </c>
      <c r="P42" s="99">
        <f t="shared" si="9"/>
        <v>0.18435990177330985</v>
      </c>
      <c r="Q42" s="100">
        <f t="shared" si="9"/>
        <v>0.14196775248377125</v>
      </c>
      <c r="R42" s="100">
        <f t="shared" si="9"/>
        <v>0.15126065059908161</v>
      </c>
      <c r="S42" s="100">
        <f t="shared" si="9"/>
        <v>0.14999728063440826</v>
      </c>
      <c r="T42" s="101">
        <f t="shared" si="9"/>
        <v>0.11554544660900266</v>
      </c>
      <c r="U42" s="99">
        <f t="shared" si="9"/>
        <v>0.10324010420414952</v>
      </c>
      <c r="V42" s="100">
        <f t="shared" si="9"/>
        <v>0.10194528399324863</v>
      </c>
      <c r="W42" s="100">
        <f t="shared" si="9"/>
        <v>0.10507752317180413</v>
      </c>
      <c r="X42" s="100">
        <f t="shared" si="9"/>
        <v>0.10671173805996859</v>
      </c>
      <c r="Y42" s="101">
        <f t="shared" si="9"/>
        <v>0.10690366122777328</v>
      </c>
      <c r="Z42" s="99">
        <f t="shared" si="9"/>
        <v>0.10690366122777328</v>
      </c>
      <c r="AA42" s="100">
        <f t="shared" si="9"/>
        <v>0.10690366122777328</v>
      </c>
      <c r="AB42" s="100">
        <f t="shared" si="9"/>
        <v>0.10690366122777328</v>
      </c>
      <c r="AC42" s="100">
        <f t="shared" si="9"/>
        <v>0.10690366122777328</v>
      </c>
      <c r="AD42" s="101">
        <f t="shared" si="9"/>
        <v>0.10690366122777328</v>
      </c>
      <c r="AE42" s="99">
        <f t="shared" si="9"/>
        <v>0.10690366122777328</v>
      </c>
      <c r="AF42" s="100">
        <f t="shared" si="9"/>
        <v>0.10690366122777328</v>
      </c>
      <c r="AG42" s="100">
        <f t="shared" si="9"/>
        <v>0.10690366122777328</v>
      </c>
      <c r="AH42" s="100">
        <f t="shared" si="9"/>
        <v>0.10690366122777328</v>
      </c>
      <c r="AI42" s="101">
        <f t="shared" si="9"/>
        <v>0.10690366122777328</v>
      </c>
    </row>
    <row r="43" spans="1:35" x14ac:dyDescent="0.2">
      <c r="A43" s="50"/>
      <c r="C43" s="76" t="s">
        <v>127</v>
      </c>
      <c r="D43" s="83"/>
      <c r="E43" s="83"/>
      <c r="F43" s="83"/>
      <c r="G43" s="77"/>
      <c r="H43" s="461">
        <f t="shared" si="10"/>
        <v>1.9462255753577555</v>
      </c>
      <c r="I43" s="92"/>
      <c r="J43" s="50"/>
      <c r="K43" s="102">
        <f t="shared" si="9"/>
        <v>7.1567456403658927E-2</v>
      </c>
      <c r="L43" s="103">
        <f t="shared" si="9"/>
        <v>8.8077670900845839E-2</v>
      </c>
      <c r="M43" s="103">
        <f t="shared" si="9"/>
        <v>9.1112617813293953E-2</v>
      </c>
      <c r="N43" s="103">
        <f t="shared" si="9"/>
        <v>8.9244952770171943E-2</v>
      </c>
      <c r="O43" s="104">
        <f t="shared" si="9"/>
        <v>0.11052460620307022</v>
      </c>
      <c r="P43" s="102">
        <f t="shared" si="9"/>
        <v>0.11774805895895935</v>
      </c>
      <c r="Q43" s="103">
        <f t="shared" si="9"/>
        <v>0.12095434116410203</v>
      </c>
      <c r="R43" s="103">
        <f t="shared" si="9"/>
        <v>0.12170830643316126</v>
      </c>
      <c r="S43" s="103">
        <f t="shared" si="9"/>
        <v>0.12215283054918244</v>
      </c>
      <c r="T43" s="104">
        <f t="shared" si="9"/>
        <v>0.12523671820484153</v>
      </c>
      <c r="U43" s="102">
        <f t="shared" si="9"/>
        <v>0.12413145292950684</v>
      </c>
      <c r="V43" s="103">
        <f t="shared" si="9"/>
        <v>0.12415475514190857</v>
      </c>
      <c r="W43" s="103">
        <f t="shared" si="9"/>
        <v>0.12415474711049262</v>
      </c>
      <c r="X43" s="103">
        <f t="shared" si="9"/>
        <v>0.12451209488852838</v>
      </c>
      <c r="Y43" s="104">
        <f t="shared" si="9"/>
        <v>0.12401241474351866</v>
      </c>
      <c r="Z43" s="102">
        <f t="shared" si="9"/>
        <v>0.12401241474351866</v>
      </c>
      <c r="AA43" s="103">
        <f t="shared" si="9"/>
        <v>0.12401241474351866</v>
      </c>
      <c r="AB43" s="103">
        <f t="shared" si="9"/>
        <v>0.12401241474351866</v>
      </c>
      <c r="AC43" s="103">
        <f t="shared" si="9"/>
        <v>0.12401241474351866</v>
      </c>
      <c r="AD43" s="104">
        <f t="shared" si="9"/>
        <v>0.12401241474351866</v>
      </c>
      <c r="AE43" s="102">
        <f t="shared" si="9"/>
        <v>0.12401241474351866</v>
      </c>
      <c r="AF43" s="103">
        <f t="shared" si="9"/>
        <v>0.12401241474351866</v>
      </c>
      <c r="AG43" s="103">
        <f t="shared" si="9"/>
        <v>0.12401241474351866</v>
      </c>
      <c r="AH43" s="103">
        <f t="shared" si="9"/>
        <v>0.12401241474351866</v>
      </c>
      <c r="AI43" s="104">
        <f t="shared" si="9"/>
        <v>0.12401241474351866</v>
      </c>
    </row>
    <row r="44" spans="1:35" x14ac:dyDescent="0.2">
      <c r="A44" s="50"/>
      <c r="C44" s="76" t="s">
        <v>152</v>
      </c>
      <c r="D44" s="83"/>
      <c r="E44" s="83"/>
      <c r="F44" s="83"/>
      <c r="G44" s="77"/>
      <c r="H44" s="300">
        <f t="shared" si="10"/>
        <v>0</v>
      </c>
      <c r="I44" s="92"/>
      <c r="J44" s="50"/>
      <c r="K44" s="102">
        <f t="shared" si="9"/>
        <v>0</v>
      </c>
      <c r="L44" s="103">
        <f t="shared" si="9"/>
        <v>0</v>
      </c>
      <c r="M44" s="103">
        <f t="shared" si="9"/>
        <v>0</v>
      </c>
      <c r="N44" s="103">
        <f t="shared" si="9"/>
        <v>0</v>
      </c>
      <c r="O44" s="104">
        <f t="shared" si="9"/>
        <v>0</v>
      </c>
      <c r="P44" s="102">
        <f t="shared" si="9"/>
        <v>0</v>
      </c>
      <c r="Q44" s="103">
        <f t="shared" si="9"/>
        <v>0</v>
      </c>
      <c r="R44" s="103">
        <f t="shared" si="9"/>
        <v>0</v>
      </c>
      <c r="S44" s="103">
        <f t="shared" si="9"/>
        <v>0</v>
      </c>
      <c r="T44" s="104">
        <f t="shared" si="9"/>
        <v>0</v>
      </c>
      <c r="U44" s="102">
        <f t="shared" si="9"/>
        <v>0</v>
      </c>
      <c r="V44" s="103">
        <f t="shared" si="9"/>
        <v>0</v>
      </c>
      <c r="W44" s="103">
        <f t="shared" si="9"/>
        <v>0</v>
      </c>
      <c r="X44" s="103">
        <f t="shared" si="9"/>
        <v>0</v>
      </c>
      <c r="Y44" s="104">
        <f t="shared" si="9"/>
        <v>0</v>
      </c>
      <c r="Z44" s="102">
        <f t="shared" si="9"/>
        <v>0</v>
      </c>
      <c r="AA44" s="103">
        <f t="shared" si="9"/>
        <v>0</v>
      </c>
      <c r="AB44" s="103">
        <f t="shared" si="9"/>
        <v>0</v>
      </c>
      <c r="AC44" s="103">
        <f t="shared" si="9"/>
        <v>0</v>
      </c>
      <c r="AD44" s="104">
        <f t="shared" si="9"/>
        <v>0</v>
      </c>
      <c r="AE44" s="102">
        <f t="shared" si="9"/>
        <v>0</v>
      </c>
      <c r="AF44" s="103">
        <f t="shared" si="9"/>
        <v>0</v>
      </c>
      <c r="AG44" s="103">
        <f t="shared" si="9"/>
        <v>0</v>
      </c>
      <c r="AH44" s="103">
        <f t="shared" si="9"/>
        <v>0</v>
      </c>
      <c r="AI44" s="104">
        <f t="shared" si="9"/>
        <v>0</v>
      </c>
    </row>
    <row r="45" spans="1:35" x14ac:dyDescent="0.2">
      <c r="A45" s="50"/>
      <c r="C45" s="50" t="s">
        <v>117</v>
      </c>
      <c r="D45" s="50"/>
      <c r="E45" s="50"/>
      <c r="F45" s="50"/>
      <c r="G45" s="77"/>
      <c r="H45" s="301">
        <f t="shared" si="10"/>
        <v>11.058220949567369</v>
      </c>
      <c r="I45" s="92"/>
      <c r="J45" s="50"/>
      <c r="K45" s="293">
        <f t="shared" ref="K45:AI45" si="11">SUM(K40:K44)</f>
        <v>0.75178064474713013</v>
      </c>
      <c r="L45" s="294">
        <f t="shared" si="11"/>
        <v>0.89774456685225845</v>
      </c>
      <c r="M45" s="294">
        <f t="shared" si="11"/>
        <v>1.0188948682734285</v>
      </c>
      <c r="N45" s="294">
        <f t="shared" si="11"/>
        <v>0.97510465796000068</v>
      </c>
      <c r="O45" s="295">
        <f t="shared" si="11"/>
        <v>1.0742701435019144</v>
      </c>
      <c r="P45" s="293">
        <f t="shared" si="11"/>
        <v>0.74023081692679471</v>
      </c>
      <c r="Q45" s="294">
        <f t="shared" si="11"/>
        <v>0.68365070307470055</v>
      </c>
      <c r="R45" s="294">
        <f t="shared" si="11"/>
        <v>0.65495977106768977</v>
      </c>
      <c r="S45" s="294">
        <f t="shared" si="11"/>
        <v>0.72784017796903389</v>
      </c>
      <c r="T45" s="295">
        <f t="shared" si="11"/>
        <v>0.67267131539957736</v>
      </c>
      <c r="U45" s="293">
        <f t="shared" si="11"/>
        <v>0.60902191360183722</v>
      </c>
      <c r="V45" s="294">
        <f t="shared" si="11"/>
        <v>0.59793661132364562</v>
      </c>
      <c r="W45" s="294">
        <f t="shared" si="11"/>
        <v>0.61924129460428268</v>
      </c>
      <c r="X45" s="294">
        <f t="shared" si="11"/>
        <v>0.62274819776706014</v>
      </c>
      <c r="Y45" s="295">
        <f t="shared" si="11"/>
        <v>0.61058652015277415</v>
      </c>
      <c r="Z45" s="293">
        <f t="shared" si="11"/>
        <v>0.61058652015277415</v>
      </c>
      <c r="AA45" s="294">
        <f t="shared" si="11"/>
        <v>0.61058652015277415</v>
      </c>
      <c r="AB45" s="294">
        <f t="shared" si="11"/>
        <v>0.61058652015277415</v>
      </c>
      <c r="AC45" s="294">
        <f t="shared" si="11"/>
        <v>0.61058652015277415</v>
      </c>
      <c r="AD45" s="295">
        <f t="shared" si="11"/>
        <v>0.61058652015277415</v>
      </c>
      <c r="AE45" s="293">
        <f t="shared" si="11"/>
        <v>0.61058652015277415</v>
      </c>
      <c r="AF45" s="294">
        <f t="shared" si="11"/>
        <v>0.61058652015277415</v>
      </c>
      <c r="AG45" s="294">
        <f t="shared" si="11"/>
        <v>0.61058652015277415</v>
      </c>
      <c r="AH45" s="294">
        <f t="shared" si="11"/>
        <v>0.61058652015277415</v>
      </c>
      <c r="AI45" s="295">
        <f t="shared" si="11"/>
        <v>0.61058652015277415</v>
      </c>
    </row>
    <row r="46" spans="1:35" x14ac:dyDescent="0.2">
      <c r="A46" s="50"/>
      <c r="B46" s="50"/>
      <c r="C46" s="50"/>
      <c r="D46" s="50"/>
      <c r="E46" s="50"/>
      <c r="F46" s="50"/>
      <c r="G46" s="77"/>
      <c r="H46" s="165"/>
      <c r="I46" s="92"/>
      <c r="J46" s="50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</row>
    <row r="47" spans="1:35" x14ac:dyDescent="0.2">
      <c r="A47" s="50"/>
      <c r="B47" s="50"/>
      <c r="C47" s="50"/>
      <c r="D47" s="50"/>
      <c r="E47" s="50"/>
      <c r="F47" s="50"/>
      <c r="G47" s="50"/>
      <c r="H47" s="50"/>
      <c r="I47" s="77"/>
      <c r="J47" s="56"/>
      <c r="K47" s="35"/>
      <c r="L47" s="35"/>
      <c r="P47" s="50"/>
      <c r="Q47" s="50"/>
      <c r="R47" s="50"/>
      <c r="S47" s="50"/>
      <c r="T47" s="50"/>
      <c r="U47" s="57"/>
      <c r="V47" s="50"/>
      <c r="W47" s="50"/>
      <c r="X47" s="50"/>
      <c r="Y47" s="50"/>
      <c r="Z47" s="50"/>
      <c r="AA47" s="50"/>
    </row>
    <row r="48" spans="1:35" x14ac:dyDescent="0.2">
      <c r="A48" s="50"/>
      <c r="B48" s="67" t="s">
        <v>159</v>
      </c>
      <c r="J48" s="35"/>
      <c r="K48" s="35"/>
      <c r="L48" s="35"/>
    </row>
    <row r="49" spans="1:22" x14ac:dyDescent="0.2">
      <c r="A49" s="50"/>
      <c r="B49" s="67"/>
      <c r="I49" s="108" t="s">
        <v>218</v>
      </c>
      <c r="J49" s="306" t="s">
        <v>201</v>
      </c>
      <c r="K49" s="307">
        <f>SUM(J52:J$56)</f>
        <v>165.44230159634026</v>
      </c>
      <c r="L49" s="308">
        <f>SUM(J53:J$56)</f>
        <v>161.79467610055866</v>
      </c>
      <c r="M49" s="307">
        <f>SUM(J54:J$56)</f>
        <v>158.24698554986696</v>
      </c>
      <c r="N49" s="308">
        <f>SUM(J55:J$56)</f>
        <v>149.45271038195517</v>
      </c>
      <c r="O49" s="307">
        <f>SUM(J56:J$56)</f>
        <v>109.02902509308801</v>
      </c>
      <c r="P49" s="169"/>
      <c r="Q49" s="109"/>
      <c r="R49" s="109"/>
      <c r="S49" s="110"/>
      <c r="U49" s="474" t="s">
        <v>219</v>
      </c>
      <c r="V49" s="475"/>
    </row>
    <row r="50" spans="1:22" x14ac:dyDescent="0.2">
      <c r="A50" s="50"/>
      <c r="C50" s="50"/>
      <c r="D50" s="50"/>
      <c r="E50" s="50"/>
      <c r="F50" s="50"/>
      <c r="G50" s="50"/>
      <c r="H50" s="50"/>
      <c r="I50" s="111"/>
      <c r="J50" s="309" t="s">
        <v>202</v>
      </c>
      <c r="K50" s="310">
        <f>H40</f>
        <v>2.551045463421771</v>
      </c>
      <c r="L50" s="311">
        <f>H41</f>
        <v>4.225551708823919</v>
      </c>
      <c r="M50" s="310">
        <f>H42</f>
        <v>2.3353982019639252</v>
      </c>
      <c r="N50" s="311">
        <f>H43</f>
        <v>1.9462255753577555</v>
      </c>
      <c r="O50" s="310">
        <f>H44</f>
        <v>0</v>
      </c>
      <c r="P50" s="316">
        <f>SUM(K50:O50)</f>
        <v>11.058220949567373</v>
      </c>
      <c r="Q50" s="112"/>
      <c r="R50" s="112"/>
      <c r="S50" s="113"/>
      <c r="U50" s="476" t="s">
        <v>220</v>
      </c>
      <c r="V50" s="477"/>
    </row>
    <row r="51" spans="1:22" x14ac:dyDescent="0.2">
      <c r="A51" s="50"/>
      <c r="C51" s="50"/>
      <c r="D51" s="50"/>
      <c r="E51" s="50"/>
      <c r="F51" s="50"/>
      <c r="G51" s="50"/>
      <c r="H51" s="50"/>
      <c r="I51" s="172"/>
      <c r="J51" s="302" t="s">
        <v>160</v>
      </c>
      <c r="K51" s="114" t="s">
        <v>124</v>
      </c>
      <c r="L51" s="171" t="s">
        <v>126</v>
      </c>
      <c r="M51" s="114" t="s">
        <v>151</v>
      </c>
      <c r="N51" s="170" t="s">
        <v>127</v>
      </c>
      <c r="O51" s="114" t="s">
        <v>152</v>
      </c>
      <c r="P51" s="114" t="s">
        <v>161</v>
      </c>
      <c r="Q51" s="115" t="s">
        <v>162</v>
      </c>
      <c r="R51" s="116" t="s">
        <v>125</v>
      </c>
      <c r="S51" s="116" t="s">
        <v>163</v>
      </c>
      <c r="U51" s="46" t="s">
        <v>221</v>
      </c>
      <c r="V51" s="47" t="s">
        <v>222</v>
      </c>
    </row>
    <row r="52" spans="1:22" x14ac:dyDescent="0.2">
      <c r="A52" s="50"/>
      <c r="C52" s="50"/>
      <c r="D52" s="50"/>
      <c r="E52" s="50"/>
      <c r="F52" s="50"/>
      <c r="G52" s="50"/>
      <c r="H52" s="50"/>
      <c r="I52" s="117" t="s">
        <v>124</v>
      </c>
      <c r="J52" s="303">
        <f>H8</f>
        <v>3.6476254957815937</v>
      </c>
      <c r="K52" s="312">
        <f>K$50*J52/SUM(J$52:J$56)</f>
        <v>5.6244735375955764E-2</v>
      </c>
      <c r="L52" s="118"/>
      <c r="M52" s="118"/>
      <c r="N52" s="118"/>
      <c r="O52" s="118"/>
      <c r="P52" s="317">
        <f>SUM(K52:O52)</f>
        <v>5.6244735375955764E-2</v>
      </c>
      <c r="Q52" s="119">
        <f>P52*1000/J52</f>
        <v>15.419547714260052</v>
      </c>
      <c r="R52" s="120">
        <v>0.95</v>
      </c>
      <c r="S52" s="448">
        <f>Q52*R52</f>
        <v>14.648570328547049</v>
      </c>
      <c r="U52" s="323">
        <f>Q52</f>
        <v>15.419547714260052</v>
      </c>
      <c r="V52" s="451">
        <f>S52</f>
        <v>14.648570328547049</v>
      </c>
    </row>
    <row r="53" spans="1:22" x14ac:dyDescent="0.2">
      <c r="A53" s="50"/>
      <c r="C53" s="50"/>
      <c r="D53" s="50"/>
      <c r="E53" s="50"/>
      <c r="F53" s="50"/>
      <c r="G53" s="50"/>
      <c r="H53" s="50"/>
      <c r="I53" s="121" t="s">
        <v>126</v>
      </c>
      <c r="J53" s="304">
        <f>H9</f>
        <v>3.5476905506916943</v>
      </c>
      <c r="K53" s="313">
        <f>K$50*J53/SUM(J$52:J$56)</f>
        <v>5.470378372182011E-2</v>
      </c>
      <c r="L53" s="313">
        <f>L$50*J53/SUM(J$53:J$56)</f>
        <v>9.2654160384959647E-2</v>
      </c>
      <c r="M53" s="122"/>
      <c r="N53" s="122"/>
      <c r="O53" s="123"/>
      <c r="P53" s="318">
        <f t="shared" ref="P53:P56" si="12">SUM(K53:O53)</f>
        <v>0.14735794410677977</v>
      </c>
      <c r="Q53" s="124">
        <f>P53*1000/J53</f>
        <v>41.536301433632467</v>
      </c>
      <c r="R53" s="125">
        <v>0.9</v>
      </c>
      <c r="S53" s="449">
        <f t="shared" ref="S53:S56" si="13">Q53*R53</f>
        <v>37.382671290269222</v>
      </c>
      <c r="U53" s="324">
        <f>Q53-Q52</f>
        <v>26.116753719372415</v>
      </c>
      <c r="V53" s="452">
        <f>S53-S52</f>
        <v>22.734100961722174</v>
      </c>
    </row>
    <row r="54" spans="1:22" x14ac:dyDescent="0.2">
      <c r="C54" s="50"/>
      <c r="D54" s="50"/>
      <c r="E54" s="50"/>
      <c r="F54" s="50"/>
      <c r="G54" s="50"/>
      <c r="H54" s="50"/>
      <c r="I54" s="121" t="s">
        <v>151</v>
      </c>
      <c r="J54" s="304">
        <f>H10</f>
        <v>8.7942751679117706</v>
      </c>
      <c r="K54" s="313">
        <f>K$50*J54/SUM(J$52:J$56)</f>
        <v>0.13560374556394791</v>
      </c>
      <c r="L54" s="313">
        <f>L$50*J54/SUM(J$53:J$56)</f>
        <v>0.22967791870074411</v>
      </c>
      <c r="M54" s="313">
        <f>M$50*J54/SUM(J$54:J$56)</f>
        <v>0.12978531213945396</v>
      </c>
      <c r="N54" s="122"/>
      <c r="O54" s="123"/>
      <c r="P54" s="318">
        <f t="shared" si="12"/>
        <v>0.49506697640414599</v>
      </c>
      <c r="Q54" s="124">
        <f>P54*1000/J54</f>
        <v>56.294233117759184</v>
      </c>
      <c r="R54" s="125">
        <v>0.9</v>
      </c>
      <c r="S54" s="449">
        <f t="shared" si="13"/>
        <v>50.664809805983268</v>
      </c>
      <c r="U54" s="324">
        <f t="shared" ref="U54:U56" si="14">Q54-Q53</f>
        <v>14.757931684126717</v>
      </c>
      <c r="V54" s="452">
        <f t="shared" ref="V54:V56" si="15">S54-S53</f>
        <v>13.282138515714045</v>
      </c>
    </row>
    <row r="55" spans="1:22" x14ac:dyDescent="0.2">
      <c r="C55" s="50"/>
      <c r="D55" s="50"/>
      <c r="E55" s="50"/>
      <c r="F55" s="50"/>
      <c r="G55" s="50"/>
      <c r="H55" s="50"/>
      <c r="I55" s="121" t="s">
        <v>127</v>
      </c>
      <c r="J55" s="304">
        <f>H11</f>
        <v>40.423685288867176</v>
      </c>
      <c r="K55" s="313">
        <f>K$50*J55/SUM(J$52:J$56)</f>
        <v>0.62331494409791965</v>
      </c>
      <c r="L55" s="313">
        <f>L$50*J55/SUM(J$53:J$56)</f>
        <v>1.0557354331187614</v>
      </c>
      <c r="M55" s="313">
        <f>M$50*J55/SUM(J$54:J$56)</f>
        <v>0.59656998591374022</v>
      </c>
      <c r="N55" s="313">
        <f>N$50*J55/SUM(J$55:J$56)</f>
        <v>0.52641139768118483</v>
      </c>
      <c r="O55" s="123"/>
      <c r="P55" s="318">
        <f t="shared" si="12"/>
        <v>2.8020317608116061</v>
      </c>
      <c r="Q55" s="124">
        <f>P55*1000/J55</f>
        <v>69.316583601626633</v>
      </c>
      <c r="R55" s="125">
        <v>0.9</v>
      </c>
      <c r="S55" s="449">
        <f t="shared" si="13"/>
        <v>62.384925241463968</v>
      </c>
      <c r="U55" s="324">
        <f t="shared" si="14"/>
        <v>13.022350483867449</v>
      </c>
      <c r="V55" s="452">
        <f t="shared" si="15"/>
        <v>11.7201154354807</v>
      </c>
    </row>
    <row r="56" spans="1:22" x14ac:dyDescent="0.2">
      <c r="I56" s="126" t="s">
        <v>152</v>
      </c>
      <c r="J56" s="305">
        <f>H12</f>
        <v>109.02902509308801</v>
      </c>
      <c r="K56" s="314">
        <f>K$50*J56/SUM(J$52:J$56)</f>
        <v>1.6811782546621274</v>
      </c>
      <c r="L56" s="314">
        <f>L$50*J56/SUM(J$53:J$56)</f>
        <v>2.8474841966194533</v>
      </c>
      <c r="M56" s="314">
        <f>M$50*J56/SUM(J$54:J$56)</f>
        <v>1.609042903910731</v>
      </c>
      <c r="N56" s="314">
        <f>N$50*J56/SUM(J$55:J$56)</f>
        <v>1.4198141776765709</v>
      </c>
      <c r="O56" s="315">
        <f>O50</f>
        <v>0</v>
      </c>
      <c r="P56" s="319">
        <f t="shared" si="12"/>
        <v>7.5575195328688825</v>
      </c>
      <c r="Q56" s="460">
        <f>P56*1000/J56</f>
        <v>69.316583601626633</v>
      </c>
      <c r="R56" s="127">
        <v>0.9</v>
      </c>
      <c r="S56" s="450">
        <f t="shared" si="13"/>
        <v>62.384925241463968</v>
      </c>
      <c r="U56" s="325">
        <f t="shared" si="14"/>
        <v>0</v>
      </c>
      <c r="V56" s="326">
        <f t="shared" si="15"/>
        <v>0</v>
      </c>
    </row>
    <row r="57" spans="1:22" x14ac:dyDescent="0.2">
      <c r="I57" s="128"/>
      <c r="J57" s="321">
        <f>SUM(J52:J56)</f>
        <v>165.44230159634026</v>
      </c>
      <c r="K57" s="322">
        <f>SUM(K52:K56)</f>
        <v>2.551045463421771</v>
      </c>
      <c r="L57" s="320">
        <f>SUM(L52:L56)</f>
        <v>4.2255517088239181</v>
      </c>
      <c r="M57" s="322">
        <f t="shared" ref="M57:P57" si="16">SUM(M52:M56)</f>
        <v>2.3353982019639252</v>
      </c>
      <c r="N57" s="320">
        <f t="shared" si="16"/>
        <v>1.9462255753577558</v>
      </c>
      <c r="O57" s="322">
        <f t="shared" si="16"/>
        <v>0</v>
      </c>
      <c r="P57" s="320">
        <f t="shared" si="16"/>
        <v>11.058220949567371</v>
      </c>
      <c r="Q57" s="129"/>
      <c r="R57" s="130"/>
      <c r="S57" s="131"/>
    </row>
    <row r="58" spans="1:22" x14ac:dyDescent="0.2">
      <c r="J58" s="35"/>
      <c r="K58" s="35"/>
      <c r="L58" s="35"/>
    </row>
    <row r="59" spans="1:22" x14ac:dyDescent="0.2">
      <c r="J59" s="35"/>
      <c r="K59" s="35"/>
      <c r="L59" s="35"/>
    </row>
    <row r="60" spans="1:22" x14ac:dyDescent="0.2">
      <c r="J60" s="35"/>
      <c r="K60" s="35"/>
      <c r="L60" s="35"/>
    </row>
    <row r="61" spans="1:22" x14ac:dyDescent="0.2">
      <c r="J61" s="35"/>
      <c r="K61" s="35"/>
      <c r="L61" s="35"/>
    </row>
    <row r="62" spans="1:22" x14ac:dyDescent="0.2">
      <c r="J62" s="35"/>
      <c r="K62" s="35"/>
      <c r="L62" s="35"/>
    </row>
    <row r="63" spans="1:22" x14ac:dyDescent="0.2">
      <c r="J63" s="35"/>
      <c r="K63" s="35"/>
      <c r="L63" s="35"/>
    </row>
    <row r="64" spans="1:22" x14ac:dyDescent="0.2">
      <c r="A64" s="71"/>
      <c r="J64" s="35"/>
      <c r="K64" s="35"/>
      <c r="L64" s="35"/>
    </row>
    <row r="65" spans="1:32" x14ac:dyDescent="0.2">
      <c r="A65" s="71"/>
      <c r="J65" s="35"/>
      <c r="K65" s="35"/>
      <c r="L65" s="35"/>
    </row>
    <row r="66" spans="1:32" x14ac:dyDescent="0.2">
      <c r="A66" s="71"/>
      <c r="J66" s="35"/>
      <c r="K66" s="35"/>
      <c r="L66" s="35"/>
    </row>
    <row r="67" spans="1:32" x14ac:dyDescent="0.2">
      <c r="A67" s="71"/>
      <c r="J67" s="35"/>
      <c r="K67" s="35"/>
      <c r="L67" s="35"/>
    </row>
    <row r="68" spans="1:32" x14ac:dyDescent="0.2">
      <c r="A68" s="71"/>
      <c r="J68" s="35"/>
      <c r="K68" s="35"/>
      <c r="L68" s="35"/>
    </row>
    <row r="69" spans="1:32" x14ac:dyDescent="0.2">
      <c r="A69" s="71"/>
      <c r="J69" s="35"/>
      <c r="K69" s="35"/>
      <c r="L69" s="35"/>
    </row>
    <row r="70" spans="1:32" x14ac:dyDescent="0.2">
      <c r="A70" s="71"/>
      <c r="J70" s="35"/>
      <c r="K70" s="35"/>
      <c r="L70" s="35"/>
    </row>
    <row r="71" spans="1:32" x14ac:dyDescent="0.2">
      <c r="A71" s="50"/>
      <c r="J71" s="35"/>
      <c r="K71" s="35"/>
      <c r="L71" s="35"/>
    </row>
    <row r="72" spans="1:32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</row>
    <row r="73" spans="1:32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</row>
    <row r="74" spans="1:32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</row>
    <row r="75" spans="1:32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</row>
    <row r="76" spans="1:32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</row>
    <row r="77" spans="1:32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</row>
    <row r="78" spans="1:32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</row>
    <row r="79" spans="1:32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</row>
    <row r="80" spans="1:32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</row>
    <row r="81" spans="10:12" x14ac:dyDescent="0.2">
      <c r="J81" s="35"/>
      <c r="K81" s="35"/>
      <c r="L81" s="35"/>
    </row>
    <row r="82" spans="10:12" x14ac:dyDescent="0.2">
      <c r="J82" s="35"/>
      <c r="K82" s="35"/>
      <c r="L82" s="35"/>
    </row>
    <row r="85" spans="10:12" x14ac:dyDescent="0.2">
      <c r="L85" s="132"/>
    </row>
  </sheetData>
  <mergeCells count="2">
    <mergeCell ref="U49:V49"/>
    <mergeCell ref="U50:V50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24BF-2C0E-4912-925D-08813783D086}">
  <sheetPr>
    <tabColor rgb="FF00B0F0"/>
    <pageSetUpPr fitToPage="1"/>
  </sheetPr>
  <dimension ref="B2:N29"/>
  <sheetViews>
    <sheetView workbookViewId="0">
      <selection activeCell="P15" sqref="P15"/>
    </sheetView>
  </sheetViews>
  <sheetFormatPr defaultRowHeight="15" x14ac:dyDescent="0.25"/>
  <cols>
    <col min="2" max="2" width="24.140625" customWidth="1"/>
    <col min="3" max="14" width="10.7109375" customWidth="1"/>
    <col min="15" max="15" width="12.7109375" customWidth="1"/>
    <col min="16" max="16" width="10.7109375" customWidth="1"/>
  </cols>
  <sheetData>
    <row r="2" spans="2:14" ht="16.5" thickBot="1" x14ac:dyDescent="0.3">
      <c r="B2" s="398" t="s">
        <v>233</v>
      </c>
      <c r="C2" s="398"/>
    </row>
    <row r="3" spans="2:14" x14ac:dyDescent="0.25">
      <c r="B3" s="399"/>
      <c r="C3" s="400" t="s">
        <v>12</v>
      </c>
      <c r="D3" s="400" t="str">
        <f>C3</f>
        <v>2020/21</v>
      </c>
      <c r="E3" s="401"/>
      <c r="F3" s="402"/>
      <c r="G3" s="403" t="s">
        <v>234</v>
      </c>
      <c r="H3" s="402"/>
      <c r="I3" s="404"/>
      <c r="J3" s="401"/>
      <c r="K3" s="402"/>
      <c r="L3" s="403" t="s">
        <v>234</v>
      </c>
      <c r="M3" s="402"/>
      <c r="N3" s="404"/>
    </row>
    <row r="4" spans="2:14" ht="30.75" thickBot="1" x14ac:dyDescent="0.3">
      <c r="B4" s="405" t="s">
        <v>235</v>
      </c>
      <c r="C4" s="405" t="s">
        <v>236</v>
      </c>
      <c r="D4" s="406" t="s">
        <v>237</v>
      </c>
      <c r="E4" s="407" t="s">
        <v>238</v>
      </c>
      <c r="F4" s="408" t="s">
        <v>239</v>
      </c>
      <c r="G4" s="408" t="s">
        <v>240</v>
      </c>
      <c r="H4" s="408" t="s">
        <v>241</v>
      </c>
      <c r="I4" s="409" t="s">
        <v>242</v>
      </c>
      <c r="J4" s="407" t="s">
        <v>238</v>
      </c>
      <c r="K4" s="408" t="s">
        <v>239</v>
      </c>
      <c r="L4" s="408" t="s">
        <v>240</v>
      </c>
      <c r="M4" s="408" t="s">
        <v>241</v>
      </c>
      <c r="N4" s="409" t="s">
        <v>242</v>
      </c>
    </row>
    <row r="5" spans="2:14" x14ac:dyDescent="0.25">
      <c r="B5" s="401" t="s">
        <v>243</v>
      </c>
      <c r="C5" s="456">
        <v>60.754191789962832</v>
      </c>
      <c r="D5" s="435">
        <f t="shared" ref="D5:D10" si="0">0.9*C5</f>
        <v>54.678772610966547</v>
      </c>
      <c r="E5" s="410">
        <v>0.37</v>
      </c>
      <c r="F5" s="411">
        <v>0.36</v>
      </c>
      <c r="G5" s="411">
        <v>0.48</v>
      </c>
      <c r="H5" s="411">
        <v>0.48</v>
      </c>
      <c r="I5" s="412">
        <v>0.98</v>
      </c>
      <c r="J5" s="413">
        <f>$D5*E5</f>
        <v>20.231145866057624</v>
      </c>
      <c r="K5" s="414">
        <f t="shared" ref="K5:N12" si="1">$D5*F5</f>
        <v>19.684358139947957</v>
      </c>
      <c r="L5" s="414">
        <f t="shared" si="1"/>
        <v>26.24581085326394</v>
      </c>
      <c r="M5" s="414">
        <f t="shared" si="1"/>
        <v>26.24581085326394</v>
      </c>
      <c r="N5" s="415">
        <f t="shared" si="1"/>
        <v>53.585197158747214</v>
      </c>
    </row>
    <row r="6" spans="2:14" x14ac:dyDescent="0.25">
      <c r="B6" s="416" t="s">
        <v>244</v>
      </c>
      <c r="C6" s="457">
        <v>132.8997945405437</v>
      </c>
      <c r="D6" s="437">
        <f t="shared" si="0"/>
        <v>119.60981508648933</v>
      </c>
      <c r="E6" s="417">
        <v>0.08</v>
      </c>
      <c r="F6" s="418">
        <v>0.11</v>
      </c>
      <c r="G6" s="418">
        <v>0.4</v>
      </c>
      <c r="H6" s="418">
        <v>0.4</v>
      </c>
      <c r="I6" s="419">
        <v>0.86</v>
      </c>
      <c r="J6" s="420">
        <f t="shared" ref="J6:J12" si="2">$D6*E6</f>
        <v>9.5687852069191468</v>
      </c>
      <c r="K6" s="421">
        <f t="shared" si="1"/>
        <v>13.157079659513826</v>
      </c>
      <c r="L6" s="421">
        <f t="shared" si="1"/>
        <v>47.843926034595739</v>
      </c>
      <c r="M6" s="421">
        <f t="shared" si="1"/>
        <v>47.843926034595739</v>
      </c>
      <c r="N6" s="422">
        <f t="shared" si="1"/>
        <v>102.86444097438083</v>
      </c>
    </row>
    <row r="7" spans="2:14" x14ac:dyDescent="0.25">
      <c r="B7" s="416" t="s">
        <v>245</v>
      </c>
      <c r="C7" s="457">
        <v>252.50960962703303</v>
      </c>
      <c r="D7" s="437">
        <f t="shared" si="0"/>
        <v>227.25864866432974</v>
      </c>
      <c r="E7" s="417">
        <v>0.03</v>
      </c>
      <c r="F7" s="418">
        <v>7.0000000000000007E-2</v>
      </c>
      <c r="G7" s="418">
        <v>0.39</v>
      </c>
      <c r="H7" s="418">
        <v>0.39</v>
      </c>
      <c r="I7" s="419">
        <v>0.92</v>
      </c>
      <c r="J7" s="420">
        <f t="shared" si="2"/>
        <v>6.8177594599298921</v>
      </c>
      <c r="K7" s="421">
        <f t="shared" si="1"/>
        <v>15.908105406503083</v>
      </c>
      <c r="L7" s="421">
        <f t="shared" si="1"/>
        <v>88.630872979088608</v>
      </c>
      <c r="M7" s="421">
        <f t="shared" si="1"/>
        <v>88.630872979088608</v>
      </c>
      <c r="N7" s="422">
        <f t="shared" si="1"/>
        <v>209.07795677118338</v>
      </c>
    </row>
    <row r="8" spans="2:14" x14ac:dyDescent="0.25">
      <c r="B8" s="416" t="s">
        <v>246</v>
      </c>
      <c r="C8" s="457">
        <v>129.10265755367101</v>
      </c>
      <c r="D8" s="437">
        <f t="shared" si="0"/>
        <v>116.19239179830392</v>
      </c>
      <c r="E8" s="416"/>
      <c r="F8" s="418"/>
      <c r="G8" s="418">
        <v>0.32</v>
      </c>
      <c r="H8" s="418">
        <v>0.32</v>
      </c>
      <c r="I8" s="419">
        <v>0.55000000000000004</v>
      </c>
      <c r="J8" s="420">
        <f t="shared" si="2"/>
        <v>0</v>
      </c>
      <c r="K8" s="421">
        <f t="shared" si="1"/>
        <v>0</v>
      </c>
      <c r="L8" s="421">
        <f t="shared" si="1"/>
        <v>37.181565375457254</v>
      </c>
      <c r="M8" s="421">
        <f t="shared" si="1"/>
        <v>37.181565375457254</v>
      </c>
      <c r="N8" s="422">
        <f t="shared" si="1"/>
        <v>63.905815489067159</v>
      </c>
    </row>
    <row r="9" spans="2:14" x14ac:dyDescent="0.25">
      <c r="B9" s="416" t="s">
        <v>247</v>
      </c>
      <c r="C9" s="457">
        <v>113.9141096061803</v>
      </c>
      <c r="D9" s="437">
        <f t="shared" si="0"/>
        <v>102.52269864556227</v>
      </c>
      <c r="E9" s="416"/>
      <c r="F9" s="418"/>
      <c r="G9" s="418"/>
      <c r="H9" s="418">
        <v>0.32</v>
      </c>
      <c r="I9" s="419">
        <v>0.9</v>
      </c>
      <c r="J9" s="420">
        <f t="shared" si="2"/>
        <v>0</v>
      </c>
      <c r="K9" s="421">
        <f t="shared" si="1"/>
        <v>0</v>
      </c>
      <c r="L9" s="421">
        <f t="shared" si="1"/>
        <v>0</v>
      </c>
      <c r="M9" s="421">
        <f t="shared" si="1"/>
        <v>32.807263566579927</v>
      </c>
      <c r="N9" s="422">
        <f t="shared" si="1"/>
        <v>92.270428781006046</v>
      </c>
    </row>
    <row r="10" spans="2:14" x14ac:dyDescent="0.25">
      <c r="B10" s="416" t="s">
        <v>248</v>
      </c>
      <c r="C10" s="457">
        <v>41.768506855599448</v>
      </c>
      <c r="D10" s="437">
        <f t="shared" si="0"/>
        <v>37.591656170039506</v>
      </c>
      <c r="E10" s="416"/>
      <c r="F10" s="418"/>
      <c r="G10" s="418"/>
      <c r="H10" s="418">
        <v>0.32</v>
      </c>
      <c r="I10" s="419">
        <v>0.9</v>
      </c>
      <c r="J10" s="420">
        <f t="shared" si="2"/>
        <v>0</v>
      </c>
      <c r="K10" s="421">
        <f t="shared" si="1"/>
        <v>0</v>
      </c>
      <c r="L10" s="421">
        <f t="shared" si="1"/>
        <v>0</v>
      </c>
      <c r="M10" s="421">
        <f t="shared" si="1"/>
        <v>12.029329974412642</v>
      </c>
      <c r="N10" s="422">
        <f t="shared" si="1"/>
        <v>33.832490553035555</v>
      </c>
    </row>
    <row r="11" spans="2:14" x14ac:dyDescent="0.25">
      <c r="B11" s="416" t="s">
        <v>249</v>
      </c>
      <c r="C11" s="457">
        <v>28.478527401545076</v>
      </c>
      <c r="D11" s="437">
        <f>C11</f>
        <v>28.478527401545076</v>
      </c>
      <c r="E11" s="416"/>
      <c r="F11" s="418"/>
      <c r="G11" s="418">
        <v>0.01</v>
      </c>
      <c r="H11" s="418">
        <v>0.1</v>
      </c>
      <c r="I11" s="419">
        <v>0.9</v>
      </c>
      <c r="J11" s="420">
        <f t="shared" si="2"/>
        <v>0</v>
      </c>
      <c r="K11" s="421">
        <f t="shared" si="1"/>
        <v>0</v>
      </c>
      <c r="L11" s="421">
        <f t="shared" si="1"/>
        <v>0.28478527401545078</v>
      </c>
      <c r="M11" s="421">
        <f t="shared" si="1"/>
        <v>2.847852740154508</v>
      </c>
      <c r="N11" s="422">
        <f t="shared" si="1"/>
        <v>25.630674661390568</v>
      </c>
    </row>
    <row r="12" spans="2:14" ht="15.75" thickBot="1" x14ac:dyDescent="0.3">
      <c r="B12" s="423" t="s">
        <v>250</v>
      </c>
      <c r="C12" s="442"/>
      <c r="D12" s="438">
        <f>C14-SUM(D5:D11)</f>
        <v>73.094886997299</v>
      </c>
      <c r="E12" s="424">
        <v>0.53</v>
      </c>
      <c r="F12" s="425">
        <v>0.55000000000000004</v>
      </c>
      <c r="G12" s="425">
        <v>0.73</v>
      </c>
      <c r="H12" s="425">
        <v>0.73</v>
      </c>
      <c r="I12" s="426">
        <v>0.97</v>
      </c>
      <c r="J12" s="427">
        <f t="shared" si="2"/>
        <v>38.740290108568473</v>
      </c>
      <c r="K12" s="428">
        <f t="shared" si="1"/>
        <v>40.202187848514455</v>
      </c>
      <c r="L12" s="428">
        <f t="shared" si="1"/>
        <v>53.359267508028267</v>
      </c>
      <c r="M12" s="428">
        <f t="shared" si="1"/>
        <v>53.359267508028267</v>
      </c>
      <c r="N12" s="429">
        <f t="shared" si="1"/>
        <v>70.902040387380026</v>
      </c>
    </row>
    <row r="13" spans="2:14" x14ac:dyDescent="0.25">
      <c r="B13" s="416"/>
      <c r="C13" s="443"/>
      <c r="D13" s="437"/>
      <c r="E13" s="416"/>
      <c r="F13" s="216"/>
      <c r="G13" s="216"/>
      <c r="H13" s="216"/>
      <c r="I13" s="430"/>
      <c r="J13" s="416"/>
      <c r="K13" s="216"/>
      <c r="L13" s="216"/>
      <c r="M13" s="216"/>
      <c r="N13" s="430"/>
    </row>
    <row r="14" spans="2:14" ht="15.75" thickBot="1" x14ac:dyDescent="0.3">
      <c r="B14" s="423"/>
      <c r="C14" s="442">
        <f>SUM(C5:C13)</f>
        <v>759.42739737453542</v>
      </c>
      <c r="D14" s="438">
        <f>C14</f>
        <v>759.42739737453542</v>
      </c>
      <c r="E14" s="423"/>
      <c r="F14" s="431"/>
      <c r="G14" s="431"/>
      <c r="H14" s="431"/>
      <c r="I14" s="432"/>
      <c r="J14" s="427">
        <f>SUM(J5:J13)</f>
        <v>75.357980641475137</v>
      </c>
      <c r="K14" s="428">
        <f t="shared" ref="K14:N14" si="3">SUM(K5:K13)</f>
        <v>88.951731054479325</v>
      </c>
      <c r="L14" s="428">
        <f t="shared" si="3"/>
        <v>253.54622802444925</v>
      </c>
      <c r="M14" s="428">
        <f t="shared" si="3"/>
        <v>300.94588903158086</v>
      </c>
      <c r="N14" s="429">
        <f t="shared" si="3"/>
        <v>652.06904477619071</v>
      </c>
    </row>
    <row r="15" spans="2:14" x14ac:dyDescent="0.25">
      <c r="C15" s="433"/>
      <c r="D15" s="433"/>
    </row>
    <row r="16" spans="2:14" x14ac:dyDescent="0.25">
      <c r="C16" s="433"/>
      <c r="D16" s="433"/>
    </row>
    <row r="17" spans="2:14" ht="16.5" thickBot="1" x14ac:dyDescent="0.3">
      <c r="B17" s="398" t="s">
        <v>251</v>
      </c>
      <c r="C17" s="434"/>
      <c r="D17" s="433"/>
    </row>
    <row r="18" spans="2:14" x14ac:dyDescent="0.25">
      <c r="B18" s="399"/>
      <c r="C18" s="400" t="s">
        <v>12</v>
      </c>
      <c r="D18" s="439" t="str">
        <f>C18</f>
        <v>2020/21</v>
      </c>
      <c r="E18" s="401"/>
      <c r="F18" s="402"/>
      <c r="G18" s="403" t="s">
        <v>234</v>
      </c>
      <c r="H18" s="402"/>
      <c r="I18" s="404"/>
      <c r="J18" s="401"/>
      <c r="K18" s="402"/>
      <c r="L18" s="403" t="s">
        <v>234</v>
      </c>
      <c r="M18" s="402"/>
      <c r="N18" s="404"/>
    </row>
    <row r="19" spans="2:14" ht="30.75" thickBot="1" x14ac:dyDescent="0.3">
      <c r="B19" s="405" t="s">
        <v>235</v>
      </c>
      <c r="C19" s="436" t="s">
        <v>236</v>
      </c>
      <c r="D19" s="440" t="s">
        <v>237</v>
      </c>
      <c r="E19" s="407" t="s">
        <v>238</v>
      </c>
      <c r="F19" s="408" t="s">
        <v>239</v>
      </c>
      <c r="G19" s="408" t="s">
        <v>240</v>
      </c>
      <c r="H19" s="408" t="s">
        <v>241</v>
      </c>
      <c r="I19" s="409" t="s">
        <v>242</v>
      </c>
      <c r="J19" s="407" t="s">
        <v>238</v>
      </c>
      <c r="K19" s="408" t="s">
        <v>239</v>
      </c>
      <c r="L19" s="408" t="s">
        <v>240</v>
      </c>
      <c r="M19" s="408" t="s">
        <v>241</v>
      </c>
      <c r="N19" s="409" t="s">
        <v>242</v>
      </c>
    </row>
    <row r="20" spans="2:14" x14ac:dyDescent="0.25">
      <c r="B20" s="401" t="s">
        <v>243</v>
      </c>
      <c r="C20" s="453">
        <f>C5</f>
        <v>60.754191789962832</v>
      </c>
      <c r="D20" s="435">
        <f t="shared" ref="D20:D25" si="4">0.9*C20</f>
        <v>54.678772610966547</v>
      </c>
      <c r="E20" s="410">
        <v>-0.01</v>
      </c>
      <c r="F20" s="411">
        <v>-0.01</v>
      </c>
      <c r="G20" s="411">
        <v>-0.03</v>
      </c>
      <c r="H20" s="411">
        <v>-0.03</v>
      </c>
      <c r="I20" s="412">
        <v>-0.02</v>
      </c>
      <c r="J20" s="413">
        <f>$D20*E20</f>
        <v>-0.54678772610966553</v>
      </c>
      <c r="K20" s="414">
        <f t="shared" ref="K20:N27" si="5">$D20*F20</f>
        <v>-0.54678772610966553</v>
      </c>
      <c r="L20" s="414">
        <f t="shared" si="5"/>
        <v>-1.6403631783289963</v>
      </c>
      <c r="M20" s="414">
        <f t="shared" si="5"/>
        <v>-1.6403631783289963</v>
      </c>
      <c r="N20" s="415">
        <f t="shared" si="5"/>
        <v>-1.0935754522193311</v>
      </c>
    </row>
    <row r="21" spans="2:14" x14ac:dyDescent="0.25">
      <c r="B21" s="416" t="s">
        <v>244</v>
      </c>
      <c r="C21" s="454">
        <f t="shared" ref="C21:C26" si="6">C6</f>
        <v>132.8997945405437</v>
      </c>
      <c r="D21" s="437">
        <f t="shared" si="4"/>
        <v>119.60981508648933</v>
      </c>
      <c r="E21" s="417">
        <v>-0.04</v>
      </c>
      <c r="F21" s="418">
        <v>-0.04</v>
      </c>
      <c r="G21" s="418">
        <v>-0.04</v>
      </c>
      <c r="H21" s="418">
        <v>-0.04</v>
      </c>
      <c r="I21" s="419">
        <v>-0.14000000000000001</v>
      </c>
      <c r="J21" s="420">
        <f t="shared" ref="J21:J27" si="7">$D21*E21</f>
        <v>-4.7843926034595734</v>
      </c>
      <c r="K21" s="421">
        <f t="shared" si="5"/>
        <v>-4.7843926034595734</v>
      </c>
      <c r="L21" s="421">
        <f t="shared" si="5"/>
        <v>-4.7843926034595734</v>
      </c>
      <c r="M21" s="421">
        <f t="shared" si="5"/>
        <v>-4.7843926034595734</v>
      </c>
      <c r="N21" s="422">
        <f t="shared" si="5"/>
        <v>-16.745374112108507</v>
      </c>
    </row>
    <row r="22" spans="2:14" x14ac:dyDescent="0.25">
      <c r="B22" s="416" t="s">
        <v>245</v>
      </c>
      <c r="C22" s="454">
        <f t="shared" si="6"/>
        <v>252.50960962703303</v>
      </c>
      <c r="D22" s="437">
        <f t="shared" si="4"/>
        <v>227.25864866432974</v>
      </c>
      <c r="E22" s="417"/>
      <c r="F22" s="418"/>
      <c r="G22" s="418">
        <v>-0.04</v>
      </c>
      <c r="H22" s="418">
        <v>-0.04</v>
      </c>
      <c r="I22" s="419">
        <v>-0.22</v>
      </c>
      <c r="J22" s="420">
        <f t="shared" si="7"/>
        <v>0</v>
      </c>
      <c r="K22" s="421">
        <f t="shared" si="5"/>
        <v>0</v>
      </c>
      <c r="L22" s="421">
        <f t="shared" si="5"/>
        <v>-9.0903459465731906</v>
      </c>
      <c r="M22" s="421">
        <f t="shared" si="5"/>
        <v>-9.0903459465731906</v>
      </c>
      <c r="N22" s="422">
        <f t="shared" si="5"/>
        <v>-49.996902706152547</v>
      </c>
    </row>
    <row r="23" spans="2:14" x14ac:dyDescent="0.25">
      <c r="B23" s="416" t="s">
        <v>246</v>
      </c>
      <c r="C23" s="454">
        <f t="shared" si="6"/>
        <v>129.10265755367101</v>
      </c>
      <c r="D23" s="437">
        <f t="shared" si="4"/>
        <v>116.19239179830392</v>
      </c>
      <c r="E23" s="416"/>
      <c r="F23" s="418"/>
      <c r="G23" s="418">
        <v>-0.23</v>
      </c>
      <c r="H23" s="418">
        <v>-0.23</v>
      </c>
      <c r="I23" s="419">
        <v>-0.36</v>
      </c>
      <c r="J23" s="420">
        <f t="shared" si="7"/>
        <v>0</v>
      </c>
      <c r="K23" s="421">
        <f t="shared" si="5"/>
        <v>0</v>
      </c>
      <c r="L23" s="421">
        <f t="shared" si="5"/>
        <v>-26.724250113609902</v>
      </c>
      <c r="M23" s="421">
        <f t="shared" si="5"/>
        <v>-26.724250113609902</v>
      </c>
      <c r="N23" s="422">
        <f t="shared" si="5"/>
        <v>-41.829261047389409</v>
      </c>
    </row>
    <row r="24" spans="2:14" x14ac:dyDescent="0.25">
      <c r="B24" s="416" t="s">
        <v>247</v>
      </c>
      <c r="C24" s="454">
        <f t="shared" si="6"/>
        <v>113.9141096061803</v>
      </c>
      <c r="D24" s="437">
        <f t="shared" si="4"/>
        <v>102.52269864556227</v>
      </c>
      <c r="E24" s="416"/>
      <c r="F24" s="418"/>
      <c r="G24" s="418"/>
      <c r="H24" s="418">
        <v>-0.1</v>
      </c>
      <c r="I24" s="419">
        <v>-0.68</v>
      </c>
      <c r="J24" s="420">
        <f t="shared" si="7"/>
        <v>0</v>
      </c>
      <c r="K24" s="421">
        <f t="shared" si="5"/>
        <v>0</v>
      </c>
      <c r="L24" s="421">
        <f t="shared" si="5"/>
        <v>0</v>
      </c>
      <c r="M24" s="421">
        <f t="shared" si="5"/>
        <v>-10.252269864556228</v>
      </c>
      <c r="N24" s="422">
        <f t="shared" si="5"/>
        <v>-69.715435078982352</v>
      </c>
    </row>
    <row r="25" spans="2:14" x14ac:dyDescent="0.25">
      <c r="B25" s="416" t="s">
        <v>248</v>
      </c>
      <c r="C25" s="454">
        <f t="shared" si="6"/>
        <v>41.768506855599448</v>
      </c>
      <c r="D25" s="437">
        <f t="shared" si="4"/>
        <v>37.591656170039506</v>
      </c>
      <c r="E25" s="416"/>
      <c r="F25" s="418"/>
      <c r="G25" s="418"/>
      <c r="H25" s="418">
        <v>-0.1</v>
      </c>
      <c r="I25" s="419">
        <v>-0.68</v>
      </c>
      <c r="J25" s="420">
        <f t="shared" si="7"/>
        <v>0</v>
      </c>
      <c r="K25" s="421">
        <f t="shared" si="5"/>
        <v>0</v>
      </c>
      <c r="L25" s="421">
        <f t="shared" si="5"/>
        <v>0</v>
      </c>
      <c r="M25" s="421">
        <f t="shared" si="5"/>
        <v>-3.7591656170039509</v>
      </c>
      <c r="N25" s="422">
        <f t="shared" si="5"/>
        <v>-25.562326195626866</v>
      </c>
    </row>
    <row r="26" spans="2:14" x14ac:dyDescent="0.25">
      <c r="B26" s="416" t="s">
        <v>249</v>
      </c>
      <c r="C26" s="454">
        <f t="shared" si="6"/>
        <v>28.478527401545076</v>
      </c>
      <c r="D26" s="437">
        <f>C26</f>
        <v>28.478527401545076</v>
      </c>
      <c r="E26" s="416"/>
      <c r="F26" s="418"/>
      <c r="G26" s="418">
        <v>-0.01</v>
      </c>
      <c r="H26" s="418">
        <v>-0.1</v>
      </c>
      <c r="I26" s="419">
        <v>-0.68</v>
      </c>
      <c r="J26" s="420">
        <f t="shared" si="7"/>
        <v>0</v>
      </c>
      <c r="K26" s="421">
        <f t="shared" si="5"/>
        <v>0</v>
      </c>
      <c r="L26" s="421">
        <f t="shared" si="5"/>
        <v>-0.28478527401545078</v>
      </c>
      <c r="M26" s="421">
        <f t="shared" si="5"/>
        <v>-2.847852740154508</v>
      </c>
      <c r="N26" s="422">
        <f t="shared" si="5"/>
        <v>-19.365398633050653</v>
      </c>
    </row>
    <row r="27" spans="2:14" ht="15.75" thickBot="1" x14ac:dyDescent="0.3">
      <c r="B27" s="423" t="s">
        <v>250</v>
      </c>
      <c r="C27" s="442"/>
      <c r="D27" s="438">
        <f>C29-SUM(D20:D26)</f>
        <v>73.094886997299</v>
      </c>
      <c r="E27" s="424"/>
      <c r="F27" s="425"/>
      <c r="G27" s="425">
        <v>-0.02</v>
      </c>
      <c r="H27" s="425">
        <v>-0.02</v>
      </c>
      <c r="I27" s="426">
        <v>-0.27</v>
      </c>
      <c r="J27" s="427">
        <f t="shared" si="7"/>
        <v>0</v>
      </c>
      <c r="K27" s="428">
        <f t="shared" si="5"/>
        <v>0</v>
      </c>
      <c r="L27" s="428">
        <f t="shared" si="5"/>
        <v>-1.46189773994598</v>
      </c>
      <c r="M27" s="428">
        <f t="shared" si="5"/>
        <v>-1.46189773994598</v>
      </c>
      <c r="N27" s="429">
        <f t="shared" si="5"/>
        <v>-19.735619489270732</v>
      </c>
    </row>
    <row r="28" spans="2:14" x14ac:dyDescent="0.25">
      <c r="B28" s="416"/>
      <c r="C28" s="443"/>
      <c r="D28" s="437"/>
      <c r="E28" s="416"/>
      <c r="F28" s="216"/>
      <c r="G28" s="216"/>
      <c r="H28" s="216"/>
      <c r="I28" s="430"/>
      <c r="J28" s="420"/>
      <c r="K28" s="421"/>
      <c r="L28" s="421"/>
      <c r="M28" s="421"/>
      <c r="N28" s="422"/>
    </row>
    <row r="29" spans="2:14" ht="15.75" thickBot="1" x14ac:dyDescent="0.3">
      <c r="B29" s="423"/>
      <c r="C29" s="455">
        <f>SUM(C20:C28)</f>
        <v>759.42739737453542</v>
      </c>
      <c r="D29" s="438">
        <f>C29</f>
        <v>759.42739737453542</v>
      </c>
      <c r="E29" s="423"/>
      <c r="F29" s="431"/>
      <c r="G29" s="431"/>
      <c r="H29" s="431"/>
      <c r="I29" s="432"/>
      <c r="J29" s="427">
        <f>SUM(J20:J28)</f>
        <v>-5.3311803295692393</v>
      </c>
      <c r="K29" s="428">
        <f t="shared" ref="K29:N29" si="8">SUM(K20:K28)</f>
        <v>-5.3311803295692393</v>
      </c>
      <c r="L29" s="428">
        <f t="shared" si="8"/>
        <v>-43.986034855933092</v>
      </c>
      <c r="M29" s="428">
        <f t="shared" si="8"/>
        <v>-60.560537803632329</v>
      </c>
      <c r="N29" s="429">
        <f t="shared" si="8"/>
        <v>-244.04389271480039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&amp;L&amp;Z&amp;F &amp;A&amp;R&amp;D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ent_x0020_Date xmlns="d866604c-23ed-4c44-9ea3-e161b33dcfd5" xsi:nil="true"/>
    <Description0 xmlns="d866604c-23ed-4c44-9ea3-e161b33dcfd5" xsi:nil="true"/>
    <Key_x0020_Document xmlns="d866604c-23ed-4c44-9ea3-e161b33dcfd5">false</Key_x0020_Docum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9FD446D96554E93733D7FAC024BF4" ma:contentTypeVersion="13" ma:contentTypeDescription="Create a new document." ma:contentTypeScope="" ma:versionID="6563aa90e939647651e3a1f1d9110eb6">
  <xsd:schema xmlns:xsd="http://www.w3.org/2001/XMLSchema" xmlns:xs="http://www.w3.org/2001/XMLSchema" xmlns:p="http://schemas.microsoft.com/office/2006/metadata/properties" xmlns:ns2="14d20574-58b9-414e-ad4d-49aba50cd5eb" xmlns:ns3="d866604c-23ed-4c44-9ea3-e161b33dcfd5" targetNamespace="http://schemas.microsoft.com/office/2006/metadata/properties" ma:root="true" ma:fieldsID="95011ec09040d28715bca3c509f13840" ns2:_="" ns3:_="">
    <xsd:import namespace="14d20574-58b9-414e-ad4d-49aba50cd5eb"/>
    <xsd:import namespace="d866604c-23ed-4c44-9ea3-e161b33dc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escription0" minOccurs="0"/>
                <xsd:element ref="ns3:Key_x0020_Document" minOccurs="0"/>
                <xsd:element ref="ns3:Event_x0020_Date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20574-58b9-414e-ad4d-49aba50cd5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604c-23ed-4c44-9ea3-e161b33dcf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Description0" ma:index="12" nillable="true" ma:displayName="Description" ma:internalName="Description0">
      <xsd:simpleType>
        <xsd:restriction base="dms:Note">
          <xsd:maxLength value="255"/>
        </xsd:restriction>
      </xsd:simpleType>
    </xsd:element>
    <xsd:element name="Key_x0020_Document" ma:index="13" nillable="true" ma:displayName="Key Document" ma:default="0" ma:indexed="true" ma:internalName="Key_x0020_Document">
      <xsd:simpleType>
        <xsd:restriction base="dms:Boolean"/>
      </xsd:simpleType>
    </xsd:element>
    <xsd:element name="Event_x0020_Date" ma:index="14" nillable="true" ma:displayName="Event Date" ma:format="DateOnly" ma:internalName="Event_x0020_Date">
      <xsd:simpleType>
        <xsd:restriction base="dms:DateTim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58A53-6FCD-4B74-9D81-922354C5A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E6154-4776-47AF-90BF-F6210749AA30}">
  <ds:schemaRefs>
    <ds:schemaRef ds:uri="http://purl.org/dc/elements/1.1/"/>
    <ds:schemaRef ds:uri="http://schemas.microsoft.com/office/2006/metadata/properties"/>
    <ds:schemaRef ds:uri="14d20574-58b9-414e-ad4d-49aba50cd5e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866604c-23ed-4c44-9ea3-e161b33dcf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17C386-A3EC-4A26-A7D7-F687592E7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20574-58b9-414e-ad4d-49aba50cd5eb"/>
    <ds:schemaRef ds:uri="d866604c-23ed-4c44-9ea3-e161b33dc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Augmentation</vt:lpstr>
      <vt:lpstr>Replacement</vt:lpstr>
      <vt:lpstr>Opex</vt:lpstr>
      <vt:lpstr>Demand</vt:lpstr>
      <vt:lpstr>LRMC - AIC</vt:lpstr>
      <vt:lpstr>Standalone Avoidable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Bennett</dc:creator>
  <cp:lastModifiedBy>Paige Jury</cp:lastModifiedBy>
  <cp:lastPrinted>2019-12-02T06:02:28Z</cp:lastPrinted>
  <dcterms:created xsi:type="dcterms:W3CDTF">2016-09-13T00:22:31Z</dcterms:created>
  <dcterms:modified xsi:type="dcterms:W3CDTF">2019-12-09T04:15:57Z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0x0101002A19FD446D96554E93733D7FAC024BF4</vt:lpwstr>
  </property>
</Properties>
</file>