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R:\CorpStrategy\_RegNew\01_Reset 2020-25\21_TSS\Pricing 2020-25\LRMC SrAC AvC\"/>
    </mc:Choice>
  </mc:AlternateContent>
  <xr:revisionPtr revIDLastSave="0" documentId="8_{F5C47AF3-E9FE-4088-93EC-244096221B0C}" xr6:coauthVersionLast="31" xr6:coauthVersionMax="31" xr10:uidLastSave="{00000000-0000-0000-0000-000000000000}"/>
  <bookViews>
    <workbookView xWindow="0" yWindow="0" windowWidth="15300" windowHeight="7485" activeTab="4" xr2:uid="{00000000-000D-0000-FFFF-FFFF00000000}"/>
  </bookViews>
  <sheets>
    <sheet name="Augmentation" sheetId="1" r:id="rId1"/>
    <sheet name="Replacement" sheetId="2" r:id="rId2"/>
    <sheet name="Opex" sheetId="5" r:id="rId3"/>
    <sheet name="Demand" sheetId="3" r:id="rId4"/>
    <sheet name="LRMC - AIC" sheetId="4" r:id="rId5"/>
    <sheet name="Standalone Avoidable" sheetId="7" r:id="rId6"/>
  </sheets>
  <externalReferences>
    <externalReference r:id="rId7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C29" i="7" s="1"/>
  <c r="L25" i="7"/>
  <c r="K25" i="7"/>
  <c r="D25" i="7"/>
  <c r="N25" i="7" s="1"/>
  <c r="L24" i="7"/>
  <c r="K24" i="7"/>
  <c r="J24" i="7"/>
  <c r="D24" i="7"/>
  <c r="M24" i="7" s="1"/>
  <c r="D23" i="7"/>
  <c r="M23" i="7" s="1"/>
  <c r="D22" i="7"/>
  <c r="L22" i="7" s="1"/>
  <c r="D21" i="7"/>
  <c r="N21" i="7" s="1"/>
  <c r="D20" i="7"/>
  <c r="M20" i="7" s="1"/>
  <c r="D18" i="7"/>
  <c r="C11" i="7"/>
  <c r="C14" i="7" s="1"/>
  <c r="D10" i="7"/>
  <c r="K10" i="7" s="1"/>
  <c r="L9" i="7"/>
  <c r="D9" i="7"/>
  <c r="M9" i="7" s="1"/>
  <c r="N8" i="7"/>
  <c r="D8" i="7"/>
  <c r="M8" i="7" s="1"/>
  <c r="D7" i="7"/>
  <c r="L7" i="7" s="1"/>
  <c r="D6" i="7"/>
  <c r="K6" i="7" s="1"/>
  <c r="L5" i="7"/>
  <c r="K5" i="7"/>
  <c r="D5" i="7"/>
  <c r="M5" i="7" s="1"/>
  <c r="D3" i="7"/>
  <c r="K21" i="7" l="1"/>
  <c r="J23" i="7"/>
  <c r="J8" i="7"/>
  <c r="J9" i="7"/>
  <c r="L10" i="7"/>
  <c r="L21" i="7"/>
  <c r="N23" i="7"/>
  <c r="J5" i="7"/>
  <c r="L6" i="7"/>
  <c r="K8" i="7"/>
  <c r="K9" i="7"/>
  <c r="L20" i="7"/>
  <c r="N20" i="7"/>
  <c r="N5" i="7"/>
  <c r="N9" i="7"/>
  <c r="J20" i="7"/>
  <c r="M22" i="7"/>
  <c r="N24" i="7"/>
  <c r="K20" i="7"/>
  <c r="D14" i="7"/>
  <c r="D29" i="7"/>
  <c r="M7" i="7"/>
  <c r="J7" i="7"/>
  <c r="D11" i="7"/>
  <c r="M21" i="7"/>
  <c r="J22" i="7"/>
  <c r="N22" i="7"/>
  <c r="K23" i="7"/>
  <c r="M25" i="7"/>
  <c r="D26" i="7"/>
  <c r="D27" i="7" s="1"/>
  <c r="M6" i="7"/>
  <c r="N7" i="7"/>
  <c r="M10" i="7"/>
  <c r="J6" i="7"/>
  <c r="N6" i="7"/>
  <c r="K7" i="7"/>
  <c r="L8" i="7"/>
  <c r="J10" i="7"/>
  <c r="N10" i="7"/>
  <c r="J21" i="7"/>
  <c r="K22" i="7"/>
  <c r="L23" i="7"/>
  <c r="J25" i="7"/>
  <c r="K11" i="7" l="1"/>
  <c r="N11" i="7"/>
  <c r="J11" i="7"/>
  <c r="M11" i="7"/>
  <c r="L11" i="7"/>
  <c r="L27" i="7"/>
  <c r="K27" i="7"/>
  <c r="N27" i="7"/>
  <c r="J27" i="7"/>
  <c r="J29" i="7" s="1"/>
  <c r="M27" i="7"/>
  <c r="D12" i="7"/>
  <c r="K26" i="7"/>
  <c r="K29" i="7" s="1"/>
  <c r="N26" i="7"/>
  <c r="J26" i="7"/>
  <c r="M26" i="7"/>
  <c r="L26" i="7"/>
  <c r="L29" i="7" s="1"/>
  <c r="N29" i="7" l="1"/>
  <c r="L12" i="7"/>
  <c r="L14" i="7" s="1"/>
  <c r="K12" i="7"/>
  <c r="K14" i="7" s="1"/>
  <c r="N12" i="7"/>
  <c r="N14" i="7" s="1"/>
  <c r="J12" i="7"/>
  <c r="J14" i="7" s="1"/>
  <c r="M12" i="7"/>
  <c r="M29" i="7"/>
  <c r="M14" i="7" l="1"/>
  <c r="AI37" i="4" l="1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20" i="4"/>
  <c r="K19" i="4"/>
  <c r="K18" i="4"/>
  <c r="K17" i="4"/>
  <c r="K16" i="4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AB23" i="2"/>
  <c r="AB24" i="2"/>
  <c r="AB25" i="2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C34" i="5" l="1"/>
  <c r="C35" i="5"/>
  <c r="C36" i="5"/>
  <c r="C37" i="5"/>
  <c r="C33" i="5"/>
  <c r="L86" i="2"/>
  <c r="M86" i="2"/>
  <c r="N86" i="2"/>
  <c r="O86" i="2"/>
  <c r="P86" i="2"/>
  <c r="Q86" i="2"/>
  <c r="R86" i="2"/>
  <c r="S86" i="2"/>
  <c r="T86" i="2"/>
  <c r="U86" i="2"/>
  <c r="K86" i="2"/>
  <c r="U85" i="2"/>
  <c r="L49" i="1"/>
  <c r="M49" i="1"/>
  <c r="N49" i="1"/>
  <c r="O49" i="1"/>
  <c r="P49" i="1"/>
  <c r="Q49" i="1"/>
  <c r="R49" i="1"/>
  <c r="S49" i="1"/>
  <c r="T49" i="1"/>
  <c r="U49" i="1"/>
  <c r="K49" i="1"/>
  <c r="U48" i="1"/>
  <c r="AB9" i="1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7" i="1"/>
  <c r="AB8" i="1"/>
  <c r="M10" i="3"/>
  <c r="M6" i="3"/>
  <c r="M11" i="3" l="1"/>
  <c r="N9" i="3" l="1"/>
  <c r="N7" i="3"/>
  <c r="N8" i="3"/>
  <c r="N10" i="3"/>
  <c r="N6" i="3"/>
  <c r="N11" i="3" l="1"/>
  <c r="K18" i="3"/>
  <c r="K25" i="3" s="1"/>
  <c r="L18" i="3"/>
  <c r="L24" i="3" s="1"/>
  <c r="M18" i="3"/>
  <c r="M25" i="3" s="1"/>
  <c r="N18" i="3"/>
  <c r="N24" i="3" s="1"/>
  <c r="O18" i="3"/>
  <c r="O25" i="3" s="1"/>
  <c r="P18" i="3"/>
  <c r="P27" i="3" s="1"/>
  <c r="Q18" i="3"/>
  <c r="Q27" i="3" s="1"/>
  <c r="R18" i="3"/>
  <c r="R25" i="3" s="1"/>
  <c r="S18" i="3"/>
  <c r="S27" i="3" s="1"/>
  <c r="T18" i="3"/>
  <c r="T27" i="3" s="1"/>
  <c r="J15" i="3"/>
  <c r="J18" i="3" s="1"/>
  <c r="M26" i="3" l="1"/>
  <c r="W18" i="3"/>
  <c r="AA18" i="3"/>
  <c r="AE18" i="3"/>
  <c r="AI18" i="3"/>
  <c r="J26" i="3"/>
  <c r="AB18" i="3"/>
  <c r="AF18" i="3"/>
  <c r="U18" i="3"/>
  <c r="AC18" i="3"/>
  <c r="AG18" i="3"/>
  <c r="X18" i="3"/>
  <c r="J25" i="3"/>
  <c r="J27" i="3"/>
  <c r="Y18" i="3"/>
  <c r="J24" i="3"/>
  <c r="J23" i="3"/>
  <c r="V18" i="3"/>
  <c r="Z18" i="3"/>
  <c r="AD18" i="3"/>
  <c r="AH18" i="3"/>
  <c r="O26" i="3"/>
  <c r="T26" i="3"/>
  <c r="T23" i="3"/>
  <c r="O23" i="3"/>
  <c r="T24" i="3"/>
  <c r="O24" i="3"/>
  <c r="L27" i="3"/>
  <c r="O27" i="3"/>
  <c r="S25" i="3"/>
  <c r="T25" i="3"/>
  <c r="N25" i="3"/>
  <c r="K26" i="3"/>
  <c r="P26" i="3"/>
  <c r="Q23" i="3"/>
  <c r="P23" i="3"/>
  <c r="K23" i="3"/>
  <c r="Q24" i="3"/>
  <c r="K24" i="3"/>
  <c r="M27" i="3"/>
  <c r="R27" i="3"/>
  <c r="K27" i="3"/>
  <c r="P25" i="3"/>
  <c r="R26" i="3"/>
  <c r="L26" i="3"/>
  <c r="R23" i="3"/>
  <c r="L23" i="3"/>
  <c r="M24" i="3"/>
  <c r="R24" i="3"/>
  <c r="N27" i="3"/>
  <c r="L25" i="3"/>
  <c r="Q25" i="3"/>
  <c r="N26" i="3"/>
  <c r="S26" i="3"/>
  <c r="Q26" i="3"/>
  <c r="M23" i="3"/>
  <c r="M28" i="3" s="1"/>
  <c r="N23" i="3"/>
  <c r="S23" i="3"/>
  <c r="P24" i="3"/>
  <c r="S24" i="3"/>
  <c r="O73" i="2"/>
  <c r="P73" i="2"/>
  <c r="Q73" i="2"/>
  <c r="R73" i="2"/>
  <c r="S73" i="2"/>
  <c r="T73" i="2"/>
  <c r="U73" i="2"/>
  <c r="O75" i="2"/>
  <c r="O88" i="2" s="1"/>
  <c r="O97" i="2" s="1"/>
  <c r="P75" i="2"/>
  <c r="P88" i="2" s="1"/>
  <c r="P97" i="2" s="1"/>
  <c r="Q75" i="2"/>
  <c r="Q88" i="2" s="1"/>
  <c r="Q97" i="2" s="1"/>
  <c r="R75" i="2"/>
  <c r="R88" i="2" s="1"/>
  <c r="S75" i="2"/>
  <c r="S88" i="2" s="1"/>
  <c r="T75" i="2"/>
  <c r="T88" i="2" s="1"/>
  <c r="T97" i="2" s="1"/>
  <c r="U75" i="2"/>
  <c r="U88" i="2" s="1"/>
  <c r="U97" i="2" s="1"/>
  <c r="O76" i="2"/>
  <c r="O89" i="2" s="1"/>
  <c r="P76" i="2"/>
  <c r="P89" i="2" s="1"/>
  <c r="P98" i="2" s="1"/>
  <c r="Q76" i="2"/>
  <c r="Q89" i="2" s="1"/>
  <c r="Q98" i="2" s="1"/>
  <c r="R76" i="2"/>
  <c r="R89" i="2" s="1"/>
  <c r="R98" i="2" s="1"/>
  <c r="S76" i="2"/>
  <c r="S89" i="2" s="1"/>
  <c r="S98" i="2" s="1"/>
  <c r="T76" i="2"/>
  <c r="T89" i="2" s="1"/>
  <c r="T98" i="2" s="1"/>
  <c r="U76" i="2"/>
  <c r="U89" i="2" s="1"/>
  <c r="U98" i="2" s="1"/>
  <c r="O77" i="2"/>
  <c r="O90" i="2" s="1"/>
  <c r="O99" i="2" s="1"/>
  <c r="P77" i="2"/>
  <c r="P90" i="2" s="1"/>
  <c r="Q77" i="2"/>
  <c r="Q90" i="2" s="1"/>
  <c r="Q99" i="2" s="1"/>
  <c r="R77" i="2"/>
  <c r="R90" i="2" s="1"/>
  <c r="R99" i="2" s="1"/>
  <c r="S77" i="2"/>
  <c r="S90" i="2" s="1"/>
  <c r="S99" i="2" s="1"/>
  <c r="T77" i="2"/>
  <c r="T90" i="2" s="1"/>
  <c r="U77" i="2"/>
  <c r="U90" i="2" s="1"/>
  <c r="U99" i="2" s="1"/>
  <c r="O78" i="2"/>
  <c r="O91" i="2" s="1"/>
  <c r="O100" i="2" s="1"/>
  <c r="P78" i="2"/>
  <c r="P91" i="2" s="1"/>
  <c r="P100" i="2" s="1"/>
  <c r="Q78" i="2"/>
  <c r="Q91" i="2" s="1"/>
  <c r="R78" i="2"/>
  <c r="R91" i="2" s="1"/>
  <c r="R100" i="2" s="1"/>
  <c r="S78" i="2"/>
  <c r="S91" i="2" s="1"/>
  <c r="S100" i="2" s="1"/>
  <c r="T78" i="2"/>
  <c r="T91" i="2" s="1"/>
  <c r="T100" i="2" s="1"/>
  <c r="U78" i="2"/>
  <c r="U91" i="2" s="1"/>
  <c r="O79" i="2"/>
  <c r="O92" i="2" s="1"/>
  <c r="O101" i="2" s="1"/>
  <c r="P79" i="2"/>
  <c r="P92" i="2" s="1"/>
  <c r="P101" i="2" s="1"/>
  <c r="Q79" i="2"/>
  <c r="Q92" i="2" s="1"/>
  <c r="Q101" i="2" s="1"/>
  <c r="R79" i="2"/>
  <c r="R92" i="2" s="1"/>
  <c r="R101" i="2" s="1"/>
  <c r="S79" i="2"/>
  <c r="S92" i="2" s="1"/>
  <c r="S101" i="2" s="1"/>
  <c r="T79" i="2"/>
  <c r="T92" i="2" s="1"/>
  <c r="T101" i="2" s="1"/>
  <c r="U79" i="2"/>
  <c r="AB52" i="2"/>
  <c r="AB53" i="2"/>
  <c r="AB61" i="2"/>
  <c r="AB62" i="2"/>
  <c r="AB63" i="2"/>
  <c r="AB64" i="2"/>
  <c r="AB65" i="2"/>
  <c r="AB66" i="2"/>
  <c r="AB67" i="2"/>
  <c r="AB68" i="2"/>
  <c r="AB69" i="2"/>
  <c r="P28" i="3" l="1"/>
  <c r="T28" i="3"/>
  <c r="N28" i="3"/>
  <c r="K28" i="3"/>
  <c r="O28" i="3"/>
  <c r="J28" i="3"/>
  <c r="Q28" i="3"/>
  <c r="L28" i="3"/>
  <c r="S28" i="3"/>
  <c r="R28" i="3"/>
  <c r="AH25" i="3"/>
  <c r="AH23" i="3"/>
  <c r="AH24" i="3"/>
  <c r="AH27" i="3"/>
  <c r="AH26" i="3"/>
  <c r="U23" i="3"/>
  <c r="U27" i="3"/>
  <c r="U26" i="3"/>
  <c r="U25" i="3"/>
  <c r="U24" i="3"/>
  <c r="AI25" i="3"/>
  <c r="AI27" i="3"/>
  <c r="AI24" i="3"/>
  <c r="AI23" i="3"/>
  <c r="AI26" i="3"/>
  <c r="AD24" i="3"/>
  <c r="AD23" i="3"/>
  <c r="AD27" i="3"/>
  <c r="AD26" i="3"/>
  <c r="AD25" i="3"/>
  <c r="X25" i="3"/>
  <c r="X23" i="3"/>
  <c r="X26" i="3"/>
  <c r="X27" i="3"/>
  <c r="X24" i="3"/>
  <c r="AF27" i="3"/>
  <c r="AF24" i="3"/>
  <c r="AF25" i="3"/>
  <c r="AF23" i="3"/>
  <c r="AF26" i="3"/>
  <c r="AE25" i="3"/>
  <c r="AE27" i="3"/>
  <c r="AE24" i="3"/>
  <c r="AE23" i="3"/>
  <c r="AE26" i="3"/>
  <c r="Z27" i="3"/>
  <c r="Z25" i="3"/>
  <c r="Z26" i="3"/>
  <c r="Z24" i="3"/>
  <c r="Z23" i="3"/>
  <c r="Y24" i="3"/>
  <c r="Y23" i="3"/>
  <c r="Y26" i="3"/>
  <c r="Y25" i="3"/>
  <c r="Y27" i="3"/>
  <c r="AG26" i="3"/>
  <c r="AG25" i="3"/>
  <c r="AG27" i="3"/>
  <c r="AG24" i="3"/>
  <c r="AG23" i="3"/>
  <c r="AB25" i="3"/>
  <c r="AB24" i="3"/>
  <c r="AB23" i="3"/>
  <c r="AB26" i="3"/>
  <c r="AB27" i="3"/>
  <c r="AA25" i="3"/>
  <c r="AA24" i="3"/>
  <c r="AA23" i="3"/>
  <c r="AA26" i="3"/>
  <c r="AA27" i="3"/>
  <c r="V26" i="3"/>
  <c r="V25" i="3"/>
  <c r="V24" i="3"/>
  <c r="V23" i="3"/>
  <c r="V27" i="3"/>
  <c r="AC25" i="3"/>
  <c r="AC24" i="3"/>
  <c r="AC23" i="3"/>
  <c r="AC27" i="3"/>
  <c r="AC26" i="3"/>
  <c r="W27" i="3"/>
  <c r="W24" i="3"/>
  <c r="W23" i="3"/>
  <c r="W26" i="3"/>
  <c r="W25" i="3"/>
  <c r="T80" i="2"/>
  <c r="O80" i="2"/>
  <c r="S80" i="2"/>
  <c r="R80" i="2"/>
  <c r="Q80" i="2"/>
  <c r="P80" i="2"/>
  <c r="R97" i="2"/>
  <c r="R103" i="2" s="1"/>
  <c r="R93" i="2"/>
  <c r="U80" i="2"/>
  <c r="U92" i="2"/>
  <c r="U101" i="2" s="1"/>
  <c r="V101" i="2" s="1"/>
  <c r="W101" i="2" s="1"/>
  <c r="X101" i="2" s="1"/>
  <c r="Y101" i="2" s="1"/>
  <c r="Z101" i="2" s="1"/>
  <c r="AA101" i="2" s="1"/>
  <c r="AB101" i="2" s="1"/>
  <c r="AC101" i="2" s="1"/>
  <c r="AD101" i="2" s="1"/>
  <c r="AE101" i="2" s="1"/>
  <c r="AF101" i="2" s="1"/>
  <c r="AG101" i="2" s="1"/>
  <c r="AH101" i="2" s="1"/>
  <c r="AI101" i="2" s="1"/>
  <c r="U100" i="2"/>
  <c r="Q93" i="2"/>
  <c r="Q100" i="2"/>
  <c r="V100" i="2" s="1"/>
  <c r="W100" i="2" s="1"/>
  <c r="X100" i="2" s="1"/>
  <c r="Y100" i="2" s="1"/>
  <c r="Z100" i="2" s="1"/>
  <c r="AA100" i="2" s="1"/>
  <c r="AB100" i="2" s="1"/>
  <c r="AC100" i="2" s="1"/>
  <c r="AD100" i="2" s="1"/>
  <c r="AE100" i="2" s="1"/>
  <c r="AF100" i="2" s="1"/>
  <c r="AG100" i="2" s="1"/>
  <c r="AH100" i="2" s="1"/>
  <c r="AI100" i="2" s="1"/>
  <c r="T93" i="2"/>
  <c r="T99" i="2"/>
  <c r="T103" i="2" s="1"/>
  <c r="P93" i="2"/>
  <c r="P99" i="2"/>
  <c r="P103" i="2" s="1"/>
  <c r="V98" i="2"/>
  <c r="W98" i="2" s="1"/>
  <c r="X98" i="2" s="1"/>
  <c r="Y98" i="2" s="1"/>
  <c r="Z98" i="2" s="1"/>
  <c r="AA98" i="2" s="1"/>
  <c r="AB98" i="2" s="1"/>
  <c r="AC98" i="2" s="1"/>
  <c r="AD98" i="2" s="1"/>
  <c r="AE98" i="2" s="1"/>
  <c r="AF98" i="2" s="1"/>
  <c r="AG98" i="2" s="1"/>
  <c r="AH98" i="2" s="1"/>
  <c r="AI98" i="2" s="1"/>
  <c r="O93" i="2"/>
  <c r="O98" i="2"/>
  <c r="O103" i="2" s="1"/>
  <c r="S93" i="2"/>
  <c r="S97" i="2"/>
  <c r="S103" i="2" s="1"/>
  <c r="K13" i="5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D11" i="5"/>
  <c r="N7" i="5"/>
  <c r="O7" i="5" s="1"/>
  <c r="J12" i="4"/>
  <c r="J11" i="4"/>
  <c r="J10" i="4"/>
  <c r="J9" i="4"/>
  <c r="J8" i="4"/>
  <c r="K4" i="4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K3" i="4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B2" i="4"/>
  <c r="W19" i="3"/>
  <c r="R19" i="3"/>
  <c r="O19" i="3"/>
  <c r="N19" i="3"/>
  <c r="AC28" i="3" l="1"/>
  <c r="V28" i="3"/>
  <c r="Z28" i="3"/>
  <c r="AA28" i="3"/>
  <c r="AG28" i="3"/>
  <c r="Y28" i="3"/>
  <c r="AE28" i="3"/>
  <c r="X28" i="3"/>
  <c r="AI28" i="3"/>
  <c r="U28" i="3"/>
  <c r="AH28" i="3"/>
  <c r="W28" i="3"/>
  <c r="AB28" i="3"/>
  <c r="AF28" i="3"/>
  <c r="AD28" i="3"/>
  <c r="U93" i="2"/>
  <c r="U103" i="2"/>
  <c r="Q103" i="2"/>
  <c r="V97" i="2"/>
  <c r="V99" i="2"/>
  <c r="W99" i="2" s="1"/>
  <c r="X99" i="2" s="1"/>
  <c r="Y99" i="2" s="1"/>
  <c r="Z99" i="2" s="1"/>
  <c r="AA99" i="2" s="1"/>
  <c r="AB99" i="2" s="1"/>
  <c r="AC99" i="2" s="1"/>
  <c r="AD99" i="2" s="1"/>
  <c r="AE99" i="2" s="1"/>
  <c r="AF99" i="2" s="1"/>
  <c r="AG99" i="2" s="1"/>
  <c r="AH99" i="2" s="1"/>
  <c r="AI99" i="2" s="1"/>
  <c r="J13" i="4"/>
  <c r="Z19" i="3"/>
  <c r="V19" i="3"/>
  <c r="X19" i="3"/>
  <c r="AB19" i="3"/>
  <c r="AD19" i="3"/>
  <c r="L19" i="3"/>
  <c r="P19" i="3"/>
  <c r="T19" i="3"/>
  <c r="AF33" i="3"/>
  <c r="AF8" i="4" s="1"/>
  <c r="AB33" i="3"/>
  <c r="AB8" i="4" s="1"/>
  <c r="X33" i="3"/>
  <c r="X8" i="4" s="1"/>
  <c r="P33" i="3"/>
  <c r="P8" i="4" s="1"/>
  <c r="L33" i="3"/>
  <c r="L8" i="4" s="1"/>
  <c r="AD33" i="3"/>
  <c r="AD8" i="4" s="1"/>
  <c r="V33" i="3"/>
  <c r="V8" i="4" s="1"/>
  <c r="AF19" i="3"/>
  <c r="Y19" i="3"/>
  <c r="AC19" i="3"/>
  <c r="AA19" i="3"/>
  <c r="K19" i="3"/>
  <c r="M19" i="3"/>
  <c r="Q19" i="3"/>
  <c r="U19" i="3"/>
  <c r="S19" i="3"/>
  <c r="J75" i="2"/>
  <c r="K75" i="2"/>
  <c r="K88" i="2" s="1"/>
  <c r="K97" i="2" s="1"/>
  <c r="L75" i="2"/>
  <c r="L88" i="2" s="1"/>
  <c r="L97" i="2" s="1"/>
  <c r="M75" i="2"/>
  <c r="M88" i="2" s="1"/>
  <c r="J76" i="2"/>
  <c r="K76" i="2"/>
  <c r="K89" i="2" s="1"/>
  <c r="L76" i="2"/>
  <c r="L89" i="2" s="1"/>
  <c r="L98" i="2" s="1"/>
  <c r="M76" i="2"/>
  <c r="M89" i="2" s="1"/>
  <c r="M98" i="2" s="1"/>
  <c r="J77" i="2"/>
  <c r="K77" i="2"/>
  <c r="K90" i="2" s="1"/>
  <c r="K99" i="2" s="1"/>
  <c r="L77" i="2"/>
  <c r="L90" i="2" s="1"/>
  <c r="M77" i="2"/>
  <c r="M90" i="2" s="1"/>
  <c r="M99" i="2" s="1"/>
  <c r="J78" i="2"/>
  <c r="K78" i="2"/>
  <c r="K91" i="2" s="1"/>
  <c r="K100" i="2" s="1"/>
  <c r="L78" i="2"/>
  <c r="L91" i="2" s="1"/>
  <c r="L100" i="2" s="1"/>
  <c r="M78" i="2"/>
  <c r="M91" i="2" s="1"/>
  <c r="M100" i="2" s="1"/>
  <c r="J79" i="2"/>
  <c r="K79" i="2"/>
  <c r="K92" i="2" s="1"/>
  <c r="K101" i="2" s="1"/>
  <c r="L79" i="2"/>
  <c r="L92" i="2" s="1"/>
  <c r="L101" i="2" s="1"/>
  <c r="M79" i="2"/>
  <c r="M92" i="2" s="1"/>
  <c r="M101" i="2" s="1"/>
  <c r="I79" i="2"/>
  <c r="I78" i="2"/>
  <c r="I77" i="2"/>
  <c r="I7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43" i="2"/>
  <c r="AB44" i="2"/>
  <c r="AB45" i="2"/>
  <c r="AB46" i="2"/>
  <c r="AB47" i="2"/>
  <c r="AB48" i="2"/>
  <c r="AB49" i="2"/>
  <c r="AB50" i="2"/>
  <c r="AB51" i="2"/>
  <c r="AB54" i="2"/>
  <c r="AB55" i="2"/>
  <c r="AB56" i="2"/>
  <c r="AB57" i="2"/>
  <c r="AB58" i="2"/>
  <c r="AB59" i="2"/>
  <c r="AB60" i="2"/>
  <c r="AB6" i="2"/>
  <c r="I75" i="2"/>
  <c r="C79" i="2"/>
  <c r="C78" i="2"/>
  <c r="C77" i="2"/>
  <c r="C76" i="2"/>
  <c r="C75" i="2"/>
  <c r="J73" i="2"/>
  <c r="K73" i="2"/>
  <c r="L73" i="2"/>
  <c r="M73" i="2"/>
  <c r="I73" i="2"/>
  <c r="N6" i="2"/>
  <c r="C43" i="1"/>
  <c r="C42" i="1"/>
  <c r="C41" i="1"/>
  <c r="C40" i="1"/>
  <c r="C39" i="1"/>
  <c r="S51" i="1"/>
  <c r="O51" i="1"/>
  <c r="K51" i="1"/>
  <c r="P6" i="1"/>
  <c r="O6" i="1"/>
  <c r="N6" i="1"/>
  <c r="M6" i="1"/>
  <c r="L6" i="1"/>
  <c r="K6" i="1"/>
  <c r="J6" i="1"/>
  <c r="I6" i="1"/>
  <c r="N82" i="2" l="1"/>
  <c r="N75" i="2"/>
  <c r="N76" i="2"/>
  <c r="N89" i="2" s="1"/>
  <c r="N98" i="2" s="1"/>
  <c r="N77" i="2"/>
  <c r="N90" i="2" s="1"/>
  <c r="N99" i="2" s="1"/>
  <c r="N78" i="2"/>
  <c r="N91" i="2" s="1"/>
  <c r="N100" i="2" s="1"/>
  <c r="N79" i="2"/>
  <c r="N92" i="2" s="1"/>
  <c r="N101" i="2" s="1"/>
  <c r="C90" i="2"/>
  <c r="C99" i="2"/>
  <c r="R82" i="2"/>
  <c r="T82" i="2"/>
  <c r="Q82" i="2"/>
  <c r="U82" i="2"/>
  <c r="O82" i="2"/>
  <c r="S82" i="2"/>
  <c r="P82" i="2"/>
  <c r="C97" i="2"/>
  <c r="C88" i="2"/>
  <c r="C101" i="2"/>
  <c r="C92" i="2"/>
  <c r="C91" i="2"/>
  <c r="C100" i="2"/>
  <c r="C89" i="2"/>
  <c r="C98" i="2"/>
  <c r="K93" i="2"/>
  <c r="K98" i="2"/>
  <c r="K103" i="2" s="1"/>
  <c r="M97" i="2"/>
  <c r="M103" i="2" s="1"/>
  <c r="M93" i="2"/>
  <c r="V103" i="2"/>
  <c r="W97" i="2"/>
  <c r="L93" i="2"/>
  <c r="L99" i="2"/>
  <c r="L103" i="2" s="1"/>
  <c r="K15" i="5"/>
  <c r="K60" i="1"/>
  <c r="K24" i="4"/>
  <c r="C61" i="1"/>
  <c r="C52" i="1"/>
  <c r="O15" i="5"/>
  <c r="O60" i="1"/>
  <c r="O24" i="4"/>
  <c r="C62" i="1"/>
  <c r="C53" i="1"/>
  <c r="C60" i="1"/>
  <c r="C51" i="1"/>
  <c r="C64" i="1"/>
  <c r="C55" i="1"/>
  <c r="S15" i="5"/>
  <c r="S60" i="1"/>
  <c r="S24" i="4"/>
  <c r="C63" i="1"/>
  <c r="C54" i="1"/>
  <c r="J80" i="2"/>
  <c r="L51" i="1"/>
  <c r="P51" i="1"/>
  <c r="T51" i="1"/>
  <c r="M51" i="1"/>
  <c r="Q51" i="1"/>
  <c r="U51" i="1"/>
  <c r="N51" i="1"/>
  <c r="R51" i="1"/>
  <c r="S55" i="1"/>
  <c r="O55" i="1"/>
  <c r="K55" i="1"/>
  <c r="S54" i="1"/>
  <c r="O54" i="1"/>
  <c r="K54" i="1"/>
  <c r="S53" i="1"/>
  <c r="O53" i="1"/>
  <c r="K53" i="1"/>
  <c r="S52" i="1"/>
  <c r="O52" i="1"/>
  <c r="K52" i="1"/>
  <c r="R55" i="1"/>
  <c r="N55" i="1"/>
  <c r="R54" i="1"/>
  <c r="N54" i="1"/>
  <c r="R53" i="1"/>
  <c r="N53" i="1"/>
  <c r="R52" i="1"/>
  <c r="N52" i="1"/>
  <c r="U55" i="1"/>
  <c r="Q55" i="1"/>
  <c r="M55" i="1"/>
  <c r="U54" i="1"/>
  <c r="Q54" i="1"/>
  <c r="M54" i="1"/>
  <c r="U53" i="1"/>
  <c r="Q53" i="1"/>
  <c r="M53" i="1"/>
  <c r="U52" i="1"/>
  <c r="Q52" i="1"/>
  <c r="M52" i="1"/>
  <c r="T55" i="1"/>
  <c r="P55" i="1"/>
  <c r="L55" i="1"/>
  <c r="T54" i="1"/>
  <c r="P54" i="1"/>
  <c r="L54" i="1"/>
  <c r="T53" i="1"/>
  <c r="P53" i="1"/>
  <c r="L53" i="1"/>
  <c r="T52" i="1"/>
  <c r="P52" i="1"/>
  <c r="L52" i="1"/>
  <c r="AE19" i="3"/>
  <c r="T33" i="3"/>
  <c r="T8" i="4" s="1"/>
  <c r="N33" i="3"/>
  <c r="N8" i="4" s="1"/>
  <c r="Z33" i="3"/>
  <c r="Z8" i="4" s="1"/>
  <c r="AE33" i="3"/>
  <c r="AE8" i="4" s="1"/>
  <c r="R33" i="3"/>
  <c r="R8" i="4" s="1"/>
  <c r="W33" i="3"/>
  <c r="W8" i="4" s="1"/>
  <c r="S33" i="3"/>
  <c r="S8" i="4" s="1"/>
  <c r="K34" i="3"/>
  <c r="AA33" i="3"/>
  <c r="AA8" i="4" s="1"/>
  <c r="AC33" i="3"/>
  <c r="AC8" i="4" s="1"/>
  <c r="AG33" i="3"/>
  <c r="AG8" i="4" s="1"/>
  <c r="K33" i="3"/>
  <c r="K8" i="4" s="1"/>
  <c r="Y33" i="3"/>
  <c r="Y8" i="4" s="1"/>
  <c r="O33" i="3"/>
  <c r="O8" i="4" s="1"/>
  <c r="Q33" i="3"/>
  <c r="Q8" i="4" s="1"/>
  <c r="M33" i="3"/>
  <c r="M8" i="4" s="1"/>
  <c r="U33" i="3"/>
  <c r="U8" i="4" s="1"/>
  <c r="AH33" i="3"/>
  <c r="AH8" i="4" s="1"/>
  <c r="AG19" i="3"/>
  <c r="K80" i="2"/>
  <c r="K82" i="2"/>
  <c r="M82" i="2"/>
  <c r="J82" i="2"/>
  <c r="L80" i="2"/>
  <c r="I82" i="2"/>
  <c r="M80" i="2"/>
  <c r="L82" i="2"/>
  <c r="I80" i="2"/>
  <c r="N73" i="2"/>
  <c r="K37" i="1"/>
  <c r="O37" i="1"/>
  <c r="S37" i="1"/>
  <c r="R37" i="1"/>
  <c r="P37" i="1"/>
  <c r="T37" i="1"/>
  <c r="I37" i="1"/>
  <c r="M37" i="1"/>
  <c r="Q37" i="1"/>
  <c r="U37" i="1"/>
  <c r="J37" i="1"/>
  <c r="N37" i="1"/>
  <c r="L37" i="1"/>
  <c r="K9" i="4" l="1"/>
  <c r="H8" i="4"/>
  <c r="N88" i="2"/>
  <c r="N80" i="2"/>
  <c r="W103" i="2"/>
  <c r="X97" i="2"/>
  <c r="S56" i="1"/>
  <c r="P16" i="5"/>
  <c r="P61" i="1"/>
  <c r="L64" i="1"/>
  <c r="L19" i="5"/>
  <c r="L28" i="4"/>
  <c r="Q27" i="4"/>
  <c r="Q63" i="1"/>
  <c r="Q18" i="5"/>
  <c r="R61" i="1"/>
  <c r="R16" i="5"/>
  <c r="R25" i="4"/>
  <c r="N28" i="4"/>
  <c r="N19" i="5"/>
  <c r="N64" i="1"/>
  <c r="S62" i="1"/>
  <c r="S17" i="5"/>
  <c r="S26" i="4"/>
  <c r="N56" i="1"/>
  <c r="N15" i="5"/>
  <c r="N24" i="4"/>
  <c r="N60" i="1"/>
  <c r="L62" i="1"/>
  <c r="L17" i="5"/>
  <c r="L26" i="4"/>
  <c r="P27" i="4"/>
  <c r="P18" i="5"/>
  <c r="P63" i="1"/>
  <c r="T64" i="1"/>
  <c r="T19" i="5"/>
  <c r="T28" i="4"/>
  <c r="Q16" i="5"/>
  <c r="Q61" i="1"/>
  <c r="Q25" i="4"/>
  <c r="U62" i="1"/>
  <c r="U17" i="5"/>
  <c r="M64" i="1"/>
  <c r="M19" i="5"/>
  <c r="M28" i="4"/>
  <c r="N17" i="5"/>
  <c r="N62" i="1"/>
  <c r="N26" i="4"/>
  <c r="R63" i="1"/>
  <c r="R18" i="5"/>
  <c r="R27" i="4"/>
  <c r="K62" i="1"/>
  <c r="K17" i="5"/>
  <c r="K26" i="4"/>
  <c r="O18" i="5"/>
  <c r="O63" i="1"/>
  <c r="S28" i="4"/>
  <c r="S19" i="5"/>
  <c r="S64" i="1"/>
  <c r="U60" i="1"/>
  <c r="U15" i="5"/>
  <c r="U56" i="1"/>
  <c r="T60" i="1"/>
  <c r="T15" i="5"/>
  <c r="T24" i="4"/>
  <c r="T56" i="1"/>
  <c r="L16" i="5"/>
  <c r="L61" i="1"/>
  <c r="L25" i="4"/>
  <c r="P62" i="1"/>
  <c r="P17" i="5"/>
  <c r="T27" i="4"/>
  <c r="T18" i="5"/>
  <c r="T63" i="1"/>
  <c r="U16" i="5"/>
  <c r="U61" i="1"/>
  <c r="M63" i="1"/>
  <c r="M18" i="5"/>
  <c r="Q64" i="1"/>
  <c r="Q19" i="5"/>
  <c r="Q28" i="4"/>
  <c r="N61" i="1"/>
  <c r="N16" i="5"/>
  <c r="N25" i="4"/>
  <c r="R17" i="5"/>
  <c r="R62" i="1"/>
  <c r="K16" i="5"/>
  <c r="L24" i="5" s="1"/>
  <c r="L34" i="5" s="1"/>
  <c r="K61" i="1"/>
  <c r="O62" i="1"/>
  <c r="O17" i="5"/>
  <c r="O26" i="4"/>
  <c r="S18" i="5"/>
  <c r="S63" i="1"/>
  <c r="R60" i="1"/>
  <c r="R15" i="5"/>
  <c r="R56" i="1"/>
  <c r="Q60" i="1"/>
  <c r="Q15" i="5"/>
  <c r="Q24" i="4"/>
  <c r="Q56" i="1"/>
  <c r="P60" i="1"/>
  <c r="P15" i="5"/>
  <c r="P56" i="1"/>
  <c r="K56" i="1"/>
  <c r="T62" i="1"/>
  <c r="T26" i="4"/>
  <c r="T17" i="5"/>
  <c r="M62" i="1"/>
  <c r="M17" i="5"/>
  <c r="M26" i="4"/>
  <c r="U64" i="1"/>
  <c r="U19" i="5"/>
  <c r="O61" i="1"/>
  <c r="O66" i="1" s="1"/>
  <c r="O25" i="4"/>
  <c r="O16" i="5"/>
  <c r="K28" i="4"/>
  <c r="K64" i="1"/>
  <c r="K19" i="5"/>
  <c r="M60" i="1"/>
  <c r="M15" i="5"/>
  <c r="M24" i="4"/>
  <c r="M56" i="1"/>
  <c r="L60" i="1"/>
  <c r="L15" i="5"/>
  <c r="P23" i="5" s="1"/>
  <c r="L24" i="4"/>
  <c r="L56" i="1"/>
  <c r="O56" i="1"/>
  <c r="T16" i="5"/>
  <c r="T25" i="4"/>
  <c r="T61" i="1"/>
  <c r="L18" i="5"/>
  <c r="L27" i="4"/>
  <c r="L63" i="1"/>
  <c r="P64" i="1"/>
  <c r="P19" i="5"/>
  <c r="P28" i="4"/>
  <c r="M16" i="5"/>
  <c r="M61" i="1"/>
  <c r="M25" i="4"/>
  <c r="Q62" i="1"/>
  <c r="Q17" i="5"/>
  <c r="U63" i="1"/>
  <c r="U18" i="5"/>
  <c r="N63" i="1"/>
  <c r="N18" i="5"/>
  <c r="N27" i="4"/>
  <c r="R28" i="4"/>
  <c r="R19" i="5"/>
  <c r="R64" i="1"/>
  <c r="S61" i="1"/>
  <c r="S25" i="4"/>
  <c r="S16" i="5"/>
  <c r="K63" i="1"/>
  <c r="K18" i="5"/>
  <c r="K27" i="4"/>
  <c r="O28" i="4"/>
  <c r="O19" i="5"/>
  <c r="O64" i="1"/>
  <c r="P24" i="4"/>
  <c r="K25" i="4"/>
  <c r="O27" i="4"/>
  <c r="R24" i="4"/>
  <c r="T44" i="1"/>
  <c r="T46" i="1" s="1"/>
  <c r="Q44" i="1"/>
  <c r="Q46" i="1" s="1"/>
  <c r="N44" i="1"/>
  <c r="N46" i="1" s="1"/>
  <c r="I44" i="1"/>
  <c r="I46" i="1" s="1"/>
  <c r="K44" i="1"/>
  <c r="K46" i="1" s="1"/>
  <c r="J44" i="1"/>
  <c r="J46" i="1" s="1"/>
  <c r="P44" i="1"/>
  <c r="P46" i="1" s="1"/>
  <c r="U44" i="1"/>
  <c r="U46" i="1" s="1"/>
  <c r="R44" i="1"/>
  <c r="R46" i="1" s="1"/>
  <c r="M27" i="4"/>
  <c r="M44" i="1"/>
  <c r="M46" i="1" s="1"/>
  <c r="S44" i="1"/>
  <c r="S46" i="1" s="1"/>
  <c r="O44" i="1"/>
  <c r="O46" i="1" s="1"/>
  <c r="K23" i="5"/>
  <c r="K33" i="5" s="1"/>
  <c r="L44" i="1"/>
  <c r="L46" i="1" s="1"/>
  <c r="S27" i="4"/>
  <c r="Q26" i="4"/>
  <c r="P26" i="4"/>
  <c r="L25" i="5"/>
  <c r="K36" i="3"/>
  <c r="K11" i="4" s="1"/>
  <c r="K37" i="3"/>
  <c r="K12" i="4" s="1"/>
  <c r="K35" i="3"/>
  <c r="K10" i="4" s="1"/>
  <c r="L36" i="3"/>
  <c r="L11" i="4" s="1"/>
  <c r="L34" i="3"/>
  <c r="AH19" i="3"/>
  <c r="L9" i="4" l="1"/>
  <c r="K38" i="3"/>
  <c r="O23" i="5"/>
  <c r="J17" i="5"/>
  <c r="N93" i="2"/>
  <c r="N97" i="2"/>
  <c r="N103" i="2" s="1"/>
  <c r="K25" i="5"/>
  <c r="K35" i="5" s="1"/>
  <c r="X103" i="2"/>
  <c r="Y97" i="2"/>
  <c r="P27" i="5"/>
  <c r="P44" i="4" s="1"/>
  <c r="O25" i="5"/>
  <c r="O42" i="4" s="1"/>
  <c r="N24" i="5"/>
  <c r="N34" i="5" s="1"/>
  <c r="K24" i="5"/>
  <c r="K34" i="5" s="1"/>
  <c r="V64" i="1"/>
  <c r="W64" i="1" s="1"/>
  <c r="N26" i="5"/>
  <c r="N36" i="5" s="1"/>
  <c r="S66" i="1"/>
  <c r="J15" i="5"/>
  <c r="K66" i="1"/>
  <c r="N20" i="5"/>
  <c r="P40" i="4"/>
  <c r="P33" i="5"/>
  <c r="X64" i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V15" i="5"/>
  <c r="V18" i="5"/>
  <c r="W18" i="5" s="1"/>
  <c r="X18" i="5" s="1"/>
  <c r="Y18" i="5" s="1"/>
  <c r="Z18" i="5" s="1"/>
  <c r="M25" i="5"/>
  <c r="N23" i="5"/>
  <c r="M23" i="5"/>
  <c r="L66" i="1"/>
  <c r="M66" i="1"/>
  <c r="P66" i="1"/>
  <c r="V60" i="1"/>
  <c r="Q66" i="1"/>
  <c r="R66" i="1"/>
  <c r="V17" i="5"/>
  <c r="N25" i="5"/>
  <c r="L23" i="5"/>
  <c r="L20" i="5"/>
  <c r="N66" i="1"/>
  <c r="V61" i="1"/>
  <c r="W61" i="1" s="1"/>
  <c r="X61" i="1" s="1"/>
  <c r="Y61" i="1" s="1"/>
  <c r="Z61" i="1" s="1"/>
  <c r="AA61" i="1" s="1"/>
  <c r="AB61" i="1" s="1"/>
  <c r="L42" i="4"/>
  <c r="L35" i="5"/>
  <c r="O40" i="4"/>
  <c r="O33" i="5"/>
  <c r="P25" i="4"/>
  <c r="P29" i="4" s="1"/>
  <c r="V19" i="5"/>
  <c r="W19" i="5" s="1"/>
  <c r="X19" i="5" s="1"/>
  <c r="Y19" i="5" s="1"/>
  <c r="Z19" i="5" s="1"/>
  <c r="Z27" i="5" s="1"/>
  <c r="V62" i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T66" i="1"/>
  <c r="U66" i="1"/>
  <c r="V63" i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V16" i="5"/>
  <c r="J18" i="5"/>
  <c r="L21" i="4"/>
  <c r="K21" i="4"/>
  <c r="N21" i="4"/>
  <c r="O21" i="4"/>
  <c r="M26" i="5"/>
  <c r="K26" i="5"/>
  <c r="O26" i="5"/>
  <c r="L26" i="5"/>
  <c r="T23" i="5"/>
  <c r="S23" i="5"/>
  <c r="R23" i="5"/>
  <c r="Q23" i="5"/>
  <c r="U23" i="5"/>
  <c r="U24" i="5"/>
  <c r="T26" i="5"/>
  <c r="Q24" i="5"/>
  <c r="L27" i="5"/>
  <c r="S26" i="5"/>
  <c r="O20" i="5"/>
  <c r="P26" i="5"/>
  <c r="Q26" i="5"/>
  <c r="R26" i="5"/>
  <c r="R24" i="5"/>
  <c r="O24" i="5"/>
  <c r="T24" i="5"/>
  <c r="J16" i="5"/>
  <c r="M20" i="5"/>
  <c r="P20" i="5"/>
  <c r="P24" i="5"/>
  <c r="S24" i="5"/>
  <c r="M24" i="5"/>
  <c r="M34" i="5" s="1"/>
  <c r="U28" i="4"/>
  <c r="M27" i="5"/>
  <c r="S27" i="5"/>
  <c r="J19" i="5"/>
  <c r="Q27" i="5"/>
  <c r="O27" i="5"/>
  <c r="R27" i="5"/>
  <c r="N27" i="5"/>
  <c r="K27" i="5"/>
  <c r="K37" i="5" s="1"/>
  <c r="K20" i="5"/>
  <c r="T20" i="5"/>
  <c r="R20" i="5"/>
  <c r="P25" i="5"/>
  <c r="M21" i="4"/>
  <c r="T27" i="5"/>
  <c r="R21" i="4"/>
  <c r="K40" i="4"/>
  <c r="Q21" i="4"/>
  <c r="T21" i="4"/>
  <c r="P21" i="4"/>
  <c r="S21" i="4"/>
  <c r="R26" i="4"/>
  <c r="R29" i="4" s="1"/>
  <c r="S20" i="5"/>
  <c r="U25" i="5"/>
  <c r="T25" i="5"/>
  <c r="S25" i="5"/>
  <c r="Q20" i="5"/>
  <c r="R25" i="5"/>
  <c r="Q25" i="5"/>
  <c r="T29" i="4"/>
  <c r="N29" i="4"/>
  <c r="K41" i="4"/>
  <c r="K29" i="4"/>
  <c r="O29" i="4"/>
  <c r="Q29" i="4"/>
  <c r="L29" i="4"/>
  <c r="S29" i="4"/>
  <c r="M29" i="4"/>
  <c r="K13" i="4"/>
  <c r="AI19" i="3"/>
  <c r="AI33" i="3"/>
  <c r="AI8" i="4" s="1"/>
  <c r="M36" i="3"/>
  <c r="M11" i="4" s="1"/>
  <c r="L35" i="3"/>
  <c r="L10" i="4" s="1"/>
  <c r="L37" i="3"/>
  <c r="L12" i="4" s="1"/>
  <c r="M34" i="3"/>
  <c r="M9" i="4" l="1"/>
  <c r="L38" i="3"/>
  <c r="J25" i="5"/>
  <c r="N43" i="4"/>
  <c r="K42" i="4"/>
  <c r="P37" i="5"/>
  <c r="O35" i="5"/>
  <c r="Y103" i="2"/>
  <c r="Z97" i="2"/>
  <c r="J23" i="5"/>
  <c r="L28" i="5"/>
  <c r="Z37" i="5"/>
  <c r="T44" i="4"/>
  <c r="T37" i="5"/>
  <c r="S44" i="4"/>
  <c r="S37" i="5"/>
  <c r="Q42" i="4"/>
  <c r="Q35" i="5"/>
  <c r="T42" i="4"/>
  <c r="T35" i="5"/>
  <c r="P42" i="4"/>
  <c r="P35" i="5"/>
  <c r="Q44" i="4"/>
  <c r="Q37" i="5"/>
  <c r="O41" i="4"/>
  <c r="O34" i="5"/>
  <c r="P43" i="4"/>
  <c r="P36" i="5"/>
  <c r="U33" i="5"/>
  <c r="T40" i="4"/>
  <c r="T33" i="5"/>
  <c r="M43" i="4"/>
  <c r="M36" i="5"/>
  <c r="R42" i="4"/>
  <c r="R35" i="5"/>
  <c r="U35" i="5"/>
  <c r="N44" i="4"/>
  <c r="N37" i="5"/>
  <c r="R41" i="4"/>
  <c r="R34" i="5"/>
  <c r="Q41" i="4"/>
  <c r="Q34" i="5"/>
  <c r="Q40" i="4"/>
  <c r="Q33" i="5"/>
  <c r="L43" i="4"/>
  <c r="L36" i="5"/>
  <c r="AC61" i="1"/>
  <c r="AD61" i="1" s="1"/>
  <c r="AE61" i="1" s="1"/>
  <c r="AF61" i="1" s="1"/>
  <c r="AG61" i="1" s="1"/>
  <c r="AH61" i="1" s="1"/>
  <c r="AI61" i="1" s="1"/>
  <c r="W60" i="1"/>
  <c r="V66" i="1"/>
  <c r="M40" i="4"/>
  <c r="M33" i="5"/>
  <c r="R44" i="4"/>
  <c r="R37" i="5"/>
  <c r="S41" i="4"/>
  <c r="S34" i="5"/>
  <c r="R43" i="4"/>
  <c r="R36" i="5"/>
  <c r="S43" i="4"/>
  <c r="S36" i="5"/>
  <c r="T43" i="4"/>
  <c r="T36" i="5"/>
  <c r="R40" i="4"/>
  <c r="R33" i="5"/>
  <c r="O43" i="4"/>
  <c r="O36" i="5"/>
  <c r="L40" i="4"/>
  <c r="L33" i="5"/>
  <c r="N40" i="4"/>
  <c r="N33" i="5"/>
  <c r="S42" i="4"/>
  <c r="S35" i="5"/>
  <c r="O44" i="4"/>
  <c r="O37" i="5"/>
  <c r="M44" i="4"/>
  <c r="M37" i="5"/>
  <c r="P34" i="5"/>
  <c r="T41" i="4"/>
  <c r="T34" i="5"/>
  <c r="Q43" i="4"/>
  <c r="Q36" i="5"/>
  <c r="L44" i="4"/>
  <c r="L37" i="5"/>
  <c r="U34" i="5"/>
  <c r="S40" i="4"/>
  <c r="S33" i="5"/>
  <c r="K43" i="4"/>
  <c r="K36" i="5"/>
  <c r="K39" i="5" s="1"/>
  <c r="N42" i="4"/>
  <c r="N35" i="5"/>
  <c r="M42" i="4"/>
  <c r="M35" i="5"/>
  <c r="J26" i="5"/>
  <c r="U24" i="4"/>
  <c r="U40" i="4" s="1"/>
  <c r="V24" i="5"/>
  <c r="X26" i="5"/>
  <c r="Y26" i="5"/>
  <c r="V26" i="5"/>
  <c r="W26" i="5"/>
  <c r="U26" i="5"/>
  <c r="M28" i="5"/>
  <c r="J20" i="5"/>
  <c r="U25" i="4"/>
  <c r="U21" i="4"/>
  <c r="U27" i="4"/>
  <c r="M41" i="4"/>
  <c r="J24" i="5"/>
  <c r="N28" i="5"/>
  <c r="J27" i="5"/>
  <c r="K44" i="4"/>
  <c r="O28" i="5"/>
  <c r="K28" i="5"/>
  <c r="Y27" i="5"/>
  <c r="U27" i="5"/>
  <c r="AA19" i="5"/>
  <c r="AA27" i="5" s="1"/>
  <c r="V27" i="5"/>
  <c r="W27" i="5"/>
  <c r="P28" i="5"/>
  <c r="X27" i="5"/>
  <c r="W15" i="5"/>
  <c r="V23" i="5"/>
  <c r="V24" i="4"/>
  <c r="W23" i="5"/>
  <c r="U20" i="5"/>
  <c r="R28" i="5"/>
  <c r="S28" i="5"/>
  <c r="V20" i="5"/>
  <c r="Q28" i="5"/>
  <c r="U26" i="4"/>
  <c r="T28" i="5"/>
  <c r="P41" i="4"/>
  <c r="L41" i="4"/>
  <c r="V27" i="4"/>
  <c r="N41" i="4"/>
  <c r="V25" i="4"/>
  <c r="W16" i="5"/>
  <c r="L13" i="4"/>
  <c r="AA18" i="5"/>
  <c r="AA26" i="5" s="1"/>
  <c r="Z26" i="5"/>
  <c r="N34" i="3"/>
  <c r="M35" i="3"/>
  <c r="M10" i="4" s="1"/>
  <c r="M37" i="3"/>
  <c r="M12" i="4" s="1"/>
  <c r="N36" i="3"/>
  <c r="N11" i="4" s="1"/>
  <c r="M38" i="3" l="1"/>
  <c r="N9" i="4"/>
  <c r="K45" i="4"/>
  <c r="L45" i="4"/>
  <c r="S39" i="5"/>
  <c r="Z103" i="2"/>
  <c r="AA97" i="2"/>
  <c r="P45" i="4"/>
  <c r="U42" i="4"/>
  <c r="Q45" i="4"/>
  <c r="O39" i="5"/>
  <c r="U41" i="4"/>
  <c r="S45" i="4"/>
  <c r="P39" i="5"/>
  <c r="W33" i="5"/>
  <c r="W37" i="5"/>
  <c r="V43" i="4"/>
  <c r="V36" i="5"/>
  <c r="X37" i="5"/>
  <c r="AA37" i="5"/>
  <c r="U43" i="4"/>
  <c r="U36" i="5"/>
  <c r="X36" i="5"/>
  <c r="Q39" i="5"/>
  <c r="Z36" i="5"/>
  <c r="O45" i="4"/>
  <c r="V40" i="4"/>
  <c r="V33" i="5"/>
  <c r="U44" i="4"/>
  <c r="U37" i="5"/>
  <c r="W36" i="5"/>
  <c r="V41" i="4"/>
  <c r="V34" i="5"/>
  <c r="N39" i="5"/>
  <c r="AA36" i="5"/>
  <c r="Y37" i="5"/>
  <c r="X60" i="1"/>
  <c r="W66" i="1"/>
  <c r="T39" i="5"/>
  <c r="T45" i="4"/>
  <c r="V37" i="5"/>
  <c r="M45" i="4"/>
  <c r="Y36" i="5"/>
  <c r="L39" i="5"/>
  <c r="R39" i="5"/>
  <c r="M39" i="5"/>
  <c r="V21" i="4"/>
  <c r="V28" i="4"/>
  <c r="N45" i="4"/>
  <c r="AB19" i="5"/>
  <c r="AC19" i="5" s="1"/>
  <c r="AC27" i="5" s="1"/>
  <c r="U28" i="5"/>
  <c r="J28" i="5"/>
  <c r="W24" i="4"/>
  <c r="X15" i="5"/>
  <c r="R45" i="4"/>
  <c r="V26" i="4"/>
  <c r="W17" i="5"/>
  <c r="W20" i="5" s="1"/>
  <c r="U29" i="4"/>
  <c r="V25" i="5"/>
  <c r="V35" i="5" s="1"/>
  <c r="W28" i="4"/>
  <c r="W27" i="4"/>
  <c r="W25" i="4"/>
  <c r="X16" i="5"/>
  <c r="W24" i="5"/>
  <c r="W34" i="5" s="1"/>
  <c r="M13" i="4"/>
  <c r="AB18" i="5"/>
  <c r="O36" i="3"/>
  <c r="O11" i="4" s="1"/>
  <c r="N35" i="3"/>
  <c r="N10" i="4" s="1"/>
  <c r="O34" i="3"/>
  <c r="O9" i="4" l="1"/>
  <c r="W44" i="4"/>
  <c r="W40" i="4"/>
  <c r="W43" i="4"/>
  <c r="U39" i="5"/>
  <c r="AA103" i="2"/>
  <c r="AB97" i="2"/>
  <c r="V44" i="4"/>
  <c r="V29" i="4"/>
  <c r="Y60" i="1"/>
  <c r="X66" i="1"/>
  <c r="V39" i="5"/>
  <c r="AC37" i="5"/>
  <c r="U45" i="4"/>
  <c r="N37" i="3"/>
  <c r="N12" i="4" s="1"/>
  <c r="AB27" i="5"/>
  <c r="Y15" i="5"/>
  <c r="X24" i="4"/>
  <c r="X23" i="5"/>
  <c r="W26" i="4"/>
  <c r="X21" i="4"/>
  <c r="W21" i="4"/>
  <c r="X17" i="5"/>
  <c r="X20" i="5" s="1"/>
  <c r="W25" i="5"/>
  <c r="V28" i="5"/>
  <c r="X28" i="4"/>
  <c r="X44" i="4" s="1"/>
  <c r="X27" i="4"/>
  <c r="X43" i="4" s="1"/>
  <c r="X25" i="4"/>
  <c r="Y16" i="5"/>
  <c r="X24" i="5"/>
  <c r="X34" i="5" s="1"/>
  <c r="AC18" i="5"/>
  <c r="AB26" i="5"/>
  <c r="AD19" i="5"/>
  <c r="AD27" i="5" s="1"/>
  <c r="O37" i="3"/>
  <c r="O12" i="4" s="1"/>
  <c r="P34" i="3"/>
  <c r="P36" i="3"/>
  <c r="P11" i="4" s="1"/>
  <c r="O35" i="3"/>
  <c r="O10" i="4" s="1"/>
  <c r="P37" i="3"/>
  <c r="P12" i="4" s="1"/>
  <c r="N38" i="3" l="1"/>
  <c r="O38" i="3"/>
  <c r="P9" i="4"/>
  <c r="N13" i="4"/>
  <c r="AB103" i="2"/>
  <c r="AC97" i="2"/>
  <c r="AD37" i="5"/>
  <c r="W35" i="5"/>
  <c r="W39" i="5" s="1"/>
  <c r="X40" i="4"/>
  <c r="X33" i="5"/>
  <c r="AB37" i="5"/>
  <c r="AB36" i="5"/>
  <c r="Z60" i="1"/>
  <c r="Y66" i="1"/>
  <c r="Y24" i="4"/>
  <c r="Z15" i="5"/>
  <c r="Y23" i="5"/>
  <c r="X25" i="5"/>
  <c r="W28" i="5"/>
  <c r="W42" i="4"/>
  <c r="W29" i="4"/>
  <c r="Y21" i="4"/>
  <c r="X26" i="4"/>
  <c r="Y17" i="5"/>
  <c r="Y20" i="5" s="1"/>
  <c r="V42" i="4"/>
  <c r="W41" i="4"/>
  <c r="Y28" i="4"/>
  <c r="Y44" i="4" s="1"/>
  <c r="Y27" i="4"/>
  <c r="Y43" i="4" s="1"/>
  <c r="X41" i="4"/>
  <c r="Z16" i="5"/>
  <c r="Z24" i="5" s="1"/>
  <c r="Z34" i="5" s="1"/>
  <c r="Y24" i="5"/>
  <c r="Y34" i="5" s="1"/>
  <c r="Y25" i="4"/>
  <c r="O13" i="4"/>
  <c r="AD18" i="5"/>
  <c r="AC26" i="5"/>
  <c r="AE19" i="5"/>
  <c r="Q36" i="3"/>
  <c r="Q11" i="4" s="1"/>
  <c r="P35" i="3"/>
  <c r="P38" i="3" s="1"/>
  <c r="Q34" i="3"/>
  <c r="Q9" i="4" l="1"/>
  <c r="P10" i="4"/>
  <c r="AC103" i="2"/>
  <c r="AD97" i="2"/>
  <c r="X42" i="4"/>
  <c r="X45" i="4" s="1"/>
  <c r="X35" i="5"/>
  <c r="X39" i="5" s="1"/>
  <c r="AC36" i="5"/>
  <c r="Z66" i="1"/>
  <c r="AA60" i="1"/>
  <c r="Y40" i="4"/>
  <c r="Y33" i="5"/>
  <c r="V45" i="4"/>
  <c r="X28" i="5"/>
  <c r="AA15" i="5"/>
  <c r="Z23" i="5"/>
  <c r="Z24" i="4"/>
  <c r="W45" i="4"/>
  <c r="Z17" i="5"/>
  <c r="Z25" i="5" s="1"/>
  <c r="Z35" i="5" s="1"/>
  <c r="Y25" i="5"/>
  <c r="X29" i="4"/>
  <c r="Z21" i="4"/>
  <c r="Y26" i="4"/>
  <c r="Z28" i="4"/>
  <c r="Z44" i="4" s="1"/>
  <c r="Z27" i="4"/>
  <c r="Z43" i="4" s="1"/>
  <c r="Z25" i="4"/>
  <c r="AA16" i="5"/>
  <c r="AA24" i="5" s="1"/>
  <c r="AA34" i="5" s="1"/>
  <c r="AF19" i="5"/>
  <c r="AG19" i="5" s="1"/>
  <c r="AH19" i="5" s="1"/>
  <c r="AI19" i="5" s="1"/>
  <c r="AE27" i="5"/>
  <c r="AE18" i="5"/>
  <c r="AE26" i="5" s="1"/>
  <c r="AD26" i="5"/>
  <c r="Q35" i="3"/>
  <c r="Q10" i="4" s="1"/>
  <c r="R34" i="3"/>
  <c r="R36" i="3"/>
  <c r="R11" i="4" s="1"/>
  <c r="R9" i="4" l="1"/>
  <c r="P13" i="4"/>
  <c r="AD103" i="2"/>
  <c r="AE97" i="2"/>
  <c r="AE37" i="5"/>
  <c r="AD36" i="5"/>
  <c r="Z40" i="4"/>
  <c r="Z33" i="5"/>
  <c r="Z39" i="5" s="1"/>
  <c r="AB60" i="1"/>
  <c r="AA66" i="1"/>
  <c r="AE36" i="5"/>
  <c r="Y35" i="5"/>
  <c r="Y39" i="5" s="1"/>
  <c r="Z20" i="5"/>
  <c r="AG27" i="5"/>
  <c r="AF27" i="5"/>
  <c r="AA24" i="4"/>
  <c r="AB15" i="5"/>
  <c r="AA23" i="5"/>
  <c r="AH27" i="5"/>
  <c r="Z28" i="5"/>
  <c r="Y29" i="4"/>
  <c r="Y28" i="5"/>
  <c r="AI27" i="5"/>
  <c r="Z26" i="4"/>
  <c r="AA17" i="5"/>
  <c r="AA28" i="4"/>
  <c r="AA44" i="4" s="1"/>
  <c r="AA27" i="4"/>
  <c r="AA43" i="4" s="1"/>
  <c r="Z41" i="4"/>
  <c r="AB16" i="5"/>
  <c r="Y41" i="4"/>
  <c r="AA25" i="4"/>
  <c r="AF18" i="5"/>
  <c r="S36" i="3"/>
  <c r="S11" i="4" s="1"/>
  <c r="Q37" i="3"/>
  <c r="Q12" i="4" s="1"/>
  <c r="Q13" i="4" s="1"/>
  <c r="R37" i="3"/>
  <c r="R12" i="4" s="1"/>
  <c r="R35" i="3"/>
  <c r="S34" i="3"/>
  <c r="R38" i="3" l="1"/>
  <c r="S9" i="4"/>
  <c r="Q38" i="3"/>
  <c r="R10" i="4"/>
  <c r="R13" i="4" s="1"/>
  <c r="AE103" i="2"/>
  <c r="AF97" i="2"/>
  <c r="Y42" i="4"/>
  <c r="Y45" i="4" s="1"/>
  <c r="AF37" i="5"/>
  <c r="AG37" i="5"/>
  <c r="AC60" i="1"/>
  <c r="AB66" i="1"/>
  <c r="AA40" i="4"/>
  <c r="AA33" i="5"/>
  <c r="AH37" i="5"/>
  <c r="AI37" i="5"/>
  <c r="Z42" i="4"/>
  <c r="Z45" i="4" s="1"/>
  <c r="AC15" i="5"/>
  <c r="AB24" i="4"/>
  <c r="AB23" i="5"/>
  <c r="Z29" i="4"/>
  <c r="AB17" i="5"/>
  <c r="AB20" i="5" s="1"/>
  <c r="AA25" i="5"/>
  <c r="AA35" i="5" s="1"/>
  <c r="AB21" i="4"/>
  <c r="AA26" i="4"/>
  <c r="AA29" i="4" s="1"/>
  <c r="AA21" i="4"/>
  <c r="AA20" i="5"/>
  <c r="AB28" i="4"/>
  <c r="AB44" i="4" s="1"/>
  <c r="AB27" i="4"/>
  <c r="AB43" i="4" s="1"/>
  <c r="AA41" i="4"/>
  <c r="AB25" i="4"/>
  <c r="AC16" i="5"/>
  <c r="AB24" i="5"/>
  <c r="AB34" i="5" s="1"/>
  <c r="AG18" i="5"/>
  <c r="AG26" i="5" s="1"/>
  <c r="AF26" i="5"/>
  <c r="T34" i="3"/>
  <c r="S35" i="3"/>
  <c r="S10" i="4" s="1"/>
  <c r="T36" i="3"/>
  <c r="T11" i="4" s="1"/>
  <c r="T9" i="4" l="1"/>
  <c r="AF103" i="2"/>
  <c r="AG97" i="2"/>
  <c r="AF36" i="5"/>
  <c r="AB40" i="4"/>
  <c r="AB33" i="5"/>
  <c r="AG36" i="5"/>
  <c r="AD60" i="1"/>
  <c r="AC66" i="1"/>
  <c r="AA39" i="5"/>
  <c r="AC24" i="4"/>
  <c r="AD15" i="5"/>
  <c r="AC23" i="5"/>
  <c r="AA28" i="5"/>
  <c r="AC17" i="5"/>
  <c r="AC20" i="5" s="1"/>
  <c r="AC21" i="4"/>
  <c r="AB26" i="4"/>
  <c r="AB29" i="4" s="1"/>
  <c r="AB25" i="5"/>
  <c r="AC28" i="4"/>
  <c r="AC44" i="4" s="1"/>
  <c r="AC27" i="4"/>
  <c r="AC43" i="4" s="1"/>
  <c r="AD16" i="5"/>
  <c r="AC24" i="5"/>
  <c r="AC34" i="5" s="1"/>
  <c r="AC25" i="4"/>
  <c r="AH18" i="5"/>
  <c r="S37" i="3"/>
  <c r="T37" i="3"/>
  <c r="T12" i="4" s="1"/>
  <c r="T35" i="3"/>
  <c r="T10" i="4" s="1"/>
  <c r="U36" i="3"/>
  <c r="U11" i="4" s="1"/>
  <c r="U34" i="3"/>
  <c r="U9" i="4" l="1"/>
  <c r="S12" i="4"/>
  <c r="S13" i="4" s="1"/>
  <c r="S38" i="3"/>
  <c r="T38" i="3"/>
  <c r="AG103" i="2"/>
  <c r="AH97" i="2"/>
  <c r="AE60" i="1"/>
  <c r="AD66" i="1"/>
  <c r="AB42" i="4"/>
  <c r="AB35" i="5"/>
  <c r="AB39" i="5" s="1"/>
  <c r="AC40" i="4"/>
  <c r="AC33" i="5"/>
  <c r="AE15" i="5"/>
  <c r="AE23" i="5" s="1"/>
  <c r="AD23" i="5"/>
  <c r="AD24" i="4"/>
  <c r="AB28" i="5"/>
  <c r="AA42" i="4"/>
  <c r="AA45" i="4" s="1"/>
  <c r="AD17" i="5"/>
  <c r="AC25" i="5"/>
  <c r="AC26" i="4"/>
  <c r="AC29" i="4" s="1"/>
  <c r="AB41" i="4"/>
  <c r="AD28" i="4"/>
  <c r="AD44" i="4" s="1"/>
  <c r="AD27" i="4"/>
  <c r="AD43" i="4" s="1"/>
  <c r="AD25" i="4"/>
  <c r="AE16" i="5"/>
  <c r="AD24" i="5"/>
  <c r="AD34" i="5" s="1"/>
  <c r="T13" i="4"/>
  <c r="AI18" i="5"/>
  <c r="AH26" i="5"/>
  <c r="U35" i="3"/>
  <c r="U10" i="4" s="1"/>
  <c r="U37" i="3"/>
  <c r="U12" i="4" s="1"/>
  <c r="V36" i="3"/>
  <c r="V11" i="4" s="1"/>
  <c r="V34" i="3"/>
  <c r="V9" i="4" l="1"/>
  <c r="U38" i="3"/>
  <c r="U13" i="4"/>
  <c r="AH103" i="2"/>
  <c r="AI97" i="2"/>
  <c r="AI103" i="2" s="1"/>
  <c r="AC35" i="5"/>
  <c r="AC39" i="5" s="1"/>
  <c r="AE33" i="5"/>
  <c r="AF60" i="1"/>
  <c r="AE66" i="1"/>
  <c r="AH36" i="5"/>
  <c r="AD40" i="4"/>
  <c r="AD33" i="5"/>
  <c r="AE24" i="4"/>
  <c r="AF15" i="5"/>
  <c r="AC28" i="5"/>
  <c r="AE21" i="4"/>
  <c r="AD26" i="4"/>
  <c r="AD29" i="4" s="1"/>
  <c r="AE17" i="5"/>
  <c r="AD25" i="5"/>
  <c r="AD20" i="5"/>
  <c r="AB45" i="4"/>
  <c r="AD21" i="4"/>
  <c r="AE28" i="4"/>
  <c r="AE44" i="4" s="1"/>
  <c r="AE27" i="4"/>
  <c r="AE43" i="4" s="1"/>
  <c r="AC41" i="4"/>
  <c r="AE25" i="4"/>
  <c r="AF16" i="5"/>
  <c r="AE24" i="5"/>
  <c r="AE34" i="5" s="1"/>
  <c r="AI26" i="5"/>
  <c r="W34" i="3"/>
  <c r="W36" i="3"/>
  <c r="W11" i="4" s="1"/>
  <c r="V35" i="3"/>
  <c r="V10" i="4" s="1"/>
  <c r="W9" i="4" l="1"/>
  <c r="AC42" i="4"/>
  <c r="AC45" i="4" s="1"/>
  <c r="AI36" i="5"/>
  <c r="AG60" i="1"/>
  <c r="AF66" i="1"/>
  <c r="AD42" i="4"/>
  <c r="AD35" i="5"/>
  <c r="AD39" i="5" s="1"/>
  <c r="AE40" i="4"/>
  <c r="AG15" i="5"/>
  <c r="AF23" i="5"/>
  <c r="AF24" i="4"/>
  <c r="AD28" i="5"/>
  <c r="AF17" i="5"/>
  <c r="AG17" i="5" s="1"/>
  <c r="AH17" i="5" s="1"/>
  <c r="AI17" i="5" s="1"/>
  <c r="AE25" i="5"/>
  <c r="AE26" i="4"/>
  <c r="AF21" i="4"/>
  <c r="AE20" i="5"/>
  <c r="AD41" i="4"/>
  <c r="AF28" i="4"/>
  <c r="AF44" i="4" s="1"/>
  <c r="AF27" i="4"/>
  <c r="AF43" i="4" s="1"/>
  <c r="AG16" i="5"/>
  <c r="AF24" i="5"/>
  <c r="AF34" i="5" s="1"/>
  <c r="AF25" i="4"/>
  <c r="W35" i="3"/>
  <c r="W37" i="3"/>
  <c r="W12" i="4" s="1"/>
  <c r="V37" i="3"/>
  <c r="V12" i="4" s="1"/>
  <c r="V13" i="4" s="1"/>
  <c r="X36" i="3"/>
  <c r="X11" i="4" s="1"/>
  <c r="X34" i="3"/>
  <c r="V38" i="3" l="1"/>
  <c r="W38" i="3"/>
  <c r="X9" i="4"/>
  <c r="W10" i="4"/>
  <c r="W13" i="4" s="1"/>
  <c r="AE35" i="5"/>
  <c r="AE39" i="5" s="1"/>
  <c r="AF40" i="4"/>
  <c r="AF33" i="5"/>
  <c r="AH60" i="1"/>
  <c r="AG66" i="1"/>
  <c r="AE28" i="5"/>
  <c r="AG25" i="5"/>
  <c r="AF25" i="5"/>
  <c r="AI25" i="5"/>
  <c r="AH25" i="5"/>
  <c r="AG24" i="4"/>
  <c r="AH15" i="5"/>
  <c r="AI15" i="5" s="1"/>
  <c r="AG23" i="5"/>
  <c r="AF20" i="5"/>
  <c r="AE42" i="4"/>
  <c r="AE29" i="4"/>
  <c r="AD45" i="4"/>
  <c r="AF26" i="4"/>
  <c r="AE41" i="4"/>
  <c r="AG28" i="4"/>
  <c r="AG44" i="4" s="1"/>
  <c r="H44" i="4" s="1"/>
  <c r="AG27" i="4"/>
  <c r="AG43" i="4" s="1"/>
  <c r="H43" i="4" s="1"/>
  <c r="AG25" i="4"/>
  <c r="AH16" i="5"/>
  <c r="AG20" i="5"/>
  <c r="AG24" i="5"/>
  <c r="AG34" i="5" s="1"/>
  <c r="Y36" i="3"/>
  <c r="Y11" i="4" s="1"/>
  <c r="X37" i="3"/>
  <c r="X12" i="4" s="1"/>
  <c r="X35" i="3"/>
  <c r="Y34" i="3"/>
  <c r="X38" i="3" l="1"/>
  <c r="Y9" i="4"/>
  <c r="X10" i="4"/>
  <c r="X13" i="4" s="1"/>
  <c r="AH35" i="5"/>
  <c r="AG35" i="5"/>
  <c r="AG40" i="4"/>
  <c r="H40" i="4" s="1"/>
  <c r="AG33" i="5"/>
  <c r="AI35" i="5"/>
  <c r="AF42" i="4"/>
  <c r="AF35" i="5"/>
  <c r="AF39" i="5" s="1"/>
  <c r="AI60" i="1"/>
  <c r="AI66" i="1" s="1"/>
  <c r="AH66" i="1"/>
  <c r="AE45" i="4"/>
  <c r="AF28" i="5"/>
  <c r="AH24" i="4"/>
  <c r="AI24" i="4"/>
  <c r="AI23" i="5"/>
  <c r="AH23" i="5"/>
  <c r="AF29" i="4"/>
  <c r="AG26" i="4"/>
  <c r="AG21" i="4"/>
  <c r="AH28" i="4"/>
  <c r="AH44" i="4" s="1"/>
  <c r="AI28" i="4"/>
  <c r="AI44" i="4" s="1"/>
  <c r="AI27" i="4"/>
  <c r="AI43" i="4" s="1"/>
  <c r="AH27" i="4"/>
  <c r="AH43" i="4" s="1"/>
  <c r="AI16" i="5"/>
  <c r="AI20" i="5" s="1"/>
  <c r="AH20" i="5"/>
  <c r="AH24" i="5"/>
  <c r="AH34" i="5" s="1"/>
  <c r="AH25" i="4"/>
  <c r="AH21" i="4"/>
  <c r="AG28" i="5"/>
  <c r="AF41" i="4"/>
  <c r="J52" i="4"/>
  <c r="Z34" i="3"/>
  <c r="Y35" i="3"/>
  <c r="Y10" i="4" s="1"/>
  <c r="Z36" i="3"/>
  <c r="Z11" i="4" s="1"/>
  <c r="Z9" i="4" l="1"/>
  <c r="AG42" i="4"/>
  <c r="H42" i="4" s="1"/>
  <c r="AG39" i="5"/>
  <c r="AH40" i="4"/>
  <c r="AH33" i="5"/>
  <c r="AH39" i="5" s="1"/>
  <c r="AI40" i="4"/>
  <c r="AI33" i="5"/>
  <c r="AI26" i="4"/>
  <c r="AI42" i="4" s="1"/>
  <c r="AH26" i="4"/>
  <c r="AH42" i="4" s="1"/>
  <c r="AG29" i="4"/>
  <c r="O50" i="4"/>
  <c r="O56" i="4" s="1"/>
  <c r="O57" i="4" s="1"/>
  <c r="N50" i="4"/>
  <c r="AI24" i="5"/>
  <c r="AG41" i="4"/>
  <c r="AF45" i="4"/>
  <c r="AI25" i="4"/>
  <c r="AH28" i="5"/>
  <c r="AA36" i="3"/>
  <c r="AA11" i="4" s="1"/>
  <c r="Y37" i="3"/>
  <c r="Z37" i="3"/>
  <c r="Z12" i="4" s="1"/>
  <c r="Z35" i="3"/>
  <c r="AA34" i="3"/>
  <c r="Y12" i="4" l="1"/>
  <c r="Y13" i="4" s="1"/>
  <c r="Y38" i="3"/>
  <c r="AA9" i="4"/>
  <c r="Z38" i="3"/>
  <c r="Z10" i="4"/>
  <c r="Z13" i="4" s="1"/>
  <c r="AI28" i="5"/>
  <c r="AI34" i="5"/>
  <c r="AI39" i="5" s="1"/>
  <c r="AG45" i="4"/>
  <c r="H45" i="4" s="1"/>
  <c r="H41" i="4"/>
  <c r="K50" i="4"/>
  <c r="AI21" i="4"/>
  <c r="M50" i="4"/>
  <c r="AH29" i="4"/>
  <c r="AI29" i="4"/>
  <c r="AH41" i="4"/>
  <c r="AH45" i="4" s="1"/>
  <c r="AB34" i="3"/>
  <c r="AA35" i="3"/>
  <c r="AB36" i="3"/>
  <c r="AB11" i="4" s="1"/>
  <c r="AB9" i="4" l="1"/>
  <c r="AA10" i="4"/>
  <c r="AI41" i="4"/>
  <c r="AI45" i="4" s="1"/>
  <c r="AA37" i="3"/>
  <c r="AA12" i="4" s="1"/>
  <c r="AB37" i="3"/>
  <c r="AB12" i="4" s="1"/>
  <c r="AB35" i="3"/>
  <c r="AB38" i="3" s="1"/>
  <c r="AC36" i="3"/>
  <c r="AC11" i="4" s="1"/>
  <c r="AC34" i="3"/>
  <c r="AC9" i="4" l="1"/>
  <c r="AA38" i="3"/>
  <c r="AA13" i="4"/>
  <c r="AB10" i="4"/>
  <c r="AB13" i="4" s="1"/>
  <c r="L50" i="4"/>
  <c r="P50" i="4" s="1"/>
  <c r="AC35" i="3"/>
  <c r="AC10" i="4" s="1"/>
  <c r="AC37" i="3"/>
  <c r="AC12" i="4" s="1"/>
  <c r="AD36" i="3"/>
  <c r="AD11" i="4" s="1"/>
  <c r="AD34" i="3"/>
  <c r="AD9" i="4" l="1"/>
  <c r="AC38" i="3"/>
  <c r="AC13" i="4"/>
  <c r="AE34" i="3"/>
  <c r="AE36" i="3"/>
  <c r="AE11" i="4" s="1"/>
  <c r="AD35" i="3"/>
  <c r="AD10" i="4" s="1"/>
  <c r="AE9" i="4" l="1"/>
  <c r="AE35" i="3"/>
  <c r="AE10" i="4" s="1"/>
  <c r="AE37" i="3"/>
  <c r="AE12" i="4" s="1"/>
  <c r="AD37" i="3"/>
  <c r="AD12" i="4" s="1"/>
  <c r="AD13" i="4" s="1"/>
  <c r="AF36" i="3"/>
  <c r="AF11" i="4" s="1"/>
  <c r="AF34" i="3"/>
  <c r="AF9" i="4" l="1"/>
  <c r="AE38" i="3"/>
  <c r="AD38" i="3"/>
  <c r="AE13" i="4"/>
  <c r="AF37" i="3"/>
  <c r="AF12" i="4" s="1"/>
  <c r="AG36" i="3"/>
  <c r="AG11" i="4" s="1"/>
  <c r="H11" i="4" s="1"/>
  <c r="AF35" i="3"/>
  <c r="AF38" i="3" s="1"/>
  <c r="AG34" i="3"/>
  <c r="AG9" i="4" l="1"/>
  <c r="H9" i="4" s="1"/>
  <c r="AF10" i="4"/>
  <c r="AF13" i="4" s="1"/>
  <c r="AG35" i="3"/>
  <c r="AH34" i="3"/>
  <c r="AI36" i="3"/>
  <c r="AI11" i="4" s="1"/>
  <c r="AH36" i="3"/>
  <c r="AH11" i="4" s="1"/>
  <c r="AH9" i="4" l="1"/>
  <c r="AG10" i="4"/>
  <c r="H10" i="4" s="1"/>
  <c r="AG37" i="3"/>
  <c r="AG12" i="4" s="1"/>
  <c r="H12" i="4" s="1"/>
  <c r="J56" i="4" s="1"/>
  <c r="O49" i="4" s="1"/>
  <c r="AH37" i="3"/>
  <c r="AH12" i="4" s="1"/>
  <c r="AI35" i="3"/>
  <c r="AI10" i="4" s="1"/>
  <c r="AH35" i="3"/>
  <c r="AH10" i="4" s="1"/>
  <c r="AI34" i="3"/>
  <c r="AI9" i="4" l="1"/>
  <c r="AH38" i="3"/>
  <c r="AG38" i="3"/>
  <c r="AG13" i="4"/>
  <c r="H13" i="4" s="1"/>
  <c r="AH13" i="4"/>
  <c r="J53" i="4"/>
  <c r="J54" i="4"/>
  <c r="J55" i="4"/>
  <c r="N49" i="4" s="1"/>
  <c r="J57" i="4" l="1"/>
  <c r="L49" i="4"/>
  <c r="K49" i="4"/>
  <c r="M49" i="4"/>
  <c r="K52" i="4"/>
  <c r="K55" i="4"/>
  <c r="L55" i="4"/>
  <c r="N55" i="4"/>
  <c r="M55" i="4"/>
  <c r="M56" i="4"/>
  <c r="K54" i="4"/>
  <c r="L54" i="4"/>
  <c r="M54" i="4"/>
  <c r="N56" i="4"/>
  <c r="L56" i="4"/>
  <c r="K53" i="4"/>
  <c r="L53" i="4"/>
  <c r="K56" i="4"/>
  <c r="AI37" i="3"/>
  <c r="AI12" i="4" l="1"/>
  <c r="AI13" i="4" s="1"/>
  <c r="AI38" i="3"/>
  <c r="M57" i="4"/>
  <c r="P54" i="4"/>
  <c r="Q54" i="4" s="1"/>
  <c r="L57" i="4"/>
  <c r="P55" i="4"/>
  <c r="Q55" i="4" s="1"/>
  <c r="P53" i="4"/>
  <c r="Q53" i="4" s="1"/>
  <c r="N57" i="4"/>
  <c r="P52" i="4"/>
  <c r="K57" i="4"/>
  <c r="P56" i="4"/>
  <c r="Q56" i="4" s="1"/>
  <c r="P57" i="4" l="1"/>
  <c r="S53" i="4"/>
  <c r="S56" i="4"/>
  <c r="U56" i="4"/>
  <c r="V56" i="4" s="1"/>
  <c r="S55" i="4"/>
  <c r="U55" i="4"/>
  <c r="V55" i="4" s="1"/>
  <c r="S54" i="4"/>
  <c r="U54" i="4"/>
  <c r="V54" i="4" s="1"/>
  <c r="Q52" i="4"/>
  <c r="U53" i="4" s="1"/>
  <c r="V53" i="4" s="1"/>
  <c r="S52" i="4" l="1"/>
  <c r="U52" i="4"/>
  <c r="V5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Bennett</author>
  </authors>
  <commentList>
    <comment ref="M5" authorId="0" shapeId="0" xr:uid="{03E77161-FEB1-4E5E-9181-36DB05E2DDF6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not co-incident, but maximum for ecash tariff class exiting at that voltage level</t>
        </r>
      </text>
    </comment>
    <comment ref="J15" authorId="0" shapeId="0" xr:uid="{C3653C4C-E884-47E4-81F9-8F4F1F85C65C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2862, extrapolate</t>
        </r>
      </text>
    </comment>
    <comment ref="N15" authorId="0" shapeId="0" xr:uid="{6783B7EB-121F-42B1-A08A-78BFB437D862}">
      <text>
        <r>
          <rPr>
            <b/>
            <sz val="9"/>
            <color indexed="81"/>
            <rFont val="Tahoma"/>
            <charset val="1"/>
          </rPr>
          <t>James Bennett:</t>
        </r>
        <r>
          <rPr>
            <sz val="9"/>
            <color indexed="81"/>
            <rFont val="Tahoma"/>
            <charset val="1"/>
          </rPr>
          <t xml:space="preserve">
from 2020-25 Reset RIN</t>
        </r>
      </text>
    </comment>
    <comment ref="U18" authorId="0" shapeId="0" xr:uid="{7BE2694A-8F32-43CB-86FA-D09578991FF5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forecast based on growth last 10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Hatherell</author>
  </authors>
  <commentList>
    <comment ref="G3" authorId="0" shapeId="0" xr:uid="{00000000-0006-0000-0400-000001000000}">
      <text>
        <r>
          <rPr>
            <sz val="10"/>
            <color indexed="81"/>
            <rFont val="Tahoma"/>
            <family val="2"/>
          </rPr>
          <t>Real Vanilla WACC as per AER final PTRM: Sheet WACC, cell G19.
File:  AER - SA Power Networks distribution determination - 2016-17 return on debt update - PTRM - June 2016</t>
        </r>
      </text>
    </comment>
  </commentList>
</comments>
</file>

<file path=xl/sharedStrings.xml><?xml version="1.0" encoding="utf-8"?>
<sst xmlns="http://schemas.openxmlformats.org/spreadsheetml/2006/main" count="524" uniqueCount="258">
  <si>
    <t>Unique</t>
  </si>
  <si>
    <t>Network</t>
  </si>
  <si>
    <t>Responsible</t>
  </si>
  <si>
    <t>RIN Tab</t>
  </si>
  <si>
    <t>Plan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</si>
  <si>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</si>
  <si>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</si>
  <si>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</si>
  <si>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</si>
  <si>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</si>
  <si>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</si>
  <si>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</si>
  <si>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</si>
  <si>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</si>
  <si>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</si>
  <si>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</si>
  <si>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</si>
  <si>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</si>
  <si>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Category / Description</t>
  </si>
  <si>
    <t>Identifier</t>
  </si>
  <si>
    <t>Manager</t>
  </si>
  <si>
    <t>Person</t>
  </si>
  <si>
    <t>Reference</t>
  </si>
  <si>
    <t>Jul-Jun</t>
  </si>
  <si>
    <t>Jul-Dec</t>
  </si>
  <si>
    <t>Capacity</t>
  </si>
  <si>
    <t>Upgrade</t>
  </si>
  <si>
    <r>
      <t>Moderate</t>
    </r>
    <r>
      <rPr>
        <sz val="10"/>
        <rFont val="Arial Narrow"/>
        <family val="2"/>
      </rPr>
      <t xml:space="preserve"> load growth forecast</t>
    </r>
  </si>
  <si>
    <t xml:space="preserve">Connection Point Capacity </t>
  </si>
  <si>
    <t>Planning</t>
  </si>
  <si>
    <t>S Fraser</t>
  </si>
  <si>
    <t>AUGEX</t>
  </si>
  <si>
    <t>AMP.1.1.01</t>
  </si>
  <si>
    <t>Connection Point Capacity - New</t>
  </si>
  <si>
    <t>LV &amp; Distribution Transformers (QoS BAU)</t>
  </si>
  <si>
    <t>P Driver</t>
  </si>
  <si>
    <t xml:space="preserve">Distribution Feeders </t>
  </si>
  <si>
    <t>NER Compliance (Pwr Factor)</t>
  </si>
  <si>
    <t>Strategic Network Capacity (Other)</t>
  </si>
  <si>
    <t xml:space="preserve">Substation Capacity </t>
  </si>
  <si>
    <t>Substation Capacity - New</t>
  </si>
  <si>
    <t>Subtransmission Network - Country</t>
  </si>
  <si>
    <t>Subtransmission Network</t>
  </si>
  <si>
    <t>Voltage Regulation</t>
  </si>
  <si>
    <t>Land</t>
  </si>
  <si>
    <t>LV Two Way Network (QoS)</t>
  </si>
  <si>
    <t xml:space="preserve">Substation Standards Digital Optimisation </t>
  </si>
  <si>
    <t>Flexible load management</t>
  </si>
  <si>
    <t/>
  </si>
  <si>
    <t>subtotal</t>
  </si>
  <si>
    <t>Sub-Trans</t>
  </si>
  <si>
    <t>Zone S/Stn</t>
  </si>
  <si>
    <t>HV Feeder</t>
  </si>
  <si>
    <t>Dist T/F</t>
  </si>
  <si>
    <t>LV Feeder</t>
  </si>
  <si>
    <t>Asset Replace/Refurbish</t>
  </si>
  <si>
    <t>Lines</t>
  </si>
  <si>
    <t xml:space="preserve">  </t>
  </si>
  <si>
    <t>  </t>
  </si>
  <si>
    <t>Planned</t>
  </si>
  <si>
    <t>REPEX</t>
  </si>
  <si>
    <t>Historical</t>
  </si>
  <si>
    <t>Cable Replacement - Planned</t>
  </si>
  <si>
    <t>AMP.3.1.09</t>
  </si>
  <si>
    <t>Conductor Replacement - Planned</t>
  </si>
  <si>
    <t>AMP.3.1.10</t>
  </si>
  <si>
    <t>AMP.3.1.20</t>
  </si>
  <si>
    <t>AMP.3.1.19</t>
  </si>
  <si>
    <t>AMP.3.1.06</t>
  </si>
  <si>
    <t>Poles - Planned</t>
  </si>
  <si>
    <t>AMP.3.1.05</t>
  </si>
  <si>
    <t>Recloser Refurbishment - Planned</t>
  </si>
  <si>
    <t>AMP.3.1.13</t>
  </si>
  <si>
    <t>Recloser Replacement - Planned</t>
  </si>
  <si>
    <t>Services Replacement - Planned</t>
  </si>
  <si>
    <t>AMP.3.1.08</t>
  </si>
  <si>
    <t>Strategic Line Maintenance Spares</t>
  </si>
  <si>
    <t>Switchgear - Ground Level - Planned</t>
  </si>
  <si>
    <t>AMP.3.1.03</t>
  </si>
  <si>
    <t>Switchgear - Overhead - Planned</t>
  </si>
  <si>
    <t>AMP.3.1.07</t>
  </si>
  <si>
    <t>Transformers - Planned</t>
  </si>
  <si>
    <t>AMP.3.1.01</t>
  </si>
  <si>
    <t>Poles - Planned plating</t>
  </si>
  <si>
    <t>Recloser Maintenance - Planned</t>
  </si>
  <si>
    <t>Unplanned</t>
  </si>
  <si>
    <t>Cable Replacement - Unplanned</t>
  </si>
  <si>
    <t>Poles - Unplanned</t>
  </si>
  <si>
    <t>Recloser Replacement - Unplanned</t>
  </si>
  <si>
    <t>Services Replacement - Unplanned</t>
  </si>
  <si>
    <t>Switchgear - Ground Level - Unplanned</t>
  </si>
  <si>
    <t>Switchgear - Overhead - Unplanned</t>
  </si>
  <si>
    <t>Transformers - Unplanned</t>
  </si>
  <si>
    <t>Substations</t>
  </si>
  <si>
    <t>AMP.3.2.08</t>
  </si>
  <si>
    <t>AMP.3.2.07</t>
  </si>
  <si>
    <t>AMP.3.2.05</t>
  </si>
  <si>
    <t>AMP.3.2.02</t>
  </si>
  <si>
    <t>Mobile Substations</t>
  </si>
  <si>
    <t>AMP.3.2.13</t>
  </si>
  <si>
    <t>AMP.3.2.14</t>
  </si>
  <si>
    <t>AMP3.2.16</t>
  </si>
  <si>
    <t>AMP.3.2.01</t>
  </si>
  <si>
    <t>Surge Arrester</t>
  </si>
  <si>
    <t>AMP.3.2.03</t>
  </si>
  <si>
    <t>AMP.3.2.04</t>
  </si>
  <si>
    <t>Carryover (subs)</t>
  </si>
  <si>
    <t>---</t>
  </si>
  <si>
    <t>AMP 3.2.22</t>
  </si>
  <si>
    <t>Standby Power Station</t>
  </si>
  <si>
    <t>Replace/Refurbish (total)</t>
  </si>
  <si>
    <t>total</t>
  </si>
  <si>
    <t> </t>
  </si>
  <si>
    <t>Line Ancillary Equipment - Planned  (incl LFIs, fences, gates, signs etc)</t>
  </si>
  <si>
    <t>Line Regulation - Planned  (incl regulators, capacitors)</t>
  </si>
  <si>
    <t>Overhead Line Components - Planned  (incl insulators, crossarms, taps, pole earths)</t>
  </si>
  <si>
    <t>Line Ancillary Equipment - Unplanned  (incl LFIs, fences, gates, signs etc)</t>
  </si>
  <si>
    <t>Line Regulation - Unplanned (incl regulators, capacitors)</t>
  </si>
  <si>
    <t>Overhead Line Components - Unplanned (incl insulators, Xarms, pole earths)</t>
  </si>
  <si>
    <t>Total</t>
  </si>
  <si>
    <t>Not Aug</t>
  </si>
  <si>
    <t>Voltage</t>
  </si>
  <si>
    <t>LV line</t>
  </si>
  <si>
    <t>LV Bus</t>
  </si>
  <si>
    <t>HV line</t>
  </si>
  <si>
    <t>HV Bus</t>
  </si>
  <si>
    <t>ST</t>
  </si>
  <si>
    <t>pf</t>
  </si>
  <si>
    <t>HV bus</t>
  </si>
  <si>
    <t>LV bus</t>
  </si>
  <si>
    <t>Prop'n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</si>
  <si>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</si>
  <si>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</si>
  <si>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</si>
  <si>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</si>
  <si>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</si>
  <si>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</si>
  <si>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</si>
  <si>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</si>
  <si>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</si>
  <si>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</si>
  <si>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</si>
  <si>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</si>
  <si>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</si>
  <si>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</si>
  <si>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Coincident Weather Adjusted System Annual Maximum Demand 10% POE</t>
  </si>
  <si>
    <t>Table 3.4.3.2 Annual system maximum demand characteristics at the transmission connection point  – MW measure</t>
  </si>
  <si>
    <t>DOPSD0111</t>
  </si>
  <si>
    <t>WACC</t>
  </si>
  <si>
    <t>Life</t>
  </si>
  <si>
    <t>Real framework</t>
  </si>
  <si>
    <t>Incremental MW for LRMC calculation</t>
  </si>
  <si>
    <t>MW</t>
  </si>
  <si>
    <t>HV net</t>
  </si>
  <si>
    <t>LV net</t>
  </si>
  <si>
    <t>Total growth related capex real</t>
  </si>
  <si>
    <t>$M</t>
  </si>
  <si>
    <t>Incremental annual capex</t>
  </si>
  <si>
    <t>Incremental opex p.a.</t>
  </si>
  <si>
    <t>$M p.a.</t>
  </si>
  <si>
    <t>Total incremental costs</t>
  </si>
  <si>
    <t>Average Incremental Cost</t>
  </si>
  <si>
    <t>Δ MW</t>
  </si>
  <si>
    <t>Alloc.</t>
  </si>
  <si>
    <t>$/kW/year</t>
  </si>
  <si>
    <t>$/kVA/year</t>
  </si>
  <si>
    <t>Incremental opex is calculated as a proportion of the incremental capex cost.</t>
  </si>
  <si>
    <t>Opex proportions by voltage</t>
  </si>
  <si>
    <t>Opex profile for new assets</t>
  </si>
  <si>
    <t>Year</t>
  </si>
  <si>
    <t>Lag</t>
  </si>
  <si>
    <t>Annual prop'n</t>
  </si>
  <si>
    <t>2015/16-2019/20</t>
  </si>
  <si>
    <t>Original Proposal Data $000 nominal</t>
  </si>
  <si>
    <t>Proposed Expenditure ($,000 nom)</t>
  </si>
  <si>
    <t>Distribution Line - SWER Replacements</t>
  </si>
  <si>
    <t>Supply Security (KI)</t>
  </si>
  <si>
    <t>Pole Replacement Projects</t>
  </si>
  <si>
    <t xml:space="preserve">CBD ducts &amp; manholes </t>
  </si>
  <si>
    <t>Cables - CBD 11kV PILC cable replacements</t>
  </si>
  <si>
    <t xml:space="preserve">Services - Aluminium neutral screen service line replacements </t>
  </si>
  <si>
    <t>Other</t>
  </si>
  <si>
    <t>Auxillary DC Supplies excl AC - Battery Banks &amp; Chargers</t>
  </si>
  <si>
    <t>Capacitor Banks - CAPACITY UPGRADE?</t>
  </si>
  <si>
    <t>Circuit Breakers Planned Replacement</t>
  </si>
  <si>
    <t>Circuit Breakers Planned Refurb</t>
  </si>
  <si>
    <t>Protection Relays (Replace 33kV/66kV Fuses, incl Fault Thrower)</t>
  </si>
  <si>
    <t>Substation Insurance Spares &amp; Asset Mgt</t>
  </si>
  <si>
    <t>Substation Infrastructure - Civil (incl buildings, structures)</t>
  </si>
  <si>
    <t xml:space="preserve">Substation Transformer Repl. </t>
  </si>
  <si>
    <t>TF Refurb (18665 &amp; 18977)</t>
  </si>
  <si>
    <t>Planned Transformer Refurbishment - also done under 18665</t>
  </si>
  <si>
    <t>AC Panels + auxilary supply</t>
  </si>
  <si>
    <t>Protection Asset Replacement</t>
  </si>
  <si>
    <t>Unplanned CB Replacement</t>
  </si>
  <si>
    <t>Unplanned Substation Asset Repl - PROTECTION</t>
  </si>
  <si>
    <t>Other (sub cables)</t>
  </si>
  <si>
    <t>Northfield 66kV GIS Switchboard replacement (1/3rd)</t>
  </si>
  <si>
    <t>MOD3C Substation Upgrades (trf to 18665)</t>
  </si>
  <si>
    <t>Substation Standards Templates and CU Developments</t>
  </si>
  <si>
    <t>Relay Replace on Failure</t>
  </si>
  <si>
    <t>Cable replacement &amp; Cable Termination Support upgrade (tfr to other)</t>
  </si>
  <si>
    <t>GIS Assessment and Refurbishment</t>
  </si>
  <si>
    <t>Transformer planned replacement due to condition</t>
  </si>
  <si>
    <t>NPV20</t>
  </si>
  <si>
    <t>Δ MW Total</t>
  </si>
  <si>
    <t>Δ cost Total</t>
  </si>
  <si>
    <t>2026/27 to 2039/40 based on the average spend over the 6 year period 2020/21 to 2025/26</t>
  </si>
  <si>
    <t>Notes</t>
  </si>
  <si>
    <t>Augmentation</t>
  </si>
  <si>
    <t xml:space="preserve">LRMC sample shaded </t>
  </si>
  <si>
    <t>Replacement Augmentation</t>
  </si>
  <si>
    <t>Total incremental annual opex $M 2020 real</t>
  </si>
  <si>
    <t>Augmentation Related Incremental Opex $ 2020</t>
  </si>
  <si>
    <t>Incremental Opex $ 2020</t>
  </si>
  <si>
    <t>Total growth related capex $M 2020 real</t>
  </si>
  <si>
    <t>Repl Augmentation Capex Real $ 2020 000's</t>
  </si>
  <si>
    <t>Repl Augmentation Capex Real $ 2020</t>
  </si>
  <si>
    <t>CPI $ 2020</t>
  </si>
  <si>
    <t>CPI Adj $ 2020</t>
  </si>
  <si>
    <t>not augmentation $000 nominal</t>
  </si>
  <si>
    <t>Not augmentation $000 nominal</t>
  </si>
  <si>
    <t>Augmentation Capex Real $ 2020 000's</t>
  </si>
  <si>
    <t>Augmentation Capex Real $ 2020</t>
  </si>
  <si>
    <t>AIC 20</t>
  </si>
  <si>
    <t>voltage step</t>
  </si>
  <si>
    <t>increment</t>
  </si>
  <si>
    <t>$/kW</t>
  </si>
  <si>
    <t>$/kVA</t>
  </si>
  <si>
    <t>Split of Demand across Tariff Classes - Maximum Demand at Transmission Exit (from Pricing Model using 2018/18 data)</t>
  </si>
  <si>
    <t>combines small business and residential</t>
  </si>
  <si>
    <t>System maximum demand</t>
  </si>
  <si>
    <t>Maximum Demand MW split by voltage level contribution</t>
  </si>
  <si>
    <t>Annual demand increment MW by voltage level</t>
  </si>
  <si>
    <t>MW at Exit</t>
  </si>
  <si>
    <t>HV business</t>
  </si>
  <si>
    <t>large LV business</t>
  </si>
  <si>
    <t>Major Business zone s/stn</t>
  </si>
  <si>
    <t>Major Business sub-transmission</t>
  </si>
  <si>
    <t>Stand-Alone costs of tariff classes ($M pa)</t>
  </si>
  <si>
    <t>Tariff Class</t>
  </si>
  <si>
    <t>Network Level</t>
  </si>
  <si>
    <t>Cost Pool</t>
  </si>
  <si>
    <t>Adj Cost Pool</t>
  </si>
  <si>
    <t>Major Business</t>
  </si>
  <si>
    <t>HV Business</t>
  </si>
  <si>
    <t>Large LV Business</t>
  </si>
  <si>
    <t>Small Business</t>
  </si>
  <si>
    <t>Residential</t>
  </si>
  <si>
    <t>Sub-Transmission</t>
  </si>
  <si>
    <t>Zone Substation</t>
  </si>
  <si>
    <t>HV Network</t>
  </si>
  <si>
    <t>Distribution Transformers</t>
  </si>
  <si>
    <t xml:space="preserve">LV Networks </t>
  </si>
  <si>
    <t>LV Services</t>
  </si>
  <si>
    <t>Customer Related</t>
  </si>
  <si>
    <t>Non-System Costs</t>
  </si>
  <si>
    <t>Avoidable costs of tariff classes ($M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</si>
</sst>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0.0000"/>
    <numFmt numFmtId="166" formatCode="#,##0.0"/>
    <numFmt numFmtId="167" formatCode="0.0"/>
    <numFmt numFmtId="168" formatCode="_-&quot;$&quot;* #,##0_-;\-&quot;$&quot;* #,##0_-;_-&quot;$&quot;* &quot;-&quot;??_-;_-@_-"/>
    <numFmt numFmtId="169" formatCode="0.000"/>
    <numFmt numFmtId="170" formatCode="_-&quot;$&quot;* #,##0.0_-;\-&quot;$&quot;* #,##0.0_-;_-&quot;$&quot;* &quot;-&quot;?_-;_-@_-"/>
    <numFmt numFmtId="171" formatCode="_-&quot;$&quot;* #,##0.00_-;\-&quot;$&quot;* #,##0.00_-;_-&quot;$&quot;* &quot;-&quot;?_-;_-@_-"/>
    <numFmt numFmtId="172" formatCode="#,##0.0_ ;[Red]\-#,##0.0\ "/>
  </numFmts>
  <fonts count="3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name val="Arial"/>
      <family val="2"/>
    </font>
    <font>
      <b/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4">
    <xf numFmtId="0" fontId="0" fillId="0" borderId="0" xfId="0"/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41" fontId="4" fillId="5" borderId="14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  <xf numFmtId="41" fontId="4" fillId="3" borderId="14" xfId="0" applyNumberFormat="1" applyFont="1" applyFill="1" applyBorder="1" applyAlignment="1" applyProtection="1">
      <alignment vertical="center"/>
      <protection locked="0"/>
    </xf>
    <xf numFmtId="41" fontId="4" fillId="5" borderId="14" xfId="0" applyNumberFormat="1" applyFont="1" applyFill="1" applyBorder="1" applyAlignment="1" applyProtection="1">
      <alignment vertical="center"/>
    </xf>
    <xf numFmtId="41" fontId="4" fillId="0" borderId="14" xfId="0" applyNumberFormat="1" applyFont="1" applyFill="1" applyBorder="1" applyAlignment="1" applyProtection="1">
      <alignment vertical="center"/>
    </xf>
    <xf numFmtId="41" fontId="4" fillId="3" borderId="14" xfId="0" applyNumberFormat="1" applyFont="1" applyFill="1" applyBorder="1" applyAlignment="1" applyProtection="1">
      <alignment vertical="center"/>
    </xf>
    <xf numFmtId="41" fontId="4" fillId="0" borderId="14" xfId="0" applyNumberFormat="1" applyFont="1" applyBorder="1" applyAlignment="1" applyProtection="1">
      <alignment vertical="center"/>
      <protection locked="0"/>
    </xf>
    <xf numFmtId="41" fontId="6" fillId="5" borderId="10" xfId="0" applyNumberFormat="1" applyFont="1" applyFill="1" applyBorder="1" applyAlignment="1" applyProtection="1">
      <alignment vertical="center"/>
    </xf>
    <xf numFmtId="41" fontId="4" fillId="3" borderId="10" xfId="0" applyNumberFormat="1" applyFont="1" applyFill="1" applyBorder="1" applyAlignment="1" applyProtection="1">
      <alignment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41" fontId="4" fillId="7" borderId="14" xfId="0" applyNumberFormat="1" applyFont="1" applyFill="1" applyBorder="1" applyAlignment="1" applyProtection="1">
      <alignment vertical="center"/>
      <protection locked="0"/>
    </xf>
    <xf numFmtId="41" fontId="4" fillId="7" borderId="14" xfId="0" applyNumberFormat="1" applyFont="1" applyFill="1" applyBorder="1" applyAlignment="1" applyProtection="1">
      <alignment vertical="center"/>
    </xf>
    <xf numFmtId="41" fontId="4" fillId="7" borderId="10" xfId="0" applyNumberFormat="1" applyFont="1" applyFill="1" applyBorder="1" applyAlignment="1" applyProtection="1">
      <alignment vertical="center"/>
      <protection locked="0"/>
    </xf>
    <xf numFmtId="9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0" fontId="8" fillId="8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8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0" fillId="0" borderId="0" xfId="0" applyAlignment="1"/>
    <xf numFmtId="0" fontId="7" fillId="8" borderId="18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0" fillId="0" borderId="22" xfId="0" applyNumberForma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0" fillId="11" borderId="26" xfId="0" applyFont="1" applyFill="1" applyBorder="1" applyAlignment="1">
      <alignment horizontal="center"/>
    </xf>
    <xf numFmtId="0" fontId="10" fillId="11" borderId="27" xfId="0" applyFont="1" applyFill="1" applyBorder="1" applyAlignment="1">
      <alignment horizontal="center"/>
    </xf>
    <xf numFmtId="0" fontId="10" fillId="12" borderId="26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3" fontId="9" fillId="0" borderId="0" xfId="0" applyNumberFormat="1" applyFont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13" fillId="0" borderId="0" xfId="0" applyNumberFormat="1" applyFont="1"/>
    <xf numFmtId="0" fontId="13" fillId="0" borderId="0" xfId="0" applyFont="1"/>
    <xf numFmtId="0" fontId="3" fillId="0" borderId="0" xfId="0" applyFont="1"/>
    <xf numFmtId="0" fontId="9" fillId="0" borderId="0" xfId="0" applyFont="1" applyFill="1"/>
    <xf numFmtId="0" fontId="9" fillId="0" borderId="5" xfId="0" applyFont="1" applyBorder="1"/>
    <xf numFmtId="0" fontId="9" fillId="0" borderId="0" xfId="0" applyFont="1" applyBorder="1"/>
    <xf numFmtId="0" fontId="9" fillId="0" borderId="28" xfId="0" applyFont="1" applyBorder="1"/>
    <xf numFmtId="0" fontId="9" fillId="0" borderId="25" xfId="0" applyFont="1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10" fontId="17" fillId="9" borderId="0" xfId="0" applyNumberFormat="1" applyFont="1" applyFill="1"/>
    <xf numFmtId="0" fontId="10" fillId="12" borderId="27" xfId="0" applyFont="1" applyFill="1" applyBorder="1" applyAlignment="1">
      <alignment horizontal="center"/>
    </xf>
    <xf numFmtId="3" fontId="3" fillId="0" borderId="0" xfId="0" applyNumberFormat="1" applyFont="1"/>
    <xf numFmtId="3" fontId="3" fillId="0" borderId="25" xfId="0" applyNumberFormat="1" applyFont="1" applyBorder="1"/>
    <xf numFmtId="3" fontId="3" fillId="0" borderId="0" xfId="0" applyNumberFormat="1" applyFont="1" applyBorder="1"/>
    <xf numFmtId="3" fontId="18" fillId="0" borderId="13" xfId="0" applyNumberFormat="1" applyFont="1" applyBorder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3" fillId="0" borderId="25" xfId="0" applyFont="1" applyBorder="1"/>
    <xf numFmtId="0" fontId="3" fillId="0" borderId="0" xfId="0" applyFont="1" applyBorder="1"/>
    <xf numFmtId="0" fontId="3" fillId="0" borderId="13" xfId="0" applyFont="1" applyBorder="1"/>
    <xf numFmtId="0" fontId="3" fillId="0" borderId="25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167" fontId="3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6" fontId="3" fillId="14" borderId="0" xfId="0" applyNumberFormat="1" applyFont="1" applyFill="1"/>
    <xf numFmtId="166" fontId="3" fillId="15" borderId="0" xfId="0" applyNumberFormat="1" applyFont="1" applyFill="1"/>
    <xf numFmtId="166" fontId="3" fillId="12" borderId="0" xfId="0" applyNumberFormat="1" applyFont="1" applyFill="1"/>
    <xf numFmtId="166" fontId="16" fillId="0" borderId="0" xfId="0" applyNumberFormat="1" applyFont="1"/>
    <xf numFmtId="167" fontId="3" fillId="0" borderId="0" xfId="0" applyNumberFormat="1" applyFont="1"/>
    <xf numFmtId="167" fontId="3" fillId="0" borderId="25" xfId="0" applyNumberFormat="1" applyFont="1" applyBorder="1"/>
    <xf numFmtId="167" fontId="3" fillId="0" borderId="0" xfId="0" applyNumberFormat="1" applyFont="1" applyBorder="1"/>
    <xf numFmtId="167" fontId="19" fillId="0" borderId="0" xfId="0" applyNumberFormat="1" applyFont="1" applyBorder="1"/>
    <xf numFmtId="167" fontId="19" fillId="0" borderId="13" xfId="0" applyNumberFormat="1" applyFont="1" applyBorder="1"/>
    <xf numFmtId="3" fontId="16" fillId="0" borderId="0" xfId="0" applyNumberFormat="1" applyFont="1"/>
    <xf numFmtId="3" fontId="16" fillId="0" borderId="25" xfId="0" applyNumberFormat="1" applyFont="1" applyBorder="1"/>
    <xf numFmtId="3" fontId="16" fillId="0" borderId="0" xfId="0" applyNumberFormat="1" applyFont="1" applyBorder="1"/>
    <xf numFmtId="3" fontId="16" fillId="0" borderId="13" xfId="0" applyNumberFormat="1" applyFont="1" applyBorder="1"/>
    <xf numFmtId="0" fontId="18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0" fontId="3" fillId="0" borderId="0" xfId="2" applyNumberFormat="1" applyFont="1" applyFill="1" applyAlignment="1">
      <alignment horizontal="right"/>
    </xf>
    <xf numFmtId="4" fontId="3" fillId="14" borderId="25" xfId="0" applyNumberFormat="1" applyFont="1" applyFill="1" applyBorder="1"/>
    <xf numFmtId="4" fontId="3" fillId="14" borderId="0" xfId="0" applyNumberFormat="1" applyFont="1" applyFill="1" applyBorder="1"/>
    <xf numFmtId="4" fontId="3" fillId="14" borderId="13" xfId="0" applyNumberFormat="1" applyFont="1" applyFill="1" applyBorder="1"/>
    <xf numFmtId="4" fontId="3" fillId="15" borderId="25" xfId="0" applyNumberFormat="1" applyFont="1" applyFill="1" applyBorder="1"/>
    <xf numFmtId="4" fontId="3" fillId="15" borderId="0" xfId="0" applyNumberFormat="1" applyFont="1" applyFill="1" applyBorder="1"/>
    <xf numFmtId="4" fontId="3" fillId="15" borderId="13" xfId="0" applyNumberFormat="1" applyFont="1" applyFill="1" applyBorder="1"/>
    <xf numFmtId="4" fontId="3" fillId="12" borderId="25" xfId="0" applyNumberFormat="1" applyFont="1" applyFill="1" applyBorder="1"/>
    <xf numFmtId="4" fontId="3" fillId="12" borderId="0" xfId="0" applyNumberFormat="1" applyFont="1" applyFill="1" applyBorder="1"/>
    <xf numFmtId="4" fontId="3" fillId="12" borderId="13" xfId="0" applyNumberFormat="1" applyFont="1" applyFill="1" applyBorder="1"/>
    <xf numFmtId="4" fontId="16" fillId="0" borderId="25" xfId="0" applyNumberFormat="1" applyFont="1" applyBorder="1"/>
    <xf numFmtId="4" fontId="16" fillId="0" borderId="0" xfId="0" applyNumberFormat="1" applyFont="1" applyBorder="1"/>
    <xf numFmtId="4" fontId="16" fillId="0" borderId="13" xfId="0" applyNumberFormat="1" applyFont="1" applyBorder="1"/>
    <xf numFmtId="0" fontId="16" fillId="14" borderId="28" xfId="0" applyFont="1" applyFill="1" applyBorder="1" applyAlignment="1">
      <alignment horizontal="left"/>
    </xf>
    <xf numFmtId="0" fontId="9" fillId="14" borderId="5" xfId="0" applyFont="1" applyFill="1" applyBorder="1"/>
    <xf numFmtId="0" fontId="9" fillId="14" borderId="6" xfId="0" applyFont="1" applyFill="1" applyBorder="1"/>
    <xf numFmtId="0" fontId="16" fillId="14" borderId="25" xfId="0" applyFont="1" applyFill="1" applyBorder="1" applyAlignment="1">
      <alignment horizontal="right"/>
    </xf>
    <xf numFmtId="0" fontId="9" fillId="14" borderId="0" xfId="0" applyFont="1" applyFill="1" applyBorder="1"/>
    <xf numFmtId="0" fontId="9" fillId="14" borderId="13" xfId="0" applyFont="1" applyFill="1" applyBorder="1"/>
    <xf numFmtId="0" fontId="16" fillId="14" borderId="10" xfId="0" applyFont="1" applyFill="1" applyBorder="1" applyAlignment="1">
      <alignment horizontal="center" wrapText="1"/>
    </xf>
    <xf numFmtId="0" fontId="9" fillId="14" borderId="10" xfId="0" applyFont="1" applyFill="1" applyBorder="1" applyAlignment="1">
      <alignment horizontal="center"/>
    </xf>
    <xf numFmtId="0" fontId="16" fillId="14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9" fillId="3" borderId="7" xfId="0" applyFont="1" applyFill="1" applyBorder="1"/>
    <xf numFmtId="168" fontId="3" fillId="0" borderId="7" xfId="1" applyNumberFormat="1" applyFont="1" applyFill="1" applyBorder="1"/>
    <xf numFmtId="169" fontId="3" fillId="0" borderId="7" xfId="0" applyNumberFormat="1" applyFont="1" applyFill="1" applyBorder="1" applyAlignment="1">
      <alignment horizontal="right"/>
    </xf>
    <xf numFmtId="168" fontId="3" fillId="0" borderId="7" xfId="0" applyNumberFormat="1" applyFont="1" applyFill="1" applyBorder="1"/>
    <xf numFmtId="0" fontId="3" fillId="0" borderId="14" xfId="0" applyFont="1" applyBorder="1" applyAlignment="1">
      <alignment horizontal="left"/>
    </xf>
    <xf numFmtId="167" fontId="3" fillId="3" borderId="14" xfId="0" applyNumberFormat="1" applyFont="1" applyFill="1" applyBorder="1"/>
    <xf numFmtId="0" fontId="9" fillId="3" borderId="14" xfId="0" applyFont="1" applyFill="1" applyBorder="1"/>
    <xf numFmtId="168" fontId="3" fillId="0" borderId="14" xfId="1" applyNumberFormat="1" applyFont="1" applyFill="1" applyBorder="1"/>
    <xf numFmtId="169" fontId="3" fillId="0" borderId="14" xfId="0" applyNumberFormat="1" applyFont="1" applyFill="1" applyBorder="1" applyAlignment="1">
      <alignment horizontal="right"/>
    </xf>
    <xf numFmtId="168" fontId="3" fillId="0" borderId="14" xfId="0" applyNumberFormat="1" applyFont="1" applyFill="1" applyBorder="1"/>
    <xf numFmtId="0" fontId="3" fillId="0" borderId="10" xfId="0" applyFont="1" applyBorder="1" applyAlignment="1">
      <alignment horizontal="left"/>
    </xf>
    <xf numFmtId="168" fontId="3" fillId="0" borderId="10" xfId="1" applyNumberFormat="1" applyFont="1" applyFill="1" applyBorder="1"/>
    <xf numFmtId="169" fontId="3" fillId="0" borderId="10" xfId="0" applyNumberFormat="1" applyFont="1" applyFill="1" applyBorder="1" applyAlignment="1">
      <alignment horizontal="right"/>
    </xf>
    <xf numFmtId="168" fontId="3" fillId="0" borderId="10" xfId="0" applyNumberFormat="1" applyFont="1" applyFill="1" applyBorder="1"/>
    <xf numFmtId="0" fontId="3" fillId="0" borderId="8" xfId="0" applyFont="1" applyBorder="1" applyAlignment="1">
      <alignment horizontal="left"/>
    </xf>
    <xf numFmtId="168" fontId="3" fillId="0" borderId="26" xfId="1" applyNumberFormat="1" applyFont="1" applyFill="1" applyBorder="1"/>
    <xf numFmtId="2" fontId="3" fillId="0" borderId="26" xfId="0" applyNumberFormat="1" applyFont="1" applyFill="1" applyBorder="1" applyAlignment="1">
      <alignment horizontal="right"/>
    </xf>
    <xf numFmtId="168" fontId="3" fillId="0" borderId="27" xfId="0" applyNumberFormat="1" applyFont="1" applyFill="1" applyBorder="1"/>
    <xf numFmtId="9" fontId="9" fillId="0" borderId="0" xfId="2" applyFont="1" applyAlignment="1">
      <alignment horizontal="right"/>
    </xf>
    <xf numFmtId="0" fontId="12" fillId="9" borderId="8" xfId="0" applyFont="1" applyFill="1" applyBorder="1"/>
    <xf numFmtId="0" fontId="14" fillId="9" borderId="26" xfId="0" applyFont="1" applyFill="1" applyBorder="1"/>
    <xf numFmtId="0" fontId="14" fillId="9" borderId="27" xfId="0" applyFont="1" applyFill="1" applyBorder="1"/>
    <xf numFmtId="0" fontId="21" fillId="0" borderId="0" xfId="0" applyFont="1"/>
    <xf numFmtId="0" fontId="9" fillId="0" borderId="6" xfId="0" applyFont="1" applyBorder="1"/>
    <xf numFmtId="0" fontId="16" fillId="0" borderId="28" xfId="0" applyFont="1" applyBorder="1" applyAlignment="1"/>
    <xf numFmtId="167" fontId="3" fillId="0" borderId="25" xfId="0" applyNumberFormat="1" applyFont="1" applyBorder="1" applyAlignment="1">
      <alignment horizontal="left" indent="1"/>
    </xf>
    <xf numFmtId="10" fontId="3" fillId="13" borderId="13" xfId="2" applyNumberFormat="1" applyFont="1" applyFill="1" applyBorder="1" applyAlignment="1">
      <alignment horizontal="right"/>
    </xf>
    <xf numFmtId="0" fontId="10" fillId="0" borderId="3" xfId="0" applyFont="1" applyBorder="1" applyAlignment="1"/>
    <xf numFmtId="9" fontId="3" fillId="13" borderId="1" xfId="0" applyNumberFormat="1" applyFont="1" applyFill="1" applyBorder="1" applyAlignment="1">
      <alignment horizontal="right"/>
    </xf>
    <xf numFmtId="9" fontId="3" fillId="13" borderId="2" xfId="0" applyNumberFormat="1" applyFont="1" applyFill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167" fontId="3" fillId="0" borderId="3" xfId="0" applyNumberFormat="1" applyFont="1" applyBorder="1" applyAlignment="1">
      <alignment horizontal="left" indent="1"/>
    </xf>
    <xf numFmtId="10" fontId="3" fillId="13" borderId="2" xfId="2" applyNumberFormat="1" applyFont="1" applyFill="1" applyBorder="1" applyAlignment="1">
      <alignment horizontal="right"/>
    </xf>
    <xf numFmtId="167" fontId="9" fillId="0" borderId="0" xfId="0" applyNumberFormat="1" applyFont="1"/>
    <xf numFmtId="167" fontId="3" fillId="14" borderId="25" xfId="0" applyNumberFormat="1" applyFont="1" applyFill="1" applyBorder="1"/>
    <xf numFmtId="167" fontId="3" fillId="14" borderId="0" xfId="0" applyNumberFormat="1" applyFont="1" applyFill="1" applyBorder="1"/>
    <xf numFmtId="167" fontId="3" fillId="14" borderId="13" xfId="0" applyNumberFormat="1" applyFont="1" applyFill="1" applyBorder="1"/>
    <xf numFmtId="167" fontId="3" fillId="14" borderId="0" xfId="0" applyNumberFormat="1" applyFont="1" applyFill="1"/>
    <xf numFmtId="167" fontId="3" fillId="15" borderId="25" xfId="0" applyNumberFormat="1" applyFont="1" applyFill="1" applyBorder="1"/>
    <xf numFmtId="167" fontId="3" fillId="15" borderId="0" xfId="0" applyNumberFormat="1" applyFont="1" applyFill="1" applyBorder="1"/>
    <xf numFmtId="167" fontId="3" fillId="15" borderId="13" xfId="0" applyNumberFormat="1" applyFont="1" applyFill="1" applyBorder="1"/>
    <xf numFmtId="167" fontId="3" fillId="15" borderId="0" xfId="0" applyNumberFormat="1" applyFont="1" applyFill="1"/>
    <xf numFmtId="167" fontId="3" fillId="12" borderId="25" xfId="0" applyNumberFormat="1" applyFont="1" applyFill="1" applyBorder="1"/>
    <xf numFmtId="167" fontId="3" fillId="12" borderId="0" xfId="0" applyNumberFormat="1" applyFont="1" applyFill="1" applyBorder="1"/>
    <xf numFmtId="167" fontId="3" fillId="12" borderId="13" xfId="0" applyNumberFormat="1" applyFont="1" applyFill="1" applyBorder="1"/>
    <xf numFmtId="167" fontId="3" fillId="12" borderId="0" xfId="0" applyNumberFormat="1" applyFont="1" applyFill="1"/>
    <xf numFmtId="167" fontId="10" fillId="0" borderId="0" xfId="0" applyNumberFormat="1" applyFont="1"/>
    <xf numFmtId="167" fontId="14" fillId="14" borderId="0" xfId="0" applyNumberFormat="1" applyFont="1" applyFill="1"/>
    <xf numFmtId="167" fontId="14" fillId="15" borderId="0" xfId="0" applyNumberFormat="1" applyFont="1" applyFill="1"/>
    <xf numFmtId="167" fontId="14" fillId="12" borderId="0" xfId="0" applyNumberFormat="1" applyFont="1" applyFill="1"/>
    <xf numFmtId="170" fontId="16" fillId="0" borderId="0" xfId="0" applyNumberFormat="1" applyFont="1" applyFill="1" applyAlignment="1">
      <alignment horizontal="right"/>
    </xf>
    <xf numFmtId="3" fontId="0" fillId="0" borderId="0" xfId="0" applyNumberFormat="1" applyBorder="1"/>
    <xf numFmtId="0" fontId="3" fillId="9" borderId="0" xfId="0" applyFont="1" applyFill="1"/>
    <xf numFmtId="3" fontId="22" fillId="0" borderId="0" xfId="0" applyNumberFormat="1" applyFont="1"/>
    <xf numFmtId="3" fontId="9" fillId="14" borderId="5" xfId="0" applyNumberFormat="1" applyFont="1" applyFill="1" applyBorder="1"/>
    <xf numFmtId="0" fontId="16" fillId="14" borderId="2" xfId="0" applyFont="1" applyFill="1" applyBorder="1" applyAlignment="1">
      <alignment horizontal="center" wrapText="1"/>
    </xf>
    <xf numFmtId="0" fontId="16" fillId="14" borderId="1" xfId="0" applyFont="1" applyFill="1" applyBorder="1" applyAlignment="1">
      <alignment horizontal="center" wrapText="1"/>
    </xf>
    <xf numFmtId="0" fontId="9" fillId="14" borderId="3" xfId="0" applyFont="1" applyFill="1" applyBorder="1" applyAlignment="1">
      <alignment horizontal="right"/>
    </xf>
    <xf numFmtId="169" fontId="0" fillId="0" borderId="0" xfId="0" applyNumberFormat="1"/>
    <xf numFmtId="0" fontId="5" fillId="7" borderId="4" xfId="0" applyFont="1" applyFill="1" applyBorder="1" applyAlignment="1" applyProtection="1">
      <alignment horizontal="left" vertical="center"/>
      <protection locked="0"/>
    </xf>
    <xf numFmtId="0" fontId="5" fillId="7" borderId="5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vertical="center"/>
      <protection locked="0"/>
    </xf>
    <xf numFmtId="0" fontId="5" fillId="7" borderId="5" xfId="0" applyFont="1" applyFill="1" applyBorder="1" applyAlignment="1" applyProtection="1">
      <alignment vertical="center"/>
      <protection locked="0"/>
    </xf>
    <xf numFmtId="0" fontId="5" fillId="7" borderId="12" xfId="0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4" fillId="7" borderId="13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right" vertical="center"/>
      <protection locked="0"/>
    </xf>
    <xf numFmtId="0" fontId="5" fillId="7" borderId="5" xfId="0" applyFont="1" applyFill="1" applyBorder="1" applyAlignment="1" applyProtection="1">
      <alignment vertical="center" textRotation="90"/>
      <protection locked="0"/>
    </xf>
    <xf numFmtId="0" fontId="5" fillId="7" borderId="0" xfId="0" applyFont="1" applyFill="1" applyBorder="1" applyAlignment="1" applyProtection="1">
      <alignment vertical="center" textRotation="90"/>
      <protection locked="0"/>
    </xf>
    <xf numFmtId="0" fontId="5" fillId="7" borderId="9" xfId="0" applyFont="1" applyFill="1" applyBorder="1" applyAlignment="1" applyProtection="1">
      <alignment horizontal="right" vertical="center"/>
      <protection locked="0"/>
    </xf>
    <xf numFmtId="0" fontId="5" fillId="7" borderId="1" xfId="0" applyFont="1" applyFill="1" applyBorder="1" applyAlignment="1" applyProtection="1">
      <alignment horizontal="right" vertical="center"/>
      <protection locked="0"/>
    </xf>
    <xf numFmtId="0" fontId="5" fillId="7" borderId="2" xfId="0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12" borderId="7" xfId="0" applyFont="1" applyFill="1" applyBorder="1" applyAlignment="1" applyProtection="1">
      <alignment horizontal="center" vertical="center"/>
      <protection locked="0"/>
    </xf>
    <xf numFmtId="0" fontId="5" fillId="12" borderId="10" xfId="0" applyFont="1" applyFill="1" applyBorder="1" applyAlignment="1" applyProtection="1">
      <alignment horizontal="center" vertical="center"/>
      <protection locked="0"/>
    </xf>
    <xf numFmtId="0" fontId="4" fillId="12" borderId="14" xfId="0" applyFont="1" applyFill="1" applyBorder="1" applyAlignment="1" applyProtection="1">
      <alignment horizontal="center" vertical="center"/>
      <protection locked="0"/>
    </xf>
    <xf numFmtId="41" fontId="4" fillId="12" borderId="10" xfId="0" applyNumberFormat="1" applyFont="1" applyFill="1" applyBorder="1" applyAlignment="1" applyProtection="1">
      <alignment vertical="center"/>
      <protection locked="0"/>
    </xf>
    <xf numFmtId="0" fontId="4" fillId="16" borderId="2" xfId="0" applyFont="1" applyFill="1" applyBorder="1" applyAlignment="1" applyProtection="1">
      <alignment horizontal="center" vertical="center"/>
      <protection locked="0"/>
    </xf>
    <xf numFmtId="0" fontId="5" fillId="16" borderId="1" xfId="0" applyFont="1" applyFill="1" applyBorder="1" applyAlignment="1" applyProtection="1">
      <alignment horizontal="center" vertical="center"/>
      <protection locked="0"/>
    </xf>
    <xf numFmtId="0" fontId="5" fillId="16" borderId="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5" xfId="0" applyBorder="1"/>
    <xf numFmtId="0" fontId="0" fillId="0" borderId="6" xfId="0" applyBorder="1"/>
    <xf numFmtId="0" fontId="0" fillId="0" borderId="25" xfId="0" applyBorder="1"/>
    <xf numFmtId="0" fontId="0" fillId="0" borderId="0" xfId="0" applyBorder="1"/>
    <xf numFmtId="0" fontId="0" fillId="0" borderId="13" xfId="0" applyBorder="1"/>
    <xf numFmtId="9" fontId="0" fillId="0" borderId="25" xfId="0" applyNumberFormat="1" applyBorder="1"/>
    <xf numFmtId="9" fontId="0" fillId="0" borderId="13" xfId="2" applyFont="1" applyBorder="1"/>
    <xf numFmtId="9" fontId="0" fillId="0" borderId="0" xfId="0" applyNumberFormat="1" applyBorder="1"/>
    <xf numFmtId="9" fontId="0" fillId="0" borderId="13" xfId="0" applyNumberFormat="1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12" borderId="5" xfId="0" applyFill="1" applyBorder="1"/>
    <xf numFmtId="3" fontId="25" fillId="0" borderId="0" xfId="0" applyNumberFormat="1" applyFont="1" applyBorder="1"/>
    <xf numFmtId="3" fontId="25" fillId="0" borderId="13" xfId="0" applyNumberFormat="1" applyFont="1" applyBorder="1"/>
    <xf numFmtId="3" fontId="0" fillId="0" borderId="13" xfId="0" applyNumberFormat="1" applyBorder="1"/>
    <xf numFmtId="0" fontId="0" fillId="12" borderId="6" xfId="0" applyFill="1" applyBorder="1"/>
    <xf numFmtId="3" fontId="0" fillId="0" borderId="25" xfId="0" applyNumberFormat="1" applyBorder="1"/>
    <xf numFmtId="3" fontId="0" fillId="0" borderId="3" xfId="0" applyNumberFormat="1" applyBorder="1"/>
    <xf numFmtId="0" fontId="0" fillId="12" borderId="28" xfId="0" applyFill="1" applyBorder="1"/>
    <xf numFmtId="3" fontId="0" fillId="0" borderId="2" xfId="0" applyNumberFormat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3" fontId="27" fillId="4" borderId="25" xfId="0" applyNumberFormat="1" applyFont="1" applyFill="1" applyBorder="1"/>
    <xf numFmtId="3" fontId="27" fillId="4" borderId="0" xfId="0" applyNumberFormat="1" applyFont="1" applyFill="1" applyBorder="1"/>
    <xf numFmtId="3" fontId="27" fillId="4" borderId="13" xfId="0" applyNumberFormat="1" applyFont="1" applyFill="1" applyBorder="1"/>
    <xf numFmtId="3" fontId="25" fillId="4" borderId="0" xfId="0" applyNumberFormat="1" applyFont="1" applyFill="1" applyBorder="1"/>
    <xf numFmtId="3" fontId="25" fillId="4" borderId="13" xfId="0" applyNumberFormat="1" applyFont="1" applyFill="1" applyBorder="1"/>
    <xf numFmtId="3" fontId="25" fillId="4" borderId="25" xfId="0" applyNumberFormat="1" applyFont="1" applyFill="1" applyBorder="1"/>
    <xf numFmtId="3" fontId="0" fillId="4" borderId="1" xfId="0" applyNumberFormat="1" applyFill="1" applyBorder="1"/>
    <xf numFmtId="3" fontId="0" fillId="4" borderId="2" xfId="0" applyNumberFormat="1" applyFill="1" applyBorder="1"/>
    <xf numFmtId="3" fontId="0" fillId="4" borderId="3" xfId="0" applyNumberFormat="1" applyFill="1" applyBorder="1"/>
    <xf numFmtId="0" fontId="0" fillId="4" borderId="1" xfId="0" applyFill="1" applyBorder="1"/>
    <xf numFmtId="0" fontId="7" fillId="7" borderId="18" xfId="0" applyFont="1" applyFill="1" applyBorder="1" applyAlignment="1">
      <alignment horizontal="center" wrapText="1"/>
    </xf>
    <xf numFmtId="0" fontId="7" fillId="7" borderId="12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right" vertical="center"/>
    </xf>
    <xf numFmtId="0" fontId="8" fillId="7" borderId="0" xfId="0" applyFont="1" applyFill="1" applyAlignment="1">
      <alignment horizontal="right"/>
    </xf>
    <xf numFmtId="0" fontId="7" fillId="7" borderId="19" xfId="0" applyFont="1" applyFill="1" applyBorder="1" applyAlignment="1">
      <alignment wrapText="1"/>
    </xf>
    <xf numFmtId="0" fontId="7" fillId="7" borderId="19" xfId="0" applyFont="1" applyFill="1" applyBorder="1" applyAlignment="1">
      <alignment horizontal="center" wrapText="1"/>
    </xf>
    <xf numFmtId="0" fontId="8" fillId="7" borderId="19" xfId="0" applyFont="1" applyFill="1" applyBorder="1" applyAlignment="1">
      <alignment wrapText="1"/>
    </xf>
    <xf numFmtId="0" fontId="8" fillId="7" borderId="19" xfId="0" applyFont="1" applyFill="1" applyBorder="1" applyAlignment="1">
      <alignment horizontal="center" wrapText="1"/>
    </xf>
    <xf numFmtId="0" fontId="8" fillId="7" borderId="24" xfId="0" applyFont="1" applyFill="1" applyBorder="1" applyAlignment="1">
      <alignment horizontal="center" wrapText="1"/>
    </xf>
    <xf numFmtId="0" fontId="7" fillId="7" borderId="19" xfId="0" applyFont="1" applyFill="1" applyBorder="1" applyAlignment="1"/>
    <xf numFmtId="0" fontId="7" fillId="7" borderId="16" xfId="0" applyFont="1" applyFill="1" applyBorder="1" applyAlignment="1"/>
    <xf numFmtId="0" fontId="7" fillId="7" borderId="17" xfId="0" applyFont="1" applyFill="1" applyBorder="1" applyAlignment="1"/>
    <xf numFmtId="0" fontId="7" fillId="7" borderId="21" xfId="0" applyFont="1" applyFill="1" applyBorder="1" applyAlignment="1">
      <alignment horizontal="right" vertical="center"/>
    </xf>
    <xf numFmtId="0" fontId="7" fillId="7" borderId="22" xfId="0" applyFont="1" applyFill="1" applyBorder="1" applyAlignment="1">
      <alignment horizontal="right"/>
    </xf>
    <xf numFmtId="0" fontId="7" fillId="7" borderId="23" xfId="0" applyFont="1" applyFill="1" applyBorder="1" applyAlignment="1">
      <alignment wrapText="1"/>
    </xf>
    <xf numFmtId="0" fontId="7" fillId="7" borderId="23" xfId="0" applyFont="1" applyFill="1" applyBorder="1" applyAlignment="1">
      <alignment horizontal="center" wrapText="1"/>
    </xf>
    <xf numFmtId="0" fontId="8" fillId="7" borderId="19" xfId="0" applyFont="1" applyFill="1" applyBorder="1" applyAlignment="1"/>
    <xf numFmtId="0" fontId="5" fillId="16" borderId="3" xfId="0" applyFont="1" applyFill="1" applyBorder="1" applyAlignment="1" applyProtection="1">
      <alignment horizontal="left" vertical="center"/>
      <protection locked="0"/>
    </xf>
    <xf numFmtId="6" fontId="0" fillId="0" borderId="28" xfId="0" applyNumberFormat="1" applyBorder="1"/>
    <xf numFmtId="167" fontId="0" fillId="0" borderId="5" xfId="0" applyNumberFormat="1" applyBorder="1"/>
    <xf numFmtId="167" fontId="0" fillId="2" borderId="5" xfId="0" applyNumberFormat="1" applyFill="1" applyBorder="1"/>
    <xf numFmtId="167" fontId="0" fillId="0" borderId="6" xfId="0" applyNumberFormat="1" applyBorder="1"/>
    <xf numFmtId="169" fontId="0" fillId="0" borderId="1" xfId="0" applyNumberFormat="1" applyBorder="1"/>
    <xf numFmtId="169" fontId="0" fillId="0" borderId="2" xfId="0" applyNumberFormat="1" applyBorder="1"/>
    <xf numFmtId="169" fontId="0" fillId="9" borderId="1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41" fontId="4" fillId="7" borderId="29" xfId="0" applyNumberFormat="1" applyFont="1" applyFill="1" applyBorder="1" applyAlignment="1" applyProtection="1">
      <alignment vertical="center"/>
    </xf>
    <xf numFmtId="41" fontId="4" fillId="7" borderId="30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167" fontId="22" fillId="14" borderId="0" xfId="0" applyNumberFormat="1" applyFont="1" applyFill="1"/>
    <xf numFmtId="167" fontId="22" fillId="15" borderId="0" xfId="0" applyNumberFormat="1" applyFont="1" applyFill="1"/>
    <xf numFmtId="167" fontId="22" fillId="12" borderId="0" xfId="0" applyNumberFormat="1" applyFont="1" applyFill="1"/>
    <xf numFmtId="3" fontId="28" fillId="4" borderId="25" xfId="0" applyNumberFormat="1" applyFont="1" applyFill="1" applyBorder="1"/>
    <xf numFmtId="3" fontId="28" fillId="4" borderId="0" xfId="0" applyNumberFormat="1" applyFont="1" applyFill="1" applyBorder="1"/>
    <xf numFmtId="3" fontId="28" fillId="4" borderId="13" xfId="0" applyNumberFormat="1" applyFont="1" applyFill="1" applyBorder="1"/>
    <xf numFmtId="3" fontId="28" fillId="0" borderId="0" xfId="0" applyNumberFormat="1" applyFont="1" applyBorder="1"/>
    <xf numFmtId="3" fontId="28" fillId="0" borderId="13" xfId="0" applyNumberFormat="1" applyFont="1" applyBorder="1"/>
    <xf numFmtId="0" fontId="0" fillId="4" borderId="0" xfId="0" applyFill="1" applyBorder="1"/>
    <xf numFmtId="0" fontId="10" fillId="12" borderId="8" xfId="0" applyFont="1" applyFill="1" applyBorder="1" applyAlignment="1">
      <alignment horizontal="center"/>
    </xf>
    <xf numFmtId="3" fontId="19" fillId="0" borderId="25" xfId="0" applyNumberFormat="1" applyFont="1" applyBorder="1"/>
    <xf numFmtId="3" fontId="19" fillId="0" borderId="0" xfId="0" applyNumberFormat="1" applyFont="1" applyBorder="1"/>
    <xf numFmtId="3" fontId="19" fillId="0" borderId="13" xfId="0" applyNumberFormat="1" applyFont="1" applyFill="1" applyBorder="1"/>
    <xf numFmtId="167" fontId="19" fillId="0" borderId="25" xfId="0" applyNumberFormat="1" applyFont="1" applyBorder="1"/>
    <xf numFmtId="167" fontId="19" fillId="0" borderId="13" xfId="0" applyNumberFormat="1" applyFont="1" applyFill="1" applyBorder="1"/>
    <xf numFmtId="4" fontId="16" fillId="0" borderId="3" xfId="0" applyNumberFormat="1" applyFont="1" applyBorder="1"/>
    <xf numFmtId="4" fontId="16" fillId="0" borderId="1" xfId="0" applyNumberFormat="1" applyFont="1" applyBorder="1"/>
    <xf numFmtId="4" fontId="16" fillId="0" borderId="2" xfId="0" applyNumberFormat="1" applyFont="1" applyBorder="1"/>
    <xf numFmtId="0" fontId="9" fillId="0" borderId="13" xfId="0" applyFont="1" applyBorder="1"/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6" fontId="16" fillId="0" borderId="0" xfId="0" applyNumberFormat="1" applyFont="1" applyFill="1" applyAlignment="1">
      <alignment horizontal="right"/>
    </xf>
    <xf numFmtId="171" fontId="3" fillId="0" borderId="0" xfId="0" applyNumberFormat="1" applyFont="1" applyFill="1" applyAlignment="1">
      <alignment horizontal="right"/>
    </xf>
    <xf numFmtId="171" fontId="3" fillId="0" borderId="1" xfId="0" applyNumberFormat="1" applyFont="1" applyFill="1" applyBorder="1" applyAlignment="1">
      <alignment horizontal="right"/>
    </xf>
    <xf numFmtId="171" fontId="16" fillId="0" borderId="0" xfId="0" applyNumberFormat="1" applyFont="1" applyFill="1" applyAlignment="1">
      <alignment horizontal="right"/>
    </xf>
    <xf numFmtId="0" fontId="16" fillId="7" borderId="10" xfId="0" applyFont="1" applyFill="1" applyBorder="1" applyAlignment="1">
      <alignment horizontal="center" wrapText="1"/>
    </xf>
    <xf numFmtId="166" fontId="3" fillId="7" borderId="7" xfId="0" applyNumberFormat="1" applyFont="1" applyFill="1" applyBorder="1"/>
    <xf numFmtId="166" fontId="3" fillId="7" borderId="14" xfId="0" applyNumberFormat="1" applyFont="1" applyFill="1" applyBorder="1"/>
    <xf numFmtId="166" fontId="3" fillId="7" borderId="10" xfId="0" applyNumberFormat="1" applyFont="1" applyFill="1" applyBorder="1"/>
    <xf numFmtId="0" fontId="10" fillId="7" borderId="8" xfId="0" applyFont="1" applyFill="1" applyBorder="1" applyAlignment="1">
      <alignment horizontal="center"/>
    </xf>
    <xf numFmtId="166" fontId="9" fillId="7" borderId="11" xfId="0" applyNumberFormat="1" applyFont="1" applyFill="1" applyBorder="1" applyAlignment="1">
      <alignment horizontal="center"/>
    </xf>
    <xf numFmtId="166" fontId="9" fillId="7" borderId="26" xfId="0" applyNumberFormat="1" applyFont="1" applyFill="1" applyBorder="1" applyAlignment="1">
      <alignment horizontal="center"/>
    </xf>
    <xf numFmtId="0" fontId="10" fillId="17" borderId="8" xfId="0" applyFont="1" applyFill="1" applyBorder="1" applyAlignment="1">
      <alignment horizontal="center"/>
    </xf>
    <xf numFmtId="166" fontId="9" fillId="17" borderId="11" xfId="0" applyNumberFormat="1" applyFont="1" applyFill="1" applyBorder="1" applyAlignment="1">
      <alignment horizontal="center"/>
    </xf>
    <xf numFmtId="166" fontId="9" fillId="17" borderId="26" xfId="0" applyNumberFormat="1" applyFont="1" applyFill="1" applyBorder="1" applyAlignment="1">
      <alignment horizontal="center"/>
    </xf>
    <xf numFmtId="167" fontId="3" fillId="17" borderId="7" xfId="0" applyNumberFormat="1" applyFont="1" applyFill="1" applyBorder="1"/>
    <xf numFmtId="167" fontId="3" fillId="17" borderId="14" xfId="0" applyNumberFormat="1" applyFont="1" applyFill="1" applyBorder="1"/>
    <xf numFmtId="167" fontId="3" fillId="17" borderId="10" xfId="0" applyNumberFormat="1" applyFont="1" applyFill="1" applyBorder="1"/>
    <xf numFmtId="166" fontId="9" fillId="17" borderId="10" xfId="0" applyNumberFormat="1" applyFont="1" applyFill="1" applyBorder="1"/>
    <xf numFmtId="166" fontId="10" fillId="17" borderId="11" xfId="0" applyNumberFormat="1" applyFont="1" applyFill="1" applyBorder="1" applyAlignment="1">
      <alignment horizontal="center"/>
    </xf>
    <xf numFmtId="167" fontId="16" fillId="17" borderId="7" xfId="0" applyNumberFormat="1" applyFont="1" applyFill="1" applyBorder="1"/>
    <xf numFmtId="167" fontId="16" fillId="17" borderId="14" xfId="0" applyNumberFormat="1" applyFont="1" applyFill="1" applyBorder="1"/>
    <xf numFmtId="167" fontId="16" fillId="17" borderId="10" xfId="0" applyNumberFormat="1" applyFont="1" applyFill="1" applyBorder="1"/>
    <xf numFmtId="167" fontId="16" fillId="17" borderId="11" xfId="0" applyNumberFormat="1" applyFont="1" applyFill="1" applyBorder="1"/>
    <xf numFmtId="167" fontId="16" fillId="7" borderId="11" xfId="0" applyNumberFormat="1" applyFont="1" applyFill="1" applyBorder="1"/>
    <xf numFmtId="167" fontId="16" fillId="17" borderId="26" xfId="0" applyNumberFormat="1" applyFont="1" applyFill="1" applyBorder="1"/>
    <xf numFmtId="168" fontId="9" fillId="0" borderId="28" xfId="0" applyNumberFormat="1" applyFont="1" applyBorder="1"/>
    <xf numFmtId="168" fontId="9" fillId="0" borderId="6" xfId="0" applyNumberFormat="1" applyFont="1" applyBorder="1"/>
    <xf numFmtId="168" fontId="9" fillId="0" borderId="25" xfId="0" applyNumberFormat="1" applyFont="1" applyBorder="1"/>
    <xf numFmtId="168" fontId="9" fillId="0" borderId="13" xfId="0" applyNumberFormat="1" applyFont="1" applyBorder="1"/>
    <xf numFmtId="168" fontId="9" fillId="0" borderId="3" xfId="0" applyNumberFormat="1" applyFont="1" applyBorder="1"/>
    <xf numFmtId="168" fontId="9" fillId="0" borderId="2" xfId="0" applyNumberFormat="1" applyFont="1" applyBorder="1"/>
    <xf numFmtId="9" fontId="3" fillId="0" borderId="0" xfId="2" applyFont="1"/>
    <xf numFmtId="9" fontId="3" fillId="0" borderId="1" xfId="2" applyFont="1" applyBorder="1"/>
    <xf numFmtId="3" fontId="22" fillId="0" borderId="1" xfId="0" applyNumberFormat="1" applyFont="1" applyBorder="1"/>
    <xf numFmtId="164" fontId="3" fillId="0" borderId="0" xfId="2" applyNumberFormat="1" applyFont="1"/>
    <xf numFmtId="0" fontId="3" fillId="0" borderId="5" xfId="0" applyFont="1" applyBorder="1"/>
    <xf numFmtId="0" fontId="3" fillId="0" borderId="3" xfId="0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2" applyNumberFormat="1" applyFont="1" applyFill="1" applyBorder="1"/>
    <xf numFmtId="164" fontId="3" fillId="0" borderId="0" xfId="2" applyNumberFormat="1" applyFont="1" applyFill="1" applyBorder="1"/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31" fillId="0" borderId="0" xfId="0" applyNumberFormat="1" applyFont="1"/>
    <xf numFmtId="0" fontId="16" fillId="0" borderId="28" xfId="0" applyFont="1" applyBorder="1"/>
    <xf numFmtId="0" fontId="21" fillId="0" borderId="25" xfId="0" applyFont="1" applyBorder="1"/>
    <xf numFmtId="0" fontId="3" fillId="0" borderId="25" xfId="0" applyFont="1" applyBorder="1" applyAlignment="1">
      <alignment horizontal="center"/>
    </xf>
    <xf numFmtId="0" fontId="21" fillId="0" borderId="28" xfId="0" applyFont="1" applyBorder="1"/>
    <xf numFmtId="0" fontId="3" fillId="0" borderId="6" xfId="0" applyFont="1" applyBorder="1"/>
    <xf numFmtId="3" fontId="9" fillId="0" borderId="26" xfId="0" applyNumberFormat="1" applyFont="1" applyBorder="1"/>
    <xf numFmtId="0" fontId="10" fillId="0" borderId="8" xfId="0" applyFont="1" applyBorder="1"/>
    <xf numFmtId="0" fontId="10" fillId="0" borderId="26" xfId="0" applyFont="1" applyBorder="1"/>
    <xf numFmtId="0" fontId="10" fillId="0" borderId="27" xfId="0" applyFont="1" applyBorder="1"/>
    <xf numFmtId="166" fontId="0" fillId="0" borderId="0" xfId="0" applyNumberFormat="1" applyBorder="1"/>
    <xf numFmtId="166" fontId="0" fillId="4" borderId="0" xfId="0" applyNumberFormat="1" applyFill="1" applyBorder="1"/>
    <xf numFmtId="166" fontId="0" fillId="4" borderId="13" xfId="0" applyNumberFormat="1" applyFill="1" applyBorder="1"/>
    <xf numFmtId="166" fontId="28" fillId="4" borderId="25" xfId="0" applyNumberFormat="1" applyFont="1" applyFill="1" applyBorder="1"/>
    <xf numFmtId="166" fontId="28" fillId="4" borderId="0" xfId="0" applyNumberFormat="1" applyFont="1" applyFill="1" applyBorder="1"/>
    <xf numFmtId="166" fontId="28" fillId="4" borderId="13" xfId="0" applyNumberFormat="1" applyFont="1" applyFill="1" applyBorder="1"/>
    <xf numFmtId="166" fontId="28" fillId="0" borderId="0" xfId="0" applyNumberFormat="1" applyFont="1" applyBorder="1"/>
    <xf numFmtId="166" fontId="28" fillId="0" borderId="13" xfId="0" applyNumberFormat="1" applyFont="1" applyBorder="1"/>
    <xf numFmtId="166" fontId="10" fillId="0" borderId="26" xfId="0" applyNumberFormat="1" applyFont="1" applyBorder="1"/>
    <xf numFmtId="166" fontId="10" fillId="0" borderId="27" xfId="0" applyNumberFormat="1" applyFont="1" applyBorder="1"/>
    <xf numFmtId="0" fontId="26" fillId="0" borderId="5" xfId="0" applyFont="1" applyBorder="1" applyAlignment="1">
      <alignment horizontal="center"/>
    </xf>
    <xf numFmtId="0" fontId="26" fillId="12" borderId="5" xfId="0" applyFont="1" applyFill="1" applyBorder="1" applyAlignment="1">
      <alignment horizontal="center"/>
    </xf>
    <xf numFmtId="0" fontId="26" fillId="12" borderId="6" xfId="0" applyFont="1" applyFill="1" applyBorder="1" applyAlignment="1">
      <alignment horizontal="center"/>
    </xf>
    <xf numFmtId="0" fontId="26" fillId="12" borderId="28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166" fontId="10" fillId="4" borderId="26" xfId="0" applyNumberFormat="1" applyFont="1" applyFill="1" applyBorder="1"/>
    <xf numFmtId="3" fontId="14" fillId="0" borderId="5" xfId="0" applyNumberFormat="1" applyFont="1" applyBorder="1"/>
    <xf numFmtId="3" fontId="3" fillId="17" borderId="5" xfId="0" applyNumberFormat="1" applyFont="1" applyFill="1" applyBorder="1"/>
    <xf numFmtId="3" fontId="3" fillId="0" borderId="0" xfId="0" applyNumberFormat="1" applyFont="1" applyAlignment="1">
      <alignment horizontal="center"/>
    </xf>
    <xf numFmtId="172" fontId="3" fillId="14" borderId="25" xfId="0" applyNumberFormat="1" applyFont="1" applyFill="1" applyBorder="1"/>
    <xf numFmtId="172" fontId="3" fillId="14" borderId="0" xfId="0" applyNumberFormat="1" applyFont="1" applyFill="1" applyBorder="1"/>
    <xf numFmtId="172" fontId="3" fillId="14" borderId="13" xfId="0" applyNumberFormat="1" applyFont="1" applyFill="1" applyBorder="1"/>
    <xf numFmtId="172" fontId="3" fillId="15" borderId="25" xfId="0" applyNumberFormat="1" applyFont="1" applyFill="1" applyBorder="1"/>
    <xf numFmtId="172" fontId="3" fillId="15" borderId="0" xfId="0" applyNumberFormat="1" applyFont="1" applyFill="1" applyBorder="1"/>
    <xf numFmtId="172" fontId="3" fillId="15" borderId="13" xfId="0" applyNumberFormat="1" applyFont="1" applyFill="1" applyBorder="1"/>
    <xf numFmtId="172" fontId="3" fillId="12" borderId="25" xfId="0" applyNumberFormat="1" applyFont="1" applyFill="1" applyBorder="1"/>
    <xf numFmtId="172" fontId="3" fillId="12" borderId="0" xfId="0" applyNumberFormat="1" applyFont="1" applyFill="1" applyBorder="1"/>
    <xf numFmtId="172" fontId="3" fillId="12" borderId="13" xfId="0" applyNumberFormat="1" applyFont="1" applyFill="1" applyBorder="1"/>
    <xf numFmtId="172" fontId="16" fillId="0" borderId="25" xfId="0" applyNumberFormat="1" applyFont="1" applyBorder="1"/>
    <xf numFmtId="172" fontId="16" fillId="0" borderId="0" xfId="0" applyNumberFormat="1" applyFont="1" applyBorder="1"/>
    <xf numFmtId="172" fontId="16" fillId="0" borderId="13" xfId="0" applyNumberFormat="1" applyFont="1" applyBorder="1"/>
    <xf numFmtId="3" fontId="22" fillId="0" borderId="8" xfId="0" applyNumberFormat="1" applyFont="1" applyBorder="1"/>
    <xf numFmtId="3" fontId="22" fillId="0" borderId="26" xfId="0" applyNumberFormat="1" applyFont="1" applyBorder="1"/>
    <xf numFmtId="3" fontId="22" fillId="0" borderId="27" xfId="0" applyNumberFormat="1" applyFont="1" applyBorder="1"/>
    <xf numFmtId="3" fontId="9" fillId="0" borderId="8" xfId="0" applyNumberFormat="1" applyFont="1" applyBorder="1"/>
    <xf numFmtId="3" fontId="3" fillId="17" borderId="28" xfId="0" applyNumberFormat="1" applyFont="1" applyFill="1" applyBorder="1"/>
    <xf numFmtId="3" fontId="3" fillId="17" borderId="6" xfId="0" applyNumberFormat="1" applyFont="1" applyFill="1" applyBorder="1"/>
    <xf numFmtId="164" fontId="3" fillId="0" borderId="3" xfId="2" applyNumberFormat="1" applyFont="1" applyFill="1" applyBorder="1"/>
    <xf numFmtId="164" fontId="3" fillId="0" borderId="2" xfId="2" applyNumberFormat="1" applyFont="1" applyFill="1" applyBorder="1"/>
    <xf numFmtId="3" fontId="14" fillId="0" borderId="28" xfId="0" applyNumberFormat="1" applyFont="1" applyBorder="1"/>
    <xf numFmtId="3" fontId="14" fillId="0" borderId="6" xfId="0" applyNumberFormat="1" applyFont="1" applyBorder="1"/>
    <xf numFmtId="3" fontId="3" fillId="0" borderId="6" xfId="0" applyNumberFormat="1" applyFont="1" applyBorder="1"/>
    <xf numFmtId="165" fontId="3" fillId="0" borderId="0" xfId="0" applyNumberFormat="1" applyFont="1" applyBorder="1"/>
    <xf numFmtId="3" fontId="3" fillId="0" borderId="13" xfId="0" applyNumberFormat="1" applyFont="1" applyFill="1" applyBorder="1"/>
    <xf numFmtId="0" fontId="28" fillId="0" borderId="0" xfId="0" applyFont="1" applyBorder="1"/>
    <xf numFmtId="3" fontId="3" fillId="0" borderId="2" xfId="0" applyNumberFormat="1" applyFont="1" applyFill="1" applyBorder="1"/>
    <xf numFmtId="164" fontId="3" fillId="0" borderId="28" xfId="2" applyNumberFormat="1" applyFont="1" applyFill="1" applyBorder="1"/>
    <xf numFmtId="164" fontId="3" fillId="0" borderId="5" xfId="2" applyNumberFormat="1" applyFont="1" applyFill="1" applyBorder="1"/>
    <xf numFmtId="164" fontId="3" fillId="0" borderId="6" xfId="2" applyNumberFormat="1" applyFont="1" applyFill="1" applyBorder="1"/>
    <xf numFmtId="3" fontId="3" fillId="0" borderId="25" xfId="0" applyNumberFormat="1" applyFont="1" applyFill="1" applyBorder="1"/>
    <xf numFmtId="3" fontId="3" fillId="0" borderId="0" xfId="0" applyNumberFormat="1" applyFont="1" applyFill="1" applyBorder="1"/>
    <xf numFmtId="3" fontId="3" fillId="0" borderId="3" xfId="0" applyNumberFormat="1" applyFont="1" applyFill="1" applyBorder="1"/>
    <xf numFmtId="15" fontId="2" fillId="7" borderId="1" xfId="0" applyNumberFormat="1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vertical="center"/>
    </xf>
    <xf numFmtId="0" fontId="5" fillId="7" borderId="7" xfId="0" applyFont="1" applyFill="1" applyBorder="1" applyAlignment="1" applyProtection="1">
      <alignment horizontal="center" vertical="center" textRotation="90"/>
      <protection locked="0"/>
    </xf>
    <xf numFmtId="0" fontId="5" fillId="7" borderId="14" xfId="0" applyFont="1" applyFill="1" applyBorder="1" applyAlignment="1" applyProtection="1">
      <alignment horizontal="center" vertical="center" textRotation="90"/>
      <protection locked="0"/>
    </xf>
    <xf numFmtId="0" fontId="5" fillId="7" borderId="10" xfId="0" applyFont="1" applyFill="1" applyBorder="1" applyAlignment="1" applyProtection="1">
      <alignment horizontal="center" vertical="center" textRotation="90"/>
      <protection locked="0"/>
    </xf>
    <xf numFmtId="15" fontId="2" fillId="7" borderId="0" xfId="0" applyNumberFormat="1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>
      <alignment vertical="center"/>
    </xf>
    <xf numFmtId="0" fontId="7" fillId="7" borderId="15" xfId="0" applyFont="1" applyFill="1" applyBorder="1" applyAlignment="1"/>
    <xf numFmtId="0" fontId="7" fillId="7" borderId="16" xfId="0" applyFont="1" applyFill="1" applyBorder="1" applyAlignment="1"/>
    <xf numFmtId="0" fontId="7" fillId="7" borderId="17" xfId="0" applyFont="1" applyFill="1" applyBorder="1" applyAlignment="1"/>
    <xf numFmtId="0" fontId="7" fillId="7" borderId="0" xfId="0" applyFont="1" applyFill="1" applyAlignment="1">
      <alignment vertical="center"/>
    </xf>
    <xf numFmtId="0" fontId="7" fillId="7" borderId="20" xfId="0" applyFont="1" applyFill="1" applyBorder="1" applyAlignment="1">
      <alignment vertical="center"/>
    </xf>
    <xf numFmtId="0" fontId="10" fillId="0" borderId="2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2" fillId="0" borderId="0" xfId="0" applyFont="1"/>
    <xf numFmtId="0" fontId="0" fillId="0" borderId="31" xfId="0" applyBorder="1"/>
    <xf numFmtId="0" fontId="26" fillId="0" borderId="31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26" fillId="0" borderId="16" xfId="0" applyFont="1" applyBorder="1"/>
    <xf numFmtId="0" fontId="0" fillId="0" borderId="18" xfId="0" applyBorder="1"/>
    <xf numFmtId="0" fontId="26" fillId="0" borderId="32" xfId="0" applyFont="1" applyBorder="1" applyAlignment="1">
      <alignment horizontal="center"/>
    </xf>
    <xf numFmtId="0" fontId="26" fillId="0" borderId="32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9" fontId="0" fillId="0" borderId="15" xfId="0" applyNumberFormat="1" applyBorder="1"/>
    <xf numFmtId="9" fontId="0" fillId="0" borderId="16" xfId="2" applyFont="1" applyBorder="1"/>
    <xf numFmtId="9" fontId="0" fillId="0" borderId="18" xfId="2" applyFont="1" applyBorder="1"/>
    <xf numFmtId="41" fontId="0" fillId="0" borderId="15" xfId="0" applyNumberFormat="1" applyBorder="1"/>
    <xf numFmtId="41" fontId="0" fillId="0" borderId="16" xfId="0" applyNumberFormat="1" applyBorder="1"/>
    <xf numFmtId="41" fontId="0" fillId="0" borderId="18" xfId="0" applyNumberFormat="1" applyBorder="1"/>
    <xf numFmtId="0" fontId="0" fillId="0" borderId="12" xfId="0" applyBorder="1"/>
    <xf numFmtId="9" fontId="0" fillId="0" borderId="12" xfId="0" applyNumberFormat="1" applyBorder="1"/>
    <xf numFmtId="9" fontId="0" fillId="0" borderId="0" xfId="2" applyFont="1" applyBorder="1"/>
    <xf numFmtId="9" fontId="0" fillId="0" borderId="19" xfId="2" applyFont="1" applyBorder="1"/>
    <xf numFmtId="41" fontId="0" fillId="0" borderId="12" xfId="0" applyNumberFormat="1" applyBorder="1"/>
    <xf numFmtId="41" fontId="0" fillId="0" borderId="0" xfId="0" applyNumberFormat="1" applyBorder="1"/>
    <xf numFmtId="41" fontId="0" fillId="0" borderId="19" xfId="0" applyNumberFormat="1" applyBorder="1"/>
    <xf numFmtId="0" fontId="0" fillId="0" borderId="21" xfId="0" applyBorder="1"/>
    <xf numFmtId="9" fontId="0" fillId="0" borderId="21" xfId="0" applyNumberFormat="1" applyBorder="1"/>
    <xf numFmtId="9" fontId="0" fillId="0" borderId="22" xfId="2" applyFont="1" applyBorder="1"/>
    <xf numFmtId="9" fontId="0" fillId="0" borderId="23" xfId="2" applyFont="1" applyBorder="1"/>
    <xf numFmtId="41" fontId="0" fillId="0" borderId="21" xfId="0" applyNumberFormat="1" applyBorder="1"/>
    <xf numFmtId="41" fontId="0" fillId="0" borderId="22" xfId="0" applyNumberFormat="1" applyBorder="1"/>
    <xf numFmtId="41" fontId="0" fillId="0" borderId="23" xfId="0" applyNumberFormat="1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1" fontId="0" fillId="0" borderId="15" xfId="0" applyNumberFormat="1" applyBorder="1"/>
    <xf numFmtId="1" fontId="0" fillId="0" borderId="12" xfId="0" applyNumberFormat="1" applyBorder="1"/>
    <xf numFmtId="1" fontId="0" fillId="0" borderId="21" xfId="0" applyNumberFormat="1" applyBorder="1"/>
    <xf numFmtId="1" fontId="0" fillId="0" borderId="0" xfId="0" applyNumberFormat="1"/>
    <xf numFmtId="1" fontId="32" fillId="0" borderId="0" xfId="0" applyNumberFormat="1" applyFont="1"/>
    <xf numFmtId="1" fontId="0" fillId="0" borderId="31" xfId="0" applyNumberFormat="1" applyBorder="1"/>
    <xf numFmtId="1" fontId="26" fillId="0" borderId="32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2" xfId="0" applyNumberFormat="1" applyBorder="1"/>
    <xf numFmtId="1" fontId="26" fillId="0" borderId="31" xfId="0" applyNumberFormat="1" applyFont="1" applyBorder="1" applyAlignment="1">
      <alignment horizontal="center" wrapText="1"/>
    </xf>
    <xf numFmtId="1" fontId="26" fillId="0" borderId="32" xfId="0" applyNumberFormat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/>
              <a:t>Augmentation Upgrade Expenditure $'000 nominal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Augmentation!$C$39</c:f>
              <c:strCache>
                <c:ptCount val="1"/>
                <c:pt idx="0">
                  <c:v>Sub-Trans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Augmentation!$I$39:$U$39</c:f>
              <c:numCache>
                <c:formatCode>#,##0</c:formatCode>
                <c:ptCount val="13"/>
                <c:pt idx="0">
                  <c:v>29134.501824999999</c:v>
                </c:pt>
                <c:pt idx="1">
                  <c:v>15447.187550000002</c:v>
                </c:pt>
                <c:pt idx="2">
                  <c:v>7159.3698250000016</c:v>
                </c:pt>
                <c:pt idx="3">
                  <c:v>8077.9232499999998</c:v>
                </c:pt>
                <c:pt idx="4">
                  <c:v>10983.576330000002</c:v>
                </c:pt>
                <c:pt idx="5">
                  <c:v>9451.8186800000021</c:v>
                </c:pt>
                <c:pt idx="6">
                  <c:v>8056.75</c:v>
                </c:pt>
                <c:pt idx="7">
                  <c:v>10684.75</c:v>
                </c:pt>
                <c:pt idx="8">
                  <c:v>8283.75</c:v>
                </c:pt>
                <c:pt idx="9">
                  <c:v>2235.75</c:v>
                </c:pt>
                <c:pt idx="10">
                  <c:v>1276</c:v>
                </c:pt>
                <c:pt idx="11">
                  <c:v>4456</c:v>
                </c:pt>
                <c:pt idx="12">
                  <c:v>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8-42C4-A25F-4493A4342599}"/>
            </c:ext>
          </c:extLst>
        </c:ser>
        <c:ser>
          <c:idx val="1"/>
          <c:order val="1"/>
          <c:tx>
            <c:strRef>
              <c:f>Augmentation!$C$40</c:f>
              <c:strCache>
                <c:ptCount val="1"/>
                <c:pt idx="0">
                  <c:v>Zone S/Stn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Augmentation!$I$40:$U$40</c:f>
              <c:numCache>
                <c:formatCode>#,##0</c:formatCode>
                <c:ptCount val="13"/>
                <c:pt idx="0">
                  <c:v>25029.362361</c:v>
                </c:pt>
                <c:pt idx="1">
                  <c:v>24035.813361</c:v>
                </c:pt>
                <c:pt idx="2">
                  <c:v>24081.279000000002</c:v>
                </c:pt>
                <c:pt idx="3">
                  <c:v>20651.732</c:v>
                </c:pt>
                <c:pt idx="4">
                  <c:v>16074.405905628211</c:v>
                </c:pt>
                <c:pt idx="5">
                  <c:v>10693.164905628211</c:v>
                </c:pt>
                <c:pt idx="6">
                  <c:v>8507.9249999999993</c:v>
                </c:pt>
                <c:pt idx="7">
                  <c:v>5625</c:v>
                </c:pt>
                <c:pt idx="8">
                  <c:v>4490</c:v>
                </c:pt>
                <c:pt idx="9">
                  <c:v>5370</c:v>
                </c:pt>
                <c:pt idx="10">
                  <c:v>6005</c:v>
                </c:pt>
                <c:pt idx="11">
                  <c:v>4400</c:v>
                </c:pt>
                <c:pt idx="12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8-42C4-A25F-4493A4342599}"/>
            </c:ext>
          </c:extLst>
        </c:ser>
        <c:ser>
          <c:idx val="2"/>
          <c:order val="2"/>
          <c:tx>
            <c:strRef>
              <c:f>Augmentation!$C$41</c:f>
              <c:strCache>
                <c:ptCount val="1"/>
                <c:pt idx="0">
                  <c:v>HV Feeder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Augmentation!$I$41:$U$41</c:f>
              <c:numCache>
                <c:formatCode>#,##0</c:formatCode>
                <c:ptCount val="13"/>
                <c:pt idx="0">
                  <c:v>3560.9974000000002</c:v>
                </c:pt>
                <c:pt idx="1">
                  <c:v>3692.2709000000004</c:v>
                </c:pt>
                <c:pt idx="2">
                  <c:v>1261.9322</c:v>
                </c:pt>
                <c:pt idx="3">
                  <c:v>2471.2204750000001</c:v>
                </c:pt>
                <c:pt idx="4">
                  <c:v>3632.801166489915</c:v>
                </c:pt>
                <c:pt idx="5">
                  <c:v>1948.6169914899147</c:v>
                </c:pt>
                <c:pt idx="6">
                  <c:v>3824.75</c:v>
                </c:pt>
                <c:pt idx="7">
                  <c:v>5088.75</c:v>
                </c:pt>
                <c:pt idx="8">
                  <c:v>2668.75</c:v>
                </c:pt>
                <c:pt idx="9">
                  <c:v>2423.75</c:v>
                </c:pt>
                <c:pt idx="10">
                  <c:v>3165</c:v>
                </c:pt>
                <c:pt idx="11">
                  <c:v>3445</c:v>
                </c:pt>
                <c:pt idx="12">
                  <c:v>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8-42C4-A25F-4493A4342599}"/>
            </c:ext>
          </c:extLst>
        </c:ser>
        <c:ser>
          <c:idx val="3"/>
          <c:order val="3"/>
          <c:tx>
            <c:strRef>
              <c:f>Augmentation!$C$42</c:f>
              <c:strCache>
                <c:ptCount val="1"/>
                <c:pt idx="0">
                  <c:v>Dist T/F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Augmentation!$I$42:$U$42</c:f>
              <c:numCache>
                <c:formatCode>#,##0</c:formatCode>
                <c:ptCount val="13"/>
                <c:pt idx="0">
                  <c:v>5236.7415000000001</c:v>
                </c:pt>
                <c:pt idx="1">
                  <c:v>4952.4227999999994</c:v>
                </c:pt>
                <c:pt idx="2">
                  <c:v>4848.2356499999996</c:v>
                </c:pt>
                <c:pt idx="3">
                  <c:v>5022.1087749999997</c:v>
                </c:pt>
                <c:pt idx="4">
                  <c:v>4813.3025832449575</c:v>
                </c:pt>
                <c:pt idx="5">
                  <c:v>4467.5263082449583</c:v>
                </c:pt>
                <c:pt idx="6">
                  <c:v>5757</c:v>
                </c:pt>
                <c:pt idx="7">
                  <c:v>7018.75</c:v>
                </c:pt>
                <c:pt idx="8">
                  <c:v>7258.75</c:v>
                </c:pt>
                <c:pt idx="9">
                  <c:v>7498.75</c:v>
                </c:pt>
                <c:pt idx="10">
                  <c:v>7940</c:v>
                </c:pt>
                <c:pt idx="11">
                  <c:v>8180</c:v>
                </c:pt>
                <c:pt idx="12">
                  <c:v>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8-42C4-A25F-4493A4342599}"/>
            </c:ext>
          </c:extLst>
        </c:ser>
        <c:ser>
          <c:idx val="4"/>
          <c:order val="4"/>
          <c:tx>
            <c:strRef>
              <c:f>Augmentation!$C$43</c:f>
              <c:strCache>
                <c:ptCount val="1"/>
                <c:pt idx="0">
                  <c:v>LV Feeder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Augmentation!$I$43:$U$43</c:f>
              <c:numCache>
                <c:formatCode>#,##0</c:formatCode>
                <c:ptCount val="13"/>
                <c:pt idx="0">
                  <c:v>1791.2999</c:v>
                </c:pt>
                <c:pt idx="1">
                  <c:v>1740.7784749999998</c:v>
                </c:pt>
                <c:pt idx="2">
                  <c:v>1662.715175</c:v>
                </c:pt>
                <c:pt idx="3">
                  <c:v>1864.6543499999998</c:v>
                </c:pt>
                <c:pt idx="4">
                  <c:v>1805.8234832449573</c:v>
                </c:pt>
                <c:pt idx="5">
                  <c:v>1540.7909332449576</c:v>
                </c:pt>
                <c:pt idx="6">
                  <c:v>2135.25</c:v>
                </c:pt>
                <c:pt idx="7">
                  <c:v>2665</c:v>
                </c:pt>
                <c:pt idx="8">
                  <c:v>2725</c:v>
                </c:pt>
                <c:pt idx="9">
                  <c:v>2785</c:v>
                </c:pt>
                <c:pt idx="10">
                  <c:v>2845</c:v>
                </c:pt>
                <c:pt idx="11">
                  <c:v>2905</c:v>
                </c:pt>
                <c:pt idx="12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8-42C4-A25F-4493A434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481640"/>
        <c:axId val="586482296"/>
      </c:barChart>
      <c:catAx>
        <c:axId val="58648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2296"/>
        <c:crosses val="autoZero"/>
        <c:auto val="1"/>
        <c:lblAlgn val="ctr"/>
        <c:lblOffset val="100"/>
        <c:noMultiLvlLbl val="0"/>
      </c:catAx>
      <c:valAx>
        <c:axId val="5864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Asset</a:t>
            </a:r>
            <a:r>
              <a:rPr lang="en-AU" baseline="0"/>
              <a:t> replacement - Augex portion $000's 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Replacement!$C$75</c:f>
              <c:strCache>
                <c:ptCount val="1"/>
                <c:pt idx="0">
                  <c:v>Sub-Trans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Replacement!$I$75:$M$75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F-46F6-9E9B-1D1DD764570F}"/>
            </c:ext>
          </c:extLst>
        </c:ser>
        <c:ser>
          <c:idx val="1"/>
          <c:order val="1"/>
          <c:tx>
            <c:strRef>
              <c:f>Replacement!$C$76</c:f>
              <c:strCache>
                <c:ptCount val="1"/>
                <c:pt idx="0">
                  <c:v>Zone S/Stn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Replacement!$I$76:$U$76</c:f>
              <c:numCache>
                <c:formatCode>#,##0</c:formatCode>
                <c:ptCount val="13"/>
                <c:pt idx="0">
                  <c:v>1861.9900499999999</c:v>
                </c:pt>
                <c:pt idx="1">
                  <c:v>1168.9164000000001</c:v>
                </c:pt>
                <c:pt idx="2">
                  <c:v>1281.4112749999999</c:v>
                </c:pt>
                <c:pt idx="3">
                  <c:v>1953.2449995000002</c:v>
                </c:pt>
                <c:pt idx="4">
                  <c:v>2874.0553717968501</c:v>
                </c:pt>
                <c:pt idx="5">
                  <c:v>2987.1180222968501</c:v>
                </c:pt>
                <c:pt idx="6">
                  <c:v>2820.3383356736394</c:v>
                </c:pt>
                <c:pt idx="7">
                  <c:v>3070.969584187279</c:v>
                </c:pt>
                <c:pt idx="8">
                  <c:v>3766.737497027279</c:v>
                </c:pt>
                <c:pt idx="9">
                  <c:v>4268.5174970272783</c:v>
                </c:pt>
                <c:pt idx="10">
                  <c:v>3258.342497027279</c:v>
                </c:pt>
                <c:pt idx="11">
                  <c:v>2413.612497027279</c:v>
                </c:pt>
                <c:pt idx="12">
                  <c:v>2406.2008867139439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F-46F6-9E9B-1D1DD764570F}"/>
            </c:ext>
          </c:extLst>
        </c:ser>
        <c:ser>
          <c:idx val="2"/>
          <c:order val="2"/>
          <c:tx>
            <c:strRef>
              <c:f>Replacement!$C$77</c:f>
              <c:strCache>
                <c:ptCount val="1"/>
                <c:pt idx="0">
                  <c:v>HV Feeder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Replacement!$I$77:$U$77</c:f>
              <c:numCache>
                <c:formatCode>#,##0</c:formatCode>
                <c:ptCount val="13"/>
                <c:pt idx="0">
                  <c:v>1104.5929500000002</c:v>
                </c:pt>
                <c:pt idx="1">
                  <c:v>1007.1762000000001</c:v>
                </c:pt>
                <c:pt idx="2">
                  <c:v>897.26962500000013</c:v>
                </c:pt>
                <c:pt idx="3">
                  <c:v>1436.3334749999999</c:v>
                </c:pt>
                <c:pt idx="4">
                  <c:v>2339.3432944762762</c:v>
                </c:pt>
                <c:pt idx="5">
                  <c:v>3171.8880694762765</c:v>
                </c:pt>
                <c:pt idx="6">
                  <c:v>2214.1697525886684</c:v>
                </c:pt>
                <c:pt idx="7">
                  <c:v>783.47925776600528</c:v>
                </c:pt>
                <c:pt idx="8">
                  <c:v>729.61901035467372</c:v>
                </c:pt>
                <c:pt idx="9">
                  <c:v>729.61901035467372</c:v>
                </c:pt>
                <c:pt idx="10">
                  <c:v>729.61901035467372</c:v>
                </c:pt>
                <c:pt idx="11">
                  <c:v>729.61901035467372</c:v>
                </c:pt>
                <c:pt idx="12">
                  <c:v>729.61901035467372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F-46F6-9E9B-1D1DD764570F}"/>
            </c:ext>
          </c:extLst>
        </c:ser>
        <c:ser>
          <c:idx val="3"/>
          <c:order val="3"/>
          <c:tx>
            <c:strRef>
              <c:f>Replacement!$C$78</c:f>
              <c:strCache>
                <c:ptCount val="1"/>
                <c:pt idx="0">
                  <c:v>Dist T/F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Replacement!$I$78:$U$78</c:f>
              <c:numCache>
                <c:formatCode>#,##0</c:formatCode>
                <c:ptCount val="13"/>
                <c:pt idx="0">
                  <c:v>1530.9828749999999</c:v>
                </c:pt>
                <c:pt idx="1">
                  <c:v>1570.3543750000001</c:v>
                </c:pt>
                <c:pt idx="2">
                  <c:v>1639.7316250000003</c:v>
                </c:pt>
                <c:pt idx="3">
                  <c:v>2103.366125</c:v>
                </c:pt>
                <c:pt idx="4">
                  <c:v>2354.9148919507215</c:v>
                </c:pt>
                <c:pt idx="5">
                  <c:v>1942.5560169507216</c:v>
                </c:pt>
                <c:pt idx="6">
                  <c:v>1867.0885437884522</c:v>
                </c:pt>
                <c:pt idx="7">
                  <c:v>2038.7656313653565</c:v>
                </c:pt>
                <c:pt idx="8">
                  <c:v>2124.6041751538087</c:v>
                </c:pt>
                <c:pt idx="9">
                  <c:v>2124.6041751538087</c:v>
                </c:pt>
                <c:pt idx="10">
                  <c:v>2124.6041751538087</c:v>
                </c:pt>
                <c:pt idx="11">
                  <c:v>2124.6041751538087</c:v>
                </c:pt>
                <c:pt idx="12">
                  <c:v>2124.6041751538087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F-46F6-9E9B-1D1DD764570F}"/>
            </c:ext>
          </c:extLst>
        </c:ser>
        <c:ser>
          <c:idx val="4"/>
          <c:order val="4"/>
          <c:tx>
            <c:strRef>
              <c:f>Replacement!$C$79</c:f>
              <c:strCache>
                <c:ptCount val="1"/>
                <c:pt idx="0">
                  <c:v>LV Feeder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Replacement!$I$79:$U$79</c:f>
              <c:numCache>
                <c:formatCode>#,##0</c:formatCode>
                <c:ptCount val="13"/>
                <c:pt idx="0">
                  <c:v>1319.4258000000002</c:v>
                </c:pt>
                <c:pt idx="1">
                  <c:v>1398.233725</c:v>
                </c:pt>
                <c:pt idx="2">
                  <c:v>1481.022375</c:v>
                </c:pt>
                <c:pt idx="3">
                  <c:v>1901.8498999999999</c:v>
                </c:pt>
                <c:pt idx="4">
                  <c:v>2755.6612768259447</c:v>
                </c:pt>
                <c:pt idx="5">
                  <c:v>3305.053151825945</c:v>
                </c:pt>
                <c:pt idx="6">
                  <c:v>2463.4468077033621</c:v>
                </c:pt>
                <c:pt idx="7">
                  <c:v>1660.3204231100854</c:v>
                </c:pt>
                <c:pt idx="8">
                  <c:v>1699.7472308134472</c:v>
                </c:pt>
                <c:pt idx="9">
                  <c:v>1699.7472308134472</c:v>
                </c:pt>
                <c:pt idx="10">
                  <c:v>1699.7472308134472</c:v>
                </c:pt>
                <c:pt idx="11">
                  <c:v>1699.7472308134472</c:v>
                </c:pt>
                <c:pt idx="12">
                  <c:v>1699.7472308134472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9F-46F6-9E9B-1D1DD7645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504408"/>
        <c:axId val="440413416"/>
      </c:barChart>
      <c:catAx>
        <c:axId val="3845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413416"/>
        <c:crosses val="autoZero"/>
        <c:auto val="1"/>
        <c:lblAlgn val="ctr"/>
        <c:lblOffset val="100"/>
        <c:noMultiLvlLbl val="0"/>
      </c:catAx>
      <c:valAx>
        <c:axId val="4404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37</xdr:row>
      <xdr:rowOff>171450</xdr:rowOff>
    </xdr:from>
    <xdr:to>
      <xdr:col>35</xdr:col>
      <xdr:colOff>495300</xdr:colOff>
      <xdr:row>52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74</xdr:row>
      <xdr:rowOff>4762</xdr:rowOff>
    </xdr:from>
    <xdr:to>
      <xdr:col>32</xdr:col>
      <xdr:colOff>76200</xdr:colOff>
      <xdr:row>88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AIC%20SAPN%20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C"/>
      <sheetName val="Incremental capex"/>
      <sheetName val="Incremental opex"/>
      <sheetName val="Incremental demand"/>
    </sheetNames>
    <sheetDataSet>
      <sheetData sheetId="0">
        <row r="4">
          <cell r="H4" t="str">
            <v>2015/16</v>
          </cell>
        </row>
      </sheetData>
      <sheetData sheetId="1"/>
      <sheetData sheetId="2"/>
      <sheetData sheetId="3">
        <row r="2">
          <cell r="E2" t="str">
            <v>2014/15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9"/>
  <sheetViews>
    <sheetView workbookViewId="0">
      <pane xSplit="8" ySplit="4" topLeftCell="I41" activePane="bottomRight" state="frozen"/>
      <selection pane="topRight" activeCell="I1" sqref="I1"/>
      <selection pane="bottomLeft" activeCell="A5" sqref="A5"/>
      <selection pane="bottomRight" activeCell="C67" sqref="C67"/>
    </sheetView>
  </sheetViews>
  <sheetFormatPr defaultRowHeight="15" x14ac:dyDescent="0.25"/>
  <cols>
    <col min="1" max="2" width="5.7109375" customWidth="1"/>
    <col min="3" max="3" width="36.7109375" customWidth="1"/>
    <col min="5" max="8" width="9.140625" hidden="1" customWidth="1"/>
    <col min="11" max="35" width="10.140625" bestFit="1" customWidth="1"/>
  </cols>
  <sheetData>
    <row r="1" spans="1:28" x14ac:dyDescent="0.25">
      <c r="A1" s="417" t="s">
        <v>173</v>
      </c>
      <c r="B1" s="418"/>
      <c r="C1" s="418"/>
      <c r="D1" s="418"/>
    </row>
    <row r="2" spans="1:28" ht="20.25" x14ac:dyDescent="0.25">
      <c r="A2" s="412"/>
      <c r="B2" s="413"/>
      <c r="C2" s="413"/>
      <c r="D2" s="413"/>
      <c r="E2" s="205"/>
      <c r="F2" s="206"/>
      <c r="G2" s="207"/>
      <c r="H2" s="212"/>
      <c r="I2" s="270" t="s">
        <v>174</v>
      </c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4"/>
    </row>
    <row r="3" spans="1:28" x14ac:dyDescent="0.25">
      <c r="A3" s="180"/>
      <c r="B3" s="181"/>
      <c r="C3" s="182"/>
      <c r="D3" s="183" t="s">
        <v>0</v>
      </c>
      <c r="E3" s="18" t="s">
        <v>1</v>
      </c>
      <c r="F3" s="18" t="s">
        <v>2</v>
      </c>
      <c r="G3" s="208" t="s">
        <v>3</v>
      </c>
      <c r="H3" s="18" t="s">
        <v>4</v>
      </c>
      <c r="I3" s="1" t="s">
        <v>5</v>
      </c>
      <c r="J3" s="1" t="s">
        <v>6</v>
      </c>
      <c r="K3" s="16" t="s">
        <v>7</v>
      </c>
      <c r="L3" s="16" t="s">
        <v>8</v>
      </c>
      <c r="M3" s="16" t="s">
        <v>9</v>
      </c>
      <c r="N3" s="16" t="s">
        <v>10</v>
      </c>
      <c r="O3" s="16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6" t="s">
        <v>17</v>
      </c>
    </row>
    <row r="4" spans="1:28" x14ac:dyDescent="0.25">
      <c r="A4" s="184" t="s">
        <v>18</v>
      </c>
      <c r="B4" s="185"/>
      <c r="C4" s="186"/>
      <c r="D4" s="187" t="s">
        <v>19</v>
      </c>
      <c r="E4" s="204" t="s">
        <v>20</v>
      </c>
      <c r="F4" s="204" t="s">
        <v>21</v>
      </c>
      <c r="G4" s="209"/>
      <c r="H4" s="204" t="s">
        <v>22</v>
      </c>
      <c r="I4" s="2" t="s">
        <v>23</v>
      </c>
      <c r="J4" s="2" t="s">
        <v>23</v>
      </c>
      <c r="K4" s="17" t="s">
        <v>23</v>
      </c>
      <c r="L4" s="17" t="s">
        <v>23</v>
      </c>
      <c r="M4" s="17" t="s">
        <v>23</v>
      </c>
      <c r="N4" s="17" t="s">
        <v>23</v>
      </c>
      <c r="O4" s="17" t="s">
        <v>23</v>
      </c>
      <c r="P4" s="2" t="s">
        <v>23</v>
      </c>
      <c r="Q4" s="2" t="s">
        <v>23</v>
      </c>
      <c r="R4" s="2" t="s">
        <v>23</v>
      </c>
      <c r="S4" s="2" t="s">
        <v>23</v>
      </c>
      <c r="T4" s="2" t="s">
        <v>23</v>
      </c>
      <c r="U4" s="17" t="s">
        <v>24</v>
      </c>
      <c r="W4" s="215" t="s">
        <v>50</v>
      </c>
      <c r="X4" s="216" t="s">
        <v>51</v>
      </c>
      <c r="Y4" s="216" t="s">
        <v>52</v>
      </c>
      <c r="Z4" s="216" t="s">
        <v>53</v>
      </c>
      <c r="AA4" s="216" t="s">
        <v>54</v>
      </c>
      <c r="AB4" s="217" t="s">
        <v>120</v>
      </c>
    </row>
    <row r="5" spans="1:28" x14ac:dyDescent="0.25">
      <c r="A5" s="188" t="s">
        <v>25</v>
      </c>
      <c r="B5" s="189"/>
      <c r="C5" s="182"/>
      <c r="D5" s="183"/>
      <c r="E5" s="3"/>
      <c r="F5" s="3"/>
      <c r="G5" s="208"/>
      <c r="H5" s="3"/>
      <c r="I5" s="4"/>
      <c r="J5" s="4"/>
      <c r="K5" s="3"/>
      <c r="L5" s="3"/>
      <c r="M5" s="3"/>
      <c r="N5" s="3"/>
      <c r="O5" s="3"/>
      <c r="P5" s="5"/>
      <c r="Q5" s="5"/>
      <c r="R5" s="5"/>
      <c r="S5" s="5"/>
      <c r="T5" s="5"/>
      <c r="U5" s="18"/>
      <c r="W5" s="218"/>
      <c r="X5" s="219"/>
      <c r="Y5" s="219"/>
      <c r="Z5" s="219"/>
      <c r="AA5" s="219"/>
      <c r="AB5" s="220"/>
    </row>
    <row r="6" spans="1:28" x14ac:dyDescent="0.25">
      <c r="A6" s="190"/>
      <c r="B6" s="191" t="s">
        <v>26</v>
      </c>
      <c r="C6" s="192"/>
      <c r="D6" s="193"/>
      <c r="E6" s="6"/>
      <c r="F6" s="6"/>
      <c r="G6" s="210"/>
      <c r="H6" s="6"/>
      <c r="I6" s="7" t="str">
        <f t="shared" ref="I6:P6" si="0">IF($A$1=2,I37,"")</f>
        <v/>
      </c>
      <c r="J6" s="7" t="str">
        <f t="shared" si="0"/>
        <v/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8" t="str">
        <f t="shared" si="0"/>
        <v/>
      </c>
      <c r="O6" s="8" t="str">
        <f t="shared" si="0"/>
        <v/>
      </c>
      <c r="P6" s="9" t="str">
        <f t="shared" si="0"/>
        <v/>
      </c>
      <c r="Q6" s="9"/>
      <c r="R6" s="9"/>
      <c r="S6" s="9"/>
      <c r="T6" s="9"/>
      <c r="U6" s="19"/>
      <c r="W6" s="221"/>
      <c r="X6" s="222"/>
      <c r="Y6" s="222"/>
      <c r="Z6" s="222"/>
      <c r="AA6" s="222"/>
      <c r="AB6" s="223"/>
    </row>
    <row r="7" spans="1:28" x14ac:dyDescent="0.25">
      <c r="A7" s="194"/>
      <c r="B7" s="414" t="s">
        <v>27</v>
      </c>
      <c r="C7" s="195" t="s">
        <v>28</v>
      </c>
      <c r="D7" s="196">
        <v>1</v>
      </c>
      <c r="E7" s="6" t="s">
        <v>29</v>
      </c>
      <c r="F7" s="6" t="s">
        <v>30</v>
      </c>
      <c r="G7" s="210" t="s">
        <v>31</v>
      </c>
      <c r="H7" s="6" t="s">
        <v>32</v>
      </c>
      <c r="I7" s="10">
        <v>21118.643499999998</v>
      </c>
      <c r="J7" s="10">
        <v>9782.121000000001</v>
      </c>
      <c r="K7" s="11">
        <v>5304.7795000000006</v>
      </c>
      <c r="L7" s="11">
        <v>2054.1365000000001</v>
      </c>
      <c r="M7" s="11">
        <v>1042.2579999999998</v>
      </c>
      <c r="N7" s="11">
        <v>336.72949999999997</v>
      </c>
      <c r="O7" s="11">
        <v>705</v>
      </c>
      <c r="P7" s="12">
        <v>4945</v>
      </c>
      <c r="Q7" s="12">
        <v>6005</v>
      </c>
      <c r="R7" s="12">
        <v>1765</v>
      </c>
      <c r="S7" s="12">
        <v>0</v>
      </c>
      <c r="T7" s="12">
        <v>0</v>
      </c>
      <c r="U7" s="20">
        <v>0</v>
      </c>
      <c r="W7" s="224">
        <v>0.75</v>
      </c>
      <c r="X7" s="222"/>
      <c r="Y7" s="222"/>
      <c r="Z7" s="222"/>
      <c r="AA7" s="222"/>
      <c r="AB7" s="225">
        <f>1-SUM(W7:AA7)</f>
        <v>0.25</v>
      </c>
    </row>
    <row r="8" spans="1:28" x14ac:dyDescent="0.25">
      <c r="A8" s="197"/>
      <c r="B8" s="415"/>
      <c r="C8" s="195" t="s">
        <v>33</v>
      </c>
      <c r="D8" s="196">
        <v>2</v>
      </c>
      <c r="E8" s="6" t="s">
        <v>29</v>
      </c>
      <c r="F8" s="6" t="s">
        <v>30</v>
      </c>
      <c r="G8" s="210" t="s">
        <v>31</v>
      </c>
      <c r="H8" s="6" t="s">
        <v>32</v>
      </c>
      <c r="I8" s="10">
        <v>0</v>
      </c>
      <c r="J8" s="10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20">
        <v>0</v>
      </c>
      <c r="W8" s="224">
        <v>1</v>
      </c>
      <c r="X8" s="222"/>
      <c r="Y8" s="222"/>
      <c r="Z8" s="222"/>
      <c r="AA8" s="222"/>
      <c r="AB8" s="225">
        <f>1-SUM(W8:AA8)</f>
        <v>0</v>
      </c>
    </row>
    <row r="9" spans="1:28" x14ac:dyDescent="0.25">
      <c r="A9" s="197"/>
      <c r="B9" s="415"/>
      <c r="C9" s="195" t="s">
        <v>34</v>
      </c>
      <c r="D9" s="196">
        <v>3</v>
      </c>
      <c r="E9" s="6" t="s">
        <v>29</v>
      </c>
      <c r="F9" s="6" t="s">
        <v>35</v>
      </c>
      <c r="G9" s="210" t="s">
        <v>31</v>
      </c>
      <c r="H9" s="6" t="s">
        <v>32</v>
      </c>
      <c r="I9" s="10">
        <v>8567.648000000001</v>
      </c>
      <c r="J9" s="10">
        <v>8048.0985000000001</v>
      </c>
      <c r="K9" s="11">
        <v>7990.0455000000002</v>
      </c>
      <c r="L9" s="11">
        <v>7927.6764999999996</v>
      </c>
      <c r="M9" s="11">
        <v>7594.3979999999992</v>
      </c>
      <c r="N9" s="11">
        <v>7414.9675000000007</v>
      </c>
      <c r="O9" s="11">
        <v>8390</v>
      </c>
      <c r="P9" s="12">
        <v>9000</v>
      </c>
      <c r="Q9" s="12">
        <v>9400</v>
      </c>
      <c r="R9" s="12">
        <v>9800</v>
      </c>
      <c r="S9" s="12">
        <v>10200</v>
      </c>
      <c r="T9" s="12">
        <v>10600</v>
      </c>
      <c r="U9" s="20">
        <v>10800</v>
      </c>
      <c r="W9" s="221"/>
      <c r="X9" s="222"/>
      <c r="Y9" s="222"/>
      <c r="Z9" s="226">
        <v>0.6</v>
      </c>
      <c r="AA9" s="226">
        <v>0.15</v>
      </c>
      <c r="AB9" s="225">
        <f t="shared" ref="AB9:AB21" si="1">1-SUM(W9:AA9)</f>
        <v>0.25</v>
      </c>
    </row>
    <row r="10" spans="1:28" x14ac:dyDescent="0.25">
      <c r="A10" s="197"/>
      <c r="B10" s="415"/>
      <c r="C10" s="195" t="s">
        <v>36</v>
      </c>
      <c r="D10" s="196">
        <v>4</v>
      </c>
      <c r="E10" s="6" t="s">
        <v>29</v>
      </c>
      <c r="F10" s="6" t="s">
        <v>30</v>
      </c>
      <c r="G10" s="210" t="s">
        <v>31</v>
      </c>
      <c r="H10" s="6" t="s">
        <v>32</v>
      </c>
      <c r="I10" s="10">
        <v>2753.6920000000005</v>
      </c>
      <c r="J10" s="10">
        <v>2830.1435000000006</v>
      </c>
      <c r="K10" s="11">
        <v>538.51550000000009</v>
      </c>
      <c r="L10" s="11">
        <v>852.81555000000003</v>
      </c>
      <c r="M10" s="11">
        <v>753.19055000000003</v>
      </c>
      <c r="N10" s="11">
        <v>17.641500000000001</v>
      </c>
      <c r="O10" s="11">
        <v>2420</v>
      </c>
      <c r="P10" s="12">
        <v>2750</v>
      </c>
      <c r="Q10" s="12">
        <v>330</v>
      </c>
      <c r="R10" s="12">
        <v>85</v>
      </c>
      <c r="S10" s="12">
        <v>625</v>
      </c>
      <c r="T10" s="12">
        <v>905</v>
      </c>
      <c r="U10" s="20">
        <v>730</v>
      </c>
      <c r="W10" s="221"/>
      <c r="X10" s="222"/>
      <c r="Y10" s="226">
        <v>1</v>
      </c>
      <c r="Z10" s="222"/>
      <c r="AA10" s="222"/>
      <c r="AB10" s="225">
        <f t="shared" si="1"/>
        <v>0</v>
      </c>
    </row>
    <row r="11" spans="1:28" x14ac:dyDescent="0.25">
      <c r="A11" s="197"/>
      <c r="B11" s="415"/>
      <c r="C11" s="195" t="s">
        <v>37</v>
      </c>
      <c r="D11" s="196">
        <v>5</v>
      </c>
      <c r="E11" s="6" t="s">
        <v>29</v>
      </c>
      <c r="F11" s="6" t="s">
        <v>30</v>
      </c>
      <c r="G11" s="210" t="s">
        <v>31</v>
      </c>
      <c r="H11" s="6" t="s">
        <v>32</v>
      </c>
      <c r="I11" s="10">
        <v>0</v>
      </c>
      <c r="J11" s="10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20">
        <v>0</v>
      </c>
      <c r="W11" s="221"/>
      <c r="X11" s="226">
        <v>1</v>
      </c>
      <c r="Y11" s="222"/>
      <c r="Z11" s="222"/>
      <c r="AA11" s="222"/>
      <c r="AB11" s="225">
        <f t="shared" si="1"/>
        <v>0</v>
      </c>
    </row>
    <row r="12" spans="1:28" x14ac:dyDescent="0.25">
      <c r="A12" s="197"/>
      <c r="B12" s="415"/>
      <c r="C12" s="195" t="s">
        <v>38</v>
      </c>
      <c r="D12" s="196">
        <v>6</v>
      </c>
      <c r="E12" s="6" t="s">
        <v>29</v>
      </c>
      <c r="F12" s="6" t="s">
        <v>30</v>
      </c>
      <c r="G12" s="210" t="s">
        <v>31</v>
      </c>
      <c r="H12" s="6" t="s">
        <v>32</v>
      </c>
      <c r="I12" s="10">
        <v>4100</v>
      </c>
      <c r="J12" s="10">
        <v>4100</v>
      </c>
      <c r="K12" s="11">
        <v>4100</v>
      </c>
      <c r="L12" s="11">
        <v>4100</v>
      </c>
      <c r="M12" s="11">
        <v>4100</v>
      </c>
      <c r="N12" s="11">
        <v>4100</v>
      </c>
      <c r="O12" s="11">
        <v>4100</v>
      </c>
      <c r="P12" s="12">
        <v>4100</v>
      </c>
      <c r="Q12" s="12">
        <v>4100</v>
      </c>
      <c r="R12" s="12">
        <v>4100</v>
      </c>
      <c r="S12" s="12">
        <v>4100</v>
      </c>
      <c r="T12" s="12">
        <v>4100</v>
      </c>
      <c r="U12" s="20">
        <v>4100</v>
      </c>
      <c r="W12" s="221"/>
      <c r="X12" s="226">
        <v>0.5</v>
      </c>
      <c r="Y12" s="226">
        <v>0.15</v>
      </c>
      <c r="Z12" s="226"/>
      <c r="AA12" s="226">
        <v>0.1</v>
      </c>
      <c r="AB12" s="225">
        <f t="shared" si="1"/>
        <v>0.25</v>
      </c>
    </row>
    <row r="13" spans="1:28" x14ac:dyDescent="0.25">
      <c r="A13" s="197"/>
      <c r="B13" s="415"/>
      <c r="C13" s="195" t="s">
        <v>39</v>
      </c>
      <c r="D13" s="196">
        <v>7</v>
      </c>
      <c r="E13" s="6" t="s">
        <v>29</v>
      </c>
      <c r="F13" s="6" t="s">
        <v>30</v>
      </c>
      <c r="G13" s="210" t="s">
        <v>31</v>
      </c>
      <c r="H13" s="6" t="s">
        <v>32</v>
      </c>
      <c r="I13" s="10">
        <v>22979.362361</v>
      </c>
      <c r="J13" s="10">
        <v>21985.813361</v>
      </c>
      <c r="K13" s="11">
        <v>22031.279000000002</v>
      </c>
      <c r="L13" s="11">
        <v>18601.732</v>
      </c>
      <c r="M13" s="11">
        <v>14024.405905628211</v>
      </c>
      <c r="N13" s="11">
        <v>8643.1649056282113</v>
      </c>
      <c r="O13" s="11">
        <v>6457.9250000000002</v>
      </c>
      <c r="P13" s="12">
        <v>3575</v>
      </c>
      <c r="Q13" s="12">
        <v>2440</v>
      </c>
      <c r="R13" s="12">
        <v>3320</v>
      </c>
      <c r="S13" s="12">
        <v>2405</v>
      </c>
      <c r="T13" s="12">
        <v>800</v>
      </c>
      <c r="U13" s="20">
        <v>600</v>
      </c>
      <c r="W13" s="221"/>
      <c r="X13" s="226">
        <v>1</v>
      </c>
      <c r="Y13" s="222"/>
      <c r="Z13" s="222"/>
      <c r="AA13" s="222"/>
      <c r="AB13" s="225">
        <f t="shared" si="1"/>
        <v>0</v>
      </c>
    </row>
    <row r="14" spans="1:28" x14ac:dyDescent="0.25">
      <c r="A14" s="197"/>
      <c r="B14" s="415"/>
      <c r="C14" s="195" t="s">
        <v>40</v>
      </c>
      <c r="D14" s="196">
        <v>8</v>
      </c>
      <c r="E14" s="6" t="s">
        <v>29</v>
      </c>
      <c r="F14" s="6" t="s">
        <v>30</v>
      </c>
      <c r="G14" s="210" t="s">
        <v>31</v>
      </c>
      <c r="H14" s="6" t="s">
        <v>32</v>
      </c>
      <c r="I14" s="10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20">
        <v>0</v>
      </c>
      <c r="W14" s="221"/>
      <c r="X14" s="226">
        <v>1</v>
      </c>
      <c r="Y14" s="222"/>
      <c r="Z14" s="222"/>
      <c r="AA14" s="222"/>
      <c r="AB14" s="225">
        <f t="shared" si="1"/>
        <v>0</v>
      </c>
    </row>
    <row r="15" spans="1:28" x14ac:dyDescent="0.25">
      <c r="A15" s="197"/>
      <c r="B15" s="415"/>
      <c r="C15" s="195" t="s">
        <v>41</v>
      </c>
      <c r="D15" s="196">
        <v>9</v>
      </c>
      <c r="E15" s="6" t="s">
        <v>29</v>
      </c>
      <c r="F15" s="6" t="s">
        <v>30</v>
      </c>
      <c r="G15" s="210" t="s">
        <v>31</v>
      </c>
      <c r="H15" s="6" t="s">
        <v>32</v>
      </c>
      <c r="I15" s="10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20">
        <v>0</v>
      </c>
      <c r="W15" s="224">
        <v>1</v>
      </c>
      <c r="X15" s="222"/>
      <c r="Y15" s="222"/>
      <c r="Z15" s="222"/>
      <c r="AA15" s="222"/>
      <c r="AB15" s="225">
        <f t="shared" si="1"/>
        <v>0</v>
      </c>
    </row>
    <row r="16" spans="1:28" x14ac:dyDescent="0.25">
      <c r="A16" s="197"/>
      <c r="B16" s="415"/>
      <c r="C16" s="195" t="s">
        <v>42</v>
      </c>
      <c r="D16" s="196">
        <v>10</v>
      </c>
      <c r="E16" s="6" t="s">
        <v>29</v>
      </c>
      <c r="F16" s="6" t="s">
        <v>30</v>
      </c>
      <c r="G16" s="210" t="s">
        <v>31</v>
      </c>
      <c r="H16" s="6" t="s">
        <v>32</v>
      </c>
      <c r="I16" s="10">
        <v>16619.398999999998</v>
      </c>
      <c r="J16" s="10">
        <v>10138.246000000001</v>
      </c>
      <c r="K16" s="11">
        <v>3975.9815000000008</v>
      </c>
      <c r="L16" s="11">
        <v>6064.6535000000003</v>
      </c>
      <c r="M16" s="11">
        <v>6915.2779750000018</v>
      </c>
      <c r="N16" s="11">
        <v>7769.0114750000012</v>
      </c>
      <c r="O16" s="11">
        <v>9410</v>
      </c>
      <c r="P16" s="12">
        <v>8720</v>
      </c>
      <c r="Q16" s="12">
        <v>4725</v>
      </c>
      <c r="R16" s="12">
        <v>1140</v>
      </c>
      <c r="S16" s="12">
        <v>1595</v>
      </c>
      <c r="T16" s="12">
        <v>5570</v>
      </c>
      <c r="U16" s="20">
        <v>9090</v>
      </c>
      <c r="W16" s="224">
        <v>0.8</v>
      </c>
      <c r="X16" s="222"/>
      <c r="Y16" s="222"/>
      <c r="Z16" s="222"/>
      <c r="AA16" s="222"/>
      <c r="AB16" s="225">
        <f t="shared" si="1"/>
        <v>0.19999999999999996</v>
      </c>
    </row>
    <row r="17" spans="1:31" x14ac:dyDescent="0.25">
      <c r="A17" s="197"/>
      <c r="B17" s="415"/>
      <c r="C17" s="195" t="s">
        <v>175</v>
      </c>
      <c r="D17" s="196">
        <v>11</v>
      </c>
      <c r="E17" s="6"/>
      <c r="F17" s="6"/>
      <c r="G17" s="210"/>
      <c r="H17" s="6"/>
      <c r="I17" s="10">
        <v>641.01799999999992</v>
      </c>
      <c r="J17" s="10">
        <v>823.75799999999992</v>
      </c>
      <c r="K17" s="11">
        <v>361.38900000000001</v>
      </c>
      <c r="L17" s="11">
        <v>103.35250000000001</v>
      </c>
      <c r="M17" s="11">
        <v>44.425221633049432</v>
      </c>
      <c r="N17" s="11">
        <v>123.63872163304943</v>
      </c>
      <c r="O17" s="11">
        <v>445</v>
      </c>
      <c r="P17" s="12">
        <v>700</v>
      </c>
      <c r="Q17" s="12">
        <v>700</v>
      </c>
      <c r="R17" s="12">
        <v>700</v>
      </c>
      <c r="S17" s="12">
        <v>700</v>
      </c>
      <c r="T17" s="12">
        <v>700</v>
      </c>
      <c r="U17" s="20">
        <v>700</v>
      </c>
      <c r="W17" s="224"/>
      <c r="X17" s="222"/>
      <c r="Y17" s="226">
        <v>0.3</v>
      </c>
      <c r="Z17" s="226">
        <v>0.15</v>
      </c>
      <c r="AA17" s="226">
        <v>0.15</v>
      </c>
      <c r="AB17" s="225">
        <f t="shared" si="1"/>
        <v>0.4</v>
      </c>
    </row>
    <row r="18" spans="1:31" x14ac:dyDescent="0.25">
      <c r="A18" s="197"/>
      <c r="B18" s="415"/>
      <c r="C18" s="195" t="s">
        <v>43</v>
      </c>
      <c r="D18" s="196">
        <v>12</v>
      </c>
      <c r="E18" s="6" t="s">
        <v>29</v>
      </c>
      <c r="F18" s="6" t="s">
        <v>30</v>
      </c>
      <c r="G18" s="210" t="s">
        <v>31</v>
      </c>
      <c r="H18" s="6" t="s">
        <v>32</v>
      </c>
      <c r="I18" s="10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1025</v>
      </c>
      <c r="P18" s="12">
        <v>2855</v>
      </c>
      <c r="Q18" s="12">
        <v>2855</v>
      </c>
      <c r="R18" s="12">
        <v>2855</v>
      </c>
      <c r="S18" s="12">
        <v>3660</v>
      </c>
      <c r="T18" s="12">
        <v>3660</v>
      </c>
      <c r="U18" s="20">
        <v>3660</v>
      </c>
      <c r="W18" s="221"/>
      <c r="X18" s="222"/>
      <c r="Y18" s="226">
        <v>0.25</v>
      </c>
      <c r="Z18" s="226">
        <v>0.25</v>
      </c>
      <c r="AA18" s="222"/>
      <c r="AB18" s="225">
        <f t="shared" si="1"/>
        <v>0.5</v>
      </c>
    </row>
    <row r="19" spans="1:31" x14ac:dyDescent="0.25">
      <c r="A19" s="197"/>
      <c r="B19" s="416"/>
      <c r="C19" s="195" t="s">
        <v>44</v>
      </c>
      <c r="D19" s="196">
        <v>13</v>
      </c>
      <c r="E19" s="6" t="s">
        <v>29</v>
      </c>
      <c r="F19" s="6" t="s">
        <v>30</v>
      </c>
      <c r="G19" s="210" t="s">
        <v>31</v>
      </c>
      <c r="H19" s="6" t="s">
        <v>32</v>
      </c>
      <c r="I19" s="10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2">
        <v>0</v>
      </c>
      <c r="R19" s="12">
        <v>0</v>
      </c>
      <c r="S19" s="12">
        <v>1550</v>
      </c>
      <c r="T19" s="12">
        <v>1550</v>
      </c>
      <c r="U19" s="20">
        <v>0</v>
      </c>
      <c r="W19" s="221"/>
      <c r="X19" s="226">
        <v>1</v>
      </c>
      <c r="Y19" s="222"/>
      <c r="Z19" s="222"/>
      <c r="AA19" s="222"/>
      <c r="AB19" s="225">
        <f t="shared" si="1"/>
        <v>0</v>
      </c>
    </row>
    <row r="20" spans="1:31" x14ac:dyDescent="0.25">
      <c r="A20" s="197"/>
      <c r="B20" s="198"/>
      <c r="C20" s="195" t="s">
        <v>45</v>
      </c>
      <c r="D20" s="196">
        <v>14</v>
      </c>
      <c r="E20" s="6" t="s">
        <v>29</v>
      </c>
      <c r="F20" s="6" t="s">
        <v>30</v>
      </c>
      <c r="G20" s="210" t="s">
        <v>31</v>
      </c>
      <c r="H20" s="6" t="s">
        <v>32</v>
      </c>
      <c r="I20" s="10">
        <v>0</v>
      </c>
      <c r="J20" s="10">
        <v>0</v>
      </c>
      <c r="K20" s="11">
        <v>0</v>
      </c>
      <c r="L20" s="11">
        <v>1250</v>
      </c>
      <c r="M20" s="11">
        <v>1250</v>
      </c>
      <c r="N20" s="11">
        <v>0</v>
      </c>
      <c r="O20" s="11">
        <v>2000</v>
      </c>
      <c r="P20" s="12">
        <v>4000</v>
      </c>
      <c r="Q20" s="12">
        <v>4000</v>
      </c>
      <c r="R20" s="12">
        <v>4000</v>
      </c>
      <c r="S20" s="12">
        <v>4000</v>
      </c>
      <c r="T20" s="12">
        <v>4000</v>
      </c>
      <c r="U20" s="20">
        <v>4000</v>
      </c>
      <c r="W20" s="221"/>
      <c r="X20" s="222"/>
      <c r="Y20" s="226">
        <v>0.2</v>
      </c>
      <c r="Z20" s="226">
        <v>0.2</v>
      </c>
      <c r="AA20" s="226">
        <v>0.2</v>
      </c>
      <c r="AB20" s="225">
        <f t="shared" si="1"/>
        <v>0.39999999999999991</v>
      </c>
    </row>
    <row r="21" spans="1:31" x14ac:dyDescent="0.25">
      <c r="A21" s="197"/>
      <c r="B21" s="199"/>
      <c r="C21" s="195" t="s">
        <v>176</v>
      </c>
      <c r="D21" s="196">
        <v>15</v>
      </c>
      <c r="E21" s="6" t="s">
        <v>29</v>
      </c>
      <c r="F21" s="6" t="s">
        <v>30</v>
      </c>
      <c r="G21" s="210" t="s">
        <v>31</v>
      </c>
      <c r="H21" s="6" t="s">
        <v>32</v>
      </c>
      <c r="I21" s="10">
        <v>0</v>
      </c>
      <c r="J21" s="10">
        <v>0</v>
      </c>
      <c r="K21" s="11">
        <v>0</v>
      </c>
      <c r="L21" s="11">
        <v>4815.9944999999998</v>
      </c>
      <c r="M21" s="11">
        <v>13341.886999999999</v>
      </c>
      <c r="N21" s="11">
        <v>8525.8924999999999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20">
        <v>0</v>
      </c>
      <c r="W21" s="224">
        <v>0.35</v>
      </c>
      <c r="X21" s="222"/>
      <c r="Y21" s="226">
        <v>0.15</v>
      </c>
      <c r="Z21" s="222"/>
      <c r="AA21" s="222"/>
      <c r="AB21" s="225">
        <f t="shared" si="1"/>
        <v>0.5</v>
      </c>
    </row>
    <row r="22" spans="1:31" x14ac:dyDescent="0.25">
      <c r="A22" s="197"/>
      <c r="B22" s="199"/>
      <c r="C22" s="195" t="s">
        <v>46</v>
      </c>
      <c r="D22" s="196">
        <v>16</v>
      </c>
      <c r="E22" s="6"/>
      <c r="F22" s="6"/>
      <c r="G22" s="210" t="s">
        <v>31</v>
      </c>
      <c r="H22" s="6"/>
      <c r="I22" s="10"/>
      <c r="J22" s="10"/>
      <c r="K22" s="11"/>
      <c r="L22" s="11"/>
      <c r="M22" s="11"/>
      <c r="N22" s="11"/>
      <c r="O22" s="11"/>
      <c r="P22" s="12"/>
      <c r="Q22" s="12"/>
      <c r="R22" s="12"/>
      <c r="S22" s="12"/>
      <c r="T22" s="12"/>
      <c r="U22" s="20"/>
      <c r="W22" s="221"/>
      <c r="X22" s="222"/>
      <c r="Y22" s="222"/>
      <c r="Z22" s="222"/>
      <c r="AA22" s="222"/>
      <c r="AB22" s="227"/>
    </row>
    <row r="23" spans="1:31" x14ac:dyDescent="0.25">
      <c r="A23" s="197"/>
      <c r="B23" s="199"/>
      <c r="C23" s="195"/>
      <c r="D23" s="196">
        <v>17</v>
      </c>
      <c r="E23" s="6"/>
      <c r="F23" s="6"/>
      <c r="G23" s="210"/>
      <c r="H23" s="6"/>
      <c r="I23" s="10"/>
      <c r="J23" s="10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20"/>
      <c r="W23" s="221"/>
      <c r="X23" s="222"/>
      <c r="Y23" s="222"/>
      <c r="Z23" s="222"/>
      <c r="AA23" s="222"/>
      <c r="AB23" s="223"/>
    </row>
    <row r="24" spans="1:31" x14ac:dyDescent="0.25">
      <c r="A24" s="197"/>
      <c r="B24" s="199"/>
      <c r="C24" s="195" t="s">
        <v>47</v>
      </c>
      <c r="D24" s="196">
        <v>18</v>
      </c>
      <c r="E24" s="6"/>
      <c r="F24" s="6"/>
      <c r="G24" s="210" t="s">
        <v>31</v>
      </c>
      <c r="H24" s="6"/>
      <c r="I24" s="10"/>
      <c r="J24" s="10"/>
      <c r="K24" s="11"/>
      <c r="L24" s="11"/>
      <c r="M24" s="11"/>
      <c r="N24" s="11"/>
      <c r="O24" s="11"/>
      <c r="P24" s="12"/>
      <c r="Q24" s="12"/>
      <c r="R24" s="12"/>
      <c r="S24" s="12"/>
      <c r="T24" s="12"/>
      <c r="U24" s="20"/>
      <c r="W24" s="221"/>
      <c r="X24" s="222"/>
      <c r="Y24" s="222"/>
      <c r="Z24" s="222"/>
      <c r="AA24" s="222"/>
      <c r="AB24" s="223"/>
      <c r="AC24" s="22"/>
      <c r="AD24" s="22"/>
      <c r="AE24" s="22"/>
    </row>
    <row r="25" spans="1:31" x14ac:dyDescent="0.25">
      <c r="A25" s="197"/>
      <c r="B25" s="199"/>
      <c r="C25" s="195"/>
      <c r="D25" s="196">
        <v>19</v>
      </c>
      <c r="E25" s="6"/>
      <c r="F25" s="6"/>
      <c r="G25" s="210"/>
      <c r="H25" s="6"/>
      <c r="I25" s="10"/>
      <c r="J25" s="10"/>
      <c r="K25" s="11"/>
      <c r="L25" s="11"/>
      <c r="M25" s="11"/>
      <c r="N25" s="11"/>
      <c r="O25" s="11"/>
      <c r="P25" s="9"/>
      <c r="Q25" s="9"/>
      <c r="R25" s="9"/>
      <c r="S25" s="9"/>
      <c r="T25" s="9"/>
      <c r="U25" s="19"/>
      <c r="W25" s="221"/>
      <c r="X25" s="222"/>
      <c r="Y25" s="222"/>
      <c r="Z25" s="222"/>
      <c r="AA25" s="222"/>
      <c r="AB25" s="223"/>
    </row>
    <row r="26" spans="1:31" x14ac:dyDescent="0.25">
      <c r="A26" s="197"/>
      <c r="B26" s="199"/>
      <c r="C26" s="195"/>
      <c r="D26" s="196">
        <v>20</v>
      </c>
      <c r="E26" s="6"/>
      <c r="F26" s="6"/>
      <c r="G26" s="210"/>
      <c r="H26" s="6"/>
      <c r="I26" s="10"/>
      <c r="J26" s="10"/>
      <c r="K26" s="11"/>
      <c r="L26" s="11"/>
      <c r="M26" s="11"/>
      <c r="N26" s="11"/>
      <c r="O26" s="11"/>
      <c r="P26" s="9"/>
      <c r="Q26" s="9"/>
      <c r="R26" s="9"/>
      <c r="S26" s="9"/>
      <c r="T26" s="9"/>
      <c r="U26" s="19"/>
      <c r="W26" s="221"/>
      <c r="X26" s="222"/>
      <c r="Y26" s="222"/>
      <c r="Z26" s="222"/>
      <c r="AA26" s="222"/>
      <c r="AB26" s="223"/>
    </row>
    <row r="27" spans="1:31" x14ac:dyDescent="0.25">
      <c r="A27" s="197"/>
      <c r="B27" s="199"/>
      <c r="C27" s="195"/>
      <c r="D27" s="196">
        <v>21</v>
      </c>
      <c r="E27" s="6"/>
      <c r="F27" s="6"/>
      <c r="G27" s="210"/>
      <c r="H27" s="6"/>
      <c r="I27" s="10"/>
      <c r="J27" s="10"/>
      <c r="K27" s="11"/>
      <c r="L27" s="11"/>
      <c r="M27" s="11"/>
      <c r="N27" s="11"/>
      <c r="O27" s="11"/>
      <c r="P27" s="9"/>
      <c r="Q27" s="9"/>
      <c r="R27" s="9"/>
      <c r="S27" s="9"/>
      <c r="T27" s="9"/>
      <c r="U27" s="19"/>
      <c r="W27" s="221"/>
      <c r="X27" s="222"/>
      <c r="Y27" s="222"/>
      <c r="Z27" s="222"/>
      <c r="AA27" s="222"/>
      <c r="AB27" s="223"/>
    </row>
    <row r="28" spans="1:31" x14ac:dyDescent="0.25">
      <c r="A28" s="197"/>
      <c r="B28" s="199"/>
      <c r="C28" s="195"/>
      <c r="D28" s="196">
        <v>22</v>
      </c>
      <c r="E28" s="6"/>
      <c r="F28" s="6"/>
      <c r="G28" s="210"/>
      <c r="H28" s="6"/>
      <c r="I28" s="10"/>
      <c r="J28" s="10"/>
      <c r="K28" s="11"/>
      <c r="L28" s="11"/>
      <c r="M28" s="11"/>
      <c r="N28" s="11"/>
      <c r="O28" s="11"/>
      <c r="P28" s="9"/>
      <c r="Q28" s="9"/>
      <c r="R28" s="9"/>
      <c r="S28" s="9"/>
      <c r="T28" s="9"/>
      <c r="U28" s="19"/>
      <c r="W28" s="221"/>
      <c r="X28" s="222"/>
      <c r="Y28" s="222"/>
      <c r="Z28" s="222"/>
      <c r="AA28" s="222"/>
      <c r="AB28" s="223"/>
    </row>
    <row r="29" spans="1:31" x14ac:dyDescent="0.25">
      <c r="A29" s="197"/>
      <c r="B29" s="199"/>
      <c r="C29" s="195"/>
      <c r="D29" s="196">
        <v>23</v>
      </c>
      <c r="E29" s="6"/>
      <c r="F29" s="6"/>
      <c r="G29" s="210"/>
      <c r="H29" s="6"/>
      <c r="I29" s="10"/>
      <c r="J29" s="10"/>
      <c r="K29" s="11"/>
      <c r="L29" s="11"/>
      <c r="M29" s="11"/>
      <c r="N29" s="11"/>
      <c r="O29" s="11"/>
      <c r="P29" s="9"/>
      <c r="Q29" s="9"/>
      <c r="R29" s="9"/>
      <c r="S29" s="9"/>
      <c r="T29" s="9"/>
      <c r="U29" s="19"/>
      <c r="W29" s="221"/>
      <c r="X29" s="222"/>
      <c r="Y29" s="222"/>
      <c r="Z29" s="222"/>
      <c r="AA29" s="222"/>
      <c r="AB29" s="223"/>
    </row>
    <row r="30" spans="1:31" x14ac:dyDescent="0.25">
      <c r="A30" s="197"/>
      <c r="B30" s="199"/>
      <c r="C30" s="195"/>
      <c r="D30" s="196">
        <v>24</v>
      </c>
      <c r="E30" s="6"/>
      <c r="F30" s="6"/>
      <c r="G30" s="210"/>
      <c r="H30" s="6"/>
      <c r="I30" s="10"/>
      <c r="J30" s="10"/>
      <c r="K30" s="11"/>
      <c r="L30" s="11"/>
      <c r="M30" s="11"/>
      <c r="N30" s="11"/>
      <c r="O30" s="11"/>
      <c r="P30" s="9"/>
      <c r="Q30" s="9"/>
      <c r="R30" s="9"/>
      <c r="S30" s="9"/>
      <c r="T30" s="9"/>
      <c r="U30" s="19"/>
      <c r="W30" s="221"/>
      <c r="X30" s="222"/>
      <c r="Y30" s="222"/>
      <c r="Z30" s="222"/>
      <c r="AA30" s="222"/>
      <c r="AB30" s="223"/>
    </row>
    <row r="31" spans="1:31" x14ac:dyDescent="0.25">
      <c r="A31" s="197"/>
      <c r="B31" s="199"/>
      <c r="C31" s="195"/>
      <c r="D31" s="196">
        <v>25</v>
      </c>
      <c r="E31" s="6"/>
      <c r="F31" s="6"/>
      <c r="G31" s="210"/>
      <c r="H31" s="6"/>
      <c r="I31" s="10"/>
      <c r="J31" s="10"/>
      <c r="K31" s="11"/>
      <c r="L31" s="11"/>
      <c r="M31" s="11"/>
      <c r="N31" s="11"/>
      <c r="O31" s="11"/>
      <c r="P31" s="9"/>
      <c r="Q31" s="9"/>
      <c r="R31" s="9"/>
      <c r="S31" s="9"/>
      <c r="T31" s="9"/>
      <c r="U31" s="19"/>
      <c r="W31" s="221"/>
      <c r="X31" s="222"/>
      <c r="Y31" s="222"/>
      <c r="Z31" s="222"/>
      <c r="AA31" s="222"/>
      <c r="AB31" s="223"/>
    </row>
    <row r="32" spans="1:31" x14ac:dyDescent="0.25">
      <c r="A32" s="197"/>
      <c r="B32" s="199"/>
      <c r="C32" s="195"/>
      <c r="D32" s="196">
        <v>26</v>
      </c>
      <c r="E32" s="6"/>
      <c r="F32" s="6"/>
      <c r="G32" s="210"/>
      <c r="H32" s="6"/>
      <c r="I32" s="10"/>
      <c r="J32" s="10"/>
      <c r="K32" s="11"/>
      <c r="L32" s="11"/>
      <c r="M32" s="11"/>
      <c r="N32" s="11"/>
      <c r="O32" s="11"/>
      <c r="P32" s="9"/>
      <c r="Q32" s="9"/>
      <c r="R32" s="9"/>
      <c r="S32" s="9"/>
      <c r="T32" s="9"/>
      <c r="U32" s="19"/>
      <c r="W32" s="221"/>
      <c r="X32" s="222"/>
      <c r="Y32" s="222"/>
      <c r="Z32" s="222"/>
      <c r="AA32" s="222"/>
      <c r="AB32" s="223"/>
    </row>
    <row r="33" spans="1:28" x14ac:dyDescent="0.25">
      <c r="A33" s="197"/>
      <c r="B33" s="199"/>
      <c r="C33" s="195"/>
      <c r="D33" s="196">
        <v>27</v>
      </c>
      <c r="E33" s="6"/>
      <c r="F33" s="6"/>
      <c r="G33" s="210"/>
      <c r="H33" s="6"/>
      <c r="I33" s="10"/>
      <c r="J33" s="10"/>
      <c r="K33" s="11"/>
      <c r="L33" s="11"/>
      <c r="M33" s="11"/>
      <c r="N33" s="11"/>
      <c r="O33" s="11"/>
      <c r="P33" s="9"/>
      <c r="Q33" s="9"/>
      <c r="R33" s="9"/>
      <c r="S33" s="9"/>
      <c r="T33" s="9"/>
      <c r="U33" s="19"/>
      <c r="W33" s="221"/>
      <c r="X33" s="222"/>
      <c r="Y33" s="222"/>
      <c r="Z33" s="222"/>
      <c r="AA33" s="222"/>
      <c r="AB33" s="223"/>
    </row>
    <row r="34" spans="1:28" x14ac:dyDescent="0.25">
      <c r="A34" s="197"/>
      <c r="B34" s="199"/>
      <c r="C34" s="195"/>
      <c r="D34" s="196">
        <v>28</v>
      </c>
      <c r="E34" s="6"/>
      <c r="F34" s="6"/>
      <c r="G34" s="210"/>
      <c r="H34" s="6"/>
      <c r="I34" s="10"/>
      <c r="J34" s="10"/>
      <c r="K34" s="11"/>
      <c r="L34" s="11"/>
      <c r="M34" s="11"/>
      <c r="N34" s="11"/>
      <c r="O34" s="11"/>
      <c r="P34" s="9"/>
      <c r="Q34" s="9"/>
      <c r="R34" s="9"/>
      <c r="S34" s="9"/>
      <c r="T34" s="9"/>
      <c r="U34" s="19"/>
      <c r="W34" s="221"/>
      <c r="X34" s="222"/>
      <c r="Y34" s="222"/>
      <c r="Z34" s="222"/>
      <c r="AA34" s="222"/>
      <c r="AB34" s="223"/>
    </row>
    <row r="35" spans="1:28" x14ac:dyDescent="0.25">
      <c r="A35" s="197"/>
      <c r="B35" s="199"/>
      <c r="C35" s="195"/>
      <c r="D35" s="196">
        <v>29</v>
      </c>
      <c r="E35" s="6"/>
      <c r="F35" s="6"/>
      <c r="G35" s="210"/>
      <c r="H35" s="6"/>
      <c r="I35" s="10"/>
      <c r="J35" s="10"/>
      <c r="K35" s="11"/>
      <c r="L35" s="11"/>
      <c r="M35" s="11"/>
      <c r="N35" s="11"/>
      <c r="O35" s="11"/>
      <c r="P35" s="9"/>
      <c r="Q35" s="9"/>
      <c r="R35" s="9"/>
      <c r="S35" s="9"/>
      <c r="T35" s="9"/>
      <c r="U35" s="19"/>
      <c r="W35" s="221"/>
      <c r="X35" s="222"/>
      <c r="Y35" s="222"/>
      <c r="Z35" s="222"/>
      <c r="AA35" s="222"/>
      <c r="AB35" s="223"/>
    </row>
    <row r="36" spans="1:28" x14ac:dyDescent="0.25">
      <c r="A36" s="197"/>
      <c r="B36" s="199"/>
      <c r="C36" s="195"/>
      <c r="D36" s="196">
        <v>30</v>
      </c>
      <c r="E36" s="6"/>
      <c r="F36" s="6"/>
      <c r="G36" s="210"/>
      <c r="H36" s="6"/>
      <c r="I36" s="10"/>
      <c r="J36" s="10"/>
      <c r="K36" s="13"/>
      <c r="L36" s="13"/>
      <c r="M36" s="13"/>
      <c r="N36" s="13"/>
      <c r="O36" s="13"/>
      <c r="P36" s="9"/>
      <c r="Q36" s="9"/>
      <c r="R36" s="9"/>
      <c r="S36" s="9"/>
      <c r="T36" s="9"/>
      <c r="U36" s="19"/>
      <c r="W36" s="228"/>
      <c r="X36" s="229"/>
      <c r="Y36" s="229"/>
      <c r="Z36" s="229"/>
      <c r="AA36" s="229"/>
      <c r="AB36" s="230"/>
    </row>
    <row r="37" spans="1:28" x14ac:dyDescent="0.25">
      <c r="A37" s="200"/>
      <c r="B37" s="201" t="s">
        <v>48</v>
      </c>
      <c r="C37" s="202" t="s">
        <v>26</v>
      </c>
      <c r="D37" s="203"/>
      <c r="E37" s="209"/>
      <c r="F37" s="209"/>
      <c r="G37" s="209"/>
      <c r="H37" s="209" t="s">
        <v>49</v>
      </c>
      <c r="I37" s="14">
        <f t="shared" ref="I37:U37" si="2">SUM(I7:I36)</f>
        <v>76779.762860999996</v>
      </c>
      <c r="J37" s="14">
        <f t="shared" si="2"/>
        <v>57708.180361000006</v>
      </c>
      <c r="K37" s="211">
        <f t="shared" si="2"/>
        <v>44301.990000000005</v>
      </c>
      <c r="L37" s="211">
        <f t="shared" si="2"/>
        <v>45770.36105</v>
      </c>
      <c r="M37" s="211">
        <f t="shared" si="2"/>
        <v>49065.842652261257</v>
      </c>
      <c r="N37" s="211">
        <f t="shared" si="2"/>
        <v>36931.046102261265</v>
      </c>
      <c r="O37" s="211">
        <f t="shared" si="2"/>
        <v>34952.925000000003</v>
      </c>
      <c r="P37" s="15">
        <f t="shared" si="2"/>
        <v>40645</v>
      </c>
      <c r="Q37" s="15">
        <f t="shared" si="2"/>
        <v>34555</v>
      </c>
      <c r="R37" s="15">
        <f t="shared" si="2"/>
        <v>27765</v>
      </c>
      <c r="S37" s="15">
        <f t="shared" si="2"/>
        <v>28835</v>
      </c>
      <c r="T37" s="15">
        <f t="shared" si="2"/>
        <v>31885</v>
      </c>
      <c r="U37" s="21">
        <f t="shared" si="2"/>
        <v>33680</v>
      </c>
    </row>
    <row r="39" spans="1:28" x14ac:dyDescent="0.25">
      <c r="C39" s="218" t="str">
        <f>W4</f>
        <v>Sub-Trans</v>
      </c>
      <c r="D39" s="219"/>
      <c r="E39" s="219"/>
      <c r="F39" s="219"/>
      <c r="G39" s="219"/>
      <c r="H39" s="219"/>
      <c r="I39" s="278">
        <f t="shared" ref="I39:U39" si="3">SUMPRODUCT(I$7:I$24,$W$7:$W$24)</f>
        <v>29134.501824999999</v>
      </c>
      <c r="J39" s="278">
        <f t="shared" si="3"/>
        <v>15447.187550000002</v>
      </c>
      <c r="K39" s="278">
        <f t="shared" si="3"/>
        <v>7159.3698250000016</v>
      </c>
      <c r="L39" s="278">
        <f t="shared" si="3"/>
        <v>8077.9232499999998</v>
      </c>
      <c r="M39" s="278">
        <f t="shared" si="3"/>
        <v>10983.576330000002</v>
      </c>
      <c r="N39" s="278">
        <f t="shared" si="3"/>
        <v>9451.8186800000021</v>
      </c>
      <c r="O39" s="278">
        <f t="shared" si="3"/>
        <v>8056.75</v>
      </c>
      <c r="P39" s="278">
        <f t="shared" si="3"/>
        <v>10684.75</v>
      </c>
      <c r="Q39" s="278">
        <f t="shared" si="3"/>
        <v>8283.75</v>
      </c>
      <c r="R39" s="278">
        <f t="shared" si="3"/>
        <v>2235.75</v>
      </c>
      <c r="S39" s="278">
        <f t="shared" si="3"/>
        <v>1276</v>
      </c>
      <c r="T39" s="278">
        <f t="shared" si="3"/>
        <v>4456</v>
      </c>
      <c r="U39" s="279">
        <f t="shared" si="3"/>
        <v>7272</v>
      </c>
    </row>
    <row r="40" spans="1:28" x14ac:dyDescent="0.25">
      <c r="C40" s="221" t="str">
        <f>X4</f>
        <v>Zone S/Stn</v>
      </c>
      <c r="D40" s="222"/>
      <c r="E40" s="222"/>
      <c r="F40" s="222"/>
      <c r="G40" s="222"/>
      <c r="H40" s="222"/>
      <c r="I40" s="172">
        <f t="shared" ref="I40:U40" si="4">SUMPRODUCT(I$7:I$24,$X$7:$X$24)</f>
        <v>25029.362361</v>
      </c>
      <c r="J40" s="172">
        <f t="shared" si="4"/>
        <v>24035.813361</v>
      </c>
      <c r="K40" s="172">
        <f t="shared" si="4"/>
        <v>24081.279000000002</v>
      </c>
      <c r="L40" s="172">
        <f t="shared" si="4"/>
        <v>20651.732</v>
      </c>
      <c r="M40" s="172">
        <f t="shared" si="4"/>
        <v>16074.405905628211</v>
      </c>
      <c r="N40" s="172">
        <f t="shared" si="4"/>
        <v>10693.164905628211</v>
      </c>
      <c r="O40" s="172">
        <f t="shared" si="4"/>
        <v>8507.9249999999993</v>
      </c>
      <c r="P40" s="172">
        <f t="shared" si="4"/>
        <v>5625</v>
      </c>
      <c r="Q40" s="172">
        <f t="shared" si="4"/>
        <v>4490</v>
      </c>
      <c r="R40" s="172">
        <f t="shared" si="4"/>
        <v>5370</v>
      </c>
      <c r="S40" s="172">
        <f t="shared" si="4"/>
        <v>6005</v>
      </c>
      <c r="T40" s="172">
        <f t="shared" si="4"/>
        <v>4400</v>
      </c>
      <c r="U40" s="234">
        <f t="shared" si="4"/>
        <v>2650</v>
      </c>
    </row>
    <row r="41" spans="1:28" x14ac:dyDescent="0.25">
      <c r="C41" s="221" t="str">
        <f>Y4</f>
        <v>HV Feeder</v>
      </c>
      <c r="D41" s="222"/>
      <c r="E41" s="222"/>
      <c r="F41" s="222"/>
      <c r="G41" s="222"/>
      <c r="H41" s="222"/>
      <c r="I41" s="172">
        <f t="shared" ref="I41:U41" si="5">SUMPRODUCT(I$7:I$24,$Y$7:$Y$24)</f>
        <v>3560.9974000000002</v>
      </c>
      <c r="J41" s="172">
        <f t="shared" si="5"/>
        <v>3692.2709000000004</v>
      </c>
      <c r="K41" s="172">
        <f t="shared" si="5"/>
        <v>1261.9322</v>
      </c>
      <c r="L41" s="172">
        <f t="shared" si="5"/>
        <v>2471.2204750000001</v>
      </c>
      <c r="M41" s="172">
        <f t="shared" si="5"/>
        <v>3632.801166489915</v>
      </c>
      <c r="N41" s="172">
        <f t="shared" si="5"/>
        <v>1948.6169914899147</v>
      </c>
      <c r="O41" s="172">
        <f t="shared" si="5"/>
        <v>3824.75</v>
      </c>
      <c r="P41" s="172">
        <f t="shared" si="5"/>
        <v>5088.75</v>
      </c>
      <c r="Q41" s="172">
        <f t="shared" si="5"/>
        <v>2668.75</v>
      </c>
      <c r="R41" s="172">
        <f t="shared" si="5"/>
        <v>2423.75</v>
      </c>
      <c r="S41" s="172">
        <f t="shared" si="5"/>
        <v>3165</v>
      </c>
      <c r="T41" s="172">
        <f t="shared" si="5"/>
        <v>3445</v>
      </c>
      <c r="U41" s="234">
        <f t="shared" si="5"/>
        <v>3270</v>
      </c>
    </row>
    <row r="42" spans="1:28" x14ac:dyDescent="0.25">
      <c r="C42" s="221" t="str">
        <f>Z4</f>
        <v>Dist T/F</v>
      </c>
      <c r="D42" s="222"/>
      <c r="E42" s="222"/>
      <c r="F42" s="222"/>
      <c r="G42" s="222"/>
      <c r="H42" s="222"/>
      <c r="I42" s="172">
        <f t="shared" ref="I42:U42" si="6">SUMPRODUCT(I$7:I$24,$Z$7:$Z$24)</f>
        <v>5236.7415000000001</v>
      </c>
      <c r="J42" s="172">
        <f t="shared" si="6"/>
        <v>4952.4227999999994</v>
      </c>
      <c r="K42" s="172">
        <f t="shared" si="6"/>
        <v>4848.2356499999996</v>
      </c>
      <c r="L42" s="172">
        <f t="shared" si="6"/>
        <v>5022.1087749999997</v>
      </c>
      <c r="M42" s="172">
        <f t="shared" si="6"/>
        <v>4813.3025832449575</v>
      </c>
      <c r="N42" s="172">
        <f t="shared" si="6"/>
        <v>4467.5263082449583</v>
      </c>
      <c r="O42" s="172">
        <f t="shared" si="6"/>
        <v>5757</v>
      </c>
      <c r="P42" s="172">
        <f t="shared" si="6"/>
        <v>7018.75</v>
      </c>
      <c r="Q42" s="172">
        <f t="shared" si="6"/>
        <v>7258.75</v>
      </c>
      <c r="R42" s="172">
        <f t="shared" si="6"/>
        <v>7498.75</v>
      </c>
      <c r="S42" s="172">
        <f t="shared" si="6"/>
        <v>7940</v>
      </c>
      <c r="T42" s="172">
        <f t="shared" si="6"/>
        <v>8180</v>
      </c>
      <c r="U42" s="234">
        <f t="shared" si="6"/>
        <v>8300</v>
      </c>
    </row>
    <row r="43" spans="1:28" x14ac:dyDescent="0.25">
      <c r="C43" s="221" t="str">
        <f>AA4</f>
        <v>LV Feeder</v>
      </c>
      <c r="D43" s="222"/>
      <c r="E43" s="222"/>
      <c r="F43" s="222"/>
      <c r="G43" s="222"/>
      <c r="H43" s="222"/>
      <c r="I43" s="24">
        <f t="shared" ref="I43:U43" si="7">SUMPRODUCT(I$7:I$24,$AA$7:$AA$24)</f>
        <v>1791.2999</v>
      </c>
      <c r="J43" s="24">
        <f t="shared" si="7"/>
        <v>1740.7784749999998</v>
      </c>
      <c r="K43" s="24">
        <f t="shared" si="7"/>
        <v>1662.715175</v>
      </c>
      <c r="L43" s="24">
        <f t="shared" si="7"/>
        <v>1864.6543499999998</v>
      </c>
      <c r="M43" s="24">
        <f t="shared" si="7"/>
        <v>1805.8234832449573</v>
      </c>
      <c r="N43" s="24">
        <f t="shared" si="7"/>
        <v>1540.7909332449576</v>
      </c>
      <c r="O43" s="24">
        <f t="shared" si="7"/>
        <v>2135.25</v>
      </c>
      <c r="P43" s="24">
        <f t="shared" si="7"/>
        <v>2665</v>
      </c>
      <c r="Q43" s="24">
        <f t="shared" si="7"/>
        <v>2725</v>
      </c>
      <c r="R43" s="24">
        <f t="shared" si="7"/>
        <v>2785</v>
      </c>
      <c r="S43" s="24">
        <f t="shared" si="7"/>
        <v>2845</v>
      </c>
      <c r="T43" s="24">
        <f t="shared" si="7"/>
        <v>2905</v>
      </c>
      <c r="U43" s="239">
        <f t="shared" si="7"/>
        <v>2935</v>
      </c>
    </row>
    <row r="44" spans="1:28" x14ac:dyDescent="0.25">
      <c r="C44" s="221"/>
      <c r="D44" s="222"/>
      <c r="E44" s="222"/>
      <c r="F44" s="222"/>
      <c r="G44" s="222"/>
      <c r="H44" s="222"/>
      <c r="I44" s="172">
        <f>SUM(I39:I43)</f>
        <v>64752.902986000001</v>
      </c>
      <c r="J44" s="172">
        <f t="shared" ref="J44:U44" si="8">SUM(J39:J43)</f>
        <v>49868.473086000005</v>
      </c>
      <c r="K44" s="172">
        <f t="shared" si="8"/>
        <v>39013.531849999999</v>
      </c>
      <c r="L44" s="172">
        <f t="shared" si="8"/>
        <v>38087.638849999996</v>
      </c>
      <c r="M44" s="172">
        <f t="shared" si="8"/>
        <v>37309.909468608043</v>
      </c>
      <c r="N44" s="172">
        <f t="shared" si="8"/>
        <v>28101.917818608046</v>
      </c>
      <c r="O44" s="172">
        <f t="shared" si="8"/>
        <v>28281.674999999999</v>
      </c>
      <c r="P44" s="172">
        <f t="shared" si="8"/>
        <v>31082.25</v>
      </c>
      <c r="Q44" s="172">
        <f t="shared" si="8"/>
        <v>25426.25</v>
      </c>
      <c r="R44" s="172">
        <f t="shared" si="8"/>
        <v>20313.25</v>
      </c>
      <c r="S44" s="172">
        <f t="shared" si="8"/>
        <v>21231</v>
      </c>
      <c r="T44" s="172">
        <f t="shared" si="8"/>
        <v>23386</v>
      </c>
      <c r="U44" s="234">
        <f t="shared" si="8"/>
        <v>24427</v>
      </c>
    </row>
    <row r="45" spans="1:28" x14ac:dyDescent="0.25">
      <c r="C45" s="221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3"/>
    </row>
    <row r="46" spans="1:28" x14ac:dyDescent="0.25">
      <c r="C46" s="228" t="s">
        <v>221</v>
      </c>
      <c r="D46" s="229"/>
      <c r="E46" s="229"/>
      <c r="F46" s="229"/>
      <c r="G46" s="229"/>
      <c r="H46" s="229"/>
      <c r="I46" s="24">
        <f t="shared" ref="I46:U46" si="9">I37-I44</f>
        <v>12026.859874999995</v>
      </c>
      <c r="J46" s="24">
        <f t="shared" si="9"/>
        <v>7839.7072750000007</v>
      </c>
      <c r="K46" s="24">
        <f t="shared" si="9"/>
        <v>5288.4581500000058</v>
      </c>
      <c r="L46" s="24">
        <f t="shared" si="9"/>
        <v>7682.7222000000038</v>
      </c>
      <c r="M46" s="24">
        <f t="shared" si="9"/>
        <v>11755.933183653215</v>
      </c>
      <c r="N46" s="24">
        <f t="shared" si="9"/>
        <v>8829.1282836532191</v>
      </c>
      <c r="O46" s="24">
        <f t="shared" si="9"/>
        <v>6671.2500000000036</v>
      </c>
      <c r="P46" s="24">
        <f t="shared" si="9"/>
        <v>9562.75</v>
      </c>
      <c r="Q46" s="24">
        <f t="shared" si="9"/>
        <v>9128.75</v>
      </c>
      <c r="R46" s="24">
        <f t="shared" si="9"/>
        <v>7451.75</v>
      </c>
      <c r="S46" s="24">
        <f t="shared" si="9"/>
        <v>7604</v>
      </c>
      <c r="T46" s="24">
        <f t="shared" si="9"/>
        <v>8499</v>
      </c>
      <c r="U46" s="239">
        <f t="shared" si="9"/>
        <v>9253</v>
      </c>
    </row>
    <row r="48" spans="1:28" x14ac:dyDescent="0.25">
      <c r="C48" s="271" t="s">
        <v>218</v>
      </c>
      <c r="D48" s="219"/>
      <c r="E48" s="219"/>
      <c r="F48" s="219"/>
      <c r="G48" s="219"/>
      <c r="H48" s="219"/>
      <c r="I48" s="219"/>
      <c r="J48" s="219"/>
      <c r="K48" s="272">
        <v>106.6</v>
      </c>
      <c r="L48" s="272">
        <v>108.4</v>
      </c>
      <c r="M48" s="272">
        <v>110</v>
      </c>
      <c r="N48" s="272">
        <v>112.1</v>
      </c>
      <c r="O48" s="273">
        <v>114.342</v>
      </c>
      <c r="P48" s="272">
        <v>117.16624739999999</v>
      </c>
      <c r="Q48" s="272">
        <v>120.06025371077999</v>
      </c>
      <c r="R48" s="272">
        <v>123.02574197743625</v>
      </c>
      <c r="S48" s="272">
        <v>126.06447780427892</v>
      </c>
      <c r="T48" s="272">
        <v>129.17827040604462</v>
      </c>
      <c r="U48" s="274">
        <f>T48*(T48/S48)</f>
        <v>132.36897368507391</v>
      </c>
    </row>
    <row r="49" spans="3:35" x14ac:dyDescent="0.25">
      <c r="C49" s="228" t="s">
        <v>219</v>
      </c>
      <c r="D49" s="229"/>
      <c r="E49" s="229"/>
      <c r="F49" s="229"/>
      <c r="G49" s="229"/>
      <c r="H49" s="229"/>
      <c r="I49" s="229"/>
      <c r="J49" s="229"/>
      <c r="K49" s="275">
        <f t="shared" ref="K49:U49" si="10">$O$48/K48</f>
        <v>1.0726266416510319</v>
      </c>
      <c r="L49" s="275">
        <f t="shared" si="10"/>
        <v>1.0548154981549815</v>
      </c>
      <c r="M49" s="275">
        <f t="shared" si="10"/>
        <v>1.0394727272727273</v>
      </c>
      <c r="N49" s="275">
        <f t="shared" si="10"/>
        <v>1.02</v>
      </c>
      <c r="O49" s="277">
        <f t="shared" si="10"/>
        <v>1</v>
      </c>
      <c r="P49" s="275">
        <f t="shared" si="10"/>
        <v>0.97589538401483367</v>
      </c>
      <c r="Q49" s="275">
        <f t="shared" si="10"/>
        <v>0.95237180054145965</v>
      </c>
      <c r="R49" s="275">
        <f t="shared" si="10"/>
        <v>0.92941524401430631</v>
      </c>
      <c r="S49" s="275">
        <f t="shared" si="10"/>
        <v>0.90701204646658173</v>
      </c>
      <c r="T49" s="275">
        <f t="shared" si="10"/>
        <v>0.88514886939258486</v>
      </c>
      <c r="U49" s="276">
        <f t="shared" si="10"/>
        <v>0.86381269580617248</v>
      </c>
      <c r="V49" s="179"/>
      <c r="W49" s="179"/>
      <c r="X49" s="179"/>
      <c r="Y49" s="179"/>
      <c r="Z49" s="179"/>
    </row>
    <row r="51" spans="3:35" x14ac:dyDescent="0.25">
      <c r="C51" s="218" t="str">
        <f>C39</f>
        <v>Sub-Trans</v>
      </c>
      <c r="D51" s="219"/>
      <c r="E51" s="219"/>
      <c r="F51" s="219"/>
      <c r="G51" s="219"/>
      <c r="H51" s="219"/>
      <c r="I51" s="219"/>
      <c r="J51" s="219"/>
      <c r="K51" s="278">
        <f>K39*K$49</f>
        <v>7679.3308117274883</v>
      </c>
      <c r="L51" s="278">
        <f t="shared" ref="L51:U51" si="11">L39*L$49</f>
        <v>8520.7186370064574</v>
      </c>
      <c r="M51" s="278">
        <f t="shared" si="11"/>
        <v>11417.128042953274</v>
      </c>
      <c r="N51" s="278">
        <f t="shared" si="11"/>
        <v>9640.8550536000021</v>
      </c>
      <c r="O51" s="278">
        <f t="shared" si="11"/>
        <v>8056.75</v>
      </c>
      <c r="P51" s="278">
        <f t="shared" si="11"/>
        <v>10427.198204352493</v>
      </c>
      <c r="Q51" s="278">
        <f t="shared" si="11"/>
        <v>7889.2099027353161</v>
      </c>
      <c r="R51" s="278">
        <f t="shared" si="11"/>
        <v>2077.9401318049854</v>
      </c>
      <c r="S51" s="278">
        <f t="shared" si="11"/>
        <v>1157.3473712913583</v>
      </c>
      <c r="T51" s="278">
        <f t="shared" si="11"/>
        <v>3944.2233620133579</v>
      </c>
      <c r="U51" s="279">
        <f t="shared" si="11"/>
        <v>6281.6459239024862</v>
      </c>
    </row>
    <row r="52" spans="3:35" x14ac:dyDescent="0.25">
      <c r="C52" s="221" t="str">
        <f>C40</f>
        <v>Zone S/Stn</v>
      </c>
      <c r="D52" s="222"/>
      <c r="E52" s="222"/>
      <c r="F52" s="222"/>
      <c r="G52" s="222"/>
      <c r="H52" s="222"/>
      <c r="I52" s="222"/>
      <c r="J52" s="222"/>
      <c r="K52" s="172">
        <f>K40*K$49</f>
        <v>25830.221420431524</v>
      </c>
      <c r="L52" s="172">
        <f t="shared" ref="L52:U52" si="12">L40*L$49</f>
        <v>21783.766977343173</v>
      </c>
      <c r="M52" s="172">
        <f t="shared" si="12"/>
        <v>16708.906546012193</v>
      </c>
      <c r="N52" s="172">
        <f t="shared" si="12"/>
        <v>10907.028203740776</v>
      </c>
      <c r="O52" s="172">
        <f t="shared" si="12"/>
        <v>8507.9249999999993</v>
      </c>
      <c r="P52" s="172">
        <f t="shared" si="12"/>
        <v>5489.411535083439</v>
      </c>
      <c r="Q52" s="172">
        <f t="shared" si="12"/>
        <v>4276.1493844311535</v>
      </c>
      <c r="R52" s="172">
        <f t="shared" si="12"/>
        <v>4990.9598603568247</v>
      </c>
      <c r="S52" s="172">
        <f t="shared" si="12"/>
        <v>5446.6073390318234</v>
      </c>
      <c r="T52" s="172">
        <f t="shared" si="12"/>
        <v>3894.6550253273736</v>
      </c>
      <c r="U52" s="234">
        <f t="shared" si="12"/>
        <v>2289.1036438863571</v>
      </c>
    </row>
    <row r="53" spans="3:35" x14ac:dyDescent="0.25">
      <c r="C53" s="221" t="str">
        <f>C41</f>
        <v>HV Feeder</v>
      </c>
      <c r="D53" s="222"/>
      <c r="E53" s="222"/>
      <c r="F53" s="222"/>
      <c r="G53" s="222"/>
      <c r="H53" s="222"/>
      <c r="I53" s="222"/>
      <c r="J53" s="222"/>
      <c r="K53" s="172">
        <f>K41*K$49</f>
        <v>1353.5820976772984</v>
      </c>
      <c r="L53" s="172">
        <f t="shared" ref="L53:U53" si="13">L41*L$49</f>
        <v>2606.6816563879152</v>
      </c>
      <c r="M53" s="172">
        <f t="shared" si="13"/>
        <v>3776.1977361708173</v>
      </c>
      <c r="N53" s="172">
        <f t="shared" si="13"/>
        <v>1987.589331319713</v>
      </c>
      <c r="O53" s="172">
        <f t="shared" si="13"/>
        <v>3824.75</v>
      </c>
      <c r="P53" s="172">
        <f t="shared" si="13"/>
        <v>4966.0876354054844</v>
      </c>
      <c r="Q53" s="172">
        <f t="shared" si="13"/>
        <v>2541.6422426950203</v>
      </c>
      <c r="R53" s="172">
        <f t="shared" si="13"/>
        <v>2252.6701976796749</v>
      </c>
      <c r="S53" s="172">
        <f t="shared" si="13"/>
        <v>2870.693127066731</v>
      </c>
      <c r="T53" s="172">
        <f t="shared" si="13"/>
        <v>3049.3378550574548</v>
      </c>
      <c r="U53" s="234">
        <f t="shared" si="13"/>
        <v>2824.667515286184</v>
      </c>
    </row>
    <row r="54" spans="3:35" x14ac:dyDescent="0.25">
      <c r="C54" s="221" t="str">
        <f>C42</f>
        <v>Dist T/F</v>
      </c>
      <c r="D54" s="222"/>
      <c r="E54" s="222"/>
      <c r="F54" s="222"/>
      <c r="G54" s="222"/>
      <c r="H54" s="222"/>
      <c r="I54" s="222"/>
      <c r="J54" s="222"/>
      <c r="K54" s="172">
        <f>K42*K$49</f>
        <v>5200.3467231923078</v>
      </c>
      <c r="L54" s="172">
        <f t="shared" ref="L54:U54" si="14">L42*L$49</f>
        <v>5297.3981692901289</v>
      </c>
      <c r="M54" s="172">
        <f t="shared" si="14"/>
        <v>5003.2967633945</v>
      </c>
      <c r="N54" s="172">
        <f t="shared" si="14"/>
        <v>4556.8768344098571</v>
      </c>
      <c r="O54" s="172">
        <f t="shared" si="14"/>
        <v>5757</v>
      </c>
      <c r="P54" s="172">
        <f t="shared" si="14"/>
        <v>6849.565726554114</v>
      </c>
      <c r="Q54" s="172">
        <f t="shared" si="14"/>
        <v>6913.0288071803207</v>
      </c>
      <c r="R54" s="172">
        <f t="shared" si="14"/>
        <v>6969.4525610522796</v>
      </c>
      <c r="S54" s="172">
        <f t="shared" si="14"/>
        <v>7201.6756489446589</v>
      </c>
      <c r="T54" s="172">
        <f t="shared" si="14"/>
        <v>7240.5177516313443</v>
      </c>
      <c r="U54" s="234">
        <f t="shared" si="14"/>
        <v>7169.6453751912313</v>
      </c>
    </row>
    <row r="55" spans="3:35" x14ac:dyDescent="0.25">
      <c r="C55" s="221" t="str">
        <f>C43</f>
        <v>LV Feeder</v>
      </c>
      <c r="D55" s="222"/>
      <c r="E55" s="222"/>
      <c r="F55" s="222"/>
      <c r="G55" s="222"/>
      <c r="H55" s="222"/>
      <c r="I55" s="222"/>
      <c r="J55" s="222"/>
      <c r="K55" s="24">
        <f>K43*K$49</f>
        <v>1783.4725941824579</v>
      </c>
      <c r="L55" s="24">
        <f t="shared" ref="L55:U55" si="15">L43*L$49</f>
        <v>1966.866307082103</v>
      </c>
      <c r="M55" s="24">
        <f t="shared" si="15"/>
        <v>1877.104261101772</v>
      </c>
      <c r="N55" s="24">
        <f t="shared" si="15"/>
        <v>1571.6067519098567</v>
      </c>
      <c r="O55" s="24">
        <f t="shared" si="15"/>
        <v>2135.25</v>
      </c>
      <c r="P55" s="24">
        <f t="shared" si="15"/>
        <v>2600.7611983995316</v>
      </c>
      <c r="Q55" s="24">
        <f t="shared" si="15"/>
        <v>2595.2131564754777</v>
      </c>
      <c r="R55" s="24">
        <f t="shared" si="15"/>
        <v>2588.4214545798432</v>
      </c>
      <c r="S55" s="24">
        <f t="shared" si="15"/>
        <v>2580.4492721974252</v>
      </c>
      <c r="T55" s="24">
        <f t="shared" si="15"/>
        <v>2571.3574655854591</v>
      </c>
      <c r="U55" s="239">
        <f t="shared" si="15"/>
        <v>2535.2902621911162</v>
      </c>
    </row>
    <row r="56" spans="3:35" x14ac:dyDescent="0.25">
      <c r="C56" s="228" t="s">
        <v>222</v>
      </c>
      <c r="D56" s="229"/>
      <c r="E56" s="229"/>
      <c r="F56" s="229"/>
      <c r="G56" s="229"/>
      <c r="H56" s="229"/>
      <c r="I56" s="229"/>
      <c r="J56" s="229"/>
      <c r="K56" s="24">
        <f>SUM(K51:K55)</f>
        <v>41846.95364721107</v>
      </c>
      <c r="L56" s="24">
        <f t="shared" ref="L56:U56" si="16">SUM(L51:L55)</f>
        <v>40175.431747109782</v>
      </c>
      <c r="M56" s="24">
        <f t="shared" si="16"/>
        <v>38782.633349632553</v>
      </c>
      <c r="N56" s="24">
        <f t="shared" si="16"/>
        <v>28663.956174980205</v>
      </c>
      <c r="O56" s="24">
        <f t="shared" si="16"/>
        <v>28281.674999999999</v>
      </c>
      <c r="P56" s="24">
        <f t="shared" si="16"/>
        <v>30333.024299795063</v>
      </c>
      <c r="Q56" s="24">
        <f t="shared" si="16"/>
        <v>24215.24349351729</v>
      </c>
      <c r="R56" s="24">
        <f t="shared" si="16"/>
        <v>18879.444205473606</v>
      </c>
      <c r="S56" s="24">
        <f t="shared" si="16"/>
        <v>19256.772758531995</v>
      </c>
      <c r="T56" s="24">
        <f t="shared" si="16"/>
        <v>20700.091459614989</v>
      </c>
      <c r="U56" s="239">
        <f t="shared" si="16"/>
        <v>21100.352720457377</v>
      </c>
    </row>
    <row r="58" spans="3:35" x14ac:dyDescent="0.25">
      <c r="C58" s="218" t="s">
        <v>209</v>
      </c>
      <c r="D58" s="219"/>
      <c r="E58" s="219"/>
      <c r="F58" s="219"/>
      <c r="G58" s="219"/>
      <c r="H58" s="219"/>
      <c r="I58" s="219"/>
      <c r="J58" s="219"/>
      <c r="K58" s="218">
        <v>2016</v>
      </c>
      <c r="L58" s="219">
        <v>2017</v>
      </c>
      <c r="M58" s="219">
        <v>2018</v>
      </c>
      <c r="N58" s="231">
        <v>2019</v>
      </c>
      <c r="O58" s="235">
        <v>2020</v>
      </c>
      <c r="P58" s="238">
        <v>2021</v>
      </c>
      <c r="Q58" s="231">
        <v>2022</v>
      </c>
      <c r="R58" s="231">
        <v>2023</v>
      </c>
      <c r="S58" s="231">
        <v>2024</v>
      </c>
      <c r="T58" s="235">
        <v>2025</v>
      </c>
      <c r="U58" s="238">
        <v>2026</v>
      </c>
      <c r="V58" s="231">
        <v>2027</v>
      </c>
      <c r="W58" s="231">
        <v>2028</v>
      </c>
      <c r="X58" s="231">
        <v>2029</v>
      </c>
      <c r="Y58" s="235">
        <v>2030</v>
      </c>
      <c r="Z58" s="238">
        <v>2031</v>
      </c>
      <c r="AA58" s="231">
        <v>2032</v>
      </c>
      <c r="AB58" s="231">
        <v>2033</v>
      </c>
      <c r="AC58" s="231">
        <v>2034</v>
      </c>
      <c r="AD58" s="235">
        <v>2035</v>
      </c>
      <c r="AE58" s="238">
        <v>2036</v>
      </c>
      <c r="AF58" s="231">
        <v>2037</v>
      </c>
      <c r="AG58" s="231">
        <v>2038</v>
      </c>
      <c r="AH58" s="219">
        <v>2039</v>
      </c>
      <c r="AI58" s="220">
        <v>2040</v>
      </c>
    </row>
    <row r="59" spans="3:35" x14ac:dyDescent="0.25">
      <c r="C59" s="221"/>
      <c r="D59" s="222"/>
      <c r="E59" s="222"/>
      <c r="F59" s="222"/>
      <c r="G59" s="222"/>
      <c r="H59" s="222"/>
      <c r="I59" s="222"/>
      <c r="J59" s="222"/>
      <c r="K59" s="221"/>
      <c r="L59" s="222"/>
      <c r="M59" s="222"/>
      <c r="N59" s="222"/>
      <c r="O59" s="223"/>
      <c r="P59" s="221"/>
      <c r="Q59" s="222"/>
      <c r="R59" s="222"/>
      <c r="S59" s="222"/>
      <c r="T59" s="223"/>
      <c r="U59" s="221"/>
      <c r="V59" s="222"/>
      <c r="W59" s="222"/>
      <c r="X59" s="222"/>
      <c r="Y59" s="223"/>
      <c r="Z59" s="221"/>
      <c r="AA59" s="222"/>
      <c r="AB59" s="222"/>
      <c r="AC59" s="222"/>
      <c r="AD59" s="223"/>
      <c r="AE59" s="221"/>
      <c r="AF59" s="222"/>
      <c r="AG59" s="222"/>
      <c r="AH59" s="222"/>
      <c r="AI59" s="223"/>
    </row>
    <row r="60" spans="3:35" x14ac:dyDescent="0.25">
      <c r="C60" s="221" t="str">
        <f>C39</f>
        <v>Sub-Trans</v>
      </c>
      <c r="D60" s="222"/>
      <c r="E60" s="222"/>
      <c r="F60" s="222"/>
      <c r="G60" s="222"/>
      <c r="H60" s="222"/>
      <c r="I60" s="222"/>
      <c r="J60" s="222"/>
      <c r="K60" s="236">
        <f t="shared" ref="K60:U60" si="17">K51*1000</f>
        <v>7679330.8117274884</v>
      </c>
      <c r="L60" s="172">
        <f t="shared" si="17"/>
        <v>8520718.6370064579</v>
      </c>
      <c r="M60" s="172">
        <f t="shared" si="17"/>
        <v>11417128.042953275</v>
      </c>
      <c r="N60" s="240">
        <f t="shared" si="17"/>
        <v>9640855.0536000021</v>
      </c>
      <c r="O60" s="241">
        <f t="shared" si="17"/>
        <v>8056750</v>
      </c>
      <c r="P60" s="242">
        <f t="shared" si="17"/>
        <v>10427198.204352492</v>
      </c>
      <c r="Q60" s="243">
        <f t="shared" si="17"/>
        <v>7889209.9027353162</v>
      </c>
      <c r="R60" s="243">
        <f t="shared" si="17"/>
        <v>2077940.1318049855</v>
      </c>
      <c r="S60" s="243">
        <f t="shared" si="17"/>
        <v>1157347.3712913583</v>
      </c>
      <c r="T60" s="244">
        <f t="shared" si="17"/>
        <v>3944223.3620133582</v>
      </c>
      <c r="U60" s="242">
        <f t="shared" si="17"/>
        <v>6281645.9239024865</v>
      </c>
      <c r="V60" s="245">
        <f>AVERAGE(P60:U60)</f>
        <v>5296260.8160166657</v>
      </c>
      <c r="W60" s="245">
        <f>V60</f>
        <v>5296260.8160166657</v>
      </c>
      <c r="X60" s="245">
        <f t="shared" ref="X60:Z60" si="18">W60</f>
        <v>5296260.8160166657</v>
      </c>
      <c r="Y60" s="246">
        <f t="shared" si="18"/>
        <v>5296260.8160166657</v>
      </c>
      <c r="Z60" s="247">
        <f t="shared" si="18"/>
        <v>5296260.8160166657</v>
      </c>
      <c r="AA60" s="245">
        <f t="shared" ref="AA60:AB60" si="19">Z60</f>
        <v>5296260.8160166657</v>
      </c>
      <c r="AB60" s="245">
        <f t="shared" si="19"/>
        <v>5296260.8160166657</v>
      </c>
      <c r="AC60" s="245">
        <f t="shared" ref="AC60:AI60" si="20">AB60</f>
        <v>5296260.8160166657</v>
      </c>
      <c r="AD60" s="246">
        <f t="shared" si="20"/>
        <v>5296260.8160166657</v>
      </c>
      <c r="AE60" s="247">
        <f t="shared" si="20"/>
        <v>5296260.8160166657</v>
      </c>
      <c r="AF60" s="245">
        <f t="shared" si="20"/>
        <v>5296260.8160166657</v>
      </c>
      <c r="AG60" s="245">
        <f t="shared" si="20"/>
        <v>5296260.8160166657</v>
      </c>
      <c r="AH60" s="232">
        <f t="shared" si="20"/>
        <v>5296260.8160166657</v>
      </c>
      <c r="AI60" s="233">
        <f t="shared" si="20"/>
        <v>5296260.8160166657</v>
      </c>
    </row>
    <row r="61" spans="3:35" x14ac:dyDescent="0.25">
      <c r="C61" s="221" t="str">
        <f>C40</f>
        <v>Zone S/Stn</v>
      </c>
      <c r="D61" s="222"/>
      <c r="E61" s="222"/>
      <c r="F61" s="222"/>
      <c r="G61" s="222"/>
      <c r="H61" s="222"/>
      <c r="I61" s="222"/>
      <c r="J61" s="222"/>
      <c r="K61" s="236">
        <f t="shared" ref="K61:U61" si="21">K52*1000</f>
        <v>25830221.420431525</v>
      </c>
      <c r="L61" s="172">
        <f t="shared" si="21"/>
        <v>21783766.977343172</v>
      </c>
      <c r="M61" s="172">
        <f t="shared" si="21"/>
        <v>16708906.546012193</v>
      </c>
      <c r="N61" s="240">
        <f t="shared" si="21"/>
        <v>10907028.203740776</v>
      </c>
      <c r="O61" s="241">
        <f t="shared" si="21"/>
        <v>8507925</v>
      </c>
      <c r="P61" s="242">
        <f t="shared" si="21"/>
        <v>5489411.5350834392</v>
      </c>
      <c r="Q61" s="243">
        <f t="shared" si="21"/>
        <v>4276149.3844311535</v>
      </c>
      <c r="R61" s="243">
        <f t="shared" si="21"/>
        <v>4990959.8603568245</v>
      </c>
      <c r="S61" s="243">
        <f t="shared" si="21"/>
        <v>5446607.339031823</v>
      </c>
      <c r="T61" s="244">
        <f t="shared" si="21"/>
        <v>3894655.0253273738</v>
      </c>
      <c r="U61" s="242">
        <f t="shared" si="21"/>
        <v>2289103.6438863571</v>
      </c>
      <c r="V61" s="245">
        <f t="shared" ref="V61:V64" si="22">AVERAGE(P61:U61)</f>
        <v>4397814.4646861618</v>
      </c>
      <c r="W61" s="245">
        <f t="shared" ref="W61:Z64" si="23">V61</f>
        <v>4397814.4646861618</v>
      </c>
      <c r="X61" s="245">
        <f t="shared" si="23"/>
        <v>4397814.4646861618</v>
      </c>
      <c r="Y61" s="246">
        <f t="shared" si="23"/>
        <v>4397814.4646861618</v>
      </c>
      <c r="Z61" s="247">
        <f t="shared" si="23"/>
        <v>4397814.4646861618</v>
      </c>
      <c r="AA61" s="245">
        <f t="shared" ref="AA61:AB61" si="24">Z61</f>
        <v>4397814.4646861618</v>
      </c>
      <c r="AB61" s="245">
        <f t="shared" si="24"/>
        <v>4397814.4646861618</v>
      </c>
      <c r="AC61" s="245">
        <f t="shared" ref="AC61:AI61" si="25">AB61</f>
        <v>4397814.4646861618</v>
      </c>
      <c r="AD61" s="246">
        <f t="shared" si="25"/>
        <v>4397814.4646861618</v>
      </c>
      <c r="AE61" s="247">
        <f t="shared" si="25"/>
        <v>4397814.4646861618</v>
      </c>
      <c r="AF61" s="245">
        <f t="shared" si="25"/>
        <v>4397814.4646861618</v>
      </c>
      <c r="AG61" s="245">
        <f t="shared" si="25"/>
        <v>4397814.4646861618</v>
      </c>
      <c r="AH61" s="232">
        <f t="shared" si="25"/>
        <v>4397814.4646861618</v>
      </c>
      <c r="AI61" s="233">
        <f t="shared" si="25"/>
        <v>4397814.4646861618</v>
      </c>
    </row>
    <row r="62" spans="3:35" x14ac:dyDescent="0.25">
      <c r="C62" s="221" t="str">
        <f>C41</f>
        <v>HV Feeder</v>
      </c>
      <c r="D62" s="222"/>
      <c r="E62" s="222"/>
      <c r="F62" s="222"/>
      <c r="G62" s="222"/>
      <c r="H62" s="222"/>
      <c r="I62" s="222"/>
      <c r="J62" s="222"/>
      <c r="K62" s="236">
        <f t="shared" ref="K62:U62" si="26">K53*1000</f>
        <v>1353582.0976772984</v>
      </c>
      <c r="L62" s="172">
        <f t="shared" si="26"/>
        <v>2606681.6563879154</v>
      </c>
      <c r="M62" s="172">
        <f t="shared" si="26"/>
        <v>3776197.7361708172</v>
      </c>
      <c r="N62" s="240">
        <f t="shared" si="26"/>
        <v>1987589.331319713</v>
      </c>
      <c r="O62" s="241">
        <f t="shared" si="26"/>
        <v>3824750</v>
      </c>
      <c r="P62" s="242">
        <f t="shared" si="26"/>
        <v>4966087.6354054846</v>
      </c>
      <c r="Q62" s="243">
        <f t="shared" si="26"/>
        <v>2541642.2426950205</v>
      </c>
      <c r="R62" s="243">
        <f t="shared" si="26"/>
        <v>2252670.1976796747</v>
      </c>
      <c r="S62" s="243">
        <f t="shared" si="26"/>
        <v>2870693.127066731</v>
      </c>
      <c r="T62" s="244">
        <f t="shared" si="26"/>
        <v>3049337.8550574547</v>
      </c>
      <c r="U62" s="242">
        <f t="shared" si="26"/>
        <v>2824667.5152861839</v>
      </c>
      <c r="V62" s="245">
        <f t="shared" si="22"/>
        <v>3084183.0955317584</v>
      </c>
      <c r="W62" s="245">
        <f t="shared" si="23"/>
        <v>3084183.0955317584</v>
      </c>
      <c r="X62" s="245">
        <f t="shared" si="23"/>
        <v>3084183.0955317584</v>
      </c>
      <c r="Y62" s="246">
        <f t="shared" si="23"/>
        <v>3084183.0955317584</v>
      </c>
      <c r="Z62" s="247">
        <f t="shared" si="23"/>
        <v>3084183.0955317584</v>
      </c>
      <c r="AA62" s="245">
        <f t="shared" ref="AA62:AB62" si="27">Z62</f>
        <v>3084183.0955317584</v>
      </c>
      <c r="AB62" s="245">
        <f t="shared" si="27"/>
        <v>3084183.0955317584</v>
      </c>
      <c r="AC62" s="245">
        <f t="shared" ref="AC62:AI62" si="28">AB62</f>
        <v>3084183.0955317584</v>
      </c>
      <c r="AD62" s="246">
        <f t="shared" si="28"/>
        <v>3084183.0955317584</v>
      </c>
      <c r="AE62" s="247">
        <f t="shared" si="28"/>
        <v>3084183.0955317584</v>
      </c>
      <c r="AF62" s="245">
        <f t="shared" si="28"/>
        <v>3084183.0955317584</v>
      </c>
      <c r="AG62" s="245">
        <f t="shared" si="28"/>
        <v>3084183.0955317584</v>
      </c>
      <c r="AH62" s="232">
        <f t="shared" si="28"/>
        <v>3084183.0955317584</v>
      </c>
      <c r="AI62" s="233">
        <f t="shared" si="28"/>
        <v>3084183.0955317584</v>
      </c>
    </row>
    <row r="63" spans="3:35" x14ac:dyDescent="0.25">
      <c r="C63" s="221" t="str">
        <f>C42</f>
        <v>Dist T/F</v>
      </c>
      <c r="D63" s="222"/>
      <c r="E63" s="222"/>
      <c r="F63" s="222"/>
      <c r="G63" s="222"/>
      <c r="H63" s="222"/>
      <c r="I63" s="222"/>
      <c r="J63" s="222"/>
      <c r="K63" s="236">
        <f t="shared" ref="K63:U63" si="29">K54*1000</f>
        <v>5200346.7231923081</v>
      </c>
      <c r="L63" s="172">
        <f t="shared" si="29"/>
        <v>5297398.1692901291</v>
      </c>
      <c r="M63" s="172">
        <f t="shared" si="29"/>
        <v>5003296.7633945001</v>
      </c>
      <c r="N63" s="240">
        <f t="shared" si="29"/>
        <v>4556876.8344098572</v>
      </c>
      <c r="O63" s="241">
        <f t="shared" si="29"/>
        <v>5757000</v>
      </c>
      <c r="P63" s="242">
        <f t="shared" si="29"/>
        <v>6849565.7265541144</v>
      </c>
      <c r="Q63" s="243">
        <f t="shared" si="29"/>
        <v>6913028.8071803208</v>
      </c>
      <c r="R63" s="243">
        <f t="shared" si="29"/>
        <v>6969452.5610522795</v>
      </c>
      <c r="S63" s="243">
        <f t="shared" si="29"/>
        <v>7201675.6489446592</v>
      </c>
      <c r="T63" s="244">
        <f t="shared" si="29"/>
        <v>7240517.7516313447</v>
      </c>
      <c r="U63" s="242">
        <f t="shared" si="29"/>
        <v>7169645.3751912313</v>
      </c>
      <c r="V63" s="245">
        <f t="shared" si="22"/>
        <v>7057314.3117589913</v>
      </c>
      <c r="W63" s="245">
        <f t="shared" si="23"/>
        <v>7057314.3117589913</v>
      </c>
      <c r="X63" s="245">
        <f t="shared" si="23"/>
        <v>7057314.3117589913</v>
      </c>
      <c r="Y63" s="246">
        <f t="shared" si="23"/>
        <v>7057314.3117589913</v>
      </c>
      <c r="Z63" s="247">
        <f t="shared" si="23"/>
        <v>7057314.3117589913</v>
      </c>
      <c r="AA63" s="245">
        <f t="shared" ref="AA63:AB63" si="30">Z63</f>
        <v>7057314.3117589913</v>
      </c>
      <c r="AB63" s="245">
        <f t="shared" si="30"/>
        <v>7057314.3117589913</v>
      </c>
      <c r="AC63" s="245">
        <f t="shared" ref="AC63:AI63" si="31">AB63</f>
        <v>7057314.3117589913</v>
      </c>
      <c r="AD63" s="246">
        <f t="shared" si="31"/>
        <v>7057314.3117589913</v>
      </c>
      <c r="AE63" s="247">
        <f t="shared" si="31"/>
        <v>7057314.3117589913</v>
      </c>
      <c r="AF63" s="245">
        <f t="shared" si="31"/>
        <v>7057314.3117589913</v>
      </c>
      <c r="AG63" s="245">
        <f t="shared" si="31"/>
        <v>7057314.3117589913</v>
      </c>
      <c r="AH63" s="232">
        <f t="shared" si="31"/>
        <v>7057314.3117589913</v>
      </c>
      <c r="AI63" s="233">
        <f t="shared" si="31"/>
        <v>7057314.3117589913</v>
      </c>
    </row>
    <row r="64" spans="3:35" x14ac:dyDescent="0.25">
      <c r="C64" s="221" t="str">
        <f>C43</f>
        <v>LV Feeder</v>
      </c>
      <c r="D64" s="222"/>
      <c r="E64" s="222"/>
      <c r="F64" s="222"/>
      <c r="G64" s="222"/>
      <c r="H64" s="222"/>
      <c r="I64" s="222"/>
      <c r="J64" s="222"/>
      <c r="K64" s="236">
        <f t="shared" ref="K64:U64" si="32">K55*1000</f>
        <v>1783472.594182458</v>
      </c>
      <c r="L64" s="172">
        <f t="shared" si="32"/>
        <v>1966866.3070821031</v>
      </c>
      <c r="M64" s="172">
        <f t="shared" si="32"/>
        <v>1877104.2611017718</v>
      </c>
      <c r="N64" s="240">
        <f t="shared" si="32"/>
        <v>1571606.7519098567</v>
      </c>
      <c r="O64" s="241">
        <f t="shared" si="32"/>
        <v>2135250</v>
      </c>
      <c r="P64" s="242">
        <f t="shared" si="32"/>
        <v>2600761.1983995317</v>
      </c>
      <c r="Q64" s="243">
        <f t="shared" si="32"/>
        <v>2595213.1564754779</v>
      </c>
      <c r="R64" s="243">
        <f t="shared" si="32"/>
        <v>2588421.4545798432</v>
      </c>
      <c r="S64" s="243">
        <f t="shared" si="32"/>
        <v>2580449.2721974254</v>
      </c>
      <c r="T64" s="244">
        <f t="shared" si="32"/>
        <v>2571357.465585459</v>
      </c>
      <c r="U64" s="242">
        <f t="shared" si="32"/>
        <v>2535290.2621911163</v>
      </c>
      <c r="V64" s="245">
        <f t="shared" si="22"/>
        <v>2578582.1349048088</v>
      </c>
      <c r="W64" s="245">
        <f t="shared" si="23"/>
        <v>2578582.1349048088</v>
      </c>
      <c r="X64" s="245">
        <f t="shared" si="23"/>
        <v>2578582.1349048088</v>
      </c>
      <c r="Y64" s="246">
        <f t="shared" si="23"/>
        <v>2578582.1349048088</v>
      </c>
      <c r="Z64" s="247">
        <f t="shared" si="23"/>
        <v>2578582.1349048088</v>
      </c>
      <c r="AA64" s="245">
        <f t="shared" ref="AA64:AB64" si="33">Z64</f>
        <v>2578582.1349048088</v>
      </c>
      <c r="AB64" s="245">
        <f t="shared" si="33"/>
        <v>2578582.1349048088</v>
      </c>
      <c r="AC64" s="245">
        <f t="shared" ref="AC64:AI64" si="34">AB64</f>
        <v>2578582.1349048088</v>
      </c>
      <c r="AD64" s="246">
        <f t="shared" si="34"/>
        <v>2578582.1349048088</v>
      </c>
      <c r="AE64" s="247">
        <f t="shared" si="34"/>
        <v>2578582.1349048088</v>
      </c>
      <c r="AF64" s="245">
        <f t="shared" si="34"/>
        <v>2578582.1349048088</v>
      </c>
      <c r="AG64" s="245">
        <f t="shared" si="34"/>
        <v>2578582.1349048088</v>
      </c>
      <c r="AH64" s="232">
        <f t="shared" si="34"/>
        <v>2578582.1349048088</v>
      </c>
      <c r="AI64" s="233">
        <f t="shared" si="34"/>
        <v>2578582.1349048088</v>
      </c>
    </row>
    <row r="65" spans="3:35" x14ac:dyDescent="0.25">
      <c r="C65" s="221"/>
      <c r="D65" s="222"/>
      <c r="E65" s="222"/>
      <c r="F65" s="222"/>
      <c r="G65" s="222"/>
      <c r="H65" s="222"/>
      <c r="I65" s="222"/>
      <c r="J65" s="222"/>
      <c r="K65" s="221"/>
      <c r="L65" s="222"/>
      <c r="M65" s="222"/>
      <c r="N65" s="222"/>
      <c r="O65" s="223"/>
      <c r="P65" s="221"/>
      <c r="Q65" s="222"/>
      <c r="R65" s="222"/>
      <c r="S65" s="222"/>
      <c r="T65" s="223"/>
      <c r="U65" s="221"/>
      <c r="V65" s="222"/>
      <c r="W65" s="222"/>
      <c r="X65" s="222"/>
      <c r="Y65" s="223"/>
      <c r="Z65" s="221"/>
      <c r="AA65" s="222"/>
      <c r="AB65" s="222"/>
      <c r="AC65" s="222"/>
      <c r="AD65" s="223"/>
      <c r="AE65" s="221"/>
      <c r="AF65" s="222"/>
      <c r="AG65" s="222"/>
      <c r="AH65" s="222"/>
      <c r="AI65" s="223"/>
    </row>
    <row r="66" spans="3:35" x14ac:dyDescent="0.25">
      <c r="C66" s="221" t="s">
        <v>223</v>
      </c>
      <c r="D66" s="222"/>
      <c r="E66" s="222"/>
      <c r="F66" s="222"/>
      <c r="G66" s="222"/>
      <c r="H66" s="222"/>
      <c r="I66" s="222"/>
      <c r="J66" s="222"/>
      <c r="K66" s="237">
        <f t="shared" ref="K66:AF66" si="35">SUM(K60:K65)</f>
        <v>41846953.647211075</v>
      </c>
      <c r="L66" s="24">
        <f t="shared" si="35"/>
        <v>40175431.747109771</v>
      </c>
      <c r="M66" s="24">
        <f t="shared" si="35"/>
        <v>38782633.349632561</v>
      </c>
      <c r="N66" s="248">
        <f t="shared" si="35"/>
        <v>28663956.174980205</v>
      </c>
      <c r="O66" s="249">
        <f t="shared" si="35"/>
        <v>28281675</v>
      </c>
      <c r="P66" s="250">
        <f t="shared" si="35"/>
        <v>30333024.299795061</v>
      </c>
      <c r="Q66" s="248">
        <f t="shared" si="35"/>
        <v>24215243.493517287</v>
      </c>
      <c r="R66" s="248">
        <f t="shared" si="35"/>
        <v>18879444.205473609</v>
      </c>
      <c r="S66" s="248">
        <f t="shared" si="35"/>
        <v>19256772.758531995</v>
      </c>
      <c r="T66" s="249">
        <f t="shared" si="35"/>
        <v>20700091.459614992</v>
      </c>
      <c r="U66" s="250">
        <f t="shared" si="35"/>
        <v>21100352.720457375</v>
      </c>
      <c r="V66" s="248">
        <f t="shared" si="35"/>
        <v>22414154.822898388</v>
      </c>
      <c r="W66" s="248">
        <f t="shared" ref="W66" si="36">SUM(W60:W65)</f>
        <v>22414154.822898388</v>
      </c>
      <c r="X66" s="248">
        <f t="shared" ref="X66" si="37">SUM(X60:X65)</f>
        <v>22414154.822898388</v>
      </c>
      <c r="Y66" s="249">
        <f t="shared" ref="Y66" si="38">SUM(Y60:Y65)</f>
        <v>22414154.822898388</v>
      </c>
      <c r="Z66" s="250">
        <f t="shared" ref="Z66" si="39">SUM(Z60:Z65)</f>
        <v>22414154.822898388</v>
      </c>
      <c r="AA66" s="248">
        <f t="shared" si="35"/>
        <v>22414154.822898388</v>
      </c>
      <c r="AB66" s="248">
        <f t="shared" si="35"/>
        <v>22414154.822898388</v>
      </c>
      <c r="AC66" s="248">
        <f t="shared" si="35"/>
        <v>22414154.822898388</v>
      </c>
      <c r="AD66" s="249">
        <f t="shared" si="35"/>
        <v>22414154.822898388</v>
      </c>
      <c r="AE66" s="250">
        <f t="shared" si="35"/>
        <v>22414154.822898388</v>
      </c>
      <c r="AF66" s="248">
        <f t="shared" si="35"/>
        <v>22414154.822898388</v>
      </c>
      <c r="AG66" s="248">
        <f>SUM(AG60:AG65)</f>
        <v>22414154.822898388</v>
      </c>
      <c r="AH66" s="24">
        <f t="shared" ref="AH66:AI66" si="40">SUM(AH60:AH65)</f>
        <v>22414154.822898388</v>
      </c>
      <c r="AI66" s="239">
        <f t="shared" si="40"/>
        <v>22414154.822898388</v>
      </c>
    </row>
    <row r="67" spans="3:35" x14ac:dyDescent="0.25">
      <c r="C67" s="221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3"/>
    </row>
    <row r="68" spans="3:35" x14ac:dyDescent="0.25">
      <c r="C68" s="221" t="s">
        <v>208</v>
      </c>
      <c r="D68" s="222"/>
      <c r="E68" s="222"/>
      <c r="F68" s="222"/>
      <c r="G68" s="222"/>
      <c r="H68" s="222"/>
      <c r="I68" s="222"/>
      <c r="J68" s="222"/>
      <c r="K68" s="222" t="s">
        <v>207</v>
      </c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3"/>
    </row>
    <row r="69" spans="3:35" x14ac:dyDescent="0.25">
      <c r="C69" s="228"/>
      <c r="D69" s="229"/>
      <c r="E69" s="229"/>
      <c r="F69" s="229"/>
      <c r="G69" s="229"/>
      <c r="H69" s="229"/>
      <c r="I69" s="229"/>
      <c r="J69" s="229"/>
      <c r="K69" s="251" t="s">
        <v>210</v>
      </c>
      <c r="L69" s="251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30"/>
    </row>
  </sheetData>
  <mergeCells count="3">
    <mergeCell ref="A2:D2"/>
    <mergeCell ref="B7:B19"/>
    <mergeCell ref="A1:D1"/>
  </mergeCells>
  <pageMargins left="0.7" right="0.7" top="0.75" bottom="0.75" header="0.3" footer="0.3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6"/>
  <sheetViews>
    <sheetView workbookViewId="0">
      <pane xSplit="6" ySplit="3" topLeftCell="G77" activePane="bottomRight" state="frozen"/>
      <selection pane="topRight" activeCell="G1" sqref="G1"/>
      <selection pane="bottomLeft" activeCell="A4" sqref="A4"/>
      <selection pane="bottomRight" activeCell="K95" sqref="K95:P101"/>
    </sheetView>
  </sheetViews>
  <sheetFormatPr defaultRowHeight="15" x14ac:dyDescent="0.25"/>
  <cols>
    <col min="1" max="2" width="5.7109375" customWidth="1"/>
    <col min="3" max="3" width="36.7109375" customWidth="1"/>
    <col min="5" max="5" width="12.5703125" hidden="1" customWidth="1"/>
    <col min="6" max="8" width="9.140625" hidden="1" customWidth="1"/>
    <col min="13" max="14" width="10.140625" bestFit="1" customWidth="1"/>
    <col min="23" max="28" width="10.140625" customWidth="1"/>
  </cols>
  <sheetData>
    <row r="1" spans="1:28" x14ac:dyDescent="0.25">
      <c r="A1" s="417" t="s">
        <v>173</v>
      </c>
      <c r="B1" s="418"/>
      <c r="C1" s="418"/>
      <c r="D1" s="418"/>
    </row>
    <row r="2" spans="1:28" ht="15.75" thickBot="1" x14ac:dyDescent="0.3">
      <c r="A2" s="32"/>
      <c r="B2" s="32"/>
      <c r="C2" s="32"/>
      <c r="D2" s="32"/>
      <c r="E2" s="32"/>
      <c r="F2" s="32"/>
      <c r="G2" s="32"/>
      <c r="H2" s="32"/>
      <c r="I2" s="1" t="s">
        <v>5</v>
      </c>
      <c r="J2" s="1" t="s">
        <v>6</v>
      </c>
      <c r="K2" s="16" t="s">
        <v>7</v>
      </c>
      <c r="L2" s="16" t="s">
        <v>8</v>
      </c>
      <c r="M2" s="16" t="s">
        <v>9</v>
      </c>
      <c r="N2" s="16" t="s">
        <v>10</v>
      </c>
      <c r="O2" s="16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6" t="s">
        <v>17</v>
      </c>
    </row>
    <row r="3" spans="1:28" x14ac:dyDescent="0.25">
      <c r="A3" s="419" t="s">
        <v>55</v>
      </c>
      <c r="B3" s="420"/>
      <c r="C3" s="421"/>
      <c r="D3" s="252"/>
      <c r="E3" s="33"/>
      <c r="F3" s="34"/>
      <c r="G3" s="282"/>
      <c r="H3" s="282"/>
      <c r="I3" s="2"/>
      <c r="J3" s="2"/>
      <c r="K3" s="17"/>
      <c r="L3" s="17"/>
      <c r="M3" s="17"/>
      <c r="N3" s="17"/>
      <c r="O3" s="17"/>
      <c r="P3" s="2"/>
      <c r="Q3" s="2"/>
      <c r="R3" s="2"/>
      <c r="S3" s="2"/>
      <c r="T3" s="2"/>
      <c r="U3" s="17"/>
      <c r="V3" s="32"/>
      <c r="W3" s="215" t="s">
        <v>50</v>
      </c>
      <c r="X3" s="216" t="s">
        <v>51</v>
      </c>
      <c r="Y3" s="216" t="s">
        <v>52</v>
      </c>
      <c r="Z3" s="216" t="s">
        <v>53</v>
      </c>
      <c r="AA3" s="216" t="s">
        <v>54</v>
      </c>
      <c r="AB3" s="217" t="s">
        <v>120</v>
      </c>
    </row>
    <row r="4" spans="1:28" x14ac:dyDescent="0.25">
      <c r="A4" s="253"/>
      <c r="B4" s="422" t="s">
        <v>56</v>
      </c>
      <c r="C4" s="423"/>
      <c r="D4" s="254"/>
      <c r="E4" s="25"/>
      <c r="F4" s="26"/>
      <c r="G4" s="283"/>
      <c r="H4" s="283"/>
      <c r="I4" s="10" t="s">
        <v>57</v>
      </c>
      <c r="J4" s="10" t="s">
        <v>58</v>
      </c>
      <c r="K4" s="11" t="s">
        <v>58</v>
      </c>
      <c r="L4" s="11" t="s">
        <v>58</v>
      </c>
      <c r="M4" s="11" t="s">
        <v>58</v>
      </c>
      <c r="N4" s="11"/>
      <c r="O4" s="11"/>
      <c r="P4" s="12"/>
      <c r="Q4" s="12"/>
      <c r="R4" s="12"/>
      <c r="S4" s="12"/>
      <c r="T4" s="12"/>
      <c r="U4" s="20"/>
      <c r="W4" s="221"/>
      <c r="X4" s="222"/>
      <c r="Y4" s="222"/>
      <c r="Z4" s="222"/>
      <c r="AA4" s="222"/>
      <c r="AB4" s="223"/>
    </row>
    <row r="5" spans="1:28" x14ac:dyDescent="0.25">
      <c r="A5" s="255"/>
      <c r="B5" s="256"/>
      <c r="C5" s="257" t="s">
        <v>59</v>
      </c>
      <c r="D5" s="258"/>
      <c r="E5" s="27"/>
      <c r="F5" s="28"/>
      <c r="G5" s="284"/>
      <c r="H5" s="284"/>
      <c r="I5" s="10"/>
      <c r="J5" s="10"/>
      <c r="K5" s="11"/>
      <c r="L5" s="11"/>
      <c r="M5" s="11"/>
      <c r="N5" s="11"/>
      <c r="O5" s="11"/>
      <c r="P5" s="12"/>
      <c r="Q5" s="12"/>
      <c r="R5" s="12"/>
      <c r="S5" s="12"/>
      <c r="T5" s="12"/>
      <c r="U5" s="20"/>
      <c r="W5" s="221"/>
      <c r="X5" s="222"/>
      <c r="Y5" s="222"/>
      <c r="Z5" s="222"/>
      <c r="AA5" s="222"/>
      <c r="AB5" s="223"/>
    </row>
    <row r="6" spans="1:28" x14ac:dyDescent="0.25">
      <c r="A6" s="255"/>
      <c r="B6" s="256"/>
      <c r="C6" s="259"/>
      <c r="D6" s="260"/>
      <c r="E6" s="27" t="s">
        <v>60</v>
      </c>
      <c r="F6" s="28" t="s">
        <v>61</v>
      </c>
      <c r="G6" s="284"/>
      <c r="H6" s="284"/>
      <c r="I6" s="10"/>
      <c r="J6" s="10"/>
      <c r="K6" s="11"/>
      <c r="L6" s="11"/>
      <c r="M6" s="11"/>
      <c r="N6" s="11">
        <f>SUM(I6:M6)</f>
        <v>0</v>
      </c>
      <c r="O6" s="11"/>
      <c r="P6" s="12"/>
      <c r="Q6" s="12"/>
      <c r="R6" s="12"/>
      <c r="S6" s="12"/>
      <c r="T6" s="12"/>
      <c r="U6" s="20"/>
      <c r="V6" s="23"/>
      <c r="W6" s="221"/>
      <c r="X6" s="222"/>
      <c r="Y6" s="222"/>
      <c r="Z6" s="222"/>
      <c r="AA6" s="222"/>
      <c r="AB6" s="225">
        <f>1-SUM(W6:AA6)</f>
        <v>1</v>
      </c>
    </row>
    <row r="7" spans="1:28" x14ac:dyDescent="0.25">
      <c r="A7" s="255"/>
      <c r="B7" s="256"/>
      <c r="C7" s="269" t="s">
        <v>62</v>
      </c>
      <c r="D7" s="260">
        <v>60</v>
      </c>
      <c r="E7" s="27" t="s">
        <v>60</v>
      </c>
      <c r="F7" s="28" t="s">
        <v>63</v>
      </c>
      <c r="G7" s="284"/>
      <c r="H7" s="284"/>
      <c r="I7" s="10">
        <v>1078.8215</v>
      </c>
      <c r="J7" s="10">
        <v>1094.6379999999999</v>
      </c>
      <c r="K7" s="11">
        <v>918.08600000000001</v>
      </c>
      <c r="L7" s="11">
        <v>2321.4584999999997</v>
      </c>
      <c r="M7" s="11">
        <v>4054.9275000000007</v>
      </c>
      <c r="N7" s="11">
        <v>7337.0560000000005</v>
      </c>
      <c r="O7" s="11">
        <v>5979.6164112062925</v>
      </c>
      <c r="P7" s="12">
        <v>1427.8492336188772</v>
      </c>
      <c r="Q7" s="12">
        <v>1346.4656448251696</v>
      </c>
      <c r="R7" s="12">
        <v>1346.4656448251696</v>
      </c>
      <c r="S7" s="12">
        <v>1346.4656448251696</v>
      </c>
      <c r="T7" s="12">
        <v>1346.4656448251696</v>
      </c>
      <c r="U7" s="20">
        <v>1346.4656448251696</v>
      </c>
      <c r="V7" s="23"/>
      <c r="W7" s="221"/>
      <c r="X7" s="222"/>
      <c r="Y7" s="226">
        <v>0.15</v>
      </c>
      <c r="Z7" s="222"/>
      <c r="AA7" s="226">
        <v>0.1</v>
      </c>
      <c r="AB7" s="225">
        <f t="shared" ref="AB7:AB69" si="0">1-SUM(W7:AA7)</f>
        <v>0.75</v>
      </c>
    </row>
    <row r="8" spans="1:28" x14ac:dyDescent="0.25">
      <c r="A8" s="255"/>
      <c r="B8" s="256"/>
      <c r="C8" s="269" t="s">
        <v>64</v>
      </c>
      <c r="D8" s="260">
        <v>61</v>
      </c>
      <c r="E8" s="27" t="s">
        <v>60</v>
      </c>
      <c r="F8" s="28" t="s">
        <v>65</v>
      </c>
      <c r="G8" s="284"/>
      <c r="H8" s="284"/>
      <c r="I8" s="10">
        <v>2758.806</v>
      </c>
      <c r="J8" s="10">
        <v>2369.665</v>
      </c>
      <c r="K8" s="11">
        <v>1850.4950000000003</v>
      </c>
      <c r="L8" s="11">
        <v>3193.04</v>
      </c>
      <c r="M8" s="11">
        <v>7497.2299745810597</v>
      </c>
      <c r="N8" s="11">
        <v>10194.96497458106</v>
      </c>
      <c r="O8" s="11">
        <v>6672.1152727181643</v>
      </c>
      <c r="P8" s="12">
        <v>3170.9458181544919</v>
      </c>
      <c r="Q8" s="12">
        <v>2877.6610908726557</v>
      </c>
      <c r="R8" s="12">
        <v>2877.6610908726557</v>
      </c>
      <c r="S8" s="12">
        <v>2877.6610908726557</v>
      </c>
      <c r="T8" s="12">
        <v>2877.6610908726557</v>
      </c>
      <c r="U8" s="20">
        <v>2877.6610908726557</v>
      </c>
      <c r="V8" s="23"/>
      <c r="W8" s="221"/>
      <c r="X8" s="222"/>
      <c r="Y8" s="226">
        <v>0.15</v>
      </c>
      <c r="Z8" s="222"/>
      <c r="AA8" s="226">
        <v>0.1</v>
      </c>
      <c r="AB8" s="225">
        <f t="shared" si="0"/>
        <v>0.75</v>
      </c>
    </row>
    <row r="9" spans="1:28" x14ac:dyDescent="0.25">
      <c r="A9" s="255"/>
      <c r="B9" s="256"/>
      <c r="C9" s="269" t="s">
        <v>113</v>
      </c>
      <c r="D9" s="261">
        <v>62</v>
      </c>
      <c r="E9" s="27" t="s">
        <v>60</v>
      </c>
      <c r="F9" s="29" t="s">
        <v>66</v>
      </c>
      <c r="G9" s="284"/>
      <c r="H9" s="284"/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142.75700905233708</v>
      </c>
      <c r="P9" s="12">
        <v>428.27102715701125</v>
      </c>
      <c r="Q9" s="12">
        <v>571.02803620934833</v>
      </c>
      <c r="R9" s="12">
        <v>571.02803620934833</v>
      </c>
      <c r="S9" s="12">
        <v>571.02803620934833</v>
      </c>
      <c r="T9" s="12">
        <v>571.02803620934833</v>
      </c>
      <c r="U9" s="20">
        <v>571.02803620934833</v>
      </c>
      <c r="V9" s="23"/>
      <c r="W9" s="221"/>
      <c r="X9" s="222"/>
      <c r="Y9" s="222"/>
      <c r="Z9" s="222"/>
      <c r="AA9" s="222"/>
      <c r="AB9" s="225">
        <f t="shared" si="0"/>
        <v>1</v>
      </c>
    </row>
    <row r="10" spans="1:28" x14ac:dyDescent="0.25">
      <c r="A10" s="255"/>
      <c r="B10" s="256"/>
      <c r="C10" s="269" t="s">
        <v>114</v>
      </c>
      <c r="D10" s="261">
        <v>63</v>
      </c>
      <c r="E10" s="27" t="s">
        <v>60</v>
      </c>
      <c r="F10" s="29" t="s">
        <v>67</v>
      </c>
      <c r="G10" s="284"/>
      <c r="H10" s="284"/>
      <c r="I10" s="10">
        <v>14.058</v>
      </c>
      <c r="J10" s="10">
        <v>0</v>
      </c>
      <c r="K10" s="11">
        <v>0</v>
      </c>
      <c r="L10" s="11">
        <v>0</v>
      </c>
      <c r="M10" s="11">
        <v>0</v>
      </c>
      <c r="N10" s="11">
        <v>0</v>
      </c>
      <c r="O10" s="11">
        <v>289.10000000000002</v>
      </c>
      <c r="P10" s="12">
        <v>867.30000000000007</v>
      </c>
      <c r="Q10" s="12">
        <v>1156.4000000000001</v>
      </c>
      <c r="R10" s="12">
        <v>1156.4000000000001</v>
      </c>
      <c r="S10" s="12">
        <v>1166.4000000000001</v>
      </c>
      <c r="T10" s="12">
        <v>1176.4000000000001</v>
      </c>
      <c r="U10" s="20">
        <v>1176.4000000000001</v>
      </c>
      <c r="V10" s="23"/>
      <c r="W10" s="221"/>
      <c r="X10" s="222"/>
      <c r="Y10" s="222"/>
      <c r="Z10" s="222"/>
      <c r="AA10" s="222"/>
      <c r="AB10" s="225">
        <f t="shared" si="0"/>
        <v>1</v>
      </c>
    </row>
    <row r="11" spans="1:28" x14ac:dyDescent="0.25">
      <c r="A11" s="255"/>
      <c r="B11" s="256"/>
      <c r="C11" s="269" t="s">
        <v>115</v>
      </c>
      <c r="D11" s="261">
        <v>64</v>
      </c>
      <c r="E11" s="27" t="s">
        <v>60</v>
      </c>
      <c r="F11" s="29" t="s">
        <v>68</v>
      </c>
      <c r="G11" s="284"/>
      <c r="H11" s="284"/>
      <c r="I11" s="10">
        <v>6048.607</v>
      </c>
      <c r="J11" s="10">
        <v>9507.432499999999</v>
      </c>
      <c r="K11" s="11">
        <v>11844.48</v>
      </c>
      <c r="L11" s="11">
        <v>12109.3675</v>
      </c>
      <c r="M11" s="11">
        <v>15478.411</v>
      </c>
      <c r="N11" s="11">
        <v>15464.1805</v>
      </c>
      <c r="O11" s="11">
        <v>12627.285390740151</v>
      </c>
      <c r="P11" s="12">
        <v>13181.856172220454</v>
      </c>
      <c r="Q11" s="12">
        <v>13459.141562960605</v>
      </c>
      <c r="R11" s="12">
        <v>13459.141562960605</v>
      </c>
      <c r="S11" s="12">
        <v>13459.141562960605</v>
      </c>
      <c r="T11" s="12">
        <v>13459.141562960605</v>
      </c>
      <c r="U11" s="20">
        <v>13459.141562960605</v>
      </c>
      <c r="V11" s="23"/>
      <c r="W11" s="221"/>
      <c r="X11" s="222"/>
      <c r="Y11" s="222"/>
      <c r="Z11" s="222"/>
      <c r="AA11" s="222"/>
      <c r="AB11" s="225">
        <f t="shared" si="0"/>
        <v>1</v>
      </c>
    </row>
    <row r="12" spans="1:28" x14ac:dyDescent="0.25">
      <c r="A12" s="255"/>
      <c r="B12" s="256"/>
      <c r="C12" s="269" t="s">
        <v>69</v>
      </c>
      <c r="D12" s="260">
        <v>65</v>
      </c>
      <c r="E12" s="27" t="s">
        <v>60</v>
      </c>
      <c r="F12" s="28" t="s">
        <v>70</v>
      </c>
      <c r="G12" s="284"/>
      <c r="H12" s="284"/>
      <c r="I12" s="10">
        <v>19561.404500000001</v>
      </c>
      <c r="J12" s="10">
        <v>17708.875500000002</v>
      </c>
      <c r="K12" s="11">
        <v>16350.219499999999</v>
      </c>
      <c r="L12" s="11">
        <v>16859.199500000002</v>
      </c>
      <c r="M12" s="11">
        <v>16405.535500000002</v>
      </c>
      <c r="N12" s="11">
        <v>14741.129000000001</v>
      </c>
      <c r="O12" s="11">
        <v>16715.724281514369</v>
      </c>
      <c r="P12" s="12">
        <v>19747.172844543107</v>
      </c>
      <c r="Q12" s="12">
        <v>21262.897126057473</v>
      </c>
      <c r="R12" s="12">
        <v>21262.897126057473</v>
      </c>
      <c r="S12" s="12">
        <v>21262.897126057473</v>
      </c>
      <c r="T12" s="12">
        <v>21262.897126057473</v>
      </c>
      <c r="U12" s="20">
        <v>21262.897126057473</v>
      </c>
      <c r="V12" s="23"/>
      <c r="W12" s="221"/>
      <c r="X12" s="222"/>
      <c r="Y12" s="222"/>
      <c r="Z12" s="222"/>
      <c r="AA12" s="222"/>
      <c r="AB12" s="225">
        <f t="shared" si="0"/>
        <v>1</v>
      </c>
    </row>
    <row r="13" spans="1:28" x14ac:dyDescent="0.25">
      <c r="A13" s="255"/>
      <c r="B13" s="256"/>
      <c r="C13" s="269" t="s">
        <v>71</v>
      </c>
      <c r="D13" s="260">
        <v>66</v>
      </c>
      <c r="E13" s="27" t="s">
        <v>60</v>
      </c>
      <c r="F13" s="28" t="s">
        <v>72</v>
      </c>
      <c r="G13" s="284"/>
      <c r="H13" s="284"/>
      <c r="I13" s="10">
        <v>0</v>
      </c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374</v>
      </c>
      <c r="P13" s="12">
        <v>751.65000000000009</v>
      </c>
      <c r="Q13" s="12">
        <v>755.30000000000007</v>
      </c>
      <c r="R13" s="12">
        <v>755.30000000000007</v>
      </c>
      <c r="S13" s="12">
        <v>755.30000000000007</v>
      </c>
      <c r="T13" s="12">
        <v>755.30000000000007</v>
      </c>
      <c r="U13" s="20">
        <v>755.30000000000007</v>
      </c>
      <c r="V13" s="23"/>
      <c r="W13" s="221"/>
      <c r="X13" s="222"/>
      <c r="Y13" s="222"/>
      <c r="Z13" s="222"/>
      <c r="AA13" s="222"/>
      <c r="AB13" s="225">
        <f t="shared" si="0"/>
        <v>1</v>
      </c>
    </row>
    <row r="14" spans="1:28" x14ac:dyDescent="0.25">
      <c r="A14" s="255"/>
      <c r="B14" s="256"/>
      <c r="C14" s="269" t="s">
        <v>73</v>
      </c>
      <c r="D14" s="260">
        <v>67</v>
      </c>
      <c r="E14" s="27" t="s">
        <v>60</v>
      </c>
      <c r="F14" s="28" t="s">
        <v>72</v>
      </c>
      <c r="G14" s="284"/>
      <c r="H14" s="284"/>
      <c r="I14" s="10">
        <v>2075.326</v>
      </c>
      <c r="J14" s="10">
        <v>2993.703</v>
      </c>
      <c r="K14" s="11">
        <v>3288.0384999999997</v>
      </c>
      <c r="L14" s="11">
        <v>3229.5010000000002</v>
      </c>
      <c r="M14" s="11">
        <v>3759.486466535679</v>
      </c>
      <c r="N14" s="11">
        <v>3640.0449665356787</v>
      </c>
      <c r="O14" s="11">
        <v>2490</v>
      </c>
      <c r="P14" s="12">
        <v>2140</v>
      </c>
      <c r="Q14" s="12">
        <v>2150.5</v>
      </c>
      <c r="R14" s="12">
        <v>2151.5</v>
      </c>
      <c r="S14" s="12">
        <v>2152.5</v>
      </c>
      <c r="T14" s="12">
        <v>2153.5</v>
      </c>
      <c r="U14" s="20">
        <v>2154</v>
      </c>
      <c r="V14" s="23"/>
      <c r="W14" s="221"/>
      <c r="X14" s="222"/>
      <c r="Y14" s="222"/>
      <c r="Z14" s="222"/>
      <c r="AA14" s="222"/>
      <c r="AB14" s="225">
        <f t="shared" si="0"/>
        <v>1</v>
      </c>
    </row>
    <row r="15" spans="1:28" x14ac:dyDescent="0.25">
      <c r="A15" s="255"/>
      <c r="B15" s="256"/>
      <c r="C15" s="269" t="s">
        <v>74</v>
      </c>
      <c r="D15" s="260">
        <v>68</v>
      </c>
      <c r="E15" s="27" t="s">
        <v>60</v>
      </c>
      <c r="F15" s="28" t="s">
        <v>75</v>
      </c>
      <c r="G15" s="284"/>
      <c r="H15" s="284"/>
      <c r="I15" s="10">
        <v>757.90350000000001</v>
      </c>
      <c r="J15" s="10">
        <v>1417.1255000000001</v>
      </c>
      <c r="K15" s="11">
        <v>2026.9300000000003</v>
      </c>
      <c r="L15" s="11">
        <v>2356.4315000000001</v>
      </c>
      <c r="M15" s="11">
        <v>4303.0387647058824</v>
      </c>
      <c r="N15" s="11">
        <v>4457.4482647058821</v>
      </c>
      <c r="O15" s="11">
        <v>3029.7242620727748</v>
      </c>
      <c r="P15" s="12">
        <v>3389.1727862183234</v>
      </c>
      <c r="Q15" s="12">
        <v>3568.8970482910981</v>
      </c>
      <c r="R15" s="12">
        <v>3568.8970482910981</v>
      </c>
      <c r="S15" s="12">
        <v>3568.8970482910981</v>
      </c>
      <c r="T15" s="12">
        <v>3568.8970482910981</v>
      </c>
      <c r="U15" s="20">
        <v>3568.8970482910981</v>
      </c>
      <c r="V15" s="23"/>
      <c r="W15" s="221"/>
      <c r="X15" s="222"/>
      <c r="Y15" s="222"/>
      <c r="Z15" s="222"/>
      <c r="AA15" s="226">
        <v>0.15</v>
      </c>
      <c r="AB15" s="225">
        <f t="shared" si="0"/>
        <v>0.85</v>
      </c>
    </row>
    <row r="16" spans="1:28" x14ac:dyDescent="0.25">
      <c r="A16" s="255"/>
      <c r="B16" s="256"/>
      <c r="C16" s="269" t="s">
        <v>76</v>
      </c>
      <c r="D16" s="260">
        <v>69</v>
      </c>
      <c r="E16" s="27" t="s">
        <v>60</v>
      </c>
      <c r="F16" s="28" t="s">
        <v>61</v>
      </c>
      <c r="G16" s="284"/>
      <c r="H16" s="284"/>
      <c r="I16" s="10">
        <v>47.686500000000002</v>
      </c>
      <c r="J16" s="10">
        <v>0.14549999999999999</v>
      </c>
      <c r="K16" s="11">
        <v>0.52200000000000002</v>
      </c>
      <c r="L16" s="11">
        <v>0.52200000000000002</v>
      </c>
      <c r="M16" s="11">
        <v>37.025999999999996</v>
      </c>
      <c r="N16" s="11">
        <v>60.775999999999996</v>
      </c>
      <c r="O16" s="11">
        <v>23.75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20">
        <v>0</v>
      </c>
      <c r="V16" s="23"/>
      <c r="W16" s="221"/>
      <c r="X16" s="222"/>
      <c r="Y16" s="222"/>
      <c r="Z16" s="222"/>
      <c r="AA16" s="222"/>
      <c r="AB16" s="225">
        <f t="shared" si="0"/>
        <v>1</v>
      </c>
    </row>
    <row r="17" spans="1:28" x14ac:dyDescent="0.25">
      <c r="A17" s="255"/>
      <c r="B17" s="256"/>
      <c r="C17" s="269" t="s">
        <v>77</v>
      </c>
      <c r="D17" s="260">
        <v>70</v>
      </c>
      <c r="E17" s="27" t="s">
        <v>60</v>
      </c>
      <c r="F17" s="28" t="s">
        <v>78</v>
      </c>
      <c r="G17" s="284"/>
      <c r="H17" s="284"/>
      <c r="I17" s="10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20">
        <v>0</v>
      </c>
      <c r="V17" s="23"/>
      <c r="W17" s="221"/>
      <c r="X17" s="222"/>
      <c r="Y17" s="222"/>
      <c r="Z17" s="222"/>
      <c r="AA17" s="222"/>
      <c r="AB17" s="225">
        <f t="shared" si="0"/>
        <v>1</v>
      </c>
    </row>
    <row r="18" spans="1:28" x14ac:dyDescent="0.25">
      <c r="A18" s="255"/>
      <c r="B18" s="256"/>
      <c r="C18" s="269" t="s">
        <v>79</v>
      </c>
      <c r="D18" s="260">
        <v>71</v>
      </c>
      <c r="E18" s="27" t="s">
        <v>60</v>
      </c>
      <c r="F18" s="28" t="s">
        <v>80</v>
      </c>
      <c r="G18" s="284"/>
      <c r="H18" s="284"/>
      <c r="I18" s="10">
        <v>1546.0219999999999</v>
      </c>
      <c r="J18" s="10">
        <v>2407.6815000000001</v>
      </c>
      <c r="K18" s="11">
        <v>2397.1780000000003</v>
      </c>
      <c r="L18" s="11">
        <v>2706.3905</v>
      </c>
      <c r="M18" s="11">
        <v>3567.512949220707</v>
      </c>
      <c r="N18" s="11">
        <v>3289.6369492207068</v>
      </c>
      <c r="O18" s="11">
        <v>2887.5</v>
      </c>
      <c r="P18" s="12">
        <v>2962.5</v>
      </c>
      <c r="Q18" s="12">
        <v>3000</v>
      </c>
      <c r="R18" s="12">
        <v>3000</v>
      </c>
      <c r="S18" s="12">
        <v>3000</v>
      </c>
      <c r="T18" s="12">
        <v>3000</v>
      </c>
      <c r="U18" s="20">
        <v>3000</v>
      </c>
      <c r="V18" s="23"/>
      <c r="W18" s="221"/>
      <c r="X18" s="222"/>
      <c r="Y18" s="222"/>
      <c r="Z18" s="222"/>
      <c r="AA18" s="222"/>
      <c r="AB18" s="225">
        <f t="shared" si="0"/>
        <v>1</v>
      </c>
    </row>
    <row r="19" spans="1:28" x14ac:dyDescent="0.25">
      <c r="A19" s="255"/>
      <c r="B19" s="256"/>
      <c r="C19" s="269" t="s">
        <v>81</v>
      </c>
      <c r="D19" s="260">
        <v>72</v>
      </c>
      <c r="E19" s="27" t="s">
        <v>60</v>
      </c>
      <c r="F19" s="28" t="s">
        <v>82</v>
      </c>
      <c r="G19" s="284"/>
      <c r="H19" s="284"/>
      <c r="I19" s="10">
        <v>1639.6110000000001</v>
      </c>
      <c r="J19" s="10">
        <v>1624.1025000000002</v>
      </c>
      <c r="K19" s="11">
        <v>1638.8155000000002</v>
      </c>
      <c r="L19" s="11">
        <v>3202.7154999999998</v>
      </c>
      <c r="M19" s="11">
        <v>4224.2879275900368</v>
      </c>
      <c r="N19" s="11">
        <v>2633.0819275900376</v>
      </c>
      <c r="O19" s="11">
        <v>2224.6041751538087</v>
      </c>
      <c r="P19" s="12">
        <v>2873.812525461426</v>
      </c>
      <c r="Q19" s="12">
        <v>3198.4167006152347</v>
      </c>
      <c r="R19" s="12">
        <v>3198.4167006152347</v>
      </c>
      <c r="S19" s="12">
        <v>3198.4167006152347</v>
      </c>
      <c r="T19" s="12">
        <v>3198.4167006152347</v>
      </c>
      <c r="U19" s="20">
        <v>3198.4167006152347</v>
      </c>
      <c r="V19" s="23"/>
      <c r="W19" s="221"/>
      <c r="X19" s="222"/>
      <c r="Y19" s="222"/>
      <c r="Z19" s="226">
        <v>0.25</v>
      </c>
      <c r="AA19" s="222"/>
      <c r="AB19" s="225">
        <f t="shared" si="0"/>
        <v>0.75</v>
      </c>
    </row>
    <row r="20" spans="1:28" x14ac:dyDescent="0.25">
      <c r="A20" s="255"/>
      <c r="B20" s="256"/>
      <c r="C20" s="269" t="s">
        <v>83</v>
      </c>
      <c r="D20" s="260">
        <v>73</v>
      </c>
      <c r="E20" s="27" t="s">
        <v>60</v>
      </c>
      <c r="F20" s="28" t="s">
        <v>70</v>
      </c>
      <c r="G20" s="284"/>
      <c r="H20" s="284"/>
      <c r="I20" s="10">
        <v>2981.3379999999997</v>
      </c>
      <c r="J20" s="10">
        <v>3248.46</v>
      </c>
      <c r="K20" s="11">
        <v>3098.2525000000001</v>
      </c>
      <c r="L20" s="11">
        <v>5559.4880000000003</v>
      </c>
      <c r="M20" s="11">
        <v>6705.7741374902726</v>
      </c>
      <c r="N20" s="11">
        <v>5647.7606374902734</v>
      </c>
      <c r="O20" s="11">
        <v>6142.6869097212639</v>
      </c>
      <c r="P20" s="12">
        <v>7028.0607291637916</v>
      </c>
      <c r="Q20" s="12">
        <v>7470.7476388850564</v>
      </c>
      <c r="R20" s="12">
        <v>7470.7476388850564</v>
      </c>
      <c r="S20" s="12">
        <v>7470.7476388850564</v>
      </c>
      <c r="T20" s="12">
        <v>7470.7476388850564</v>
      </c>
      <c r="U20" s="20">
        <v>7470.7476388850564</v>
      </c>
      <c r="V20" s="23"/>
      <c r="W20" s="221"/>
      <c r="X20" s="222"/>
      <c r="Y20" s="222"/>
      <c r="Z20" s="222"/>
      <c r="AA20" s="222"/>
      <c r="AB20" s="225">
        <f t="shared" si="0"/>
        <v>1</v>
      </c>
    </row>
    <row r="21" spans="1:28" x14ac:dyDescent="0.25">
      <c r="A21" s="255"/>
      <c r="B21" s="256"/>
      <c r="C21" s="269" t="s">
        <v>84</v>
      </c>
      <c r="D21" s="260">
        <v>74</v>
      </c>
      <c r="E21" s="27" t="s">
        <v>60</v>
      </c>
      <c r="F21" s="28" t="s">
        <v>72</v>
      </c>
      <c r="G21" s="284"/>
      <c r="H21" s="284"/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20">
        <v>0</v>
      </c>
      <c r="V21" s="23"/>
      <c r="W21" s="221"/>
      <c r="X21" s="222"/>
      <c r="Y21" s="222"/>
      <c r="Z21" s="222"/>
      <c r="AA21" s="222"/>
      <c r="AB21" s="225">
        <f t="shared" si="0"/>
        <v>1</v>
      </c>
    </row>
    <row r="22" spans="1:28" x14ac:dyDescent="0.25">
      <c r="A22" s="255"/>
      <c r="B22" s="256"/>
      <c r="C22" s="269" t="s">
        <v>177</v>
      </c>
      <c r="D22" s="260">
        <v>75</v>
      </c>
      <c r="E22" s="27"/>
      <c r="F22" s="28"/>
      <c r="G22" s="284"/>
      <c r="H22" s="284"/>
      <c r="I22" s="10">
        <v>35.693000000000005</v>
      </c>
      <c r="J22" s="10">
        <v>52.802500000000009</v>
      </c>
      <c r="K22" s="11">
        <v>29.503000000000004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20">
        <v>0</v>
      </c>
      <c r="V22" s="23"/>
      <c r="W22" s="221"/>
      <c r="X22" s="222"/>
      <c r="Y22" s="222"/>
      <c r="Z22" s="222"/>
      <c r="AA22" s="222"/>
      <c r="AB22" s="225">
        <f t="shared" si="0"/>
        <v>1</v>
      </c>
    </row>
    <row r="23" spans="1:28" x14ac:dyDescent="0.25">
      <c r="A23" s="255"/>
      <c r="B23" s="256"/>
      <c r="C23" s="269" t="s">
        <v>178</v>
      </c>
      <c r="D23" s="260">
        <v>76</v>
      </c>
      <c r="E23" s="27"/>
      <c r="F23" s="28"/>
      <c r="G23" s="284"/>
      <c r="H23" s="284"/>
      <c r="I23" s="10">
        <v>0</v>
      </c>
      <c r="J23" s="10">
        <v>0</v>
      </c>
      <c r="K23" s="11">
        <v>0</v>
      </c>
      <c r="L23" s="11">
        <v>839.41049999999996</v>
      </c>
      <c r="M23" s="11">
        <v>1112.4469999999999</v>
      </c>
      <c r="N23" s="11">
        <v>1223.0364999999999</v>
      </c>
      <c r="O23" s="11">
        <v>2170</v>
      </c>
      <c r="P23" s="12">
        <v>2710</v>
      </c>
      <c r="Q23" s="12">
        <v>2980</v>
      </c>
      <c r="R23" s="12">
        <v>2980</v>
      </c>
      <c r="S23" s="12">
        <v>2980</v>
      </c>
      <c r="T23" s="12">
        <v>2980</v>
      </c>
      <c r="U23" s="20">
        <v>2980</v>
      </c>
      <c r="V23" s="23"/>
      <c r="W23" s="221"/>
      <c r="X23" s="222"/>
      <c r="Y23" s="222"/>
      <c r="Z23" s="222"/>
      <c r="AA23" s="222"/>
      <c r="AB23" s="225">
        <f t="shared" si="0"/>
        <v>1</v>
      </c>
    </row>
    <row r="24" spans="1:28" x14ac:dyDescent="0.25">
      <c r="A24" s="255"/>
      <c r="B24" s="256"/>
      <c r="C24" s="269" t="s">
        <v>179</v>
      </c>
      <c r="D24" s="260">
        <v>77</v>
      </c>
      <c r="E24" s="27"/>
      <c r="F24" s="28"/>
      <c r="G24" s="284"/>
      <c r="H24" s="284"/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799.32018391434974</v>
      </c>
      <c r="O24" s="11">
        <v>1598.6403678286995</v>
      </c>
      <c r="P24" s="12">
        <v>2397.9605517430491</v>
      </c>
      <c r="Q24" s="12">
        <v>3197.280735657399</v>
      </c>
      <c r="R24" s="12">
        <v>3197.280735657399</v>
      </c>
      <c r="S24" s="12">
        <v>3197.280735657399</v>
      </c>
      <c r="T24" s="12">
        <v>3197.280735657399</v>
      </c>
      <c r="U24" s="20">
        <v>3197.280735657399</v>
      </c>
      <c r="V24" s="23"/>
      <c r="W24" s="221"/>
      <c r="X24" s="222"/>
      <c r="Y24" s="222"/>
      <c r="Z24" s="222"/>
      <c r="AA24" s="222"/>
      <c r="AB24" s="225">
        <f t="shared" si="0"/>
        <v>1</v>
      </c>
    </row>
    <row r="25" spans="1:28" x14ac:dyDescent="0.25">
      <c r="A25" s="255"/>
      <c r="B25" s="256"/>
      <c r="C25" s="269" t="s">
        <v>180</v>
      </c>
      <c r="D25" s="260">
        <v>78</v>
      </c>
      <c r="E25" s="27"/>
      <c r="F25" s="28"/>
      <c r="G25" s="284"/>
      <c r="H25" s="284"/>
      <c r="I25" s="10">
        <v>0</v>
      </c>
      <c r="J25" s="10">
        <v>0</v>
      </c>
      <c r="K25" s="11">
        <v>0</v>
      </c>
      <c r="L25" s="11">
        <v>0</v>
      </c>
      <c r="M25" s="11">
        <v>0</v>
      </c>
      <c r="N25" s="11">
        <v>210.38477387390913</v>
      </c>
      <c r="O25" s="11">
        <v>420.76954774781825</v>
      </c>
      <c r="P25" s="12">
        <v>631.15432162172738</v>
      </c>
      <c r="Q25" s="12">
        <v>841.5390954956365</v>
      </c>
      <c r="R25" s="12">
        <v>841.5390954956365</v>
      </c>
      <c r="S25" s="12">
        <v>841.5390954956365</v>
      </c>
      <c r="T25" s="12">
        <v>841.5390954956365</v>
      </c>
      <c r="U25" s="20">
        <v>841.5390954956365</v>
      </c>
      <c r="V25" s="23"/>
      <c r="W25" s="221"/>
      <c r="X25" s="222"/>
      <c r="Y25" s="222"/>
      <c r="Z25" s="222"/>
      <c r="AA25" s="222"/>
      <c r="AB25" s="225">
        <f t="shared" si="0"/>
        <v>1</v>
      </c>
    </row>
    <row r="26" spans="1:28" x14ac:dyDescent="0.25">
      <c r="A26" s="255"/>
      <c r="B26" s="256"/>
      <c r="C26" s="269"/>
      <c r="D26" s="260"/>
      <c r="E26" s="27"/>
      <c r="F26" s="28"/>
      <c r="G26" s="284"/>
      <c r="H26" s="284"/>
      <c r="I26" s="10"/>
      <c r="J26" s="10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20"/>
      <c r="V26" s="23"/>
      <c r="W26" s="221"/>
      <c r="X26" s="222"/>
      <c r="Y26" s="222"/>
      <c r="Z26" s="222"/>
      <c r="AA26" s="222"/>
      <c r="AB26" s="225">
        <f t="shared" si="0"/>
        <v>1</v>
      </c>
    </row>
    <row r="27" spans="1:28" x14ac:dyDescent="0.25">
      <c r="A27" s="255"/>
      <c r="B27" s="256"/>
      <c r="C27" s="262" t="s">
        <v>85</v>
      </c>
      <c r="D27" s="260"/>
      <c r="E27" s="27"/>
      <c r="F27" s="28"/>
      <c r="G27" s="284"/>
      <c r="H27" s="284"/>
      <c r="I27" s="10"/>
      <c r="J27" s="10"/>
      <c r="K27" s="11"/>
      <c r="L27" s="11"/>
      <c r="M27" s="11"/>
      <c r="N27" s="11"/>
      <c r="O27" s="11"/>
      <c r="P27" s="12"/>
      <c r="Q27" s="12"/>
      <c r="R27" s="12"/>
      <c r="S27" s="12"/>
      <c r="T27" s="12"/>
      <c r="U27" s="20"/>
      <c r="V27" s="23"/>
      <c r="W27" s="221"/>
      <c r="X27" s="222"/>
      <c r="Y27" s="222"/>
      <c r="Z27" s="222"/>
      <c r="AA27" s="222"/>
      <c r="AB27" s="225">
        <f t="shared" si="0"/>
        <v>1</v>
      </c>
    </row>
    <row r="28" spans="1:28" x14ac:dyDescent="0.25">
      <c r="A28" s="255"/>
      <c r="B28" s="256"/>
      <c r="C28" s="269" t="s">
        <v>86</v>
      </c>
      <c r="D28" s="260">
        <v>91</v>
      </c>
      <c r="E28" s="27" t="s">
        <v>60</v>
      </c>
      <c r="F28" s="28" t="s">
        <v>63</v>
      </c>
      <c r="G28" s="284"/>
      <c r="H28" s="284"/>
      <c r="I28" s="10">
        <v>3526.3255000000008</v>
      </c>
      <c r="J28" s="10">
        <v>3250.2050000000008</v>
      </c>
      <c r="K28" s="11">
        <v>3213.2165000000005</v>
      </c>
      <c r="L28" s="11">
        <v>4061.058</v>
      </c>
      <c r="M28" s="11">
        <v>4043.4644885941161</v>
      </c>
      <c r="N28" s="11">
        <v>3613.8994885941165</v>
      </c>
      <c r="O28" s="11">
        <v>2109.4</v>
      </c>
      <c r="P28" s="12">
        <v>624.40000000000009</v>
      </c>
      <c r="Q28" s="12">
        <v>640</v>
      </c>
      <c r="R28" s="12">
        <v>640</v>
      </c>
      <c r="S28" s="12">
        <v>640</v>
      </c>
      <c r="T28" s="12">
        <v>640</v>
      </c>
      <c r="U28" s="20">
        <v>640</v>
      </c>
      <c r="V28" s="23"/>
      <c r="W28" s="236"/>
      <c r="X28" s="222"/>
      <c r="Y28" s="226">
        <v>0.15</v>
      </c>
      <c r="Z28" s="222"/>
      <c r="AA28" s="226">
        <v>0.1</v>
      </c>
      <c r="AB28" s="225">
        <f t="shared" si="0"/>
        <v>0.75</v>
      </c>
    </row>
    <row r="29" spans="1:28" x14ac:dyDescent="0.25">
      <c r="A29" s="255"/>
      <c r="B29" s="256"/>
      <c r="C29" s="269" t="s">
        <v>116</v>
      </c>
      <c r="D29" s="260">
        <v>92</v>
      </c>
      <c r="E29" s="27" t="s">
        <v>60</v>
      </c>
      <c r="F29" s="29" t="s">
        <v>66</v>
      </c>
      <c r="G29" s="284"/>
      <c r="H29" s="284"/>
      <c r="I29" s="10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20">
        <v>0</v>
      </c>
      <c r="V29" s="23"/>
      <c r="W29" s="221"/>
      <c r="X29" s="222"/>
      <c r="Y29" s="222"/>
      <c r="Z29" s="222"/>
      <c r="AA29" s="222"/>
      <c r="AB29" s="225">
        <f t="shared" si="0"/>
        <v>1</v>
      </c>
    </row>
    <row r="30" spans="1:28" x14ac:dyDescent="0.25">
      <c r="A30" s="255"/>
      <c r="B30" s="256"/>
      <c r="C30" s="269" t="s">
        <v>117</v>
      </c>
      <c r="D30" s="260">
        <v>93</v>
      </c>
      <c r="E30" s="27" t="s">
        <v>60</v>
      </c>
      <c r="F30" s="29" t="s">
        <v>67</v>
      </c>
      <c r="G30" s="284"/>
      <c r="H30" s="284"/>
      <c r="I30" s="10">
        <v>-7.4040000000000017</v>
      </c>
      <c r="J30" s="10">
        <v>1.0375000000000001</v>
      </c>
      <c r="K30" s="11">
        <v>5.0355000000000008</v>
      </c>
      <c r="L30" s="11">
        <v>1.73</v>
      </c>
      <c r="M30" s="11">
        <v>10.523082212354232</v>
      </c>
      <c r="N30" s="11">
        <v>34.273082212354232</v>
      </c>
      <c r="O30" s="11">
        <v>91.25</v>
      </c>
      <c r="P30" s="12">
        <v>135</v>
      </c>
      <c r="Q30" s="12">
        <v>135</v>
      </c>
      <c r="R30" s="12">
        <v>157.5</v>
      </c>
      <c r="S30" s="12">
        <v>180</v>
      </c>
      <c r="T30" s="12">
        <v>180</v>
      </c>
      <c r="U30" s="20">
        <v>180</v>
      </c>
      <c r="V30" s="23"/>
      <c r="W30" s="221"/>
      <c r="X30" s="222"/>
      <c r="Y30" s="222"/>
      <c r="Z30" s="222"/>
      <c r="AA30" s="222"/>
      <c r="AB30" s="225">
        <f t="shared" si="0"/>
        <v>1</v>
      </c>
    </row>
    <row r="31" spans="1:28" x14ac:dyDescent="0.25">
      <c r="A31" s="255"/>
      <c r="B31" s="256"/>
      <c r="C31" s="269" t="s">
        <v>118</v>
      </c>
      <c r="D31" s="260">
        <v>94</v>
      </c>
      <c r="E31" s="27" t="s">
        <v>60</v>
      </c>
      <c r="F31" s="29" t="s">
        <v>68</v>
      </c>
      <c r="G31" s="284"/>
      <c r="H31" s="284"/>
      <c r="I31" s="10">
        <v>9135.7165000000005</v>
      </c>
      <c r="J31" s="10">
        <v>9470.6859999999997</v>
      </c>
      <c r="K31" s="11">
        <v>6548.4449999999997</v>
      </c>
      <c r="L31" s="11">
        <v>6455.7565000000004</v>
      </c>
      <c r="M31" s="11">
        <v>5700.884240547186</v>
      </c>
      <c r="N31" s="11">
        <v>5799.5337405471855</v>
      </c>
      <c r="O31" s="11">
        <v>5918.8156702822407</v>
      </c>
      <c r="P31" s="12">
        <v>6356.4470108467212</v>
      </c>
      <c r="Q31" s="12">
        <v>6575.262681128962</v>
      </c>
      <c r="R31" s="12">
        <v>6575.262681128962</v>
      </c>
      <c r="S31" s="12">
        <v>6575.262681128962</v>
      </c>
      <c r="T31" s="12">
        <v>6575.262681128962</v>
      </c>
      <c r="U31" s="20">
        <v>6575.262681128962</v>
      </c>
      <c r="V31" s="23"/>
      <c r="W31" s="221"/>
      <c r="X31" s="222"/>
      <c r="Y31" s="222"/>
      <c r="Z31" s="222"/>
      <c r="AA31" s="222"/>
      <c r="AB31" s="225">
        <f t="shared" si="0"/>
        <v>1</v>
      </c>
    </row>
    <row r="32" spans="1:28" x14ac:dyDescent="0.25">
      <c r="A32" s="255"/>
      <c r="B32" s="256"/>
      <c r="C32" s="269" t="s">
        <v>87</v>
      </c>
      <c r="D32" s="260">
        <v>95</v>
      </c>
      <c r="E32" s="27" t="s">
        <v>60</v>
      </c>
      <c r="F32" s="28" t="s">
        <v>70</v>
      </c>
      <c r="G32" s="284"/>
      <c r="H32" s="284"/>
      <c r="I32" s="10">
        <v>2092.3285000000001</v>
      </c>
      <c r="J32" s="10">
        <v>1777.6520000000003</v>
      </c>
      <c r="K32" s="11">
        <v>2524.3715000000002</v>
      </c>
      <c r="L32" s="11">
        <v>2987.4065000000001</v>
      </c>
      <c r="M32" s="11">
        <v>2456.5042129811081</v>
      </c>
      <c r="N32" s="11">
        <v>2390.3377129811079</v>
      </c>
      <c r="O32" s="11">
        <v>2477.5</v>
      </c>
      <c r="P32" s="12">
        <v>2492.5</v>
      </c>
      <c r="Q32" s="12">
        <v>2500</v>
      </c>
      <c r="R32" s="12">
        <v>2500</v>
      </c>
      <c r="S32" s="12">
        <v>2500</v>
      </c>
      <c r="T32" s="12">
        <v>2500</v>
      </c>
      <c r="U32" s="20">
        <v>2500</v>
      </c>
      <c r="V32" s="23"/>
      <c r="W32" s="221"/>
      <c r="X32" s="222"/>
      <c r="Y32" s="222"/>
      <c r="Z32" s="222"/>
      <c r="AA32" s="222"/>
      <c r="AB32" s="225">
        <f t="shared" si="0"/>
        <v>1</v>
      </c>
    </row>
    <row r="33" spans="1:28" x14ac:dyDescent="0.25">
      <c r="A33" s="255"/>
      <c r="B33" s="256"/>
      <c r="C33" s="269" t="s">
        <v>88</v>
      </c>
      <c r="D33" s="260">
        <v>96</v>
      </c>
      <c r="E33" s="27" t="s">
        <v>60</v>
      </c>
      <c r="F33" s="28" t="s">
        <v>72</v>
      </c>
      <c r="G33" s="284"/>
      <c r="H33" s="284"/>
      <c r="I33" s="10">
        <v>1666.3920000000001</v>
      </c>
      <c r="J33" s="10">
        <v>1325.8755000000001</v>
      </c>
      <c r="K33" s="11">
        <v>1111.365</v>
      </c>
      <c r="L33" s="11">
        <v>1258.0239999999999</v>
      </c>
      <c r="M33" s="11">
        <v>1583.8278611625765</v>
      </c>
      <c r="N33" s="11">
        <v>1619.1288611625764</v>
      </c>
      <c r="O33" s="11">
        <v>1384.375</v>
      </c>
      <c r="P33" s="12">
        <v>1208.125</v>
      </c>
      <c r="Q33" s="12">
        <v>1120</v>
      </c>
      <c r="R33" s="12">
        <v>1120</v>
      </c>
      <c r="S33" s="12">
        <v>1120</v>
      </c>
      <c r="T33" s="12">
        <v>1120</v>
      </c>
      <c r="U33" s="20">
        <v>1120</v>
      </c>
      <c r="V33" s="23"/>
      <c r="W33" s="221"/>
      <c r="X33" s="222"/>
      <c r="Y33" s="222"/>
      <c r="Z33" s="222"/>
      <c r="AA33" s="222"/>
      <c r="AB33" s="225">
        <f t="shared" si="0"/>
        <v>1</v>
      </c>
    </row>
    <row r="34" spans="1:28" x14ac:dyDescent="0.25">
      <c r="A34" s="255"/>
      <c r="B34" s="256"/>
      <c r="C34" s="269" t="s">
        <v>89</v>
      </c>
      <c r="D34" s="260">
        <v>97</v>
      </c>
      <c r="E34" s="27" t="s">
        <v>60</v>
      </c>
      <c r="F34" s="28" t="s">
        <v>75</v>
      </c>
      <c r="G34" s="284"/>
      <c r="H34" s="284"/>
      <c r="I34" s="10">
        <v>3128.9665000000005</v>
      </c>
      <c r="J34" s="10">
        <v>3428.0940000000001</v>
      </c>
      <c r="K34" s="11">
        <v>3858.6875</v>
      </c>
      <c r="L34" s="11">
        <v>3938.8634999999995</v>
      </c>
      <c r="M34" s="11">
        <v>3670.9551053502964</v>
      </c>
      <c r="N34" s="11">
        <v>3478.9591053502968</v>
      </c>
      <c r="O34" s="11">
        <v>3552.5</v>
      </c>
      <c r="P34" s="12">
        <v>4197.5</v>
      </c>
      <c r="Q34" s="12">
        <v>4520</v>
      </c>
      <c r="R34" s="12">
        <v>4520</v>
      </c>
      <c r="S34" s="12">
        <v>4520</v>
      </c>
      <c r="T34" s="12">
        <v>4520</v>
      </c>
      <c r="U34" s="20">
        <v>4520</v>
      </c>
      <c r="V34" s="23"/>
      <c r="W34" s="221"/>
      <c r="X34" s="222"/>
      <c r="Y34" s="222"/>
      <c r="Z34" s="222"/>
      <c r="AA34" s="226">
        <v>0.15</v>
      </c>
      <c r="AB34" s="225">
        <f t="shared" si="0"/>
        <v>0.85</v>
      </c>
    </row>
    <row r="35" spans="1:28" x14ac:dyDescent="0.25">
      <c r="A35" s="255"/>
      <c r="B35" s="256"/>
      <c r="C35" s="269" t="s">
        <v>90</v>
      </c>
      <c r="D35" s="260">
        <v>98</v>
      </c>
      <c r="E35" s="27" t="s">
        <v>60</v>
      </c>
      <c r="F35" s="28" t="s">
        <v>78</v>
      </c>
      <c r="G35" s="284"/>
      <c r="H35" s="284"/>
      <c r="I35" s="10">
        <v>561.70550000000003</v>
      </c>
      <c r="J35" s="10">
        <v>441.77499999999998</v>
      </c>
      <c r="K35" s="11">
        <v>569.84699999999998</v>
      </c>
      <c r="L35" s="11">
        <v>614.0150000000001</v>
      </c>
      <c r="M35" s="11">
        <v>661.46041115394178</v>
      </c>
      <c r="N35" s="11">
        <v>665.97891115394179</v>
      </c>
      <c r="O35" s="11">
        <v>499</v>
      </c>
      <c r="P35" s="12">
        <v>433</v>
      </c>
      <c r="Q35" s="12">
        <v>400</v>
      </c>
      <c r="R35" s="12">
        <v>400</v>
      </c>
      <c r="S35" s="12">
        <v>400</v>
      </c>
      <c r="T35" s="12">
        <v>400</v>
      </c>
      <c r="U35" s="20">
        <v>400</v>
      </c>
      <c r="V35" s="23"/>
      <c r="W35" s="221"/>
      <c r="X35" s="222"/>
      <c r="Y35" s="222"/>
      <c r="Z35" s="222"/>
      <c r="AA35" s="222"/>
      <c r="AB35" s="225">
        <f t="shared" si="0"/>
        <v>1</v>
      </c>
    </row>
    <row r="36" spans="1:28" x14ac:dyDescent="0.25">
      <c r="A36" s="255"/>
      <c r="B36" s="256"/>
      <c r="C36" s="269" t="s">
        <v>91</v>
      </c>
      <c r="D36" s="260">
        <v>99</v>
      </c>
      <c r="E36" s="27" t="s">
        <v>60</v>
      </c>
      <c r="F36" s="28" t="s">
        <v>80</v>
      </c>
      <c r="G36" s="284"/>
      <c r="H36" s="284"/>
      <c r="I36" s="10">
        <v>2746.351095</v>
      </c>
      <c r="J36" s="10">
        <v>2597.2040000000002</v>
      </c>
      <c r="K36" s="11">
        <v>1892.0790000000002</v>
      </c>
      <c r="L36" s="11">
        <v>1930.076</v>
      </c>
      <c r="M36" s="11">
        <v>2061.2406178622236</v>
      </c>
      <c r="N36" s="11">
        <v>1934.1006178622238</v>
      </c>
      <c r="O36" s="11">
        <v>2300</v>
      </c>
      <c r="P36" s="12">
        <v>3100</v>
      </c>
      <c r="Q36" s="12">
        <v>3500</v>
      </c>
      <c r="R36" s="12">
        <v>3500</v>
      </c>
      <c r="S36" s="12">
        <v>3500</v>
      </c>
      <c r="T36" s="12">
        <v>3500</v>
      </c>
      <c r="U36" s="20">
        <v>3500</v>
      </c>
      <c r="V36" s="23"/>
      <c r="W36" s="221"/>
      <c r="X36" s="222"/>
      <c r="Y36" s="222"/>
      <c r="Z36" s="222"/>
      <c r="AA36" s="222"/>
      <c r="AB36" s="225">
        <f t="shared" si="0"/>
        <v>1</v>
      </c>
    </row>
    <row r="37" spans="1:28" x14ac:dyDescent="0.25">
      <c r="A37" s="255"/>
      <c r="B37" s="256"/>
      <c r="C37" s="269" t="s">
        <v>92</v>
      </c>
      <c r="D37" s="260">
        <v>100</v>
      </c>
      <c r="E37" s="27" t="s">
        <v>60</v>
      </c>
      <c r="F37" s="28" t="s">
        <v>82</v>
      </c>
      <c r="G37" s="284"/>
      <c r="H37" s="284"/>
      <c r="I37" s="10">
        <v>4484.3204999999998</v>
      </c>
      <c r="J37" s="10">
        <v>4657.3150000000005</v>
      </c>
      <c r="K37" s="11">
        <v>4920.1110000000008</v>
      </c>
      <c r="L37" s="11">
        <v>5210.7489999999998</v>
      </c>
      <c r="M37" s="11">
        <v>5195.3716402128484</v>
      </c>
      <c r="N37" s="11">
        <v>5137.142140212849</v>
      </c>
      <c r="O37" s="11">
        <v>5243.75</v>
      </c>
      <c r="P37" s="12">
        <v>5281.25</v>
      </c>
      <c r="Q37" s="12">
        <v>5300</v>
      </c>
      <c r="R37" s="12">
        <v>5300</v>
      </c>
      <c r="S37" s="12">
        <v>5300</v>
      </c>
      <c r="T37" s="12">
        <v>5300</v>
      </c>
      <c r="U37" s="20">
        <v>5300</v>
      </c>
      <c r="V37" s="23"/>
      <c r="W37" s="221"/>
      <c r="X37" s="222"/>
      <c r="Y37" s="222"/>
      <c r="Z37" s="226">
        <v>0.25</v>
      </c>
      <c r="AA37" s="222"/>
      <c r="AB37" s="225">
        <f t="shared" si="0"/>
        <v>0.75</v>
      </c>
    </row>
    <row r="38" spans="1:28" x14ac:dyDescent="0.25">
      <c r="A38" s="255"/>
      <c r="B38" s="256"/>
      <c r="C38" s="269" t="s">
        <v>181</v>
      </c>
      <c r="D38" s="260">
        <v>101</v>
      </c>
      <c r="E38" s="27"/>
      <c r="F38" s="28"/>
      <c r="G38" s="284"/>
      <c r="H38" s="284"/>
      <c r="I38" s="10">
        <v>184.17949999999712</v>
      </c>
      <c r="J38" s="10">
        <v>100.79400000000115</v>
      </c>
      <c r="K38" s="11">
        <v>13.583000000000878</v>
      </c>
      <c r="L38" s="11">
        <v>221.21949999999791</v>
      </c>
      <c r="M38" s="11">
        <v>286.95999999999822</v>
      </c>
      <c r="N38" s="11">
        <v>80.075999999999112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20">
        <v>0</v>
      </c>
      <c r="V38" s="23"/>
      <c r="W38" s="221"/>
      <c r="X38" s="222"/>
      <c r="Y38" s="222"/>
      <c r="Z38" s="222"/>
      <c r="AA38" s="222"/>
      <c r="AB38" s="225">
        <f t="shared" si="0"/>
        <v>1</v>
      </c>
    </row>
    <row r="39" spans="1:28" x14ac:dyDescent="0.25">
      <c r="A39" s="255"/>
      <c r="B39" s="256"/>
      <c r="C39" s="259"/>
      <c r="D39" s="260"/>
      <c r="E39" s="27"/>
      <c r="F39" s="28"/>
      <c r="G39" s="284"/>
      <c r="H39" s="284"/>
      <c r="I39" s="10"/>
      <c r="J39" s="10"/>
      <c r="K39" s="11"/>
      <c r="L39" s="11"/>
      <c r="M39" s="11"/>
      <c r="N39" s="11"/>
      <c r="O39" s="11"/>
      <c r="P39" s="12"/>
      <c r="Q39" s="12"/>
      <c r="R39" s="12"/>
      <c r="S39" s="12"/>
      <c r="T39" s="12"/>
      <c r="U39" s="20"/>
      <c r="V39" s="23"/>
      <c r="W39" s="221"/>
      <c r="X39" s="222"/>
      <c r="Y39" s="222"/>
      <c r="Z39" s="222"/>
      <c r="AA39" s="222"/>
      <c r="AB39" s="225"/>
    </row>
    <row r="40" spans="1:28" x14ac:dyDescent="0.25">
      <c r="A40" s="255"/>
      <c r="B40" s="256"/>
      <c r="C40" s="259"/>
      <c r="D40" s="260"/>
      <c r="E40" s="27"/>
      <c r="F40" s="28"/>
      <c r="G40" s="284"/>
      <c r="H40" s="284"/>
      <c r="I40" s="10"/>
      <c r="J40" s="10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20"/>
      <c r="V40" s="23"/>
      <c r="W40" s="221"/>
      <c r="X40" s="222"/>
      <c r="Y40" s="222"/>
      <c r="Z40" s="222"/>
      <c r="AA40" s="222"/>
      <c r="AB40" s="225"/>
    </row>
    <row r="41" spans="1:28" ht="15.75" thickBot="1" x14ac:dyDescent="0.3">
      <c r="A41" s="255"/>
      <c r="B41" s="256"/>
      <c r="C41" s="259"/>
      <c r="D41" s="260"/>
      <c r="E41" s="27"/>
      <c r="F41" s="28"/>
      <c r="G41" s="284"/>
      <c r="H41" s="284"/>
      <c r="I41" s="10"/>
      <c r="J41" s="10"/>
      <c r="K41" s="11"/>
      <c r="L41" s="11"/>
      <c r="M41" s="11"/>
      <c r="N41" s="11"/>
      <c r="O41" s="11"/>
      <c r="P41" s="12"/>
      <c r="Q41" s="12"/>
      <c r="R41" s="12"/>
      <c r="S41" s="12"/>
      <c r="T41" s="12"/>
      <c r="U41" s="20"/>
      <c r="V41" s="23"/>
      <c r="W41" s="221"/>
      <c r="X41" s="222"/>
      <c r="Y41" s="222"/>
      <c r="Z41" s="222"/>
      <c r="AA41" s="222"/>
      <c r="AB41" s="225"/>
    </row>
    <row r="42" spans="1:28" x14ac:dyDescent="0.25">
      <c r="A42" s="253"/>
      <c r="B42" s="263" t="s">
        <v>93</v>
      </c>
      <c r="C42" s="264"/>
      <c r="D42" s="258"/>
      <c r="E42" s="27"/>
      <c r="F42" s="28"/>
      <c r="G42" s="284"/>
      <c r="H42" s="284"/>
      <c r="I42" s="10" t="s">
        <v>112</v>
      </c>
      <c r="J42" s="10" t="s">
        <v>58</v>
      </c>
      <c r="K42" s="11" t="s">
        <v>58</v>
      </c>
      <c r="L42" s="11" t="s">
        <v>58</v>
      </c>
      <c r="M42" s="11" t="s">
        <v>58</v>
      </c>
      <c r="N42" s="11"/>
      <c r="O42" s="11"/>
      <c r="P42" s="12"/>
      <c r="Q42" s="12"/>
      <c r="R42" s="12"/>
      <c r="S42" s="12"/>
      <c r="T42" s="12"/>
      <c r="U42" s="20"/>
      <c r="V42" s="23"/>
      <c r="W42" s="221"/>
      <c r="X42" s="222"/>
      <c r="Y42" s="222"/>
      <c r="Z42" s="222"/>
      <c r="AA42" s="222"/>
      <c r="AB42" s="225"/>
    </row>
    <row r="43" spans="1:28" ht="15" customHeight="1" x14ac:dyDescent="0.25">
      <c r="A43" s="255"/>
      <c r="B43" s="256"/>
      <c r="C43" s="269" t="s">
        <v>182</v>
      </c>
      <c r="D43" s="261">
        <v>106</v>
      </c>
      <c r="E43" s="27" t="s">
        <v>60</v>
      </c>
      <c r="F43" s="29" t="s">
        <v>94</v>
      </c>
      <c r="G43" s="284"/>
      <c r="H43" s="284"/>
      <c r="I43" s="10">
        <v>228.15550000000002</v>
      </c>
      <c r="J43" s="10">
        <v>223.29600000000002</v>
      </c>
      <c r="K43" s="11">
        <v>221.88249999999999</v>
      </c>
      <c r="L43" s="11">
        <v>314.65549999999996</v>
      </c>
      <c r="M43" s="11">
        <v>437.84371999999996</v>
      </c>
      <c r="N43" s="11">
        <v>555.38571999999999</v>
      </c>
      <c r="O43" s="11">
        <v>636.54999999999995</v>
      </c>
      <c r="P43" s="12">
        <v>646.1</v>
      </c>
      <c r="Q43" s="12">
        <v>646.1</v>
      </c>
      <c r="R43" s="12">
        <v>646.1</v>
      </c>
      <c r="S43" s="12">
        <v>646.1</v>
      </c>
      <c r="T43" s="12">
        <v>364.05</v>
      </c>
      <c r="U43" s="20">
        <v>93.85</v>
      </c>
      <c r="V43" s="23"/>
      <c r="W43" s="221"/>
      <c r="X43" s="222"/>
      <c r="Y43" s="222"/>
      <c r="Z43" s="222"/>
      <c r="AA43" s="222"/>
      <c r="AB43" s="225">
        <f t="shared" si="0"/>
        <v>1</v>
      </c>
    </row>
    <row r="44" spans="1:28" ht="15" customHeight="1" x14ac:dyDescent="0.25">
      <c r="A44" s="255"/>
      <c r="B44" s="256"/>
      <c r="C44" s="269" t="s">
        <v>183</v>
      </c>
      <c r="D44" s="260">
        <v>107</v>
      </c>
      <c r="E44" s="27" t="s">
        <v>60</v>
      </c>
      <c r="F44" s="28" t="s">
        <v>95</v>
      </c>
      <c r="G44" s="284"/>
      <c r="H44" s="284"/>
      <c r="I44" s="10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20">
        <v>0</v>
      </c>
      <c r="V44" s="23"/>
      <c r="W44" s="221"/>
      <c r="X44" s="222"/>
      <c r="Y44" s="222"/>
      <c r="Z44" s="222"/>
      <c r="AA44" s="222"/>
      <c r="AB44" s="225">
        <f t="shared" si="0"/>
        <v>1</v>
      </c>
    </row>
    <row r="45" spans="1:28" ht="15" customHeight="1" x14ac:dyDescent="0.25">
      <c r="A45" s="255"/>
      <c r="B45" s="256"/>
      <c r="C45" s="269" t="s">
        <v>184</v>
      </c>
      <c r="D45" s="261">
        <v>108</v>
      </c>
      <c r="E45" s="27" t="s">
        <v>60</v>
      </c>
      <c r="F45" s="28" t="s">
        <v>96</v>
      </c>
      <c r="G45" s="284"/>
      <c r="H45" s="284"/>
      <c r="I45" s="10">
        <v>6266.1554999999998</v>
      </c>
      <c r="J45" s="10">
        <v>4494.1914999999999</v>
      </c>
      <c r="K45" s="11">
        <v>4213.1639999999998</v>
      </c>
      <c r="L45" s="11">
        <v>10752.014995000001</v>
      </c>
      <c r="M45" s="11">
        <v>19781.959980468499</v>
      </c>
      <c r="N45" s="11">
        <v>17948.6539854685</v>
      </c>
      <c r="O45" s="11">
        <v>11875.508256301711</v>
      </c>
      <c r="P45" s="12">
        <v>10935.482787003422</v>
      </c>
      <c r="Q45" s="12">
        <v>10740.949061403422</v>
      </c>
      <c r="R45" s="12">
        <v>11615.749061403421</v>
      </c>
      <c r="S45" s="12">
        <v>11462.749061403421</v>
      </c>
      <c r="T45" s="12">
        <v>10515.949061403422</v>
      </c>
      <c r="U45" s="20">
        <v>10457.945154603407</v>
      </c>
      <c r="V45" s="23"/>
      <c r="W45" s="221"/>
      <c r="X45" s="226">
        <v>0.1</v>
      </c>
      <c r="Y45" s="222"/>
      <c r="Z45" s="222"/>
      <c r="AA45" s="222"/>
      <c r="AB45" s="225">
        <f t="shared" si="0"/>
        <v>0.9</v>
      </c>
    </row>
    <row r="46" spans="1:28" ht="15" customHeight="1" x14ac:dyDescent="0.25">
      <c r="A46" s="255"/>
      <c r="B46" s="256"/>
      <c r="C46" s="269" t="s">
        <v>185</v>
      </c>
      <c r="D46" s="260">
        <v>109</v>
      </c>
      <c r="E46" s="27" t="s">
        <v>60</v>
      </c>
      <c r="F46" s="28" t="s">
        <v>97</v>
      </c>
      <c r="G46" s="284"/>
      <c r="H46" s="284"/>
      <c r="I46" s="10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622.83425070018893</v>
      </c>
      <c r="P46" s="12">
        <v>1215.0536430003781</v>
      </c>
      <c r="Q46" s="12">
        <v>1193.4387846003781</v>
      </c>
      <c r="R46" s="12">
        <v>1290.6387846003781</v>
      </c>
      <c r="S46" s="12">
        <v>1273.6387846003781</v>
      </c>
      <c r="T46" s="12">
        <v>1168.4387846003781</v>
      </c>
      <c r="U46" s="20">
        <v>1161.9939060670447</v>
      </c>
      <c r="V46" s="23"/>
      <c r="W46" s="221"/>
      <c r="X46" s="226">
        <v>0.25</v>
      </c>
      <c r="Y46" s="222"/>
      <c r="Z46" s="222"/>
      <c r="AA46" s="222"/>
      <c r="AB46" s="225">
        <f t="shared" si="0"/>
        <v>0.75</v>
      </c>
    </row>
    <row r="47" spans="1:28" ht="15" customHeight="1" x14ac:dyDescent="0.25">
      <c r="A47" s="255"/>
      <c r="B47" s="256"/>
      <c r="C47" s="269" t="s">
        <v>98</v>
      </c>
      <c r="D47" s="261">
        <v>110</v>
      </c>
      <c r="E47" s="27" t="s">
        <v>60</v>
      </c>
      <c r="F47" s="28" t="s">
        <v>99</v>
      </c>
      <c r="G47" s="284"/>
      <c r="H47" s="284"/>
      <c r="I47" s="10">
        <v>135.22449999999998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150</v>
      </c>
      <c r="P47" s="12">
        <v>300</v>
      </c>
      <c r="Q47" s="12">
        <v>300</v>
      </c>
      <c r="R47" s="12">
        <v>300</v>
      </c>
      <c r="S47" s="12">
        <v>300</v>
      </c>
      <c r="T47" s="12">
        <v>300</v>
      </c>
      <c r="U47" s="20">
        <v>300</v>
      </c>
      <c r="V47" s="23"/>
      <c r="W47" s="221"/>
      <c r="X47" s="226">
        <v>0.25</v>
      </c>
      <c r="Y47" s="222"/>
      <c r="Z47" s="222"/>
      <c r="AA47" s="222"/>
      <c r="AB47" s="225">
        <f t="shared" si="0"/>
        <v>0.75</v>
      </c>
    </row>
    <row r="48" spans="1:28" ht="15" customHeight="1" x14ac:dyDescent="0.25">
      <c r="A48" s="255"/>
      <c r="B48" s="256"/>
      <c r="C48" s="269" t="s">
        <v>186</v>
      </c>
      <c r="D48" s="260">
        <v>111</v>
      </c>
      <c r="E48" s="27" t="s">
        <v>60</v>
      </c>
      <c r="F48" s="28" t="s">
        <v>100</v>
      </c>
      <c r="G48" s="284"/>
      <c r="H48" s="284"/>
      <c r="I48" s="10">
        <v>0</v>
      </c>
      <c r="J48" s="10">
        <v>0</v>
      </c>
      <c r="K48" s="11">
        <v>0</v>
      </c>
      <c r="L48" s="11">
        <v>0</v>
      </c>
      <c r="M48" s="11">
        <v>1282.3554999999999</v>
      </c>
      <c r="N48" s="11">
        <v>1282.3554999999999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20">
        <v>0</v>
      </c>
      <c r="V48" s="23"/>
      <c r="W48" s="221"/>
      <c r="X48" s="222"/>
      <c r="Y48" s="222"/>
      <c r="Z48" s="222"/>
      <c r="AA48" s="222"/>
      <c r="AB48" s="225">
        <f t="shared" si="0"/>
        <v>1</v>
      </c>
    </row>
    <row r="49" spans="1:28" ht="15" customHeight="1" x14ac:dyDescent="0.25">
      <c r="A49" s="255"/>
      <c r="B49" s="256"/>
      <c r="C49" s="269" t="s">
        <v>187</v>
      </c>
      <c r="D49" s="261">
        <v>112</v>
      </c>
      <c r="E49" s="27" t="s">
        <v>60</v>
      </c>
      <c r="F49" s="29" t="s">
        <v>61</v>
      </c>
      <c r="G49" s="284"/>
      <c r="H49" s="284"/>
      <c r="I49" s="10">
        <v>1259.7204999999999</v>
      </c>
      <c r="J49" s="10">
        <v>1431.8820000000001</v>
      </c>
      <c r="K49" s="11">
        <v>1234.866</v>
      </c>
      <c r="L49" s="11">
        <v>1157.9649999999997</v>
      </c>
      <c r="M49" s="11">
        <v>1490.9065000000001</v>
      </c>
      <c r="N49" s="11">
        <v>1620.5790000000002</v>
      </c>
      <c r="O49" s="11">
        <v>1560</v>
      </c>
      <c r="P49" s="12">
        <v>1600</v>
      </c>
      <c r="Q49" s="12">
        <v>1600</v>
      </c>
      <c r="R49" s="12">
        <v>1600</v>
      </c>
      <c r="S49" s="12">
        <v>1600</v>
      </c>
      <c r="T49" s="12">
        <v>1600</v>
      </c>
      <c r="U49" s="20">
        <v>1600</v>
      </c>
      <c r="V49" s="23"/>
      <c r="W49" s="221"/>
      <c r="X49" s="222"/>
      <c r="Y49" s="222"/>
      <c r="Z49" s="222"/>
      <c r="AA49" s="222"/>
      <c r="AB49" s="225">
        <f t="shared" si="0"/>
        <v>1</v>
      </c>
    </row>
    <row r="50" spans="1:28" ht="15" customHeight="1" x14ac:dyDescent="0.25">
      <c r="A50" s="255"/>
      <c r="B50" s="256"/>
      <c r="C50" s="269" t="s">
        <v>188</v>
      </c>
      <c r="D50" s="260">
        <v>113</v>
      </c>
      <c r="E50" s="27" t="s">
        <v>60</v>
      </c>
      <c r="F50" s="29" t="s">
        <v>101</v>
      </c>
      <c r="G50" s="284"/>
      <c r="H50" s="284"/>
      <c r="I50" s="10">
        <v>314.78750000000002</v>
      </c>
      <c r="J50" s="10">
        <v>672.10550000000001</v>
      </c>
      <c r="K50" s="11">
        <v>889.94650000000001</v>
      </c>
      <c r="L50" s="11">
        <v>1713.5220000000002</v>
      </c>
      <c r="M50" s="11">
        <v>1707.7585000000001</v>
      </c>
      <c r="N50" s="11">
        <v>1113.5325</v>
      </c>
      <c r="O50" s="11">
        <v>1462.5</v>
      </c>
      <c r="P50" s="12">
        <v>1500</v>
      </c>
      <c r="Q50" s="12">
        <v>1500</v>
      </c>
      <c r="R50" s="12">
        <v>1500</v>
      </c>
      <c r="S50" s="12">
        <v>1500</v>
      </c>
      <c r="T50" s="12">
        <v>1500</v>
      </c>
      <c r="U50" s="20">
        <v>1500</v>
      </c>
      <c r="V50" s="23"/>
      <c r="W50" s="221"/>
      <c r="X50" s="222"/>
      <c r="Y50" s="222"/>
      <c r="Z50" s="222"/>
      <c r="AA50" s="222"/>
      <c r="AB50" s="225">
        <f t="shared" si="0"/>
        <v>1</v>
      </c>
    </row>
    <row r="51" spans="1:28" ht="15" customHeight="1" x14ac:dyDescent="0.25">
      <c r="A51" s="255"/>
      <c r="B51" s="256"/>
      <c r="C51" s="269" t="s">
        <v>189</v>
      </c>
      <c r="D51" s="261">
        <v>114</v>
      </c>
      <c r="E51" s="27" t="s">
        <v>60</v>
      </c>
      <c r="F51" s="28" t="s">
        <v>102</v>
      </c>
      <c r="G51" s="284"/>
      <c r="H51" s="284"/>
      <c r="I51" s="10">
        <v>3553.5124999999998</v>
      </c>
      <c r="J51" s="10">
        <v>2015.8955000000001</v>
      </c>
      <c r="K51" s="11">
        <v>2112.9320000000002</v>
      </c>
      <c r="L51" s="11">
        <v>2358.7534999999998</v>
      </c>
      <c r="M51" s="11">
        <v>3041.5304950000004</v>
      </c>
      <c r="N51" s="11">
        <v>4209.0294950000007</v>
      </c>
      <c r="O51" s="11">
        <v>5113.8157894736842</v>
      </c>
      <c r="P51" s="12">
        <v>4677.6315789473683</v>
      </c>
      <c r="Q51" s="12">
        <v>4610.1315789473683</v>
      </c>
      <c r="R51" s="12">
        <v>5370.1315789473683</v>
      </c>
      <c r="S51" s="12">
        <v>4407.6315789473683</v>
      </c>
      <c r="T51" s="12">
        <v>3512.6315789473679</v>
      </c>
      <c r="U51" s="20">
        <v>3512.6315789473679</v>
      </c>
      <c r="V51" s="23"/>
      <c r="W51" s="221"/>
      <c r="X51" s="226">
        <v>0.25</v>
      </c>
      <c r="Y51" s="222"/>
      <c r="Z51" s="222"/>
      <c r="AA51" s="222"/>
      <c r="AB51" s="225">
        <f t="shared" si="0"/>
        <v>0.75</v>
      </c>
    </row>
    <row r="52" spans="1:28" ht="15" customHeight="1" x14ac:dyDescent="0.25">
      <c r="A52" s="255"/>
      <c r="B52" s="256"/>
      <c r="C52" s="269" t="s">
        <v>190</v>
      </c>
      <c r="D52" s="260">
        <v>115</v>
      </c>
      <c r="E52" s="27"/>
      <c r="F52" s="28"/>
      <c r="G52" s="284"/>
      <c r="H52" s="284"/>
      <c r="I52" s="10">
        <v>674</v>
      </c>
      <c r="J52" s="10">
        <v>419.5</v>
      </c>
      <c r="K52" s="11">
        <v>53</v>
      </c>
      <c r="L52" s="11">
        <v>53</v>
      </c>
      <c r="M52" s="11">
        <v>0</v>
      </c>
      <c r="N52" s="11">
        <v>0</v>
      </c>
      <c r="O52" s="11">
        <v>800</v>
      </c>
      <c r="P52" s="12">
        <v>1575</v>
      </c>
      <c r="Q52" s="12">
        <v>1250</v>
      </c>
      <c r="R52" s="12">
        <v>950</v>
      </c>
      <c r="S52" s="12">
        <v>950</v>
      </c>
      <c r="T52" s="12">
        <v>950</v>
      </c>
      <c r="U52" s="20">
        <v>950</v>
      </c>
      <c r="V52" s="23"/>
      <c r="W52" s="221"/>
      <c r="X52" s="226"/>
      <c r="Y52" s="222"/>
      <c r="Z52" s="222"/>
      <c r="AA52" s="222"/>
      <c r="AB52" s="225">
        <f t="shared" si="0"/>
        <v>1</v>
      </c>
    </row>
    <row r="53" spans="1:28" ht="15" customHeight="1" x14ac:dyDescent="0.25">
      <c r="A53" s="255"/>
      <c r="B53" s="256"/>
      <c r="C53" s="269" t="s">
        <v>191</v>
      </c>
      <c r="D53" s="261">
        <v>116</v>
      </c>
      <c r="E53" s="27"/>
      <c r="F53" s="28"/>
      <c r="G53" s="284"/>
      <c r="H53" s="284"/>
      <c r="I53" s="10">
        <v>323.40900000000005</v>
      </c>
      <c r="J53" s="10">
        <v>458.8175</v>
      </c>
      <c r="K53" s="11">
        <v>387.40649999999999</v>
      </c>
      <c r="L53" s="11">
        <v>5.549999999999855E-2</v>
      </c>
      <c r="M53" s="11">
        <v>0</v>
      </c>
      <c r="N53" s="11">
        <v>0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20">
        <v>0</v>
      </c>
      <c r="V53" s="23"/>
      <c r="W53" s="221"/>
      <c r="X53" s="226"/>
      <c r="Y53" s="222"/>
      <c r="Z53" s="222"/>
      <c r="AA53" s="222"/>
      <c r="AB53" s="225">
        <f t="shared" si="0"/>
        <v>1</v>
      </c>
    </row>
    <row r="54" spans="1:28" ht="15" customHeight="1" x14ac:dyDescent="0.25">
      <c r="A54" s="255"/>
      <c r="B54" s="256"/>
      <c r="C54" s="269" t="s">
        <v>103</v>
      </c>
      <c r="D54" s="260">
        <v>117</v>
      </c>
      <c r="E54" s="27" t="s">
        <v>60</v>
      </c>
      <c r="F54" s="28" t="s">
        <v>104</v>
      </c>
      <c r="G54" s="284"/>
      <c r="H54" s="284"/>
      <c r="I54" s="10">
        <v>149.02549999999999</v>
      </c>
      <c r="J54" s="10">
        <v>211.71050000000002</v>
      </c>
      <c r="K54" s="11">
        <v>250.3485</v>
      </c>
      <c r="L54" s="11">
        <v>261.93949999999995</v>
      </c>
      <c r="M54" s="11">
        <v>194.71600000000001</v>
      </c>
      <c r="N54" s="11">
        <v>247.64949999999999</v>
      </c>
      <c r="O54" s="11">
        <v>327.40696111621719</v>
      </c>
      <c r="P54" s="12">
        <v>312.81392223243438</v>
      </c>
      <c r="Q54" s="12">
        <v>343.33235366974509</v>
      </c>
      <c r="R54" s="12">
        <v>343.33235366974509</v>
      </c>
      <c r="S54" s="12">
        <v>335.70274581041735</v>
      </c>
      <c r="T54" s="12">
        <v>213.62902006117469</v>
      </c>
      <c r="U54" s="20">
        <v>53.407255015293671</v>
      </c>
      <c r="V54" s="23"/>
      <c r="W54" s="221"/>
      <c r="X54" s="222"/>
      <c r="Y54" s="222"/>
      <c r="Z54" s="222"/>
      <c r="AA54" s="222"/>
      <c r="AB54" s="225">
        <f t="shared" si="0"/>
        <v>1</v>
      </c>
    </row>
    <row r="55" spans="1:28" ht="15" customHeight="1" x14ac:dyDescent="0.25">
      <c r="A55" s="255"/>
      <c r="B55" s="256"/>
      <c r="C55" s="269"/>
      <c r="D55" s="261">
        <v>118</v>
      </c>
      <c r="E55" s="27" t="s">
        <v>60</v>
      </c>
      <c r="F55" s="28" t="s">
        <v>105</v>
      </c>
      <c r="G55" s="284"/>
      <c r="H55" s="284"/>
      <c r="I55" s="10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20">
        <v>0</v>
      </c>
      <c r="V55" s="23"/>
      <c r="W55" s="221"/>
      <c r="X55" s="222"/>
      <c r="Y55" s="222"/>
      <c r="Z55" s="222"/>
      <c r="AA55" s="222"/>
      <c r="AB55" s="225">
        <f t="shared" si="0"/>
        <v>1</v>
      </c>
    </row>
    <row r="56" spans="1:28" ht="15" customHeight="1" x14ac:dyDescent="0.25">
      <c r="A56" s="255"/>
      <c r="B56" s="256"/>
      <c r="C56" s="269" t="s">
        <v>106</v>
      </c>
      <c r="D56" s="260">
        <v>119</v>
      </c>
      <c r="E56" s="27" t="s">
        <v>60</v>
      </c>
      <c r="F56" s="28" t="s">
        <v>107</v>
      </c>
      <c r="G56" s="284"/>
      <c r="H56" s="284"/>
      <c r="I56" s="10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20">
        <v>0</v>
      </c>
      <c r="V56" s="23"/>
      <c r="W56" s="221"/>
      <c r="X56" s="222"/>
      <c r="Y56" s="222"/>
      <c r="Z56" s="222"/>
      <c r="AA56" s="222"/>
      <c r="AB56" s="225">
        <f t="shared" si="0"/>
        <v>1</v>
      </c>
    </row>
    <row r="57" spans="1:28" ht="15" customHeight="1" x14ac:dyDescent="0.25">
      <c r="A57" s="255"/>
      <c r="B57" s="256"/>
      <c r="C57" s="269" t="s">
        <v>192</v>
      </c>
      <c r="D57" s="261">
        <v>120</v>
      </c>
      <c r="E57" s="27" t="s">
        <v>60</v>
      </c>
      <c r="F57" s="28" t="s">
        <v>108</v>
      </c>
      <c r="G57" s="284"/>
      <c r="H57" s="284"/>
      <c r="I57" s="10">
        <v>27.034499999999998</v>
      </c>
      <c r="J57" s="10">
        <v>63.100499999999997</v>
      </c>
      <c r="K57" s="11">
        <v>147.1525</v>
      </c>
      <c r="L57" s="11">
        <v>134.66</v>
      </c>
      <c r="M57" s="11">
        <v>291.36204622891194</v>
      </c>
      <c r="N57" s="11">
        <v>469.66354622891197</v>
      </c>
      <c r="O57" s="11">
        <v>561.875</v>
      </c>
      <c r="P57" s="12">
        <v>720</v>
      </c>
      <c r="Q57" s="12">
        <v>720</v>
      </c>
      <c r="R57" s="12">
        <v>720</v>
      </c>
      <c r="S57" s="12">
        <v>720</v>
      </c>
      <c r="T57" s="12">
        <v>597.5</v>
      </c>
      <c r="U57" s="20">
        <v>500</v>
      </c>
      <c r="V57" s="23"/>
      <c r="W57" s="221"/>
      <c r="X57" s="222"/>
      <c r="Y57" s="222"/>
      <c r="Z57" s="222"/>
      <c r="AA57" s="222"/>
      <c r="AB57" s="225">
        <f t="shared" si="0"/>
        <v>1</v>
      </c>
    </row>
    <row r="58" spans="1:28" ht="15" customHeight="1" x14ac:dyDescent="0.25">
      <c r="A58" s="255"/>
      <c r="B58" s="256"/>
      <c r="C58" s="269" t="s">
        <v>193</v>
      </c>
      <c r="D58" s="260">
        <v>121</v>
      </c>
      <c r="E58" s="27" t="s">
        <v>60</v>
      </c>
      <c r="F58" s="28" t="s">
        <v>100</v>
      </c>
      <c r="G58" s="284"/>
      <c r="H58" s="284"/>
      <c r="I58" s="10">
        <v>2167.6570000000002</v>
      </c>
      <c r="J58" s="10">
        <v>3022.672</v>
      </c>
      <c r="K58" s="11">
        <v>2700.5520000000001</v>
      </c>
      <c r="L58" s="11">
        <v>2294.0189999999998</v>
      </c>
      <c r="M58" s="11">
        <v>1890.5011045106419</v>
      </c>
      <c r="N58" s="11">
        <v>1532.2881045106419</v>
      </c>
      <c r="O58" s="11">
        <v>2445</v>
      </c>
      <c r="P58" s="12">
        <v>2800</v>
      </c>
      <c r="Q58" s="12">
        <v>2850</v>
      </c>
      <c r="R58" s="12">
        <v>2650</v>
      </c>
      <c r="S58" s="12">
        <v>2450</v>
      </c>
      <c r="T58" s="12">
        <v>2500</v>
      </c>
      <c r="U58" s="20">
        <v>2500</v>
      </c>
      <c r="V58" s="23"/>
      <c r="W58" s="221"/>
      <c r="X58" s="222"/>
      <c r="Y58" s="222"/>
      <c r="Z58" s="222"/>
      <c r="AA58" s="222"/>
      <c r="AB58" s="225">
        <f t="shared" si="0"/>
        <v>1</v>
      </c>
    </row>
    <row r="59" spans="1:28" ht="15" customHeight="1" x14ac:dyDescent="0.25">
      <c r="A59" s="255"/>
      <c r="B59" s="256"/>
      <c r="C59" s="269" t="s">
        <v>194</v>
      </c>
      <c r="D59" s="261">
        <v>122</v>
      </c>
      <c r="E59" s="27" t="s">
        <v>60</v>
      </c>
      <c r="F59" s="28"/>
      <c r="G59" s="284"/>
      <c r="H59" s="284"/>
      <c r="I59" s="10">
        <v>1252.761</v>
      </c>
      <c r="J59" s="10">
        <v>862.09349999999995</v>
      </c>
      <c r="K59" s="11">
        <v>1327.4474999999998</v>
      </c>
      <c r="L59" s="11">
        <v>1153.4204999999997</v>
      </c>
      <c r="M59" s="11">
        <v>541.90699999999993</v>
      </c>
      <c r="N59" s="11">
        <v>559.98099999999999</v>
      </c>
      <c r="O59" s="11">
        <v>594.5</v>
      </c>
      <c r="P59" s="12">
        <v>467</v>
      </c>
      <c r="Q59" s="12">
        <v>467</v>
      </c>
      <c r="R59" s="12">
        <v>467</v>
      </c>
      <c r="S59" s="12">
        <v>467</v>
      </c>
      <c r="T59" s="12">
        <v>467</v>
      </c>
      <c r="U59" s="20">
        <v>467</v>
      </c>
      <c r="V59" s="23"/>
      <c r="W59" s="221"/>
      <c r="X59" s="226">
        <v>0.25</v>
      </c>
      <c r="Y59" s="222"/>
      <c r="Z59" s="222"/>
      <c r="AA59" s="222"/>
      <c r="AB59" s="225">
        <f t="shared" si="0"/>
        <v>0.75</v>
      </c>
    </row>
    <row r="60" spans="1:28" ht="15" customHeight="1" x14ac:dyDescent="0.25">
      <c r="A60" s="255"/>
      <c r="B60" s="256"/>
      <c r="C60" s="269" t="s">
        <v>109</v>
      </c>
      <c r="D60" s="260">
        <v>123</v>
      </c>
      <c r="E60" s="27" t="s">
        <v>60</v>
      </c>
      <c r="F60" s="28"/>
      <c r="G60" s="284"/>
      <c r="H60" s="284"/>
      <c r="I60" s="10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20">
        <v>0</v>
      </c>
      <c r="V60" s="23"/>
      <c r="W60" s="221"/>
      <c r="X60" s="222"/>
      <c r="Y60" s="222"/>
      <c r="Z60" s="222"/>
      <c r="AA60" s="222"/>
      <c r="AB60" s="225">
        <f t="shared" si="0"/>
        <v>1</v>
      </c>
    </row>
    <row r="61" spans="1:28" ht="15" customHeight="1" x14ac:dyDescent="0.25">
      <c r="A61" s="255"/>
      <c r="B61" s="256"/>
      <c r="C61" s="269" t="s">
        <v>195</v>
      </c>
      <c r="D61" s="261">
        <v>124</v>
      </c>
      <c r="E61" s="27"/>
      <c r="F61" s="28"/>
      <c r="G61" s="284"/>
      <c r="H61" s="284"/>
      <c r="I61" s="10">
        <v>58.957999999999998</v>
      </c>
      <c r="J61" s="10">
        <v>248.58449999999999</v>
      </c>
      <c r="K61" s="11">
        <v>626.87</v>
      </c>
      <c r="L61" s="11">
        <v>1292.6320000000001</v>
      </c>
      <c r="M61" s="11">
        <v>1499.1725000000001</v>
      </c>
      <c r="N61" s="11">
        <v>615.17849999999999</v>
      </c>
      <c r="O61" s="11">
        <v>400</v>
      </c>
      <c r="P61" s="12">
        <v>800</v>
      </c>
      <c r="Q61" s="12">
        <v>800</v>
      </c>
      <c r="R61" s="12">
        <v>800</v>
      </c>
      <c r="S61" s="12">
        <v>800</v>
      </c>
      <c r="T61" s="12">
        <v>800</v>
      </c>
      <c r="U61" s="20">
        <v>800</v>
      </c>
      <c r="V61" s="23"/>
      <c r="W61" s="221"/>
      <c r="X61" s="222"/>
      <c r="Y61" s="222"/>
      <c r="Z61" s="222"/>
      <c r="AA61" s="222"/>
      <c r="AB61" s="225">
        <f t="shared" si="0"/>
        <v>1</v>
      </c>
    </row>
    <row r="62" spans="1:28" ht="15" customHeight="1" x14ac:dyDescent="0.25">
      <c r="A62" s="255"/>
      <c r="B62" s="256"/>
      <c r="C62" s="269" t="s">
        <v>196</v>
      </c>
      <c r="D62" s="260">
        <v>125</v>
      </c>
      <c r="E62" s="27"/>
      <c r="F62" s="28"/>
      <c r="G62" s="284"/>
      <c r="H62" s="284"/>
      <c r="I62" s="10">
        <v>546.69300000000158</v>
      </c>
      <c r="J62" s="10">
        <v>496.43399999999923</v>
      </c>
      <c r="K62" s="11">
        <v>770.14898449999964</v>
      </c>
      <c r="L62" s="11">
        <v>1659.0539845000001</v>
      </c>
      <c r="M62" s="11">
        <v>1763.3919999999994</v>
      </c>
      <c r="N62" s="11">
        <v>686.84799999999893</v>
      </c>
      <c r="O62" s="11">
        <v>587.43827508220988</v>
      </c>
      <c r="P62" s="12">
        <v>714.37655016441977</v>
      </c>
      <c r="Q62" s="12">
        <v>253.87655016441988</v>
      </c>
      <c r="R62" s="12">
        <v>264.37655016441988</v>
      </c>
      <c r="S62" s="12">
        <v>264.37655016441988</v>
      </c>
      <c r="T62" s="12">
        <v>222.37655016441988</v>
      </c>
      <c r="U62" s="20">
        <v>117.37655016441988</v>
      </c>
      <c r="V62" s="23"/>
      <c r="W62" s="221"/>
      <c r="X62" s="222"/>
      <c r="Y62" s="222"/>
      <c r="Z62" s="222"/>
      <c r="AA62" s="222"/>
      <c r="AB62" s="225">
        <f t="shared" si="0"/>
        <v>1</v>
      </c>
    </row>
    <row r="63" spans="1:28" ht="15" customHeight="1" x14ac:dyDescent="0.25">
      <c r="A63" s="255"/>
      <c r="B63" s="256"/>
      <c r="C63" s="269" t="s">
        <v>197</v>
      </c>
      <c r="D63" s="261">
        <v>126</v>
      </c>
      <c r="E63" s="27"/>
      <c r="F63" s="28"/>
      <c r="G63" s="284"/>
      <c r="H63" s="284"/>
      <c r="I63" s="10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50</v>
      </c>
      <c r="P63" s="12">
        <v>1250</v>
      </c>
      <c r="Q63" s="12">
        <v>4200</v>
      </c>
      <c r="R63" s="12">
        <v>5000</v>
      </c>
      <c r="S63" s="12">
        <v>2000</v>
      </c>
      <c r="T63" s="12">
        <v>0</v>
      </c>
      <c r="U63" s="20">
        <v>0</v>
      </c>
      <c r="V63" s="23"/>
      <c r="W63" s="221"/>
      <c r="X63" s="226">
        <v>0.25</v>
      </c>
      <c r="Y63" s="222"/>
      <c r="Z63" s="222"/>
      <c r="AA63" s="222"/>
      <c r="AB63" s="225">
        <f t="shared" si="0"/>
        <v>0.75</v>
      </c>
    </row>
    <row r="64" spans="1:28" ht="15" customHeight="1" x14ac:dyDescent="0.25">
      <c r="A64" s="255"/>
      <c r="B64" s="256"/>
      <c r="C64" s="269" t="s">
        <v>198</v>
      </c>
      <c r="D64" s="260">
        <v>127</v>
      </c>
      <c r="E64" s="27"/>
      <c r="F64" s="28"/>
      <c r="G64" s="284"/>
      <c r="H64" s="284"/>
      <c r="I64" s="10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20">
        <v>0</v>
      </c>
      <c r="V64" s="23"/>
      <c r="W64" s="221"/>
      <c r="X64" s="222"/>
      <c r="Y64" s="222"/>
      <c r="Z64" s="222"/>
      <c r="AA64" s="222"/>
      <c r="AB64" s="225">
        <f t="shared" si="0"/>
        <v>1</v>
      </c>
    </row>
    <row r="65" spans="1:28" ht="15" customHeight="1" x14ac:dyDescent="0.25">
      <c r="A65" s="255"/>
      <c r="B65" s="256"/>
      <c r="C65" s="269" t="s">
        <v>199</v>
      </c>
      <c r="D65" s="261">
        <v>128</v>
      </c>
      <c r="E65" s="27"/>
      <c r="F65" s="28"/>
      <c r="G65" s="284"/>
      <c r="H65" s="284"/>
      <c r="I65" s="10">
        <v>0</v>
      </c>
      <c r="J65" s="10">
        <v>0</v>
      </c>
      <c r="K65" s="11">
        <v>0</v>
      </c>
      <c r="L65" s="11">
        <v>0</v>
      </c>
      <c r="M65" s="11">
        <v>80.59464835264906</v>
      </c>
      <c r="N65" s="11">
        <v>80.59464835264906</v>
      </c>
      <c r="O65" s="11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20">
        <v>0</v>
      </c>
      <c r="V65" s="23"/>
      <c r="W65" s="221"/>
      <c r="X65" s="222"/>
      <c r="Y65" s="222"/>
      <c r="Z65" s="222"/>
      <c r="AA65" s="222"/>
      <c r="AB65" s="225">
        <f t="shared" si="0"/>
        <v>1</v>
      </c>
    </row>
    <row r="66" spans="1:28" ht="15" customHeight="1" x14ac:dyDescent="0.25">
      <c r="A66" s="255"/>
      <c r="B66" s="256"/>
      <c r="C66" s="269" t="s">
        <v>200</v>
      </c>
      <c r="D66" s="260">
        <v>129</v>
      </c>
      <c r="E66" s="27"/>
      <c r="F66" s="28"/>
      <c r="G66" s="284"/>
      <c r="H66" s="284"/>
      <c r="I66" s="10">
        <v>0</v>
      </c>
      <c r="J66" s="10">
        <v>0</v>
      </c>
      <c r="K66" s="11">
        <v>0</v>
      </c>
      <c r="L66" s="11">
        <v>0</v>
      </c>
      <c r="M66" s="11">
        <v>117.07809339315864</v>
      </c>
      <c r="N66" s="11">
        <v>497.07809339315861</v>
      </c>
      <c r="O66" s="11">
        <v>380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20">
        <v>0</v>
      </c>
      <c r="V66" s="23"/>
      <c r="W66" s="221"/>
      <c r="X66" s="222"/>
      <c r="Y66" s="222"/>
      <c r="Z66" s="222"/>
      <c r="AA66" s="222"/>
      <c r="AB66" s="225">
        <f t="shared" si="0"/>
        <v>1</v>
      </c>
    </row>
    <row r="67" spans="1:28" ht="15" customHeight="1" x14ac:dyDescent="0.25">
      <c r="A67" s="255"/>
      <c r="B67" s="256"/>
      <c r="C67" s="269" t="s">
        <v>201</v>
      </c>
      <c r="D67" s="261">
        <v>130</v>
      </c>
      <c r="E67" s="27"/>
      <c r="F67" s="28"/>
      <c r="G67" s="284"/>
      <c r="H67" s="284"/>
      <c r="I67" s="10">
        <v>0</v>
      </c>
      <c r="J67" s="10">
        <v>0</v>
      </c>
      <c r="K67" s="11">
        <v>0</v>
      </c>
      <c r="L67" s="11">
        <v>0</v>
      </c>
      <c r="M67" s="11">
        <v>126.84399999999999</v>
      </c>
      <c r="N67" s="11">
        <v>483.09399999999999</v>
      </c>
      <c r="O67" s="11">
        <v>356.25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20">
        <v>0</v>
      </c>
      <c r="V67" s="23"/>
      <c r="W67" s="221"/>
      <c r="X67" s="222"/>
      <c r="Y67" s="222"/>
      <c r="Z67" s="222"/>
      <c r="AA67" s="222"/>
      <c r="AB67" s="225">
        <f t="shared" si="0"/>
        <v>1</v>
      </c>
    </row>
    <row r="68" spans="1:28" ht="15" customHeight="1" x14ac:dyDescent="0.25">
      <c r="A68" s="255"/>
      <c r="B68" s="256"/>
      <c r="C68" s="269" t="s">
        <v>202</v>
      </c>
      <c r="D68" s="260">
        <v>131</v>
      </c>
      <c r="E68" s="27"/>
      <c r="F68" s="28"/>
      <c r="G68" s="284"/>
      <c r="H68" s="284"/>
      <c r="I68" s="10">
        <v>0</v>
      </c>
      <c r="J68" s="10">
        <v>0</v>
      </c>
      <c r="K68" s="11">
        <v>0</v>
      </c>
      <c r="L68" s="11">
        <v>0</v>
      </c>
      <c r="M68" s="11">
        <v>0</v>
      </c>
      <c r="N68" s="11">
        <v>118.75</v>
      </c>
      <c r="O68" s="11">
        <v>118.75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20">
        <v>0</v>
      </c>
      <c r="V68" s="23"/>
      <c r="W68" s="221"/>
      <c r="X68" s="222"/>
      <c r="Y68" s="222"/>
      <c r="Z68" s="222"/>
      <c r="AA68" s="222"/>
      <c r="AB68" s="225">
        <f t="shared" si="0"/>
        <v>1</v>
      </c>
    </row>
    <row r="69" spans="1:28" ht="15" customHeight="1" x14ac:dyDescent="0.25">
      <c r="A69" s="255"/>
      <c r="B69" s="256"/>
      <c r="C69" s="269" t="s">
        <v>203</v>
      </c>
      <c r="D69" s="261">
        <v>132</v>
      </c>
      <c r="E69" s="27"/>
      <c r="F69" s="28"/>
      <c r="G69" s="284"/>
      <c r="H69" s="284"/>
      <c r="I69" s="10">
        <v>0</v>
      </c>
      <c r="J69" s="10">
        <v>0</v>
      </c>
      <c r="K69" s="11">
        <v>0</v>
      </c>
      <c r="L69" s="11">
        <v>0</v>
      </c>
      <c r="M69" s="11">
        <v>0</v>
      </c>
      <c r="N69" s="11">
        <v>2232.5</v>
      </c>
      <c r="O69" s="11">
        <v>2232.5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20">
        <v>0</v>
      </c>
      <c r="V69" s="23"/>
      <c r="W69" s="221"/>
      <c r="X69" s="222"/>
      <c r="Y69" s="222"/>
      <c r="Z69" s="222"/>
      <c r="AA69" s="222"/>
      <c r="AB69" s="225">
        <f t="shared" si="0"/>
        <v>1</v>
      </c>
    </row>
    <row r="70" spans="1:28" x14ac:dyDescent="0.25">
      <c r="A70" s="255"/>
      <c r="B70" s="256"/>
      <c r="C70" s="259"/>
      <c r="D70" s="260"/>
      <c r="E70" s="27"/>
      <c r="F70" s="28"/>
      <c r="G70" s="284"/>
      <c r="H70" s="284"/>
      <c r="I70" s="10"/>
      <c r="J70" s="10"/>
      <c r="K70" s="11"/>
      <c r="L70" s="11"/>
      <c r="M70" s="11"/>
      <c r="N70" s="11"/>
      <c r="O70" s="11"/>
      <c r="P70" s="12"/>
      <c r="Q70" s="12"/>
      <c r="R70" s="12"/>
      <c r="S70" s="12"/>
      <c r="T70" s="12"/>
      <c r="U70" s="20"/>
      <c r="V70" s="23"/>
      <c r="W70" s="221"/>
      <c r="X70" s="222"/>
      <c r="Y70" s="222"/>
      <c r="Z70" s="222"/>
      <c r="AA70" s="222"/>
      <c r="AB70" s="225"/>
    </row>
    <row r="71" spans="1:28" x14ac:dyDescent="0.25">
      <c r="A71" s="255"/>
      <c r="B71" s="256"/>
      <c r="C71" s="259"/>
      <c r="D71" s="260"/>
      <c r="E71" s="27"/>
      <c r="F71" s="28"/>
      <c r="G71" s="284"/>
      <c r="H71" s="284"/>
      <c r="I71" s="10"/>
      <c r="J71" s="10"/>
      <c r="K71" s="11"/>
      <c r="L71" s="11"/>
      <c r="M71" s="11"/>
      <c r="N71" s="11"/>
      <c r="O71" s="11"/>
      <c r="P71" s="12"/>
      <c r="Q71" s="12"/>
      <c r="R71" s="12"/>
      <c r="S71" s="12"/>
      <c r="T71" s="12"/>
      <c r="U71" s="20"/>
      <c r="V71" s="23"/>
      <c r="W71" s="221"/>
      <c r="X71" s="222"/>
      <c r="Y71" s="222"/>
      <c r="Z71" s="222"/>
      <c r="AA71" s="222"/>
      <c r="AB71" s="225"/>
    </row>
    <row r="72" spans="1:28" x14ac:dyDescent="0.25">
      <c r="A72" s="255"/>
      <c r="B72" s="256"/>
      <c r="C72" s="259"/>
      <c r="D72" s="260"/>
      <c r="E72" s="27"/>
      <c r="F72" s="28"/>
      <c r="G72" s="284"/>
      <c r="H72" s="284"/>
      <c r="I72" s="10"/>
      <c r="J72" s="10"/>
      <c r="K72" s="11"/>
      <c r="L72" s="11"/>
      <c r="M72" s="11"/>
      <c r="N72" s="11"/>
      <c r="O72" s="11"/>
      <c r="P72" s="12"/>
      <c r="Q72" s="12"/>
      <c r="R72" s="12"/>
      <c r="S72" s="12"/>
      <c r="T72" s="12"/>
      <c r="U72" s="20"/>
      <c r="V72" s="23"/>
      <c r="W72" s="221"/>
      <c r="X72" s="222"/>
      <c r="Y72" s="222"/>
      <c r="Z72" s="222"/>
      <c r="AA72" s="222"/>
      <c r="AB72" s="225"/>
    </row>
    <row r="73" spans="1:28" ht="15.75" thickBot="1" x14ac:dyDescent="0.3">
      <c r="A73" s="265"/>
      <c r="B73" s="266"/>
      <c r="C73" s="267" t="s">
        <v>110</v>
      </c>
      <c r="D73" s="268"/>
      <c r="E73" s="30"/>
      <c r="F73" s="31" t="s">
        <v>111</v>
      </c>
      <c r="G73" s="285"/>
      <c r="H73" s="285"/>
      <c r="I73" s="280">
        <f t="shared" ref="I73:U73" si="1">SUM(I6:I72)</f>
        <v>83021.252594999984</v>
      </c>
      <c r="J73" s="281">
        <f t="shared" si="1"/>
        <v>84095.552500000005</v>
      </c>
      <c r="K73" s="281">
        <f t="shared" si="1"/>
        <v>83034.977984499987</v>
      </c>
      <c r="L73" s="281">
        <f t="shared" si="1"/>
        <v>102202.11397949999</v>
      </c>
      <c r="M73" s="281">
        <f t="shared" si="1"/>
        <v>127064.79096815409</v>
      </c>
      <c r="N73" s="281">
        <f t="shared" si="1"/>
        <v>128705.4119309424</v>
      </c>
      <c r="O73" s="281">
        <f t="shared" si="1"/>
        <v>117639.79283071193</v>
      </c>
      <c r="P73" s="281">
        <f t="shared" si="1"/>
        <v>117049.38650209703</v>
      </c>
      <c r="Q73" s="281">
        <f t="shared" si="1"/>
        <v>124001.36568978398</v>
      </c>
      <c r="R73" s="281">
        <f t="shared" si="1"/>
        <v>126067.36568978398</v>
      </c>
      <c r="S73" s="281">
        <f t="shared" si="1"/>
        <v>121760.73608192465</v>
      </c>
      <c r="T73" s="281">
        <f t="shared" si="1"/>
        <v>117306.11235617542</v>
      </c>
      <c r="U73" s="281">
        <f t="shared" si="1"/>
        <v>116609.24180579619</v>
      </c>
      <c r="V73" s="23"/>
      <c r="W73" s="228"/>
      <c r="X73" s="229"/>
      <c r="Y73" s="229"/>
      <c r="Z73" s="229"/>
      <c r="AA73" s="229"/>
      <c r="AB73" s="230"/>
    </row>
    <row r="75" spans="1:28" x14ac:dyDescent="0.25">
      <c r="C75" s="218" t="str">
        <f>W3</f>
        <v>Sub-Trans</v>
      </c>
      <c r="D75" s="219"/>
      <c r="E75" s="219"/>
      <c r="F75" s="219"/>
      <c r="G75" s="219"/>
      <c r="H75" s="219"/>
      <c r="I75" s="278">
        <f t="shared" ref="I75:U75" si="2">SUMPRODUCT(I$6:I$72,$W$6:$W$72)</f>
        <v>0</v>
      </c>
      <c r="J75" s="278">
        <f t="shared" si="2"/>
        <v>0</v>
      </c>
      <c r="K75" s="278">
        <f t="shared" si="2"/>
        <v>0</v>
      </c>
      <c r="L75" s="278">
        <f t="shared" si="2"/>
        <v>0</v>
      </c>
      <c r="M75" s="278">
        <f t="shared" si="2"/>
        <v>0</v>
      </c>
      <c r="N75" s="278">
        <f t="shared" si="2"/>
        <v>0</v>
      </c>
      <c r="O75" s="278">
        <f t="shared" si="2"/>
        <v>0</v>
      </c>
      <c r="P75" s="278">
        <f t="shared" si="2"/>
        <v>0</v>
      </c>
      <c r="Q75" s="278">
        <f t="shared" si="2"/>
        <v>0</v>
      </c>
      <c r="R75" s="278">
        <f t="shared" si="2"/>
        <v>0</v>
      </c>
      <c r="S75" s="278">
        <f t="shared" si="2"/>
        <v>0</v>
      </c>
      <c r="T75" s="278">
        <f t="shared" si="2"/>
        <v>0</v>
      </c>
      <c r="U75" s="279">
        <f t="shared" si="2"/>
        <v>0</v>
      </c>
      <c r="V75" s="23"/>
    </row>
    <row r="76" spans="1:28" x14ac:dyDescent="0.25">
      <c r="C76" s="221" t="str">
        <f>X3</f>
        <v>Zone S/Stn</v>
      </c>
      <c r="D76" s="222"/>
      <c r="E76" s="222"/>
      <c r="F76" s="222"/>
      <c r="G76" s="222"/>
      <c r="H76" s="222"/>
      <c r="I76" s="172">
        <f t="shared" ref="I76:U76" si="3">SUMPRODUCT(I$6:I$72,$X$6:$X$72)</f>
        <v>1861.9900499999999</v>
      </c>
      <c r="J76" s="172">
        <f t="shared" si="3"/>
        <v>1168.9164000000001</v>
      </c>
      <c r="K76" s="172">
        <f t="shared" si="3"/>
        <v>1281.4112749999999</v>
      </c>
      <c r="L76" s="172">
        <f t="shared" si="3"/>
        <v>1953.2449995000002</v>
      </c>
      <c r="M76" s="172">
        <f t="shared" si="3"/>
        <v>2874.0553717968501</v>
      </c>
      <c r="N76" s="172">
        <f t="shared" si="3"/>
        <v>2987.1180222968501</v>
      </c>
      <c r="O76" s="172">
        <f t="shared" si="3"/>
        <v>2820.3383356736394</v>
      </c>
      <c r="P76" s="172">
        <f t="shared" si="3"/>
        <v>3070.969584187279</v>
      </c>
      <c r="Q76" s="172">
        <f t="shared" si="3"/>
        <v>3766.737497027279</v>
      </c>
      <c r="R76" s="172">
        <f t="shared" si="3"/>
        <v>4268.5174970272783</v>
      </c>
      <c r="S76" s="172">
        <f t="shared" si="3"/>
        <v>3258.342497027279</v>
      </c>
      <c r="T76" s="172">
        <f t="shared" si="3"/>
        <v>2413.612497027279</v>
      </c>
      <c r="U76" s="234">
        <f t="shared" si="3"/>
        <v>2406.2008867139439</v>
      </c>
      <c r="V76" s="23"/>
    </row>
    <row r="77" spans="1:28" x14ac:dyDescent="0.25">
      <c r="C77" s="221" t="str">
        <f>Y3</f>
        <v>HV Feeder</v>
      </c>
      <c r="D77" s="222"/>
      <c r="E77" s="222"/>
      <c r="F77" s="222"/>
      <c r="G77" s="222"/>
      <c r="H77" s="222"/>
      <c r="I77" s="172">
        <f t="shared" ref="I77:U77" si="4">SUMPRODUCT(I$6:I$72,$Y$6:$Y$72)</f>
        <v>1104.5929500000002</v>
      </c>
      <c r="J77" s="172">
        <f t="shared" si="4"/>
        <v>1007.1762000000001</v>
      </c>
      <c r="K77" s="172">
        <f t="shared" si="4"/>
        <v>897.26962500000013</v>
      </c>
      <c r="L77" s="172">
        <f t="shared" si="4"/>
        <v>1436.3334749999999</v>
      </c>
      <c r="M77" s="172">
        <f t="shared" si="4"/>
        <v>2339.3432944762762</v>
      </c>
      <c r="N77" s="172">
        <f t="shared" si="4"/>
        <v>3171.8880694762765</v>
      </c>
      <c r="O77" s="172">
        <f t="shared" si="4"/>
        <v>2214.1697525886684</v>
      </c>
      <c r="P77" s="172">
        <f t="shared" si="4"/>
        <v>783.47925776600528</v>
      </c>
      <c r="Q77" s="172">
        <f t="shared" si="4"/>
        <v>729.61901035467372</v>
      </c>
      <c r="R77" s="172">
        <f t="shared" si="4"/>
        <v>729.61901035467372</v>
      </c>
      <c r="S77" s="172">
        <f t="shared" si="4"/>
        <v>729.61901035467372</v>
      </c>
      <c r="T77" s="172">
        <f t="shared" si="4"/>
        <v>729.61901035467372</v>
      </c>
      <c r="U77" s="234">
        <f t="shared" si="4"/>
        <v>729.61901035467372</v>
      </c>
      <c r="V77" s="23"/>
    </row>
    <row r="78" spans="1:28" x14ac:dyDescent="0.25">
      <c r="C78" s="221" t="str">
        <f>Z3</f>
        <v>Dist T/F</v>
      </c>
      <c r="D78" s="222"/>
      <c r="E78" s="222"/>
      <c r="F78" s="222"/>
      <c r="G78" s="222"/>
      <c r="H78" s="222"/>
      <c r="I78" s="172">
        <f t="shared" ref="I78:U78" si="5">SUMPRODUCT(I$6:I$72,$Z$6:$Z$72)</f>
        <v>1530.9828749999999</v>
      </c>
      <c r="J78" s="172">
        <f t="shared" si="5"/>
        <v>1570.3543750000001</v>
      </c>
      <c r="K78" s="172">
        <f t="shared" si="5"/>
        <v>1639.7316250000003</v>
      </c>
      <c r="L78" s="172">
        <f t="shared" si="5"/>
        <v>2103.366125</v>
      </c>
      <c r="M78" s="172">
        <f t="shared" si="5"/>
        <v>2354.9148919507215</v>
      </c>
      <c r="N78" s="172">
        <f t="shared" si="5"/>
        <v>1942.5560169507216</v>
      </c>
      <c r="O78" s="172">
        <f t="shared" si="5"/>
        <v>1867.0885437884522</v>
      </c>
      <c r="P78" s="172">
        <f t="shared" si="5"/>
        <v>2038.7656313653565</v>
      </c>
      <c r="Q78" s="172">
        <f t="shared" si="5"/>
        <v>2124.6041751538087</v>
      </c>
      <c r="R78" s="172">
        <f t="shared" si="5"/>
        <v>2124.6041751538087</v>
      </c>
      <c r="S78" s="172">
        <f t="shared" si="5"/>
        <v>2124.6041751538087</v>
      </c>
      <c r="T78" s="172">
        <f t="shared" si="5"/>
        <v>2124.6041751538087</v>
      </c>
      <c r="U78" s="234">
        <f t="shared" si="5"/>
        <v>2124.6041751538087</v>
      </c>
      <c r="V78" s="23"/>
    </row>
    <row r="79" spans="1:28" ht="15.75" thickBot="1" x14ac:dyDescent="0.3">
      <c r="C79" s="221" t="str">
        <f>AA3</f>
        <v>LV Feeder</v>
      </c>
      <c r="D79" s="222"/>
      <c r="E79" s="222"/>
      <c r="F79" s="222"/>
      <c r="G79" s="222"/>
      <c r="H79" s="222"/>
      <c r="I79" s="35">
        <f t="shared" ref="I79:U79" si="6">SUMPRODUCT(I$6:I$72,$AA$6:$AA$72)</f>
        <v>1319.4258000000002</v>
      </c>
      <c r="J79" s="24">
        <f t="shared" si="6"/>
        <v>1398.233725</v>
      </c>
      <c r="K79" s="24">
        <f t="shared" si="6"/>
        <v>1481.022375</v>
      </c>
      <c r="L79" s="24">
        <f t="shared" si="6"/>
        <v>1901.8498999999999</v>
      </c>
      <c r="M79" s="24">
        <f t="shared" si="6"/>
        <v>2755.6612768259447</v>
      </c>
      <c r="N79" s="24">
        <f t="shared" si="6"/>
        <v>3305.053151825945</v>
      </c>
      <c r="O79" s="24">
        <f t="shared" si="6"/>
        <v>2463.4468077033621</v>
      </c>
      <c r="P79" s="24">
        <f t="shared" si="6"/>
        <v>1660.3204231100854</v>
      </c>
      <c r="Q79" s="24">
        <f t="shared" si="6"/>
        <v>1699.7472308134472</v>
      </c>
      <c r="R79" s="24">
        <f t="shared" si="6"/>
        <v>1699.7472308134472</v>
      </c>
      <c r="S79" s="24">
        <f t="shared" si="6"/>
        <v>1699.7472308134472</v>
      </c>
      <c r="T79" s="24">
        <f t="shared" si="6"/>
        <v>1699.7472308134472</v>
      </c>
      <c r="U79" s="239">
        <f t="shared" si="6"/>
        <v>1699.7472308134472</v>
      </c>
      <c r="V79" s="172"/>
    </row>
    <row r="80" spans="1:28" x14ac:dyDescent="0.25">
      <c r="C80" s="221"/>
      <c r="D80" s="222"/>
      <c r="E80" s="222"/>
      <c r="F80" s="222"/>
      <c r="G80" s="222"/>
      <c r="H80" s="222"/>
      <c r="I80" s="172">
        <f>SUM(I75:I79)</f>
        <v>5816.9916750000002</v>
      </c>
      <c r="J80" s="172">
        <f t="shared" ref="J80:M80" si="7">SUM(J75:J79)</f>
        <v>5144.6806999999999</v>
      </c>
      <c r="K80" s="172">
        <f t="shared" si="7"/>
        <v>5299.4349000000002</v>
      </c>
      <c r="L80" s="172">
        <f t="shared" si="7"/>
        <v>7394.7944995000007</v>
      </c>
      <c r="M80" s="172">
        <f t="shared" si="7"/>
        <v>10323.974835049792</v>
      </c>
      <c r="N80" s="172">
        <f t="shared" ref="N80:U80" si="8">SUM(N75:N79)</f>
        <v>11406.615260549792</v>
      </c>
      <c r="O80" s="172">
        <f t="shared" si="8"/>
        <v>9365.0434397541212</v>
      </c>
      <c r="P80" s="172">
        <f t="shared" si="8"/>
        <v>7553.5348964287268</v>
      </c>
      <c r="Q80" s="172">
        <f t="shared" si="8"/>
        <v>8320.707913349208</v>
      </c>
      <c r="R80" s="172">
        <f t="shared" si="8"/>
        <v>8822.4879133492086</v>
      </c>
      <c r="S80" s="172">
        <f t="shared" si="8"/>
        <v>7812.3129133492093</v>
      </c>
      <c r="T80" s="172">
        <f t="shared" si="8"/>
        <v>6967.5829133492089</v>
      </c>
      <c r="U80" s="234">
        <f t="shared" si="8"/>
        <v>6960.1713030358733</v>
      </c>
      <c r="V80" s="23"/>
    </row>
    <row r="81" spans="3:35" x14ac:dyDescent="0.25">
      <c r="C81" s="221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3"/>
    </row>
    <row r="82" spans="3:35" x14ac:dyDescent="0.25">
      <c r="C82" s="228" t="s">
        <v>220</v>
      </c>
      <c r="D82" s="229"/>
      <c r="E82" s="229"/>
      <c r="F82" s="229"/>
      <c r="G82" s="229"/>
      <c r="H82" s="229"/>
      <c r="I82" s="24">
        <f t="shared" ref="I82:U82" si="9">SUMPRODUCT(I$6:I$72,$AB$6:$AB$72)</f>
        <v>77204.260919999986</v>
      </c>
      <c r="J82" s="24">
        <f t="shared" si="9"/>
        <v>78950.871800000008</v>
      </c>
      <c r="K82" s="24">
        <f t="shared" si="9"/>
        <v>77735.543084499979</v>
      </c>
      <c r="L82" s="24">
        <f t="shared" si="9"/>
        <v>94807.319479999976</v>
      </c>
      <c r="M82" s="24">
        <f t="shared" si="9"/>
        <v>116740.81613310431</v>
      </c>
      <c r="N82" s="24">
        <f t="shared" si="9"/>
        <v>117298.79667039265</v>
      </c>
      <c r="O82" s="24">
        <f t="shared" si="9"/>
        <v>108274.74939095782</v>
      </c>
      <c r="P82" s="24">
        <f t="shared" si="9"/>
        <v>109495.85160566827</v>
      </c>
      <c r="Q82" s="24">
        <f t="shared" si="9"/>
        <v>115680.65777643477</v>
      </c>
      <c r="R82" s="24">
        <f t="shared" si="9"/>
        <v>117244.87777643479</v>
      </c>
      <c r="S82" s="24">
        <f t="shared" si="9"/>
        <v>113948.42316857546</v>
      </c>
      <c r="T82" s="24">
        <f t="shared" si="9"/>
        <v>110338.5294428262</v>
      </c>
      <c r="U82" s="239">
        <f t="shared" si="9"/>
        <v>109649.07050276031</v>
      </c>
    </row>
    <row r="85" spans="3:35" x14ac:dyDescent="0.25">
      <c r="C85" s="271" t="s">
        <v>218</v>
      </c>
      <c r="D85" s="219"/>
      <c r="E85" s="219"/>
      <c r="F85" s="219"/>
      <c r="G85" s="219"/>
      <c r="H85" s="219"/>
      <c r="I85" s="219"/>
      <c r="J85" s="219"/>
      <c r="K85" s="272">
        <v>106.6</v>
      </c>
      <c r="L85" s="272">
        <v>108.4</v>
      </c>
      <c r="M85" s="272">
        <v>110</v>
      </c>
      <c r="N85" s="272">
        <v>112.1</v>
      </c>
      <c r="O85" s="273">
        <v>114.342</v>
      </c>
      <c r="P85" s="272">
        <v>117.16624739999999</v>
      </c>
      <c r="Q85" s="272">
        <v>120.06025371077999</v>
      </c>
      <c r="R85" s="272">
        <v>123.02574197743625</v>
      </c>
      <c r="S85" s="272">
        <v>126.06447780427892</v>
      </c>
      <c r="T85" s="272">
        <v>129.17827040604462</v>
      </c>
      <c r="U85" s="274">
        <f>T85*(T85/S85)</f>
        <v>132.36897368507391</v>
      </c>
    </row>
    <row r="86" spans="3:35" x14ac:dyDescent="0.25">
      <c r="C86" s="228" t="s">
        <v>219</v>
      </c>
      <c r="D86" s="229"/>
      <c r="E86" s="229"/>
      <c r="F86" s="229"/>
      <c r="G86" s="229"/>
      <c r="H86" s="229"/>
      <c r="I86" s="229"/>
      <c r="J86" s="229"/>
      <c r="K86" s="275">
        <f>$O85/K85</f>
        <v>1.0726266416510319</v>
      </c>
      <c r="L86" s="275">
        <f t="shared" ref="L86:U86" si="10">$O85/L85</f>
        <v>1.0548154981549815</v>
      </c>
      <c r="M86" s="275">
        <f t="shared" si="10"/>
        <v>1.0394727272727273</v>
      </c>
      <c r="N86" s="275">
        <f t="shared" si="10"/>
        <v>1.02</v>
      </c>
      <c r="O86" s="277">
        <f t="shared" si="10"/>
        <v>1</v>
      </c>
      <c r="P86" s="275">
        <f t="shared" si="10"/>
        <v>0.97589538401483367</v>
      </c>
      <c r="Q86" s="275">
        <f t="shared" si="10"/>
        <v>0.95237180054145965</v>
      </c>
      <c r="R86" s="275">
        <f t="shared" si="10"/>
        <v>0.92941524401430631</v>
      </c>
      <c r="S86" s="275">
        <f t="shared" si="10"/>
        <v>0.90701204646658173</v>
      </c>
      <c r="T86" s="275">
        <f t="shared" si="10"/>
        <v>0.88514886939258486</v>
      </c>
      <c r="U86" s="276">
        <f t="shared" si="10"/>
        <v>0.86381269580617248</v>
      </c>
    </row>
    <row r="88" spans="3:35" x14ac:dyDescent="0.25">
      <c r="C88" s="218" t="str">
        <f>C75</f>
        <v>Sub-Trans</v>
      </c>
      <c r="D88" s="219"/>
      <c r="E88" s="219"/>
      <c r="F88" s="219"/>
      <c r="G88" s="219"/>
      <c r="H88" s="219"/>
      <c r="I88" s="219"/>
      <c r="J88" s="219"/>
      <c r="K88" s="278">
        <f>K75*K$86</f>
        <v>0</v>
      </c>
      <c r="L88" s="278">
        <f t="shared" ref="L88:U88" si="11">L75*L$86</f>
        <v>0</v>
      </c>
      <c r="M88" s="278">
        <f t="shared" si="11"/>
        <v>0</v>
      </c>
      <c r="N88" s="278">
        <f t="shared" si="11"/>
        <v>0</v>
      </c>
      <c r="O88" s="278">
        <f t="shared" si="11"/>
        <v>0</v>
      </c>
      <c r="P88" s="278">
        <f t="shared" si="11"/>
        <v>0</v>
      </c>
      <c r="Q88" s="278">
        <f t="shared" si="11"/>
        <v>0</v>
      </c>
      <c r="R88" s="278">
        <f t="shared" si="11"/>
        <v>0</v>
      </c>
      <c r="S88" s="278">
        <f t="shared" si="11"/>
        <v>0</v>
      </c>
      <c r="T88" s="278">
        <f t="shared" si="11"/>
        <v>0</v>
      </c>
      <c r="U88" s="279">
        <f t="shared" si="11"/>
        <v>0</v>
      </c>
    </row>
    <row r="89" spans="3:35" x14ac:dyDescent="0.25">
      <c r="C89" s="221" t="str">
        <f t="shared" ref="C89:C92" si="12">C76</f>
        <v>Zone S/Stn</v>
      </c>
      <c r="D89" s="222"/>
      <c r="E89" s="222"/>
      <c r="F89" s="222"/>
      <c r="G89" s="222"/>
      <c r="H89" s="222"/>
      <c r="I89" s="222"/>
      <c r="J89" s="222"/>
      <c r="K89" s="172">
        <f t="shared" ref="K89:U89" si="13">K76*K$86</f>
        <v>1374.4758724770168</v>
      </c>
      <c r="L89" s="172">
        <f t="shared" si="13"/>
        <v>2060.3130971663195</v>
      </c>
      <c r="M89" s="172">
        <f t="shared" si="13"/>
        <v>2987.5021756545038</v>
      </c>
      <c r="N89" s="172">
        <f t="shared" si="13"/>
        <v>3046.8603827427874</v>
      </c>
      <c r="O89" s="172">
        <f t="shared" si="13"/>
        <v>2820.3383356736394</v>
      </c>
      <c r="P89" s="172">
        <f t="shared" si="13"/>
        <v>2996.9450416583186</v>
      </c>
      <c r="Q89" s="172">
        <f t="shared" si="13"/>
        <v>3587.3345722109007</v>
      </c>
      <c r="R89" s="172">
        <f t="shared" si="13"/>
        <v>3967.225231078944</v>
      </c>
      <c r="S89" s="172">
        <f t="shared" si="13"/>
        <v>2955.3558963177443</v>
      </c>
      <c r="T89" s="172">
        <f t="shared" si="13"/>
        <v>2136.4063728955098</v>
      </c>
      <c r="U89" s="234">
        <f t="shared" si="13"/>
        <v>2078.5068746035745</v>
      </c>
    </row>
    <row r="90" spans="3:35" x14ac:dyDescent="0.25">
      <c r="C90" s="221" t="str">
        <f t="shared" si="12"/>
        <v>HV Feeder</v>
      </c>
      <c r="D90" s="222"/>
      <c r="E90" s="222"/>
      <c r="F90" s="222"/>
      <c r="G90" s="222"/>
      <c r="H90" s="222"/>
      <c r="I90" s="222"/>
      <c r="J90" s="222"/>
      <c r="K90" s="172">
        <f t="shared" ref="K90:U90" si="14">K77*K$86</f>
        <v>962.43530451923095</v>
      </c>
      <c r="L90" s="172">
        <f t="shared" si="14"/>
        <v>1515.0668099488007</v>
      </c>
      <c r="M90" s="172">
        <f t="shared" si="14"/>
        <v>2431.6835543364218</v>
      </c>
      <c r="N90" s="172">
        <f t="shared" si="14"/>
        <v>3235.3258308658023</v>
      </c>
      <c r="O90" s="172">
        <f t="shared" si="14"/>
        <v>2214.1697525886684</v>
      </c>
      <c r="P90" s="172">
        <f t="shared" si="14"/>
        <v>764.59379112521253</v>
      </c>
      <c r="Q90" s="172">
        <f t="shared" si="14"/>
        <v>694.86857060075852</v>
      </c>
      <c r="R90" s="172">
        <f t="shared" si="14"/>
        <v>678.11903054626578</v>
      </c>
      <c r="S90" s="172">
        <f t="shared" si="14"/>
        <v>661.77323172271474</v>
      </c>
      <c r="T90" s="172">
        <f t="shared" si="14"/>
        <v>645.82144210277613</v>
      </c>
      <c r="U90" s="234">
        <f t="shared" si="14"/>
        <v>630.25416424590242</v>
      </c>
    </row>
    <row r="91" spans="3:35" x14ac:dyDescent="0.25">
      <c r="C91" s="221" t="str">
        <f t="shared" si="12"/>
        <v>Dist T/F</v>
      </c>
      <c r="D91" s="222"/>
      <c r="E91" s="222"/>
      <c r="F91" s="222"/>
      <c r="G91" s="222"/>
      <c r="H91" s="222"/>
      <c r="I91" s="222"/>
      <c r="J91" s="222"/>
      <c r="K91" s="172">
        <f t="shared" ref="K91:U91" si="15">K78*K$86</f>
        <v>1758.8198261327398</v>
      </c>
      <c r="L91" s="172">
        <f t="shared" si="15"/>
        <v>2218.6631869441881</v>
      </c>
      <c r="M91" s="172">
        <f t="shared" si="15"/>
        <v>2447.8698052311765</v>
      </c>
      <c r="N91" s="172">
        <f t="shared" si="15"/>
        <v>1981.4071372897361</v>
      </c>
      <c r="O91" s="172">
        <f t="shared" si="15"/>
        <v>1867.0885437884522</v>
      </c>
      <c r="P91" s="172">
        <f t="shared" si="15"/>
        <v>1989.6219687375394</v>
      </c>
      <c r="Q91" s="172">
        <f t="shared" si="15"/>
        <v>2023.4131037291354</v>
      </c>
      <c r="R91" s="172">
        <f t="shared" si="15"/>
        <v>1974.6395078843912</v>
      </c>
      <c r="S91" s="172">
        <f t="shared" si="15"/>
        <v>1927.0415808376999</v>
      </c>
      <c r="T91" s="172">
        <f t="shared" si="15"/>
        <v>1880.5909835441591</v>
      </c>
      <c r="U91" s="234">
        <f t="shared" si="15"/>
        <v>1835.2600600606609</v>
      </c>
    </row>
    <row r="92" spans="3:35" x14ac:dyDescent="0.25">
      <c r="C92" s="228" t="str">
        <f t="shared" si="12"/>
        <v>LV Feeder</v>
      </c>
      <c r="D92" s="222"/>
      <c r="E92" s="222"/>
      <c r="F92" s="222"/>
      <c r="G92" s="222"/>
      <c r="H92" s="222"/>
      <c r="I92" s="222"/>
      <c r="J92" s="222"/>
      <c r="K92" s="24">
        <f t="shared" ref="K92:U92" si="16">K79*K$86</f>
        <v>1588.5840563062852</v>
      </c>
      <c r="L92" s="24">
        <f t="shared" si="16"/>
        <v>2006.1007496845018</v>
      </c>
      <c r="M92" s="24">
        <f t="shared" si="16"/>
        <v>2864.4347428621109</v>
      </c>
      <c r="N92" s="24">
        <f t="shared" si="16"/>
        <v>3371.154214862464</v>
      </c>
      <c r="O92" s="24">
        <f t="shared" si="16"/>
        <v>2463.4468077033621</v>
      </c>
      <c r="P92" s="24">
        <f t="shared" si="16"/>
        <v>1620.299036898688</v>
      </c>
      <c r="Q92" s="24">
        <f t="shared" si="16"/>
        <v>1618.7913306751627</v>
      </c>
      <c r="R92" s="24">
        <f t="shared" si="16"/>
        <v>1579.7709872891214</v>
      </c>
      <c r="S92" s="24">
        <f t="shared" si="16"/>
        <v>1541.69121429601</v>
      </c>
      <c r="T92" s="24">
        <f t="shared" si="16"/>
        <v>1504.5293396076997</v>
      </c>
      <c r="U92" s="239">
        <f t="shared" si="16"/>
        <v>1468.2632376380404</v>
      </c>
    </row>
    <row r="93" spans="3:35" x14ac:dyDescent="0.25">
      <c r="C93" s="228" t="s">
        <v>216</v>
      </c>
      <c r="D93" s="229"/>
      <c r="E93" s="229"/>
      <c r="F93" s="229"/>
      <c r="G93" s="229"/>
      <c r="H93" s="229"/>
      <c r="I93" s="229"/>
      <c r="J93" s="229"/>
      <c r="K93" s="24">
        <f>SUM(K88:K92)</f>
        <v>5684.3150594352728</v>
      </c>
      <c r="L93" s="24">
        <f t="shared" ref="L93:U93" si="17">SUM(L88:L92)</f>
        <v>7800.1438437438101</v>
      </c>
      <c r="M93" s="24">
        <f t="shared" si="17"/>
        <v>10731.490278084213</v>
      </c>
      <c r="N93" s="24">
        <f t="shared" si="17"/>
        <v>11634.74756576079</v>
      </c>
      <c r="O93" s="24">
        <f t="shared" si="17"/>
        <v>9365.0434397541212</v>
      </c>
      <c r="P93" s="24">
        <f t="shared" si="17"/>
        <v>7371.4598384197579</v>
      </c>
      <c r="Q93" s="24">
        <f t="shared" si="17"/>
        <v>7924.4075772159567</v>
      </c>
      <c r="R93" s="24">
        <f t="shared" si="17"/>
        <v>8199.7547567987222</v>
      </c>
      <c r="S93" s="24">
        <f t="shared" si="17"/>
        <v>7085.8619231741686</v>
      </c>
      <c r="T93" s="24">
        <f t="shared" si="17"/>
        <v>6167.3481381501442</v>
      </c>
      <c r="U93" s="239">
        <f t="shared" si="17"/>
        <v>6012.2843365481785</v>
      </c>
    </row>
    <row r="95" spans="3:35" x14ac:dyDescent="0.25">
      <c r="C95" s="218" t="s">
        <v>211</v>
      </c>
      <c r="D95" s="219"/>
      <c r="E95" s="219"/>
      <c r="F95" s="219"/>
      <c r="G95" s="219"/>
      <c r="H95" s="219"/>
      <c r="I95" s="219"/>
      <c r="J95" s="219"/>
      <c r="K95" s="218">
        <v>2016</v>
      </c>
      <c r="L95" s="219">
        <v>2017</v>
      </c>
      <c r="M95" s="219">
        <v>2018</v>
      </c>
      <c r="N95" s="231">
        <v>2019</v>
      </c>
      <c r="O95" s="235">
        <v>2020</v>
      </c>
      <c r="P95" s="238">
        <v>2021</v>
      </c>
      <c r="Q95" s="231">
        <v>2022</v>
      </c>
      <c r="R95" s="231">
        <v>2023</v>
      </c>
      <c r="S95" s="231">
        <v>2024</v>
      </c>
      <c r="T95" s="235">
        <v>2025</v>
      </c>
      <c r="U95" s="238">
        <v>2026</v>
      </c>
      <c r="V95" s="231">
        <v>2027</v>
      </c>
      <c r="W95" s="231">
        <v>2028</v>
      </c>
      <c r="X95" s="231">
        <v>2029</v>
      </c>
      <c r="Y95" s="235">
        <v>2030</v>
      </c>
      <c r="Z95" s="238">
        <v>2031</v>
      </c>
      <c r="AA95" s="231">
        <v>2032</v>
      </c>
      <c r="AB95" s="231">
        <v>2033</v>
      </c>
      <c r="AC95" s="231">
        <v>2034</v>
      </c>
      <c r="AD95" s="235">
        <v>2035</v>
      </c>
      <c r="AE95" s="238">
        <v>2036</v>
      </c>
      <c r="AF95" s="231">
        <v>2037</v>
      </c>
      <c r="AG95" s="231">
        <v>2038</v>
      </c>
      <c r="AH95" s="219">
        <v>2039</v>
      </c>
      <c r="AI95" s="220">
        <v>2040</v>
      </c>
    </row>
    <row r="96" spans="3:35" x14ac:dyDescent="0.25">
      <c r="C96" s="221"/>
      <c r="D96" s="222"/>
      <c r="E96" s="222"/>
      <c r="F96" s="222"/>
      <c r="G96" s="222"/>
      <c r="H96" s="222"/>
      <c r="I96" s="222"/>
      <c r="J96" s="222"/>
      <c r="K96" s="221"/>
      <c r="L96" s="222"/>
      <c r="M96" s="222"/>
      <c r="N96" s="222"/>
      <c r="O96" s="223"/>
      <c r="P96" s="221"/>
      <c r="Q96" s="222"/>
      <c r="R96" s="222"/>
      <c r="S96" s="222"/>
      <c r="T96" s="223"/>
      <c r="U96" s="221"/>
      <c r="V96" s="222"/>
      <c r="W96" s="222"/>
      <c r="X96" s="222"/>
      <c r="Y96" s="223"/>
      <c r="Z96" s="221"/>
      <c r="AA96" s="222"/>
      <c r="AB96" s="222"/>
      <c r="AC96" s="222"/>
      <c r="AD96" s="223"/>
      <c r="AE96" s="221"/>
      <c r="AF96" s="222"/>
      <c r="AG96" s="222"/>
      <c r="AH96" s="222"/>
      <c r="AI96" s="223"/>
    </row>
    <row r="97" spans="3:35" x14ac:dyDescent="0.25">
      <c r="C97" s="221" t="str">
        <f>C75</f>
        <v>Sub-Trans</v>
      </c>
      <c r="D97" s="222"/>
      <c r="E97" s="222"/>
      <c r="F97" s="222"/>
      <c r="G97" s="222"/>
      <c r="H97" s="222"/>
      <c r="I97" s="222"/>
      <c r="J97" s="222"/>
      <c r="K97" s="236">
        <f t="shared" ref="K97:U97" si="18">K88*1000</f>
        <v>0</v>
      </c>
      <c r="L97" s="172">
        <f t="shared" si="18"/>
        <v>0</v>
      </c>
      <c r="M97" s="172">
        <f t="shared" si="18"/>
        <v>0</v>
      </c>
      <c r="N97" s="240">
        <f t="shared" si="18"/>
        <v>0</v>
      </c>
      <c r="O97" s="241">
        <f t="shared" si="18"/>
        <v>0</v>
      </c>
      <c r="P97" s="242">
        <f t="shared" si="18"/>
        <v>0</v>
      </c>
      <c r="Q97" s="243">
        <f t="shared" si="18"/>
        <v>0</v>
      </c>
      <c r="R97" s="243">
        <f t="shared" si="18"/>
        <v>0</v>
      </c>
      <c r="S97" s="243">
        <f t="shared" si="18"/>
        <v>0</v>
      </c>
      <c r="T97" s="244">
        <f t="shared" si="18"/>
        <v>0</v>
      </c>
      <c r="U97" s="242">
        <f t="shared" si="18"/>
        <v>0</v>
      </c>
      <c r="V97" s="245">
        <f>AVERAGE(P97:U97)</f>
        <v>0</v>
      </c>
      <c r="W97" s="245">
        <f>V97</f>
        <v>0</v>
      </c>
      <c r="X97" s="245">
        <f t="shared" ref="X97:AI101" si="19">W97</f>
        <v>0</v>
      </c>
      <c r="Y97" s="246">
        <f t="shared" si="19"/>
        <v>0</v>
      </c>
      <c r="Z97" s="247">
        <f t="shared" si="19"/>
        <v>0</v>
      </c>
      <c r="AA97" s="245">
        <f t="shared" si="19"/>
        <v>0</v>
      </c>
      <c r="AB97" s="245">
        <f t="shared" si="19"/>
        <v>0</v>
      </c>
      <c r="AC97" s="245">
        <f t="shared" si="19"/>
        <v>0</v>
      </c>
      <c r="AD97" s="246">
        <f t="shared" si="19"/>
        <v>0</v>
      </c>
      <c r="AE97" s="247">
        <f t="shared" si="19"/>
        <v>0</v>
      </c>
      <c r="AF97" s="245">
        <f t="shared" si="19"/>
        <v>0</v>
      </c>
      <c r="AG97" s="245">
        <f t="shared" si="19"/>
        <v>0</v>
      </c>
      <c r="AH97" s="232">
        <f t="shared" si="19"/>
        <v>0</v>
      </c>
      <c r="AI97" s="233">
        <f t="shared" si="19"/>
        <v>0</v>
      </c>
    </row>
    <row r="98" spans="3:35" x14ac:dyDescent="0.25">
      <c r="C98" s="221" t="str">
        <f>C76</f>
        <v>Zone S/Stn</v>
      </c>
      <c r="D98" s="222"/>
      <c r="E98" s="222"/>
      <c r="F98" s="222"/>
      <c r="G98" s="222"/>
      <c r="H98" s="222"/>
      <c r="I98" s="222"/>
      <c r="J98" s="222"/>
      <c r="K98" s="236">
        <f t="shared" ref="K98:U98" si="20">K89*1000</f>
        <v>1374475.8724770169</v>
      </c>
      <c r="L98" s="172">
        <f t="shared" si="20"/>
        <v>2060313.0971663194</v>
      </c>
      <c r="M98" s="172">
        <f t="shared" si="20"/>
        <v>2987502.175654504</v>
      </c>
      <c r="N98" s="240">
        <f t="shared" si="20"/>
        <v>3046860.3827427872</v>
      </c>
      <c r="O98" s="241">
        <f t="shared" si="20"/>
        <v>2820338.3356736396</v>
      </c>
      <c r="P98" s="242">
        <f t="shared" si="20"/>
        <v>2996945.0416583186</v>
      </c>
      <c r="Q98" s="243">
        <f t="shared" si="20"/>
        <v>3587334.5722109005</v>
      </c>
      <c r="R98" s="243">
        <f t="shared" si="20"/>
        <v>3967225.2310789442</v>
      </c>
      <c r="S98" s="243">
        <f t="shared" si="20"/>
        <v>2955355.8963177442</v>
      </c>
      <c r="T98" s="244">
        <f t="shared" si="20"/>
        <v>2136406.3728955099</v>
      </c>
      <c r="U98" s="242">
        <f t="shared" si="20"/>
        <v>2078506.8746035744</v>
      </c>
      <c r="V98" s="245">
        <f t="shared" ref="V98:V101" si="21">AVERAGE(P98:U98)</f>
        <v>2953628.9981274982</v>
      </c>
      <c r="W98" s="245">
        <f t="shared" ref="W98:Z101" si="22">V98</f>
        <v>2953628.9981274982</v>
      </c>
      <c r="X98" s="245">
        <f t="shared" si="22"/>
        <v>2953628.9981274982</v>
      </c>
      <c r="Y98" s="246">
        <f t="shared" si="22"/>
        <v>2953628.9981274982</v>
      </c>
      <c r="Z98" s="247">
        <f t="shared" si="22"/>
        <v>2953628.9981274982</v>
      </c>
      <c r="AA98" s="245">
        <f t="shared" si="19"/>
        <v>2953628.9981274982</v>
      </c>
      <c r="AB98" s="245">
        <f t="shared" si="19"/>
        <v>2953628.9981274982</v>
      </c>
      <c r="AC98" s="245">
        <f t="shared" si="19"/>
        <v>2953628.9981274982</v>
      </c>
      <c r="AD98" s="246">
        <f t="shared" si="19"/>
        <v>2953628.9981274982</v>
      </c>
      <c r="AE98" s="247">
        <f t="shared" si="19"/>
        <v>2953628.9981274982</v>
      </c>
      <c r="AF98" s="245">
        <f t="shared" si="19"/>
        <v>2953628.9981274982</v>
      </c>
      <c r="AG98" s="245">
        <f t="shared" si="19"/>
        <v>2953628.9981274982</v>
      </c>
      <c r="AH98" s="232">
        <f t="shared" si="19"/>
        <v>2953628.9981274982</v>
      </c>
      <c r="AI98" s="233">
        <f t="shared" si="19"/>
        <v>2953628.9981274982</v>
      </c>
    </row>
    <row r="99" spans="3:35" x14ac:dyDescent="0.25">
      <c r="C99" s="221" t="str">
        <f>C77</f>
        <v>HV Feeder</v>
      </c>
      <c r="D99" s="222"/>
      <c r="E99" s="222"/>
      <c r="F99" s="222"/>
      <c r="G99" s="222"/>
      <c r="H99" s="222"/>
      <c r="I99" s="222"/>
      <c r="J99" s="222"/>
      <c r="K99" s="236">
        <f t="shared" ref="K99:U99" si="23">K90*1000</f>
        <v>962435.30451923097</v>
      </c>
      <c r="L99" s="172">
        <f t="shared" si="23"/>
        <v>1515066.8099488006</v>
      </c>
      <c r="M99" s="172">
        <f t="shared" si="23"/>
        <v>2431683.5543364217</v>
      </c>
      <c r="N99" s="240">
        <f t="shared" si="23"/>
        <v>3235325.8308658022</v>
      </c>
      <c r="O99" s="241">
        <f t="shared" si="23"/>
        <v>2214169.7525886684</v>
      </c>
      <c r="P99" s="242">
        <f t="shared" si="23"/>
        <v>764593.79112521256</v>
      </c>
      <c r="Q99" s="243">
        <f t="shared" si="23"/>
        <v>694868.57060075854</v>
      </c>
      <c r="R99" s="243">
        <f t="shared" si="23"/>
        <v>678119.03054626577</v>
      </c>
      <c r="S99" s="243">
        <f t="shared" si="23"/>
        <v>661773.23172271473</v>
      </c>
      <c r="T99" s="244">
        <f t="shared" si="23"/>
        <v>645821.44210277614</v>
      </c>
      <c r="U99" s="242">
        <f t="shared" si="23"/>
        <v>630254.16424590244</v>
      </c>
      <c r="V99" s="245">
        <f t="shared" si="21"/>
        <v>679238.37172393838</v>
      </c>
      <c r="W99" s="245">
        <f t="shared" si="22"/>
        <v>679238.37172393838</v>
      </c>
      <c r="X99" s="245">
        <f t="shared" si="22"/>
        <v>679238.37172393838</v>
      </c>
      <c r="Y99" s="246">
        <f t="shared" si="22"/>
        <v>679238.37172393838</v>
      </c>
      <c r="Z99" s="247">
        <f t="shared" si="22"/>
        <v>679238.37172393838</v>
      </c>
      <c r="AA99" s="245">
        <f t="shared" si="19"/>
        <v>679238.37172393838</v>
      </c>
      <c r="AB99" s="245">
        <f t="shared" si="19"/>
        <v>679238.37172393838</v>
      </c>
      <c r="AC99" s="245">
        <f t="shared" si="19"/>
        <v>679238.37172393838</v>
      </c>
      <c r="AD99" s="246">
        <f t="shared" si="19"/>
        <v>679238.37172393838</v>
      </c>
      <c r="AE99" s="247">
        <f t="shared" si="19"/>
        <v>679238.37172393838</v>
      </c>
      <c r="AF99" s="245">
        <f t="shared" si="19"/>
        <v>679238.37172393838</v>
      </c>
      <c r="AG99" s="245">
        <f t="shared" si="19"/>
        <v>679238.37172393838</v>
      </c>
      <c r="AH99" s="232">
        <f t="shared" si="19"/>
        <v>679238.37172393838</v>
      </c>
      <c r="AI99" s="233">
        <f t="shared" si="19"/>
        <v>679238.37172393838</v>
      </c>
    </row>
    <row r="100" spans="3:35" x14ac:dyDescent="0.25">
      <c r="C100" s="221" t="str">
        <f>C78</f>
        <v>Dist T/F</v>
      </c>
      <c r="D100" s="222"/>
      <c r="E100" s="222"/>
      <c r="F100" s="222"/>
      <c r="G100" s="222"/>
      <c r="H100" s="222"/>
      <c r="I100" s="222"/>
      <c r="J100" s="222"/>
      <c r="K100" s="236">
        <f t="shared" ref="K100:U100" si="24">K91*1000</f>
        <v>1758819.8261327397</v>
      </c>
      <c r="L100" s="172">
        <f t="shared" si="24"/>
        <v>2218663.1869441881</v>
      </c>
      <c r="M100" s="172">
        <f t="shared" si="24"/>
        <v>2447869.8052311763</v>
      </c>
      <c r="N100" s="240">
        <f t="shared" si="24"/>
        <v>1981407.137289736</v>
      </c>
      <c r="O100" s="241">
        <f t="shared" si="24"/>
        <v>1867088.5437884522</v>
      </c>
      <c r="P100" s="242">
        <f t="shared" si="24"/>
        <v>1989621.9687375394</v>
      </c>
      <c r="Q100" s="243">
        <f t="shared" si="24"/>
        <v>2023413.1037291354</v>
      </c>
      <c r="R100" s="243">
        <f t="shared" si="24"/>
        <v>1974639.5078843911</v>
      </c>
      <c r="S100" s="243">
        <f t="shared" si="24"/>
        <v>1927041.5808377001</v>
      </c>
      <c r="T100" s="244">
        <f t="shared" si="24"/>
        <v>1880590.9835441592</v>
      </c>
      <c r="U100" s="242">
        <f t="shared" si="24"/>
        <v>1835260.0600606608</v>
      </c>
      <c r="V100" s="245">
        <f t="shared" si="21"/>
        <v>1938427.8674655978</v>
      </c>
      <c r="W100" s="245">
        <f t="shared" si="22"/>
        <v>1938427.8674655978</v>
      </c>
      <c r="X100" s="245">
        <f t="shared" si="22"/>
        <v>1938427.8674655978</v>
      </c>
      <c r="Y100" s="246">
        <f t="shared" si="22"/>
        <v>1938427.8674655978</v>
      </c>
      <c r="Z100" s="247">
        <f t="shared" si="22"/>
        <v>1938427.8674655978</v>
      </c>
      <c r="AA100" s="245">
        <f t="shared" si="19"/>
        <v>1938427.8674655978</v>
      </c>
      <c r="AB100" s="245">
        <f t="shared" si="19"/>
        <v>1938427.8674655978</v>
      </c>
      <c r="AC100" s="245">
        <f t="shared" si="19"/>
        <v>1938427.8674655978</v>
      </c>
      <c r="AD100" s="246">
        <f t="shared" si="19"/>
        <v>1938427.8674655978</v>
      </c>
      <c r="AE100" s="247">
        <f t="shared" si="19"/>
        <v>1938427.8674655978</v>
      </c>
      <c r="AF100" s="245">
        <f t="shared" si="19"/>
        <v>1938427.8674655978</v>
      </c>
      <c r="AG100" s="245">
        <f t="shared" si="19"/>
        <v>1938427.8674655978</v>
      </c>
      <c r="AH100" s="232">
        <f t="shared" si="19"/>
        <v>1938427.8674655978</v>
      </c>
      <c r="AI100" s="233">
        <f t="shared" si="19"/>
        <v>1938427.8674655978</v>
      </c>
    </row>
    <row r="101" spans="3:35" x14ac:dyDescent="0.25">
      <c r="C101" s="221" t="str">
        <f>C79</f>
        <v>LV Feeder</v>
      </c>
      <c r="D101" s="222"/>
      <c r="E101" s="222"/>
      <c r="F101" s="222"/>
      <c r="G101" s="222"/>
      <c r="H101" s="222"/>
      <c r="I101" s="222"/>
      <c r="J101" s="222"/>
      <c r="K101" s="236">
        <f t="shared" ref="K101:U101" si="25">K92*1000</f>
        <v>1588584.0563062853</v>
      </c>
      <c r="L101" s="172">
        <f t="shared" si="25"/>
        <v>2006100.7496845019</v>
      </c>
      <c r="M101" s="172">
        <f t="shared" si="25"/>
        <v>2864434.742862111</v>
      </c>
      <c r="N101" s="240">
        <f t="shared" si="25"/>
        <v>3371154.214862464</v>
      </c>
      <c r="O101" s="241">
        <f t="shared" si="25"/>
        <v>2463446.8077033623</v>
      </c>
      <c r="P101" s="242">
        <f t="shared" si="25"/>
        <v>1620299.0368986879</v>
      </c>
      <c r="Q101" s="243">
        <f t="shared" si="25"/>
        <v>1618791.3306751628</v>
      </c>
      <c r="R101" s="243">
        <f t="shared" si="25"/>
        <v>1579770.9872891214</v>
      </c>
      <c r="S101" s="243">
        <f t="shared" si="25"/>
        <v>1541691.2142960101</v>
      </c>
      <c r="T101" s="244">
        <f t="shared" si="25"/>
        <v>1504529.3396076998</v>
      </c>
      <c r="U101" s="242">
        <f t="shared" si="25"/>
        <v>1468263.2376380404</v>
      </c>
      <c r="V101" s="245">
        <f t="shared" si="21"/>
        <v>1555557.5244007872</v>
      </c>
      <c r="W101" s="245">
        <f t="shared" si="22"/>
        <v>1555557.5244007872</v>
      </c>
      <c r="X101" s="245">
        <f t="shared" si="22"/>
        <v>1555557.5244007872</v>
      </c>
      <c r="Y101" s="246">
        <f t="shared" si="22"/>
        <v>1555557.5244007872</v>
      </c>
      <c r="Z101" s="247">
        <f t="shared" si="22"/>
        <v>1555557.5244007872</v>
      </c>
      <c r="AA101" s="245">
        <f t="shared" si="19"/>
        <v>1555557.5244007872</v>
      </c>
      <c r="AB101" s="245">
        <f t="shared" si="19"/>
        <v>1555557.5244007872</v>
      </c>
      <c r="AC101" s="245">
        <f t="shared" si="19"/>
        <v>1555557.5244007872</v>
      </c>
      <c r="AD101" s="246">
        <f t="shared" si="19"/>
        <v>1555557.5244007872</v>
      </c>
      <c r="AE101" s="247">
        <f t="shared" si="19"/>
        <v>1555557.5244007872</v>
      </c>
      <c r="AF101" s="245">
        <f t="shared" si="19"/>
        <v>1555557.5244007872</v>
      </c>
      <c r="AG101" s="245">
        <f t="shared" si="19"/>
        <v>1555557.5244007872</v>
      </c>
      <c r="AH101" s="232">
        <f t="shared" si="19"/>
        <v>1555557.5244007872</v>
      </c>
      <c r="AI101" s="233">
        <f t="shared" si="19"/>
        <v>1555557.5244007872</v>
      </c>
    </row>
    <row r="102" spans="3:35" x14ac:dyDescent="0.25">
      <c r="C102" s="221"/>
      <c r="D102" s="222"/>
      <c r="E102" s="222"/>
      <c r="F102" s="222"/>
      <c r="G102" s="222"/>
      <c r="H102" s="222"/>
      <c r="I102" s="222"/>
      <c r="J102" s="222"/>
      <c r="K102" s="221"/>
      <c r="L102" s="222"/>
      <c r="M102" s="222"/>
      <c r="N102" s="222"/>
      <c r="O102" s="223"/>
      <c r="P102" s="221"/>
      <c r="Q102" s="222"/>
      <c r="R102" s="222"/>
      <c r="S102" s="222"/>
      <c r="T102" s="223"/>
      <c r="U102" s="221"/>
      <c r="V102" s="222"/>
      <c r="W102" s="222"/>
      <c r="X102" s="222"/>
      <c r="Y102" s="223"/>
      <c r="Z102" s="221"/>
      <c r="AA102" s="222"/>
      <c r="AB102" s="222"/>
      <c r="AC102" s="222"/>
      <c r="AD102" s="223"/>
      <c r="AE102" s="221"/>
      <c r="AF102" s="222"/>
      <c r="AG102" s="222"/>
      <c r="AH102" s="222"/>
      <c r="AI102" s="223"/>
    </row>
    <row r="103" spans="3:35" x14ac:dyDescent="0.25">
      <c r="C103" s="221" t="s">
        <v>217</v>
      </c>
      <c r="D103" s="222"/>
      <c r="E103" s="222"/>
      <c r="F103" s="222"/>
      <c r="G103" s="222"/>
      <c r="H103" s="222"/>
      <c r="I103" s="222"/>
      <c r="J103" s="222"/>
      <c r="K103" s="237">
        <f t="shared" ref="K103:AF103" si="26">SUM(K97:K102)</f>
        <v>5684315.0594352726</v>
      </c>
      <c r="L103" s="24">
        <f t="shared" si="26"/>
        <v>7800143.8437438104</v>
      </c>
      <c r="M103" s="24">
        <f t="shared" si="26"/>
        <v>10731490.278084213</v>
      </c>
      <c r="N103" s="248">
        <f t="shared" si="26"/>
        <v>11634747.565760789</v>
      </c>
      <c r="O103" s="249">
        <f t="shared" si="26"/>
        <v>9365043.4397541229</v>
      </c>
      <c r="P103" s="250">
        <f t="shared" si="26"/>
        <v>7371459.8384197578</v>
      </c>
      <c r="Q103" s="248">
        <f t="shared" si="26"/>
        <v>7924407.5772159565</v>
      </c>
      <c r="R103" s="248">
        <f t="shared" si="26"/>
        <v>8199754.7567987218</v>
      </c>
      <c r="S103" s="248">
        <f t="shared" si="26"/>
        <v>7085861.9231741698</v>
      </c>
      <c r="T103" s="249">
        <f t="shared" si="26"/>
        <v>6167348.1381501453</v>
      </c>
      <c r="U103" s="250">
        <f t="shared" si="26"/>
        <v>6012284.3365481785</v>
      </c>
      <c r="V103" s="248">
        <f t="shared" si="26"/>
        <v>7126852.7617178215</v>
      </c>
      <c r="W103" s="248">
        <f t="shared" si="26"/>
        <v>7126852.7617178215</v>
      </c>
      <c r="X103" s="248">
        <f t="shared" si="26"/>
        <v>7126852.7617178215</v>
      </c>
      <c r="Y103" s="249">
        <f t="shared" si="26"/>
        <v>7126852.7617178215</v>
      </c>
      <c r="Z103" s="250">
        <f t="shared" si="26"/>
        <v>7126852.7617178215</v>
      </c>
      <c r="AA103" s="248">
        <f t="shared" si="26"/>
        <v>7126852.7617178215</v>
      </c>
      <c r="AB103" s="248">
        <f t="shared" si="26"/>
        <v>7126852.7617178215</v>
      </c>
      <c r="AC103" s="248">
        <f t="shared" si="26"/>
        <v>7126852.7617178215</v>
      </c>
      <c r="AD103" s="249">
        <f t="shared" si="26"/>
        <v>7126852.7617178215</v>
      </c>
      <c r="AE103" s="250">
        <f t="shared" si="26"/>
        <v>7126852.7617178215</v>
      </c>
      <c r="AF103" s="248">
        <f t="shared" si="26"/>
        <v>7126852.7617178215</v>
      </c>
      <c r="AG103" s="248">
        <f>SUM(AG97:AG102)</f>
        <v>7126852.7617178215</v>
      </c>
      <c r="AH103" s="24">
        <f t="shared" ref="AH103:AI103" si="27">SUM(AH97:AH102)</f>
        <v>7126852.7617178215</v>
      </c>
      <c r="AI103" s="239">
        <f t="shared" si="27"/>
        <v>7126852.7617178215</v>
      </c>
    </row>
    <row r="104" spans="3:35" x14ac:dyDescent="0.25">
      <c r="C104" s="221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3"/>
    </row>
    <row r="105" spans="3:35" x14ac:dyDescent="0.25">
      <c r="C105" s="221" t="s">
        <v>208</v>
      </c>
      <c r="D105" s="222"/>
      <c r="E105" s="222"/>
      <c r="F105" s="222"/>
      <c r="G105" s="222"/>
      <c r="H105" s="222"/>
      <c r="I105" s="222"/>
      <c r="J105" s="222"/>
      <c r="K105" s="222" t="s">
        <v>207</v>
      </c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3"/>
    </row>
    <row r="106" spans="3:35" x14ac:dyDescent="0.25">
      <c r="C106" s="228"/>
      <c r="D106" s="229"/>
      <c r="E106" s="229"/>
      <c r="F106" s="229"/>
      <c r="G106" s="229"/>
      <c r="H106" s="229"/>
      <c r="I106" s="229"/>
      <c r="J106" s="229"/>
      <c r="K106" s="251" t="s">
        <v>210</v>
      </c>
      <c r="L106" s="251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H106" s="229"/>
      <c r="AI106" s="230"/>
    </row>
  </sheetData>
  <mergeCells count="3">
    <mergeCell ref="A3:C3"/>
    <mergeCell ref="B4:C4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42"/>
  <sheetViews>
    <sheetView topLeftCell="A4" workbookViewId="0">
      <selection activeCell="AI31" sqref="K31:AI31"/>
    </sheetView>
  </sheetViews>
  <sheetFormatPr defaultColWidth="9.140625" defaultRowHeight="12.75" x14ac:dyDescent="0.2"/>
  <cols>
    <col min="1" max="2" width="5.7109375" style="36" customWidth="1"/>
    <col min="3" max="4" width="9.140625" style="36"/>
    <col min="5" max="5" width="17.28515625" style="36" customWidth="1"/>
    <col min="6" max="9" width="0" style="36" hidden="1" customWidth="1"/>
    <col min="10" max="10" width="14.85546875" style="36" bestFit="1" customWidth="1"/>
    <col min="11" max="28" width="9.140625" style="36" customWidth="1"/>
    <col min="29" max="16384" width="9.140625" style="36"/>
  </cols>
  <sheetData>
    <row r="1" spans="2:35" s="45" customFormat="1" x14ac:dyDescent="0.2"/>
    <row r="2" spans="2:35" x14ac:dyDescent="0.2">
      <c r="B2" s="139" t="s">
        <v>166</v>
      </c>
      <c r="C2" s="140"/>
      <c r="D2" s="140"/>
      <c r="E2" s="140"/>
      <c r="F2" s="140"/>
      <c r="G2" s="140"/>
      <c r="H2" s="141"/>
    </row>
    <row r="4" spans="2:35" x14ac:dyDescent="0.2">
      <c r="C4" s="142" t="s">
        <v>167</v>
      </c>
      <c r="K4" s="142" t="s">
        <v>168</v>
      </c>
    </row>
    <row r="6" spans="2:35" x14ac:dyDescent="0.2">
      <c r="C6" s="55" t="s">
        <v>121</v>
      </c>
      <c r="D6" s="143" t="s">
        <v>130</v>
      </c>
      <c r="K6" s="144" t="s">
        <v>169</v>
      </c>
      <c r="L6" s="53">
        <v>0</v>
      </c>
      <c r="M6" s="53">
        <v>1</v>
      </c>
      <c r="N6" s="53">
        <v>2</v>
      </c>
      <c r="O6" s="53">
        <v>3</v>
      </c>
      <c r="P6" s="143">
        <v>4</v>
      </c>
    </row>
    <row r="7" spans="2:35" x14ac:dyDescent="0.2">
      <c r="C7" s="145" t="s">
        <v>126</v>
      </c>
      <c r="D7" s="146">
        <v>1.4999999999999999E-2</v>
      </c>
      <c r="K7" s="147" t="s">
        <v>130</v>
      </c>
      <c r="L7" s="148">
        <v>0</v>
      </c>
      <c r="M7" s="148">
        <v>0.4</v>
      </c>
      <c r="N7" s="148">
        <f>M7</f>
        <v>0.4</v>
      </c>
      <c r="O7" s="148">
        <f>N7</f>
        <v>0.4</v>
      </c>
      <c r="P7" s="149">
        <v>1</v>
      </c>
    </row>
    <row r="8" spans="2:35" x14ac:dyDescent="0.2">
      <c r="C8" s="145" t="s">
        <v>128</v>
      </c>
      <c r="D8" s="146">
        <v>1.4999999999999999E-2</v>
      </c>
      <c r="K8" s="144" t="s">
        <v>170</v>
      </c>
      <c r="L8" s="53">
        <v>-4</v>
      </c>
      <c r="M8" s="53">
        <v>-3</v>
      </c>
      <c r="N8" s="53">
        <v>-2</v>
      </c>
      <c r="O8" s="53">
        <v>-1</v>
      </c>
      <c r="P8" s="143">
        <v>0</v>
      </c>
    </row>
    <row r="9" spans="2:35" x14ac:dyDescent="0.2">
      <c r="C9" s="145" t="s">
        <v>153</v>
      </c>
      <c r="D9" s="146">
        <v>0.02</v>
      </c>
      <c r="K9" s="147" t="s">
        <v>171</v>
      </c>
      <c r="L9" s="150">
        <v>0.6</v>
      </c>
      <c r="M9" s="150">
        <v>0</v>
      </c>
      <c r="N9" s="150">
        <v>0</v>
      </c>
      <c r="O9" s="150">
        <v>0.4</v>
      </c>
      <c r="P9" s="151">
        <v>0</v>
      </c>
    </row>
    <row r="10" spans="2:35" x14ac:dyDescent="0.2">
      <c r="C10" s="145" t="s">
        <v>129</v>
      </c>
      <c r="D10" s="146">
        <v>0.02</v>
      </c>
    </row>
    <row r="11" spans="2:35" x14ac:dyDescent="0.2">
      <c r="C11" s="152" t="s">
        <v>154</v>
      </c>
      <c r="D11" s="153">
        <f>D10</f>
        <v>0.02</v>
      </c>
    </row>
    <row r="12" spans="2:35" x14ac:dyDescent="0.2">
      <c r="J12" s="37" t="s">
        <v>119</v>
      </c>
      <c r="K12" s="36">
        <v>0</v>
      </c>
      <c r="L12" s="36">
        <v>1</v>
      </c>
      <c r="M12" s="36">
        <v>2</v>
      </c>
      <c r="N12" s="36">
        <v>3</v>
      </c>
      <c r="O12" s="36">
        <v>4</v>
      </c>
      <c r="P12" s="36">
        <v>5</v>
      </c>
      <c r="Q12" s="36">
        <v>6</v>
      </c>
      <c r="R12" s="36">
        <v>7</v>
      </c>
      <c r="S12" s="36">
        <v>8</v>
      </c>
      <c r="T12" s="36">
        <v>9</v>
      </c>
      <c r="U12" s="36">
        <v>10</v>
      </c>
      <c r="V12" s="36">
        <v>11</v>
      </c>
      <c r="W12" s="36">
        <v>12</v>
      </c>
      <c r="X12" s="36">
        <v>13</v>
      </c>
      <c r="Y12" s="36">
        <v>14</v>
      </c>
      <c r="Z12" s="36">
        <v>15</v>
      </c>
      <c r="AA12" s="36">
        <v>16</v>
      </c>
      <c r="AB12" s="36">
        <v>17</v>
      </c>
      <c r="AC12" s="36">
        <v>18</v>
      </c>
      <c r="AD12" s="36">
        <v>19</v>
      </c>
      <c r="AE12" s="36">
        <v>20</v>
      </c>
      <c r="AF12" s="36">
        <v>21</v>
      </c>
      <c r="AG12" s="36">
        <v>22</v>
      </c>
      <c r="AH12" s="36">
        <v>23</v>
      </c>
      <c r="AI12" s="36">
        <v>24</v>
      </c>
    </row>
    <row r="13" spans="2:35" x14ac:dyDescent="0.2">
      <c r="J13" s="37" t="s">
        <v>172</v>
      </c>
      <c r="K13" s="39" t="str">
        <f>[1]AIC!H4</f>
        <v>2015/16</v>
      </c>
      <c r="L13" s="40" t="str">
        <f t="shared" ref="L13:AI13" si="0">LEFT(K13,4)+1&amp;"/"&amp;RIGHT(LEFT(K13,4)+2,2)</f>
        <v>2016/17</v>
      </c>
      <c r="M13" s="40" t="str">
        <f t="shared" si="0"/>
        <v>2017/18</v>
      </c>
      <c r="N13" s="40" t="str">
        <f t="shared" si="0"/>
        <v>2018/19</v>
      </c>
      <c r="O13" s="41" t="str">
        <f t="shared" si="0"/>
        <v>2019/20</v>
      </c>
      <c r="P13" s="42" t="str">
        <f t="shared" si="0"/>
        <v>2020/21</v>
      </c>
      <c r="Q13" s="42" t="str">
        <f t="shared" si="0"/>
        <v>2021/22</v>
      </c>
      <c r="R13" s="42" t="str">
        <f t="shared" si="0"/>
        <v>2022/23</v>
      </c>
      <c r="S13" s="42" t="str">
        <f t="shared" si="0"/>
        <v>2023/24</v>
      </c>
      <c r="T13" s="42" t="str">
        <f t="shared" si="0"/>
        <v>2024/25</v>
      </c>
      <c r="U13" s="42" t="str">
        <f t="shared" si="0"/>
        <v>2025/26</v>
      </c>
      <c r="V13" s="42" t="str">
        <f t="shared" si="0"/>
        <v>2026/27</v>
      </c>
      <c r="W13" s="42" t="str">
        <f t="shared" si="0"/>
        <v>2027/28</v>
      </c>
      <c r="X13" s="42" t="str">
        <f t="shared" si="0"/>
        <v>2028/29</v>
      </c>
      <c r="Y13" s="42" t="str">
        <f t="shared" si="0"/>
        <v>2029/30</v>
      </c>
      <c r="Z13" s="42" t="str">
        <f t="shared" si="0"/>
        <v>2030/31</v>
      </c>
      <c r="AA13" s="42" t="str">
        <f t="shared" si="0"/>
        <v>2031/32</v>
      </c>
      <c r="AB13" s="42" t="str">
        <f t="shared" si="0"/>
        <v>2032/33</v>
      </c>
      <c r="AC13" s="42" t="str">
        <f t="shared" si="0"/>
        <v>2033/34</v>
      </c>
      <c r="AD13" s="42" t="str">
        <f t="shared" si="0"/>
        <v>2034/35</v>
      </c>
      <c r="AE13" s="42" t="str">
        <f t="shared" si="0"/>
        <v>2035/36</v>
      </c>
      <c r="AF13" s="42" t="str">
        <f t="shared" si="0"/>
        <v>2036/37</v>
      </c>
      <c r="AG13" s="42" t="str">
        <f t="shared" si="0"/>
        <v>2037/38</v>
      </c>
      <c r="AH13" s="42" t="str">
        <f t="shared" si="0"/>
        <v>2038/39</v>
      </c>
      <c r="AI13" s="64" t="str">
        <f t="shared" si="0"/>
        <v>2039/40</v>
      </c>
    </row>
    <row r="14" spans="2:35" x14ac:dyDescent="0.2">
      <c r="C14" s="142" t="s">
        <v>215</v>
      </c>
      <c r="J14" s="142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</row>
    <row r="15" spans="2:35" x14ac:dyDescent="0.2">
      <c r="C15" s="78" t="s">
        <v>126</v>
      </c>
      <c r="J15" s="154">
        <f t="shared" ref="J15:J20" si="1">SUM(K15:O15)</f>
        <v>45.314782545287223</v>
      </c>
      <c r="K15" s="155">
        <f>(Augmentation!K51+Replacement!K88)/1000</f>
        <v>7.6793308117274881</v>
      </c>
      <c r="L15" s="156">
        <f>(Augmentation!L51+Replacement!L88)/1000</f>
        <v>8.5207186370064569</v>
      </c>
      <c r="M15" s="156">
        <f>(Augmentation!M51+Replacement!M88)/1000</f>
        <v>11.417128042953275</v>
      </c>
      <c r="N15" s="156">
        <f>(Augmentation!N51+Replacement!N88)/1000</f>
        <v>9.6408550536000028</v>
      </c>
      <c r="O15" s="157">
        <f>(Augmentation!O51+Replacement!O88)/1000</f>
        <v>8.0567499999999992</v>
      </c>
      <c r="P15" s="286">
        <f>(Augmentation!P51+Replacement!P88)/1000</f>
        <v>10.427198204352493</v>
      </c>
      <c r="Q15" s="286">
        <f>(Augmentation!Q51+Replacement!Q88)/1000</f>
        <v>7.889209902735316</v>
      </c>
      <c r="R15" s="286">
        <f>(Augmentation!R51+Replacement!R88)/1000</f>
        <v>2.0779401318049855</v>
      </c>
      <c r="S15" s="286">
        <f>(Augmentation!S51+Replacement!S88)/1000</f>
        <v>1.1573473712913582</v>
      </c>
      <c r="T15" s="286">
        <f>(Augmentation!T51+Replacement!T88)/1000</f>
        <v>3.944223362013358</v>
      </c>
      <c r="U15" s="286">
        <f>(Augmentation!U51+Replacement!U88)/1000</f>
        <v>6.2816459239024862</v>
      </c>
      <c r="V15" s="168">
        <f>AVERAGE(P15:U15)</f>
        <v>5.296260816016666</v>
      </c>
      <c r="W15" s="168">
        <f t="shared" ref="W15:AI15" si="2">V15</f>
        <v>5.296260816016666</v>
      </c>
      <c r="X15" s="168">
        <f t="shared" si="2"/>
        <v>5.296260816016666</v>
      </c>
      <c r="Y15" s="168">
        <f t="shared" si="2"/>
        <v>5.296260816016666</v>
      </c>
      <c r="Z15" s="168">
        <f t="shared" si="2"/>
        <v>5.296260816016666</v>
      </c>
      <c r="AA15" s="168">
        <f t="shared" si="2"/>
        <v>5.296260816016666</v>
      </c>
      <c r="AB15" s="168">
        <f t="shared" si="2"/>
        <v>5.296260816016666</v>
      </c>
      <c r="AC15" s="168">
        <f t="shared" si="2"/>
        <v>5.296260816016666</v>
      </c>
      <c r="AD15" s="168">
        <f t="shared" si="2"/>
        <v>5.296260816016666</v>
      </c>
      <c r="AE15" s="168">
        <f t="shared" si="2"/>
        <v>5.296260816016666</v>
      </c>
      <c r="AF15" s="168">
        <f t="shared" si="2"/>
        <v>5.296260816016666</v>
      </c>
      <c r="AG15" s="168">
        <f t="shared" si="2"/>
        <v>5.296260816016666</v>
      </c>
      <c r="AH15" s="168">
        <f t="shared" si="2"/>
        <v>5.296260816016666</v>
      </c>
      <c r="AI15" s="168">
        <f t="shared" si="2"/>
        <v>5.296260816016666</v>
      </c>
    </row>
    <row r="16" spans="2:35" x14ac:dyDescent="0.2">
      <c r="C16" s="78" t="s">
        <v>128</v>
      </c>
      <c r="J16" s="154">
        <f t="shared" si="1"/>
        <v>96.027338011241923</v>
      </c>
      <c r="K16" s="159">
        <f>(Augmentation!K52+Replacement!K89)/1000</f>
        <v>27.204697292908541</v>
      </c>
      <c r="L16" s="160">
        <f>(Augmentation!L52+Replacement!L89)/1000</f>
        <v>23.844080074509492</v>
      </c>
      <c r="M16" s="160">
        <f>(Augmentation!M52+Replacement!M89)/1000</f>
        <v>19.696408721666696</v>
      </c>
      <c r="N16" s="160">
        <f>(Augmentation!N52+Replacement!N89)/1000</f>
        <v>13.953888586483563</v>
      </c>
      <c r="O16" s="161">
        <f>(Augmentation!O52+Replacement!O89)/1000</f>
        <v>11.328263335673638</v>
      </c>
      <c r="P16" s="287">
        <f>(Augmentation!P52+Replacement!P89)/1000</f>
        <v>8.4863565767417573</v>
      </c>
      <c r="Q16" s="287">
        <f>(Augmentation!Q52+Replacement!Q89)/1000</f>
        <v>7.863483956642054</v>
      </c>
      <c r="R16" s="287">
        <f>(Augmentation!R52+Replacement!R89)/1000</f>
        <v>8.9581850914357695</v>
      </c>
      <c r="S16" s="287">
        <f>(Augmentation!S52+Replacement!S89)/1000</f>
        <v>8.4019632353495677</v>
      </c>
      <c r="T16" s="287">
        <f>(Augmentation!T52+Replacement!T89)/1000</f>
        <v>6.0310613982228833</v>
      </c>
      <c r="U16" s="287">
        <f>(Augmentation!U52+Replacement!U89)/1000</f>
        <v>4.3676105184899319</v>
      </c>
      <c r="V16" s="169">
        <f t="shared" ref="V16:V19" si="3">AVERAGE(P16:U16)</f>
        <v>7.35144346281366</v>
      </c>
      <c r="W16" s="169">
        <f t="shared" ref="W16:AI16" si="4">V16</f>
        <v>7.35144346281366</v>
      </c>
      <c r="X16" s="169">
        <f t="shared" si="4"/>
        <v>7.35144346281366</v>
      </c>
      <c r="Y16" s="169">
        <f t="shared" si="4"/>
        <v>7.35144346281366</v>
      </c>
      <c r="Z16" s="169">
        <f t="shared" si="4"/>
        <v>7.35144346281366</v>
      </c>
      <c r="AA16" s="169">
        <f t="shared" si="4"/>
        <v>7.35144346281366</v>
      </c>
      <c r="AB16" s="169">
        <f t="shared" si="4"/>
        <v>7.35144346281366</v>
      </c>
      <c r="AC16" s="169">
        <f t="shared" si="4"/>
        <v>7.35144346281366</v>
      </c>
      <c r="AD16" s="169">
        <f t="shared" si="4"/>
        <v>7.35144346281366</v>
      </c>
      <c r="AE16" s="169">
        <f t="shared" si="4"/>
        <v>7.35144346281366</v>
      </c>
      <c r="AF16" s="169">
        <f t="shared" si="4"/>
        <v>7.35144346281366</v>
      </c>
      <c r="AG16" s="169">
        <f t="shared" si="4"/>
        <v>7.35144346281366</v>
      </c>
      <c r="AH16" s="169">
        <f t="shared" si="4"/>
        <v>7.35144346281366</v>
      </c>
      <c r="AI16" s="169">
        <f t="shared" si="4"/>
        <v>7.35144346281366</v>
      </c>
    </row>
    <row r="17" spans="3:35" x14ac:dyDescent="0.2">
      <c r="C17" s="78" t="s">
        <v>153</v>
      </c>
      <c r="J17" s="154">
        <f t="shared" si="1"/>
        <v>23.90748207381467</v>
      </c>
      <c r="K17" s="159">
        <f>(Augmentation!K53+Replacement!K90)/1000</f>
        <v>2.3160174021965294</v>
      </c>
      <c r="L17" s="160">
        <f>(Augmentation!L53+Replacement!L90)/1000</f>
        <v>4.1217484663367161</v>
      </c>
      <c r="M17" s="160">
        <f>(Augmentation!M53+Replacement!M90)/1000</f>
        <v>6.2078812905072391</v>
      </c>
      <c r="N17" s="160">
        <f>(Augmentation!N53+Replacement!N90)/1000</f>
        <v>5.2229151621855152</v>
      </c>
      <c r="O17" s="161">
        <f>(Augmentation!O53+Replacement!O90)/1000</f>
        <v>6.0389197525886686</v>
      </c>
      <c r="P17" s="287">
        <f>(Augmentation!P53+Replacement!P90)/1000</f>
        <v>5.7306814265306967</v>
      </c>
      <c r="Q17" s="287">
        <f>(Augmentation!Q53+Replacement!Q90)/1000</f>
        <v>3.2365108132957787</v>
      </c>
      <c r="R17" s="287">
        <f>(Augmentation!R53+Replacement!R90)/1000</f>
        <v>2.9307892282259407</v>
      </c>
      <c r="S17" s="287">
        <f>(Augmentation!S53+Replacement!S90)/1000</f>
        <v>3.5324663587894456</v>
      </c>
      <c r="T17" s="287">
        <f>(Augmentation!T53+Replacement!T90)/1000</f>
        <v>3.6951592971602309</v>
      </c>
      <c r="U17" s="287">
        <f>(Augmentation!U53+Replacement!U90)/1000</f>
        <v>3.4549216795320863</v>
      </c>
      <c r="V17" s="169">
        <f t="shared" si="3"/>
        <v>3.7634214672556965</v>
      </c>
      <c r="W17" s="169">
        <f t="shared" ref="W17:AI17" si="5">V17</f>
        <v>3.7634214672556965</v>
      </c>
      <c r="X17" s="169">
        <f t="shared" si="5"/>
        <v>3.7634214672556965</v>
      </c>
      <c r="Y17" s="169">
        <f t="shared" si="5"/>
        <v>3.7634214672556965</v>
      </c>
      <c r="Z17" s="169">
        <f t="shared" si="5"/>
        <v>3.7634214672556965</v>
      </c>
      <c r="AA17" s="169">
        <f t="shared" si="5"/>
        <v>3.7634214672556965</v>
      </c>
      <c r="AB17" s="169">
        <f t="shared" si="5"/>
        <v>3.7634214672556965</v>
      </c>
      <c r="AC17" s="169">
        <f t="shared" si="5"/>
        <v>3.7634214672556965</v>
      </c>
      <c r="AD17" s="169">
        <f t="shared" si="5"/>
        <v>3.7634214672556965</v>
      </c>
      <c r="AE17" s="169">
        <f t="shared" si="5"/>
        <v>3.7634214672556965</v>
      </c>
      <c r="AF17" s="169">
        <f t="shared" si="5"/>
        <v>3.7634214672556965</v>
      </c>
      <c r="AG17" s="169">
        <f t="shared" si="5"/>
        <v>3.7634214672556965</v>
      </c>
      <c r="AH17" s="169">
        <f t="shared" si="5"/>
        <v>3.7634214672556965</v>
      </c>
      <c r="AI17" s="169">
        <f t="shared" si="5"/>
        <v>3.7634214672556965</v>
      </c>
    </row>
    <row r="18" spans="3:35" x14ac:dyDescent="0.2">
      <c r="C18" s="78" t="s">
        <v>129</v>
      </c>
      <c r="J18" s="154">
        <f t="shared" si="1"/>
        <v>36.08876698967309</v>
      </c>
      <c r="K18" s="163">
        <f>(Augmentation!K54+Replacement!K91)/1000</f>
        <v>6.9591665493250474</v>
      </c>
      <c r="L18" s="164">
        <f>(Augmentation!L54+Replacement!L91)/1000</f>
        <v>7.5160613562343173</v>
      </c>
      <c r="M18" s="164">
        <f>(Augmentation!M54+Replacement!M91)/1000</f>
        <v>7.4511665686256769</v>
      </c>
      <c r="N18" s="164">
        <f>(Augmentation!N54+Replacement!N91)/1000</f>
        <v>6.5382839716995935</v>
      </c>
      <c r="O18" s="165">
        <f>(Augmentation!O54+Replacement!O91)/1000</f>
        <v>7.624088543788452</v>
      </c>
      <c r="P18" s="288">
        <f>(Augmentation!P54+Replacement!P91)/1000</f>
        <v>8.8391876952916544</v>
      </c>
      <c r="Q18" s="288">
        <f>(Augmentation!Q54+Replacement!Q91)/1000</f>
        <v>8.9364419109094566</v>
      </c>
      <c r="R18" s="288">
        <f>(Augmentation!R54+Replacement!R91)/1000</f>
        <v>8.944092068936671</v>
      </c>
      <c r="S18" s="288">
        <f>(Augmentation!S54+Replacement!S91)/1000</f>
        <v>9.1287172297823584</v>
      </c>
      <c r="T18" s="288">
        <f>(Augmentation!T54+Replacement!T91)/1000</f>
        <v>9.121108735175504</v>
      </c>
      <c r="U18" s="288">
        <f>(Augmentation!U54+Replacement!U91)/1000</f>
        <v>9.0049054352518922</v>
      </c>
      <c r="V18" s="170">
        <f t="shared" si="3"/>
        <v>8.9957421792245906</v>
      </c>
      <c r="W18" s="170">
        <f t="shared" ref="W18:AI18" si="6">V18</f>
        <v>8.9957421792245906</v>
      </c>
      <c r="X18" s="170">
        <f t="shared" si="6"/>
        <v>8.9957421792245906</v>
      </c>
      <c r="Y18" s="170">
        <f t="shared" si="6"/>
        <v>8.9957421792245906</v>
      </c>
      <c r="Z18" s="170">
        <f t="shared" si="6"/>
        <v>8.9957421792245906</v>
      </c>
      <c r="AA18" s="170">
        <f t="shared" si="6"/>
        <v>8.9957421792245906</v>
      </c>
      <c r="AB18" s="170">
        <f t="shared" si="6"/>
        <v>8.9957421792245906</v>
      </c>
      <c r="AC18" s="170">
        <f t="shared" si="6"/>
        <v>8.9957421792245906</v>
      </c>
      <c r="AD18" s="170">
        <f t="shared" si="6"/>
        <v>8.9957421792245906</v>
      </c>
      <c r="AE18" s="170">
        <f t="shared" si="6"/>
        <v>8.9957421792245906</v>
      </c>
      <c r="AF18" s="170">
        <f t="shared" si="6"/>
        <v>8.9957421792245906</v>
      </c>
      <c r="AG18" s="170">
        <f t="shared" si="6"/>
        <v>8.9957421792245906</v>
      </c>
      <c r="AH18" s="170">
        <f t="shared" si="6"/>
        <v>8.9957421792245906</v>
      </c>
      <c r="AI18" s="170">
        <f t="shared" si="6"/>
        <v>8.9957421792245906</v>
      </c>
    </row>
    <row r="19" spans="3:35" x14ac:dyDescent="0.2">
      <c r="C19" s="78" t="s">
        <v>154</v>
      </c>
      <c r="J19" s="154">
        <f t="shared" si="1"/>
        <v>21.628020485694911</v>
      </c>
      <c r="K19" s="163">
        <f>(Augmentation!K55+Replacement!K92)/1000</f>
        <v>3.372056650488743</v>
      </c>
      <c r="L19" s="164">
        <f>(Augmentation!L55+Replacement!L92)/1000</f>
        <v>3.9729670567666049</v>
      </c>
      <c r="M19" s="164">
        <f>(Augmentation!M55+Replacement!M92)/1000</f>
        <v>4.7415390039638821</v>
      </c>
      <c r="N19" s="164">
        <f>(Augmentation!N55+Replacement!N92)/1000</f>
        <v>4.9427609667723207</v>
      </c>
      <c r="O19" s="165">
        <f>(Augmentation!O55+Replacement!O92)/1000</f>
        <v>4.5986968077033614</v>
      </c>
      <c r="P19" s="288">
        <f>(Augmentation!P55+Replacement!P92)/1000</f>
        <v>4.2210602352982196</v>
      </c>
      <c r="Q19" s="288">
        <f>(Augmentation!Q55+Replacement!Q92)/1000</f>
        <v>4.2140044871506408</v>
      </c>
      <c r="R19" s="288">
        <f>(Augmentation!R55+Replacement!R92)/1000</f>
        <v>4.1681924418689649</v>
      </c>
      <c r="S19" s="288">
        <f>(Augmentation!S55+Replacement!S92)/1000</f>
        <v>4.1221404864934357</v>
      </c>
      <c r="T19" s="288">
        <f>(Augmentation!T55+Replacement!T92)/1000</f>
        <v>4.0758868051931589</v>
      </c>
      <c r="U19" s="288">
        <f>(Augmentation!U55+Replacement!U92)/1000</f>
        <v>4.0035534998291569</v>
      </c>
      <c r="V19" s="170">
        <f t="shared" si="3"/>
        <v>4.1341396593055952</v>
      </c>
      <c r="W19" s="170">
        <f t="shared" ref="W19:AI19" si="7">V19</f>
        <v>4.1341396593055952</v>
      </c>
      <c r="X19" s="170">
        <f t="shared" si="7"/>
        <v>4.1341396593055952</v>
      </c>
      <c r="Y19" s="170">
        <f t="shared" si="7"/>
        <v>4.1341396593055952</v>
      </c>
      <c r="Z19" s="170">
        <f t="shared" si="7"/>
        <v>4.1341396593055952</v>
      </c>
      <c r="AA19" s="170">
        <f t="shared" si="7"/>
        <v>4.1341396593055952</v>
      </c>
      <c r="AB19" s="170">
        <f t="shared" si="7"/>
        <v>4.1341396593055952</v>
      </c>
      <c r="AC19" s="170">
        <f t="shared" si="7"/>
        <v>4.1341396593055952</v>
      </c>
      <c r="AD19" s="170">
        <f t="shared" si="7"/>
        <v>4.1341396593055952</v>
      </c>
      <c r="AE19" s="170">
        <f t="shared" si="7"/>
        <v>4.1341396593055952</v>
      </c>
      <c r="AF19" s="170">
        <f t="shared" si="7"/>
        <v>4.1341396593055952</v>
      </c>
      <c r="AG19" s="170">
        <f t="shared" si="7"/>
        <v>4.1341396593055952</v>
      </c>
      <c r="AH19" s="170">
        <f t="shared" si="7"/>
        <v>4.1341396593055952</v>
      </c>
      <c r="AI19" s="170">
        <f t="shared" si="7"/>
        <v>4.1341396593055952</v>
      </c>
    </row>
    <row r="20" spans="3:35" x14ac:dyDescent="0.2">
      <c r="C20" s="59" t="s">
        <v>119</v>
      </c>
      <c r="J20" s="167">
        <f t="shared" si="1"/>
        <v>222.96639010571184</v>
      </c>
      <c r="K20" s="167">
        <f t="shared" ref="K20:AI20" si="8">SUM(K15:K19)</f>
        <v>47.531268706646351</v>
      </c>
      <c r="L20" s="167">
        <f t="shared" si="8"/>
        <v>47.975575590853587</v>
      </c>
      <c r="M20" s="167">
        <f t="shared" si="8"/>
        <v>49.514123627716771</v>
      </c>
      <c r="N20" s="167">
        <f t="shared" si="8"/>
        <v>40.29870374074099</v>
      </c>
      <c r="O20" s="167">
        <f t="shared" si="8"/>
        <v>37.646718439754117</v>
      </c>
      <c r="P20" s="167">
        <f t="shared" si="8"/>
        <v>37.704484138214816</v>
      </c>
      <c r="Q20" s="167">
        <f t="shared" si="8"/>
        <v>32.139651070733244</v>
      </c>
      <c r="R20" s="167">
        <f t="shared" si="8"/>
        <v>27.079198962272333</v>
      </c>
      <c r="S20" s="167">
        <f t="shared" si="8"/>
        <v>26.342634681706166</v>
      </c>
      <c r="T20" s="167">
        <f t="shared" si="8"/>
        <v>26.867439597765134</v>
      </c>
      <c r="U20" s="167">
        <f t="shared" si="8"/>
        <v>27.112637057005553</v>
      </c>
      <c r="V20" s="167">
        <f t="shared" si="8"/>
        <v>29.54100758461621</v>
      </c>
      <c r="W20" s="167">
        <f t="shared" si="8"/>
        <v>29.54100758461621</v>
      </c>
      <c r="X20" s="167">
        <f t="shared" si="8"/>
        <v>29.54100758461621</v>
      </c>
      <c r="Y20" s="167">
        <f t="shared" si="8"/>
        <v>29.54100758461621</v>
      </c>
      <c r="Z20" s="167">
        <f t="shared" si="8"/>
        <v>29.54100758461621</v>
      </c>
      <c r="AA20" s="167">
        <f t="shared" si="8"/>
        <v>29.54100758461621</v>
      </c>
      <c r="AB20" s="167">
        <f t="shared" si="8"/>
        <v>29.54100758461621</v>
      </c>
      <c r="AC20" s="167">
        <f t="shared" si="8"/>
        <v>29.54100758461621</v>
      </c>
      <c r="AD20" s="167">
        <f t="shared" si="8"/>
        <v>29.54100758461621</v>
      </c>
      <c r="AE20" s="167">
        <f t="shared" si="8"/>
        <v>29.54100758461621</v>
      </c>
      <c r="AF20" s="167">
        <f t="shared" si="8"/>
        <v>29.54100758461621</v>
      </c>
      <c r="AG20" s="167">
        <f t="shared" si="8"/>
        <v>29.54100758461621</v>
      </c>
      <c r="AH20" s="167">
        <f t="shared" si="8"/>
        <v>29.54100758461621</v>
      </c>
      <c r="AI20" s="167">
        <f t="shared" si="8"/>
        <v>29.54100758461621</v>
      </c>
    </row>
    <row r="22" spans="3:35" x14ac:dyDescent="0.2">
      <c r="C22" s="142" t="s">
        <v>212</v>
      </c>
    </row>
    <row r="23" spans="3:35" x14ac:dyDescent="0.2">
      <c r="C23" s="78" t="s">
        <v>126</v>
      </c>
      <c r="J23" s="154">
        <f t="shared" ref="J23:J28" si="9">SUM(K23:O23)</f>
        <v>0.29266217257727073</v>
      </c>
      <c r="K23" s="155">
        <f>SUMPRODUCT(K15,$P$9)*$D7</f>
        <v>0</v>
      </c>
      <c r="L23" s="156">
        <f>SUMPRODUCT(K15:L15,$O$9:$P$9)*$D7</f>
        <v>4.6075984870364926E-2</v>
      </c>
      <c r="M23" s="156">
        <f>SUMPRODUCT(K15:M15,$N$9:$P$9)*$D7</f>
        <v>5.1124311822038741E-2</v>
      </c>
      <c r="N23" s="156">
        <f>SUMPRODUCT(K15:N15,$M$9:$P$9)*$D7</f>
        <v>6.8502768257719643E-2</v>
      </c>
      <c r="O23" s="157">
        <f t="shared" ref="O23:X27" si="10">SUMPRODUCT(K15:O15,$L$9:$P$9)*$D7</f>
        <v>0.12695910762714741</v>
      </c>
      <c r="P23" s="158">
        <f t="shared" si="10"/>
        <v>0.1250269677330581</v>
      </c>
      <c r="Q23" s="158">
        <f t="shared" si="10"/>
        <v>0.16531734161269443</v>
      </c>
      <c r="R23" s="158">
        <f t="shared" si="10"/>
        <v>0.13410295489881191</v>
      </c>
      <c r="S23" s="158">
        <f t="shared" si="10"/>
        <v>8.4978390790829902E-2</v>
      </c>
      <c r="T23" s="158">
        <f t="shared" si="10"/>
        <v>0.10078886806692058</v>
      </c>
      <c r="U23" s="158">
        <f t="shared" si="10"/>
        <v>9.4668229296697992E-2</v>
      </c>
      <c r="V23" s="158">
        <f t="shared" si="10"/>
        <v>5.6391336729659784E-2</v>
      </c>
      <c r="W23" s="158">
        <f t="shared" si="10"/>
        <v>4.2193691237722215E-2</v>
      </c>
      <c r="X23" s="158">
        <f t="shared" si="10"/>
        <v>6.727557515422021E-2</v>
      </c>
      <c r="Y23" s="158">
        <f t="shared" ref="Y23:AH27" si="11">SUMPRODUCT(U15:Y15,$L$9:$P$9)*$D7</f>
        <v>8.831237821122237E-2</v>
      </c>
      <c r="Z23" s="158">
        <f t="shared" si="11"/>
        <v>7.9443912240249992E-2</v>
      </c>
      <c r="AA23" s="158">
        <f t="shared" si="11"/>
        <v>7.9443912240249992E-2</v>
      </c>
      <c r="AB23" s="158">
        <f t="shared" si="11"/>
        <v>7.9443912240249992E-2</v>
      </c>
      <c r="AC23" s="158">
        <f t="shared" si="11"/>
        <v>7.9443912240249992E-2</v>
      </c>
      <c r="AD23" s="158">
        <f t="shared" si="11"/>
        <v>7.9443912240249992E-2</v>
      </c>
      <c r="AE23" s="158">
        <f t="shared" si="11"/>
        <v>7.9443912240249992E-2</v>
      </c>
      <c r="AF23" s="158">
        <f t="shared" si="11"/>
        <v>7.9443912240249992E-2</v>
      </c>
      <c r="AG23" s="158">
        <f t="shared" si="11"/>
        <v>7.9443912240249992E-2</v>
      </c>
      <c r="AH23" s="158">
        <f t="shared" si="11"/>
        <v>7.9443912240249992E-2</v>
      </c>
      <c r="AI23" s="158">
        <f t="shared" ref="AI23:AR27" si="12">SUMPRODUCT(AE15:AI15,$L$9:$P$9)*$D7</f>
        <v>7.9443912240249992E-2</v>
      </c>
    </row>
    <row r="24" spans="3:35" x14ac:dyDescent="0.2">
      <c r="C24" s="78" t="s">
        <v>128</v>
      </c>
      <c r="J24" s="154">
        <f t="shared" si="9"/>
        <v>0.75303672368958663</v>
      </c>
      <c r="K24" s="159">
        <f>SUMPRODUCT(K16,$P$9)*$D8</f>
        <v>0</v>
      </c>
      <c r="L24" s="160">
        <f>SUMPRODUCT(K16:L16,$O$9:$P$9)*$D8</f>
        <v>0.16322818375745127</v>
      </c>
      <c r="M24" s="160">
        <f>SUMPRODUCT(K16:M16,$N$9:$P$9)*$D8</f>
        <v>0.14306448044705694</v>
      </c>
      <c r="N24" s="160">
        <f>SUMPRODUCT(K16:N16,$M$9:$P$9)*$D8</f>
        <v>0.11817845233000017</v>
      </c>
      <c r="O24" s="161">
        <f t="shared" si="10"/>
        <v>0.32856560715507827</v>
      </c>
      <c r="P24" s="162">
        <f t="shared" si="10"/>
        <v>0.28256630068462724</v>
      </c>
      <c r="Q24" s="162">
        <f t="shared" si="10"/>
        <v>0.22818581795545081</v>
      </c>
      <c r="R24" s="162">
        <f t="shared" si="10"/>
        <v>0.17276590101820435</v>
      </c>
      <c r="S24" s="162">
        <f t="shared" si="10"/>
        <v>0.15570348056967737</v>
      </c>
      <c r="T24" s="162">
        <f t="shared" si="10"/>
        <v>0.12678898860277321</v>
      </c>
      <c r="U24" s="162">
        <f t="shared" si="10"/>
        <v>0.10695772399911578</v>
      </c>
      <c r="V24" s="162">
        <f t="shared" si="10"/>
        <v>0.1068293289338615</v>
      </c>
      <c r="W24" s="162">
        <f t="shared" si="10"/>
        <v>0.11972632989502807</v>
      </c>
      <c r="X24" s="162">
        <f t="shared" si="10"/>
        <v>9.8388213360887905E-2</v>
      </c>
      <c r="Y24" s="162">
        <f t="shared" si="11"/>
        <v>8.3417155443291341E-2</v>
      </c>
      <c r="Z24" s="162">
        <f t="shared" si="11"/>
        <v>0.1102716519422049</v>
      </c>
      <c r="AA24" s="162">
        <f t="shared" si="11"/>
        <v>0.1102716519422049</v>
      </c>
      <c r="AB24" s="162">
        <f t="shared" si="11"/>
        <v>0.1102716519422049</v>
      </c>
      <c r="AC24" s="162">
        <f t="shared" si="11"/>
        <v>0.1102716519422049</v>
      </c>
      <c r="AD24" s="162">
        <f t="shared" si="11"/>
        <v>0.1102716519422049</v>
      </c>
      <c r="AE24" s="162">
        <f t="shared" si="11"/>
        <v>0.1102716519422049</v>
      </c>
      <c r="AF24" s="162">
        <f t="shared" si="11"/>
        <v>0.1102716519422049</v>
      </c>
      <c r="AG24" s="162">
        <f t="shared" si="11"/>
        <v>0.1102716519422049</v>
      </c>
      <c r="AH24" s="162">
        <f t="shared" si="11"/>
        <v>0.1102716519422049</v>
      </c>
      <c r="AI24" s="162">
        <f t="shared" si="12"/>
        <v>0.1102716519422049</v>
      </c>
    </row>
    <row r="25" spans="3:35" x14ac:dyDescent="0.2">
      <c r="C25" s="78" t="s">
        <v>153</v>
      </c>
      <c r="J25" s="154">
        <f t="shared" si="9"/>
        <v>0.17074070739616637</v>
      </c>
      <c r="K25" s="159">
        <f>SUMPRODUCT(K17,$P$9)*$D9</f>
        <v>0</v>
      </c>
      <c r="L25" s="160">
        <f>SUMPRODUCT(K17:L17,$O$9:$P$9)*$D9</f>
        <v>1.8528139217572237E-2</v>
      </c>
      <c r="M25" s="160">
        <f>SUMPRODUCT(K17:M17,$N$9:$P$9)*$D9</f>
        <v>3.2973987730693731E-2</v>
      </c>
      <c r="N25" s="160">
        <f>SUMPRODUCT(K17:N17,$M$9:$P$9)*$D9</f>
        <v>4.966305032405792E-2</v>
      </c>
      <c r="O25" s="161">
        <f t="shared" si="10"/>
        <v>6.9575530123842474E-2</v>
      </c>
      <c r="P25" s="162">
        <f t="shared" si="10"/>
        <v>9.7772339616749943E-2</v>
      </c>
      <c r="Q25" s="162">
        <f t="shared" si="10"/>
        <v>0.12034002689833244</v>
      </c>
      <c r="R25" s="162">
        <f t="shared" si="10"/>
        <v>8.8567068452592421E-2</v>
      </c>
      <c r="S25" s="162">
        <f t="shared" si="10"/>
        <v>9.591335085687154E-2</v>
      </c>
      <c r="T25" s="162">
        <f t="shared" si="10"/>
        <v>9.7027907988683923E-2</v>
      </c>
      <c r="U25" s="162">
        <f t="shared" si="10"/>
        <v>6.8399404136831196E-2</v>
      </c>
      <c r="V25" s="162">
        <f t="shared" si="10"/>
        <v>6.2808844174967987E-2</v>
      </c>
      <c r="W25" s="162">
        <f t="shared" si="10"/>
        <v>7.249696804351892E-2</v>
      </c>
      <c r="X25" s="162">
        <f t="shared" si="10"/>
        <v>7.4449283303968342E-2</v>
      </c>
      <c r="Y25" s="162">
        <f t="shared" si="11"/>
        <v>7.1566431892430601E-2</v>
      </c>
      <c r="Z25" s="162">
        <f t="shared" si="11"/>
        <v>7.5268429345113935E-2</v>
      </c>
      <c r="AA25" s="162">
        <f t="shared" si="11"/>
        <v>7.5268429345113935E-2</v>
      </c>
      <c r="AB25" s="162">
        <f t="shared" si="11"/>
        <v>7.5268429345113935E-2</v>
      </c>
      <c r="AC25" s="162">
        <f t="shared" si="11"/>
        <v>7.5268429345113935E-2</v>
      </c>
      <c r="AD25" s="162">
        <f t="shared" si="11"/>
        <v>7.5268429345113935E-2</v>
      </c>
      <c r="AE25" s="162">
        <f t="shared" si="11"/>
        <v>7.5268429345113935E-2</v>
      </c>
      <c r="AF25" s="162">
        <f t="shared" si="11"/>
        <v>7.5268429345113935E-2</v>
      </c>
      <c r="AG25" s="162">
        <f t="shared" si="11"/>
        <v>7.5268429345113935E-2</v>
      </c>
      <c r="AH25" s="162">
        <f t="shared" si="11"/>
        <v>7.5268429345113935E-2</v>
      </c>
      <c r="AI25" s="162">
        <f t="shared" si="12"/>
        <v>7.5268429345113935E-2</v>
      </c>
    </row>
    <row r="26" spans="3:35" x14ac:dyDescent="0.2">
      <c r="C26" s="78" t="s">
        <v>129</v>
      </c>
      <c r="J26" s="154">
        <f t="shared" si="9"/>
        <v>0.31122742615897769</v>
      </c>
      <c r="K26" s="163">
        <f>SUMPRODUCT(K18,$P$9)*$D10</f>
        <v>0</v>
      </c>
      <c r="L26" s="164">
        <f>SUMPRODUCT(K18:L18,$O$9:$P$9)*$D10</f>
        <v>5.5673332394600379E-2</v>
      </c>
      <c r="M26" s="164">
        <f>SUMPRODUCT(K18:M18,$N$9:$P$9)*$D10</f>
        <v>6.0128490849874545E-2</v>
      </c>
      <c r="N26" s="164">
        <f>SUMPRODUCT(K18:N18,$M$9:$P$9)*$D10</f>
        <v>5.9609332549005425E-2</v>
      </c>
      <c r="O26" s="165">
        <f t="shared" si="10"/>
        <v>0.13581627036549732</v>
      </c>
      <c r="P26" s="166">
        <f t="shared" si="10"/>
        <v>0.15118544462511943</v>
      </c>
      <c r="Q26" s="166">
        <f t="shared" si="10"/>
        <v>0.16012750038584136</v>
      </c>
      <c r="R26" s="166">
        <f t="shared" si="10"/>
        <v>0.14995094294767078</v>
      </c>
      <c r="S26" s="166">
        <f t="shared" si="10"/>
        <v>0.16304179907695479</v>
      </c>
      <c r="T26" s="166">
        <f t="shared" si="10"/>
        <v>0.17909999018175873</v>
      </c>
      <c r="U26" s="166">
        <f t="shared" si="10"/>
        <v>0.18020617281231752</v>
      </c>
      <c r="V26" s="166">
        <f t="shared" si="10"/>
        <v>0.17936834830925519</v>
      </c>
      <c r="W26" s="166">
        <f t="shared" si="10"/>
        <v>0.18151054419118504</v>
      </c>
      <c r="X26" s="166">
        <f t="shared" si="10"/>
        <v>0.18141924225590278</v>
      </c>
      <c r="Y26" s="166">
        <f t="shared" si="11"/>
        <v>0.18002480265681942</v>
      </c>
      <c r="Z26" s="166">
        <f t="shared" si="11"/>
        <v>0.17991484358449181</v>
      </c>
      <c r="AA26" s="166">
        <f t="shared" si="11"/>
        <v>0.17991484358449181</v>
      </c>
      <c r="AB26" s="166">
        <f t="shared" si="11"/>
        <v>0.17991484358449181</v>
      </c>
      <c r="AC26" s="166">
        <f t="shared" si="11"/>
        <v>0.17991484358449181</v>
      </c>
      <c r="AD26" s="166">
        <f t="shared" si="11"/>
        <v>0.17991484358449181</v>
      </c>
      <c r="AE26" s="166">
        <f t="shared" si="11"/>
        <v>0.17991484358449181</v>
      </c>
      <c r="AF26" s="166">
        <f t="shared" si="11"/>
        <v>0.17991484358449181</v>
      </c>
      <c r="AG26" s="166">
        <f t="shared" si="11"/>
        <v>0.17991484358449181</v>
      </c>
      <c r="AH26" s="166">
        <f t="shared" si="11"/>
        <v>0.17991484358449181</v>
      </c>
      <c r="AI26" s="166">
        <f t="shared" si="12"/>
        <v>0.17991484358449181</v>
      </c>
    </row>
    <row r="27" spans="3:35" x14ac:dyDescent="0.2">
      <c r="C27" s="78" t="s">
        <v>154</v>
      </c>
      <c r="J27" s="154">
        <f t="shared" si="9"/>
        <v>0.17669926922979734</v>
      </c>
      <c r="K27" s="163">
        <f>SUMPRODUCT(K19,$P$9)*$D11</f>
        <v>0</v>
      </c>
      <c r="L27" s="164">
        <f>SUMPRODUCT(K19:L19,$O$9:$P$9)*$D11</f>
        <v>2.6976453203909949E-2</v>
      </c>
      <c r="M27" s="164">
        <f>SUMPRODUCT(K19:M19,$N$9:$P$9)*$D11</f>
        <v>3.1783736454132842E-2</v>
      </c>
      <c r="N27" s="164">
        <f>SUMPRODUCT(K19:N19,$M$9:$P$9)*$D11</f>
        <v>3.793231203171106E-2</v>
      </c>
      <c r="O27" s="165">
        <f t="shared" si="10"/>
        <v>8.0006767540043489E-2</v>
      </c>
      <c r="P27" s="166">
        <f t="shared" si="10"/>
        <v>8.4465179142826155E-2</v>
      </c>
      <c r="Q27" s="166">
        <f t="shared" si="10"/>
        <v>9.0666949929952348E-2</v>
      </c>
      <c r="R27" s="166">
        <f t="shared" si="10"/>
        <v>9.3025167498472977E-2</v>
      </c>
      <c r="S27" s="166">
        <f t="shared" si="10"/>
        <v>8.8529901227392058E-2</v>
      </c>
      <c r="T27" s="166">
        <f t="shared" si="10"/>
        <v>8.3629846715526118E-2</v>
      </c>
      <c r="U27" s="166">
        <f t="shared" si="10"/>
        <v>8.3175148287352965E-2</v>
      </c>
      <c r="V27" s="166">
        <f t="shared" si="10"/>
        <v>8.2046737301060838E-2</v>
      </c>
      <c r="W27" s="166">
        <f t="shared" si="10"/>
        <v>8.2538803112365999E-2</v>
      </c>
      <c r="X27" s="166">
        <f t="shared" si="10"/>
        <v>8.1983758936762671E-2</v>
      </c>
      <c r="Y27" s="166">
        <f t="shared" si="11"/>
        <v>8.1115759272394644E-2</v>
      </c>
      <c r="Z27" s="166">
        <f t="shared" si="11"/>
        <v>8.2682793186111908E-2</v>
      </c>
      <c r="AA27" s="166">
        <f t="shared" si="11"/>
        <v>8.2682793186111908E-2</v>
      </c>
      <c r="AB27" s="166">
        <f t="shared" si="11"/>
        <v>8.2682793186111908E-2</v>
      </c>
      <c r="AC27" s="166">
        <f t="shared" si="11"/>
        <v>8.2682793186111908E-2</v>
      </c>
      <c r="AD27" s="166">
        <f t="shared" si="11"/>
        <v>8.2682793186111908E-2</v>
      </c>
      <c r="AE27" s="166">
        <f t="shared" si="11"/>
        <v>8.2682793186111908E-2</v>
      </c>
      <c r="AF27" s="166">
        <f t="shared" si="11"/>
        <v>8.2682793186111908E-2</v>
      </c>
      <c r="AG27" s="166">
        <f t="shared" si="11"/>
        <v>8.2682793186111908E-2</v>
      </c>
      <c r="AH27" s="166">
        <f t="shared" si="11"/>
        <v>8.2682793186111908E-2</v>
      </c>
      <c r="AI27" s="166">
        <f t="shared" si="12"/>
        <v>8.2682793186111908E-2</v>
      </c>
    </row>
    <row r="28" spans="3:35" x14ac:dyDescent="0.2">
      <c r="C28" s="59" t="s">
        <v>119</v>
      </c>
      <c r="J28" s="167">
        <f t="shared" si="9"/>
        <v>1.7043662990517989</v>
      </c>
      <c r="K28" s="167">
        <f t="shared" ref="K28:AI28" si="13">SUM(K23:K27)</f>
        <v>0</v>
      </c>
      <c r="L28" s="167">
        <f t="shared" si="13"/>
        <v>0.31048209344389877</v>
      </c>
      <c r="M28" s="167">
        <f t="shared" si="13"/>
        <v>0.31907500730379684</v>
      </c>
      <c r="N28" s="167">
        <f t="shared" si="13"/>
        <v>0.33388591549249419</v>
      </c>
      <c r="O28" s="167">
        <f t="shared" si="13"/>
        <v>0.74092328281160902</v>
      </c>
      <c r="P28" s="167">
        <f t="shared" si="13"/>
        <v>0.74101623180238085</v>
      </c>
      <c r="Q28" s="167">
        <f t="shared" si="13"/>
        <v>0.76463763678227137</v>
      </c>
      <c r="R28" s="167">
        <f t="shared" si="13"/>
        <v>0.63841203481575248</v>
      </c>
      <c r="S28" s="167">
        <f t="shared" si="13"/>
        <v>0.58816692252172564</v>
      </c>
      <c r="T28" s="167">
        <f t="shared" si="13"/>
        <v>0.58733560155566256</v>
      </c>
      <c r="U28" s="167">
        <f t="shared" si="13"/>
        <v>0.53340667853231549</v>
      </c>
      <c r="V28" s="167">
        <f t="shared" si="13"/>
        <v>0.48744459544880525</v>
      </c>
      <c r="W28" s="167">
        <f t="shared" si="13"/>
        <v>0.49846633647982025</v>
      </c>
      <c r="X28" s="167">
        <f t="shared" si="13"/>
        <v>0.50351607301174184</v>
      </c>
      <c r="Y28" s="167">
        <f t="shared" si="13"/>
        <v>0.50443652747615841</v>
      </c>
      <c r="Z28" s="167">
        <f t="shared" si="13"/>
        <v>0.52758163029817262</v>
      </c>
      <c r="AA28" s="167">
        <f t="shared" si="13"/>
        <v>0.52758163029817262</v>
      </c>
      <c r="AB28" s="167">
        <f t="shared" si="13"/>
        <v>0.52758163029817262</v>
      </c>
      <c r="AC28" s="167">
        <f t="shared" si="13"/>
        <v>0.52758163029817262</v>
      </c>
      <c r="AD28" s="167">
        <f t="shared" si="13"/>
        <v>0.52758163029817262</v>
      </c>
      <c r="AE28" s="167">
        <f t="shared" si="13"/>
        <v>0.52758163029817262</v>
      </c>
      <c r="AF28" s="167">
        <f t="shared" si="13"/>
        <v>0.52758163029817262</v>
      </c>
      <c r="AG28" s="167">
        <f t="shared" si="13"/>
        <v>0.52758163029817262</v>
      </c>
      <c r="AH28" s="167">
        <f t="shared" si="13"/>
        <v>0.52758163029817262</v>
      </c>
      <c r="AI28" s="167">
        <f t="shared" si="13"/>
        <v>0.52758163029817262</v>
      </c>
    </row>
    <row r="31" spans="3:35" ht="15" x14ac:dyDescent="0.25">
      <c r="C31" s="218" t="s">
        <v>213</v>
      </c>
      <c r="D31" s="219"/>
      <c r="E31" s="219"/>
      <c r="F31" s="219"/>
      <c r="G31" s="219"/>
      <c r="H31" s="219"/>
      <c r="I31" s="219"/>
      <c r="J31" s="219"/>
      <c r="K31" s="218">
        <v>2016</v>
      </c>
      <c r="L31" s="219">
        <v>2017</v>
      </c>
      <c r="M31" s="219">
        <v>2018</v>
      </c>
      <c r="N31" s="231">
        <v>2019</v>
      </c>
      <c r="O31" s="235">
        <v>2020</v>
      </c>
      <c r="P31" s="238">
        <v>2021</v>
      </c>
      <c r="Q31" s="231">
        <v>2022</v>
      </c>
      <c r="R31" s="231">
        <v>2023</v>
      </c>
      <c r="S31" s="231">
        <v>2024</v>
      </c>
      <c r="T31" s="235">
        <v>2025</v>
      </c>
      <c r="U31" s="238">
        <v>2026</v>
      </c>
      <c r="V31" s="231">
        <v>2027</v>
      </c>
      <c r="W31" s="231">
        <v>2028</v>
      </c>
      <c r="X31" s="231">
        <v>2029</v>
      </c>
      <c r="Y31" s="235">
        <v>2030</v>
      </c>
      <c r="Z31" s="238">
        <v>2031</v>
      </c>
      <c r="AA31" s="231">
        <v>2032</v>
      </c>
      <c r="AB31" s="231">
        <v>2033</v>
      </c>
      <c r="AC31" s="231">
        <v>2034</v>
      </c>
      <c r="AD31" s="235">
        <v>2035</v>
      </c>
      <c r="AE31" s="238">
        <v>2036</v>
      </c>
      <c r="AF31" s="231">
        <v>2037</v>
      </c>
      <c r="AG31" s="231">
        <v>2038</v>
      </c>
      <c r="AH31" s="219">
        <v>2039</v>
      </c>
      <c r="AI31" s="220">
        <v>2040</v>
      </c>
    </row>
    <row r="32" spans="3:35" ht="15" x14ac:dyDescent="0.25">
      <c r="C32" s="221"/>
      <c r="D32" s="222"/>
      <c r="E32" s="222"/>
      <c r="F32" s="222"/>
      <c r="G32" s="222"/>
      <c r="H32" s="222"/>
      <c r="I32" s="222"/>
      <c r="J32" s="222"/>
      <c r="K32" s="221"/>
      <c r="L32" s="222"/>
      <c r="M32" s="222"/>
      <c r="N32" s="222"/>
      <c r="O32" s="223"/>
      <c r="P32" s="221"/>
      <c r="Q32" s="222"/>
      <c r="R32" s="222"/>
      <c r="S32" s="222"/>
      <c r="T32" s="223"/>
      <c r="U32" s="221"/>
      <c r="V32" s="222"/>
      <c r="W32" s="222"/>
      <c r="X32" s="222"/>
      <c r="Y32" s="223"/>
      <c r="Z32" s="221"/>
      <c r="AA32" s="222"/>
      <c r="AB32" s="222"/>
      <c r="AC32" s="222"/>
      <c r="AD32" s="223"/>
      <c r="AE32" s="221"/>
      <c r="AF32" s="222"/>
      <c r="AG32" s="222"/>
      <c r="AH32" s="222"/>
      <c r="AI32" s="223"/>
    </row>
    <row r="33" spans="3:35" ht="15" x14ac:dyDescent="0.25">
      <c r="C33" s="221" t="str">
        <f>C23</f>
        <v>ST</v>
      </c>
      <c r="D33" s="222"/>
      <c r="E33" s="222"/>
      <c r="F33" s="222"/>
      <c r="G33" s="222"/>
      <c r="H33" s="222"/>
      <c r="I33" s="222"/>
      <c r="J33" s="222"/>
      <c r="K33" s="236">
        <f>K23*1000000</f>
        <v>0</v>
      </c>
      <c r="L33" s="172">
        <f t="shared" ref="L33:AI37" si="14">L23*1000000</f>
        <v>46075.984870364926</v>
      </c>
      <c r="M33" s="172">
        <f t="shared" si="14"/>
        <v>51124.311822038741</v>
      </c>
      <c r="N33" s="240">
        <f t="shared" si="14"/>
        <v>68502.768257719639</v>
      </c>
      <c r="O33" s="241">
        <f t="shared" si="14"/>
        <v>126959.1076271474</v>
      </c>
      <c r="P33" s="289">
        <f t="shared" si="14"/>
        <v>125026.9677330581</v>
      </c>
      <c r="Q33" s="290">
        <f t="shared" si="14"/>
        <v>165317.34161269444</v>
      </c>
      <c r="R33" s="290">
        <f t="shared" si="14"/>
        <v>134102.95489881191</v>
      </c>
      <c r="S33" s="290">
        <f t="shared" si="14"/>
        <v>84978.390790829901</v>
      </c>
      <c r="T33" s="291">
        <f t="shared" si="14"/>
        <v>100788.86806692058</v>
      </c>
      <c r="U33" s="289">
        <f t="shared" si="14"/>
        <v>94668.229296697988</v>
      </c>
      <c r="V33" s="290">
        <f t="shared" si="14"/>
        <v>56391.336729659786</v>
      </c>
      <c r="W33" s="290">
        <f t="shared" si="14"/>
        <v>42193.691237722218</v>
      </c>
      <c r="X33" s="290">
        <f t="shared" si="14"/>
        <v>67275.575154220205</v>
      </c>
      <c r="Y33" s="291">
        <f t="shared" si="14"/>
        <v>88312.378211222371</v>
      </c>
      <c r="Z33" s="289">
        <f t="shared" si="14"/>
        <v>79443.912240249992</v>
      </c>
      <c r="AA33" s="290">
        <f t="shared" si="14"/>
        <v>79443.912240249992</v>
      </c>
      <c r="AB33" s="290">
        <f t="shared" si="14"/>
        <v>79443.912240249992</v>
      </c>
      <c r="AC33" s="290">
        <f t="shared" si="14"/>
        <v>79443.912240249992</v>
      </c>
      <c r="AD33" s="291">
        <f t="shared" si="14"/>
        <v>79443.912240249992</v>
      </c>
      <c r="AE33" s="289">
        <f t="shared" si="14"/>
        <v>79443.912240249992</v>
      </c>
      <c r="AF33" s="290">
        <f t="shared" si="14"/>
        <v>79443.912240249992</v>
      </c>
      <c r="AG33" s="290">
        <f t="shared" si="14"/>
        <v>79443.912240249992</v>
      </c>
      <c r="AH33" s="292">
        <f t="shared" si="14"/>
        <v>79443.912240249992</v>
      </c>
      <c r="AI33" s="293">
        <f t="shared" si="14"/>
        <v>79443.912240249992</v>
      </c>
    </row>
    <row r="34" spans="3:35" ht="15" x14ac:dyDescent="0.25">
      <c r="C34" s="221" t="str">
        <f>C24</f>
        <v>HV bus</v>
      </c>
      <c r="D34" s="222"/>
      <c r="E34" s="222"/>
      <c r="F34" s="222"/>
      <c r="G34" s="222"/>
      <c r="H34" s="222"/>
      <c r="I34" s="222"/>
      <c r="J34" s="222"/>
      <c r="K34" s="236">
        <f t="shared" ref="K34:Z37" si="15">K24*1000000</f>
        <v>0</v>
      </c>
      <c r="L34" s="172">
        <f t="shared" si="15"/>
        <v>163228.18375745128</v>
      </c>
      <c r="M34" s="172">
        <f t="shared" si="15"/>
        <v>143064.48044705694</v>
      </c>
      <c r="N34" s="240">
        <f t="shared" si="15"/>
        <v>118178.45233000017</v>
      </c>
      <c r="O34" s="241">
        <f t="shared" si="15"/>
        <v>328565.60715507827</v>
      </c>
      <c r="P34" s="289">
        <f t="shared" si="15"/>
        <v>282566.30068462726</v>
      </c>
      <c r="Q34" s="290">
        <f t="shared" si="15"/>
        <v>228185.81795545082</v>
      </c>
      <c r="R34" s="290">
        <f t="shared" si="15"/>
        <v>172765.90101820434</v>
      </c>
      <c r="S34" s="290">
        <f t="shared" si="15"/>
        <v>155703.48056967737</v>
      </c>
      <c r="T34" s="291">
        <f t="shared" si="15"/>
        <v>126788.98860277321</v>
      </c>
      <c r="U34" s="289">
        <f t="shared" si="15"/>
        <v>106957.72399911578</v>
      </c>
      <c r="V34" s="290">
        <f t="shared" si="15"/>
        <v>106829.3289338615</v>
      </c>
      <c r="W34" s="290">
        <f t="shared" si="15"/>
        <v>119726.32989502807</v>
      </c>
      <c r="X34" s="290">
        <f t="shared" si="15"/>
        <v>98388.213360887908</v>
      </c>
      <c r="Y34" s="291">
        <f t="shared" si="15"/>
        <v>83417.15544329134</v>
      </c>
      <c r="Z34" s="289">
        <f t="shared" si="15"/>
        <v>110271.6519422049</v>
      </c>
      <c r="AA34" s="290">
        <f t="shared" si="14"/>
        <v>110271.6519422049</v>
      </c>
      <c r="AB34" s="290">
        <f t="shared" si="14"/>
        <v>110271.6519422049</v>
      </c>
      <c r="AC34" s="290">
        <f t="shared" si="14"/>
        <v>110271.6519422049</v>
      </c>
      <c r="AD34" s="291">
        <f t="shared" si="14"/>
        <v>110271.6519422049</v>
      </c>
      <c r="AE34" s="289">
        <f t="shared" si="14"/>
        <v>110271.6519422049</v>
      </c>
      <c r="AF34" s="290">
        <f t="shared" si="14"/>
        <v>110271.6519422049</v>
      </c>
      <c r="AG34" s="290">
        <f t="shared" si="14"/>
        <v>110271.6519422049</v>
      </c>
      <c r="AH34" s="292">
        <f t="shared" si="14"/>
        <v>110271.6519422049</v>
      </c>
      <c r="AI34" s="293">
        <f t="shared" si="14"/>
        <v>110271.6519422049</v>
      </c>
    </row>
    <row r="35" spans="3:35" ht="15" x14ac:dyDescent="0.25">
      <c r="C35" s="221" t="str">
        <f>C25</f>
        <v>HV net</v>
      </c>
      <c r="D35" s="222"/>
      <c r="E35" s="222"/>
      <c r="F35" s="222"/>
      <c r="G35" s="222"/>
      <c r="H35" s="222"/>
      <c r="I35" s="222"/>
      <c r="J35" s="222"/>
      <c r="K35" s="236">
        <f t="shared" si="15"/>
        <v>0</v>
      </c>
      <c r="L35" s="172">
        <f t="shared" si="14"/>
        <v>18528.139217572236</v>
      </c>
      <c r="M35" s="172">
        <f t="shared" si="14"/>
        <v>32973.987730693734</v>
      </c>
      <c r="N35" s="240">
        <f t="shared" si="14"/>
        <v>49663.05032405792</v>
      </c>
      <c r="O35" s="241">
        <f t="shared" si="14"/>
        <v>69575.530123842473</v>
      </c>
      <c r="P35" s="289">
        <f t="shared" si="14"/>
        <v>97772.339616749945</v>
      </c>
      <c r="Q35" s="290">
        <f t="shared" si="14"/>
        <v>120340.02689833243</v>
      </c>
      <c r="R35" s="290">
        <f t="shared" si="14"/>
        <v>88567.068452592415</v>
      </c>
      <c r="S35" s="290">
        <f t="shared" si="14"/>
        <v>95913.350856871533</v>
      </c>
      <c r="T35" s="291">
        <f t="shared" si="14"/>
        <v>97027.907988683917</v>
      </c>
      <c r="U35" s="289">
        <f t="shared" si="14"/>
        <v>68399.404136831203</v>
      </c>
      <c r="V35" s="290">
        <f t="shared" si="14"/>
        <v>62808.844174967984</v>
      </c>
      <c r="W35" s="290">
        <f t="shared" si="14"/>
        <v>72496.968043518922</v>
      </c>
      <c r="X35" s="290">
        <f t="shared" si="14"/>
        <v>74449.283303968346</v>
      </c>
      <c r="Y35" s="291">
        <f t="shared" si="14"/>
        <v>71566.431892430599</v>
      </c>
      <c r="Z35" s="289">
        <f t="shared" si="14"/>
        <v>75268.429345113938</v>
      </c>
      <c r="AA35" s="290">
        <f t="shared" si="14"/>
        <v>75268.429345113938</v>
      </c>
      <c r="AB35" s="290">
        <f t="shared" si="14"/>
        <v>75268.429345113938</v>
      </c>
      <c r="AC35" s="290">
        <f t="shared" si="14"/>
        <v>75268.429345113938</v>
      </c>
      <c r="AD35" s="291">
        <f t="shared" si="14"/>
        <v>75268.429345113938</v>
      </c>
      <c r="AE35" s="289">
        <f t="shared" si="14"/>
        <v>75268.429345113938</v>
      </c>
      <c r="AF35" s="290">
        <f t="shared" si="14"/>
        <v>75268.429345113938</v>
      </c>
      <c r="AG35" s="290">
        <f t="shared" si="14"/>
        <v>75268.429345113938</v>
      </c>
      <c r="AH35" s="292">
        <f t="shared" si="14"/>
        <v>75268.429345113938</v>
      </c>
      <c r="AI35" s="293">
        <f t="shared" si="14"/>
        <v>75268.429345113938</v>
      </c>
    </row>
    <row r="36" spans="3:35" ht="15" x14ac:dyDescent="0.25">
      <c r="C36" s="221" t="str">
        <f>C26</f>
        <v>LV bus</v>
      </c>
      <c r="D36" s="222"/>
      <c r="E36" s="222"/>
      <c r="F36" s="222"/>
      <c r="G36" s="222"/>
      <c r="H36" s="222"/>
      <c r="I36" s="222"/>
      <c r="J36" s="222"/>
      <c r="K36" s="236">
        <f t="shared" si="15"/>
        <v>0</v>
      </c>
      <c r="L36" s="172">
        <f t="shared" si="14"/>
        <v>55673.33239460038</v>
      </c>
      <c r="M36" s="172">
        <f t="shared" si="14"/>
        <v>60128.490849874543</v>
      </c>
      <c r="N36" s="240">
        <f t="shared" si="14"/>
        <v>59609.332549005427</v>
      </c>
      <c r="O36" s="241">
        <f t="shared" si="14"/>
        <v>135816.27036549733</v>
      </c>
      <c r="P36" s="289">
        <f t="shared" si="14"/>
        <v>151185.44462511942</v>
      </c>
      <c r="Q36" s="290">
        <f t="shared" si="14"/>
        <v>160127.50038584135</v>
      </c>
      <c r="R36" s="290">
        <f t="shared" si="14"/>
        <v>149950.94294767079</v>
      </c>
      <c r="S36" s="290">
        <f t="shared" si="14"/>
        <v>163041.79907695481</v>
      </c>
      <c r="T36" s="291">
        <f t="shared" si="14"/>
        <v>179099.99018175874</v>
      </c>
      <c r="U36" s="289">
        <f t="shared" si="14"/>
        <v>180206.17281231753</v>
      </c>
      <c r="V36" s="290">
        <f t="shared" si="14"/>
        <v>179368.34830925518</v>
      </c>
      <c r="W36" s="290">
        <f t="shared" si="14"/>
        <v>181510.54419118504</v>
      </c>
      <c r="X36" s="290">
        <f t="shared" si="14"/>
        <v>181419.24225590279</v>
      </c>
      <c r="Y36" s="291">
        <f t="shared" si="14"/>
        <v>180024.8026568194</v>
      </c>
      <c r="Z36" s="289">
        <f t="shared" si="14"/>
        <v>179914.84358449181</v>
      </c>
      <c r="AA36" s="290">
        <f t="shared" si="14"/>
        <v>179914.84358449181</v>
      </c>
      <c r="AB36" s="290">
        <f t="shared" si="14"/>
        <v>179914.84358449181</v>
      </c>
      <c r="AC36" s="290">
        <f t="shared" si="14"/>
        <v>179914.84358449181</v>
      </c>
      <c r="AD36" s="291">
        <f t="shared" si="14"/>
        <v>179914.84358449181</v>
      </c>
      <c r="AE36" s="289">
        <f t="shared" si="14"/>
        <v>179914.84358449181</v>
      </c>
      <c r="AF36" s="290">
        <f t="shared" si="14"/>
        <v>179914.84358449181</v>
      </c>
      <c r="AG36" s="290">
        <f t="shared" si="14"/>
        <v>179914.84358449181</v>
      </c>
      <c r="AH36" s="292">
        <f t="shared" si="14"/>
        <v>179914.84358449181</v>
      </c>
      <c r="AI36" s="293">
        <f t="shared" si="14"/>
        <v>179914.84358449181</v>
      </c>
    </row>
    <row r="37" spans="3:35" ht="15" x14ac:dyDescent="0.25">
      <c r="C37" s="221" t="str">
        <f>C27</f>
        <v>LV net</v>
      </c>
      <c r="D37" s="222"/>
      <c r="E37" s="222"/>
      <c r="F37" s="222"/>
      <c r="G37" s="222"/>
      <c r="H37" s="222"/>
      <c r="I37" s="222"/>
      <c r="J37" s="222"/>
      <c r="K37" s="236">
        <f t="shared" si="15"/>
        <v>0</v>
      </c>
      <c r="L37" s="172">
        <f t="shared" si="14"/>
        <v>26976.45320390995</v>
      </c>
      <c r="M37" s="172">
        <f t="shared" si="14"/>
        <v>31783.736454132842</v>
      </c>
      <c r="N37" s="240">
        <f t="shared" si="14"/>
        <v>37932.312031711059</v>
      </c>
      <c r="O37" s="241">
        <f t="shared" si="14"/>
        <v>80006.767540043482</v>
      </c>
      <c r="P37" s="289">
        <f t="shared" si="14"/>
        <v>84465.179142826149</v>
      </c>
      <c r="Q37" s="290">
        <f t="shared" si="14"/>
        <v>90666.949929952345</v>
      </c>
      <c r="R37" s="290">
        <f t="shared" si="14"/>
        <v>93025.167498472976</v>
      </c>
      <c r="S37" s="290">
        <f t="shared" si="14"/>
        <v>88529.901227392053</v>
      </c>
      <c r="T37" s="291">
        <f t="shared" si="14"/>
        <v>83629.846715526117</v>
      </c>
      <c r="U37" s="289">
        <f t="shared" si="14"/>
        <v>83175.14828735296</v>
      </c>
      <c r="V37" s="290">
        <f t="shared" si="14"/>
        <v>82046.737301060843</v>
      </c>
      <c r="W37" s="290">
        <f t="shared" si="14"/>
        <v>82538.803112366004</v>
      </c>
      <c r="X37" s="290">
        <f t="shared" si="14"/>
        <v>81983.758936762664</v>
      </c>
      <c r="Y37" s="291">
        <f t="shared" si="14"/>
        <v>81115.759272394644</v>
      </c>
      <c r="Z37" s="289">
        <f t="shared" si="14"/>
        <v>82682.793186111914</v>
      </c>
      <c r="AA37" s="290">
        <f t="shared" si="14"/>
        <v>82682.793186111914</v>
      </c>
      <c r="AB37" s="290">
        <f t="shared" si="14"/>
        <v>82682.793186111914</v>
      </c>
      <c r="AC37" s="290">
        <f t="shared" si="14"/>
        <v>82682.793186111914</v>
      </c>
      <c r="AD37" s="291">
        <f t="shared" si="14"/>
        <v>82682.793186111914</v>
      </c>
      <c r="AE37" s="289">
        <f t="shared" si="14"/>
        <v>82682.793186111914</v>
      </c>
      <c r="AF37" s="290">
        <f t="shared" si="14"/>
        <v>82682.793186111914</v>
      </c>
      <c r="AG37" s="290">
        <f t="shared" si="14"/>
        <v>82682.793186111914</v>
      </c>
      <c r="AH37" s="292">
        <f t="shared" si="14"/>
        <v>82682.793186111914</v>
      </c>
      <c r="AI37" s="293">
        <f t="shared" si="14"/>
        <v>82682.793186111914</v>
      </c>
    </row>
    <row r="38" spans="3:35" ht="15" x14ac:dyDescent="0.25">
      <c r="C38" s="221"/>
      <c r="D38" s="222"/>
      <c r="E38" s="222"/>
      <c r="F38" s="222"/>
      <c r="G38" s="222"/>
      <c r="H38" s="222"/>
      <c r="I38" s="222"/>
      <c r="J38" s="222"/>
      <c r="K38" s="221"/>
      <c r="L38" s="222"/>
      <c r="M38" s="222"/>
      <c r="N38" s="222"/>
      <c r="O38" s="223"/>
      <c r="P38" s="221"/>
      <c r="Q38" s="222"/>
      <c r="R38" s="222"/>
      <c r="S38" s="222"/>
      <c r="T38" s="223"/>
      <c r="U38" s="221"/>
      <c r="V38" s="222"/>
      <c r="W38" s="222"/>
      <c r="X38" s="222"/>
      <c r="Y38" s="223"/>
      <c r="Z38" s="221"/>
      <c r="AA38" s="222"/>
      <c r="AB38" s="222"/>
      <c r="AC38" s="222"/>
      <c r="AD38" s="223"/>
      <c r="AE38" s="221"/>
      <c r="AF38" s="222"/>
      <c r="AG38" s="222"/>
      <c r="AH38" s="222"/>
      <c r="AI38" s="223"/>
    </row>
    <row r="39" spans="3:35" ht="15" x14ac:dyDescent="0.25">
      <c r="C39" s="221" t="s">
        <v>214</v>
      </c>
      <c r="D39" s="222"/>
      <c r="E39" s="222"/>
      <c r="F39" s="222"/>
      <c r="G39" s="222"/>
      <c r="H39" s="222"/>
      <c r="I39" s="222"/>
      <c r="J39" s="222"/>
      <c r="K39" s="237">
        <f t="shared" ref="K39:AH39" si="16">SUM(K33:K38)</f>
        <v>0</v>
      </c>
      <c r="L39" s="24">
        <f t="shared" si="16"/>
        <v>310482.09344389878</v>
      </c>
      <c r="M39" s="24">
        <f t="shared" si="16"/>
        <v>319075.00730379677</v>
      </c>
      <c r="N39" s="248">
        <f t="shared" si="16"/>
        <v>333885.91549249418</v>
      </c>
      <c r="O39" s="249">
        <f t="shared" si="16"/>
        <v>740923.28281160886</v>
      </c>
      <c r="P39" s="250">
        <f t="shared" si="16"/>
        <v>741016.23180238088</v>
      </c>
      <c r="Q39" s="248">
        <f t="shared" si="16"/>
        <v>764637.63678227144</v>
      </c>
      <c r="R39" s="248">
        <f t="shared" si="16"/>
        <v>638412.03481575241</v>
      </c>
      <c r="S39" s="248">
        <f t="shared" si="16"/>
        <v>588166.92252172565</v>
      </c>
      <c r="T39" s="249">
        <f t="shared" si="16"/>
        <v>587335.60155566246</v>
      </c>
      <c r="U39" s="250">
        <f t="shared" si="16"/>
        <v>533406.67853231542</v>
      </c>
      <c r="V39" s="248">
        <f t="shared" si="16"/>
        <v>487444.59544880525</v>
      </c>
      <c r="W39" s="248">
        <f t="shared" si="16"/>
        <v>498466.33647982025</v>
      </c>
      <c r="X39" s="248">
        <f t="shared" si="16"/>
        <v>503516.07301174197</v>
      </c>
      <c r="Y39" s="249">
        <f t="shared" si="16"/>
        <v>504436.52747615834</v>
      </c>
      <c r="Z39" s="250">
        <f t="shared" si="16"/>
        <v>527581.63029817259</v>
      </c>
      <c r="AA39" s="248">
        <f t="shared" si="16"/>
        <v>527581.63029817259</v>
      </c>
      <c r="AB39" s="248">
        <f t="shared" si="16"/>
        <v>527581.63029817259</v>
      </c>
      <c r="AC39" s="248">
        <f t="shared" si="16"/>
        <v>527581.63029817259</v>
      </c>
      <c r="AD39" s="249">
        <f t="shared" si="16"/>
        <v>527581.63029817259</v>
      </c>
      <c r="AE39" s="250">
        <f t="shared" si="16"/>
        <v>527581.63029817259</v>
      </c>
      <c r="AF39" s="248">
        <f t="shared" si="16"/>
        <v>527581.63029817259</v>
      </c>
      <c r="AG39" s="248">
        <f t="shared" si="16"/>
        <v>527581.63029817259</v>
      </c>
      <c r="AH39" s="24">
        <f t="shared" si="16"/>
        <v>527581.63029817259</v>
      </c>
      <c r="AI39" s="239">
        <f>SUM(AI33:AI38)</f>
        <v>527581.63029817259</v>
      </c>
    </row>
    <row r="40" spans="3:35" ht="15" x14ac:dyDescent="0.25">
      <c r="C40" s="221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3"/>
    </row>
    <row r="41" spans="3:35" ht="15" x14ac:dyDescent="0.25">
      <c r="C41" s="221" t="s">
        <v>208</v>
      </c>
      <c r="D41" s="222"/>
      <c r="E41" s="222"/>
      <c r="F41" s="222"/>
      <c r="G41" s="222"/>
      <c r="H41" s="222"/>
      <c r="I41" s="222"/>
      <c r="J41" s="222"/>
      <c r="K41" s="294" t="s">
        <v>210</v>
      </c>
      <c r="L41" s="294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3"/>
    </row>
    <row r="42" spans="3:35" ht="15" x14ac:dyDescent="0.25">
      <c r="C42" s="228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3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52"/>
  <sheetViews>
    <sheetView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L40" sqref="L40"/>
    </sheetView>
  </sheetViews>
  <sheetFormatPr defaultColWidth="12.5703125" defaultRowHeight="12.75" x14ac:dyDescent="0.2"/>
  <cols>
    <col min="1" max="1" width="5.7109375" style="36" customWidth="1"/>
    <col min="2" max="2" width="11.5703125" style="36" bestFit="1" customWidth="1"/>
    <col min="3" max="3" width="43.5703125" style="36" customWidth="1"/>
    <col min="4" max="8" width="10.140625" style="36" hidden="1" customWidth="1"/>
    <col min="9" max="9" width="0.140625" style="36" hidden="1" customWidth="1"/>
    <col min="10" max="35" width="10.7109375" style="36" customWidth="1"/>
    <col min="36" max="16384" width="12.5703125" style="36"/>
  </cols>
  <sheetData>
    <row r="1" spans="2:35" x14ac:dyDescent="0.2">
      <c r="J1" s="36">
        <v>0</v>
      </c>
      <c r="K1" s="36">
        <v>1</v>
      </c>
      <c r="L1" s="36">
        <v>2</v>
      </c>
      <c r="M1" s="36">
        <v>3</v>
      </c>
      <c r="N1" s="36">
        <v>4</v>
      </c>
      <c r="O1" s="36">
        <v>5</v>
      </c>
      <c r="P1" s="36">
        <v>6</v>
      </c>
      <c r="Q1" s="36">
        <v>7</v>
      </c>
      <c r="R1" s="36">
        <v>8</v>
      </c>
      <c r="S1" s="36">
        <v>9</v>
      </c>
      <c r="T1" s="36">
        <v>10</v>
      </c>
      <c r="U1" s="36">
        <v>11</v>
      </c>
      <c r="V1" s="36">
        <v>12</v>
      </c>
      <c r="W1" s="36">
        <v>13</v>
      </c>
      <c r="X1" s="36">
        <v>14</v>
      </c>
      <c r="Y1" s="36">
        <v>15</v>
      </c>
      <c r="Z1" s="36">
        <v>16</v>
      </c>
      <c r="AA1" s="36">
        <v>17</v>
      </c>
      <c r="AB1" s="36">
        <v>18</v>
      </c>
      <c r="AC1" s="36">
        <v>19</v>
      </c>
      <c r="AD1" s="36">
        <v>20</v>
      </c>
      <c r="AE1" s="36">
        <v>21</v>
      </c>
      <c r="AF1" s="36">
        <v>22</v>
      </c>
      <c r="AG1" s="36">
        <v>23</v>
      </c>
      <c r="AH1" s="36">
        <v>24</v>
      </c>
      <c r="AI1" s="36">
        <v>25</v>
      </c>
    </row>
    <row r="2" spans="2:35" x14ac:dyDescent="0.2">
      <c r="D2" s="37"/>
      <c r="E2" s="37"/>
      <c r="F2" s="37"/>
      <c r="G2" s="37"/>
      <c r="H2" s="37"/>
      <c r="I2" s="37"/>
      <c r="J2" s="38" t="s">
        <v>6</v>
      </c>
      <c r="K2" s="39" t="s">
        <v>7</v>
      </c>
      <c r="L2" s="40" t="s">
        <v>8</v>
      </c>
      <c r="M2" s="40" t="s">
        <v>9</v>
      </c>
      <c r="N2" s="40" t="s">
        <v>10</v>
      </c>
      <c r="O2" s="41" t="s">
        <v>11</v>
      </c>
      <c r="P2" s="42" t="s">
        <v>12</v>
      </c>
      <c r="Q2" s="42" t="s">
        <v>13</v>
      </c>
      <c r="R2" s="42" t="s">
        <v>14</v>
      </c>
      <c r="S2" s="42" t="s">
        <v>15</v>
      </c>
      <c r="T2" s="42" t="s">
        <v>16</v>
      </c>
      <c r="U2" s="42" t="s">
        <v>17</v>
      </c>
      <c r="V2" s="42" t="s">
        <v>131</v>
      </c>
      <c r="W2" s="42" t="s">
        <v>132</v>
      </c>
      <c r="X2" s="42" t="s">
        <v>133</v>
      </c>
      <c r="Y2" s="42" t="s">
        <v>134</v>
      </c>
      <c r="Z2" s="42" t="s">
        <v>135</v>
      </c>
      <c r="AA2" s="42" t="s">
        <v>136</v>
      </c>
      <c r="AB2" s="42" t="s">
        <v>137</v>
      </c>
      <c r="AC2" s="42" t="s">
        <v>138</v>
      </c>
      <c r="AD2" s="42" t="s">
        <v>139</v>
      </c>
      <c r="AE2" s="42" t="s">
        <v>140</v>
      </c>
      <c r="AF2" s="42" t="s">
        <v>141</v>
      </c>
      <c r="AG2" s="42" t="s">
        <v>142</v>
      </c>
      <c r="AH2" s="42" t="s">
        <v>143</v>
      </c>
      <c r="AI2" s="42" t="s">
        <v>144</v>
      </c>
    </row>
    <row r="3" spans="2:35" ht="13.5" customHeight="1" x14ac:dyDescent="0.2">
      <c r="D3" s="46"/>
      <c r="E3" s="46"/>
      <c r="F3" s="46"/>
      <c r="G3" s="46"/>
      <c r="H3" s="46"/>
      <c r="I3" s="46"/>
      <c r="J3" s="46"/>
      <c r="K3" s="49"/>
      <c r="L3" s="49"/>
      <c r="M3" s="49"/>
      <c r="N3" s="49"/>
      <c r="O3" s="49"/>
    </row>
    <row r="4" spans="2:35" ht="13.5" customHeight="1" x14ac:dyDescent="0.2">
      <c r="D4" s="46"/>
      <c r="E4" s="46"/>
      <c r="F4" s="46"/>
      <c r="G4" s="46"/>
      <c r="H4" s="46"/>
      <c r="I4" s="46"/>
      <c r="J4" s="46"/>
      <c r="K4" s="49"/>
      <c r="L4" s="49"/>
      <c r="M4" s="49"/>
      <c r="N4" s="49"/>
      <c r="O4" s="49"/>
    </row>
    <row r="5" spans="2:35" ht="13.5" customHeight="1" x14ac:dyDescent="0.2">
      <c r="B5" s="142" t="s">
        <v>229</v>
      </c>
      <c r="D5" s="46"/>
      <c r="E5" s="46"/>
      <c r="F5" s="46"/>
      <c r="G5" s="46"/>
      <c r="H5" s="46"/>
      <c r="I5" s="46"/>
      <c r="J5" s="46"/>
      <c r="K5" s="49"/>
      <c r="L5" s="49"/>
      <c r="M5" s="378" t="s">
        <v>234</v>
      </c>
      <c r="N5" s="49"/>
      <c r="O5" s="49"/>
    </row>
    <row r="6" spans="2:35" ht="13.5" customHeight="1" x14ac:dyDescent="0.25">
      <c r="B6" s="62" t="s">
        <v>126</v>
      </c>
      <c r="C6" s="36" t="s">
        <v>238</v>
      </c>
      <c r="D6"/>
      <c r="E6"/>
      <c r="F6"/>
      <c r="G6"/>
      <c r="H6"/>
      <c r="I6"/>
      <c r="J6"/>
      <c r="K6"/>
      <c r="M6" s="174">
        <f>144-M7</f>
        <v>73</v>
      </c>
      <c r="N6" s="338">
        <f>M6/$M$11</f>
        <v>2.2047719722138325E-2</v>
      </c>
      <c r="O6" s="49"/>
    </row>
    <row r="7" spans="2:35" ht="13.5" customHeight="1" x14ac:dyDescent="0.25">
      <c r="B7" s="62" t="s">
        <v>125</v>
      </c>
      <c r="C7" s="36" t="s">
        <v>237</v>
      </c>
      <c r="D7"/>
      <c r="E7"/>
      <c r="F7"/>
      <c r="G7"/>
      <c r="H7"/>
      <c r="I7"/>
      <c r="J7"/>
      <c r="K7"/>
      <c r="M7" s="174">
        <v>71</v>
      </c>
      <c r="N7" s="338">
        <f t="shared" ref="N7:N10" si="0">M7/$M$11</f>
        <v>2.1443672606463304E-2</v>
      </c>
      <c r="O7" s="49"/>
    </row>
    <row r="8" spans="2:35" ht="13.5" customHeight="1" x14ac:dyDescent="0.25">
      <c r="B8" s="62" t="s">
        <v>124</v>
      </c>
      <c r="C8" s="36" t="s">
        <v>235</v>
      </c>
      <c r="D8"/>
      <c r="E8"/>
      <c r="F8"/>
      <c r="G8"/>
      <c r="H8"/>
      <c r="I8"/>
      <c r="J8"/>
      <c r="K8"/>
      <c r="M8" s="174">
        <v>176</v>
      </c>
      <c r="N8" s="338">
        <f t="shared" si="0"/>
        <v>5.3156146179401995E-2</v>
      </c>
      <c r="O8" s="49"/>
    </row>
    <row r="9" spans="2:35" ht="13.5" customHeight="1" x14ac:dyDescent="0.25">
      <c r="B9" s="62" t="s">
        <v>123</v>
      </c>
      <c r="C9" s="36" t="s">
        <v>236</v>
      </c>
      <c r="D9"/>
      <c r="E9"/>
      <c r="F9"/>
      <c r="G9"/>
      <c r="H9"/>
      <c r="I9"/>
      <c r="J9"/>
      <c r="K9"/>
      <c r="M9" s="174">
        <v>809</v>
      </c>
      <c r="N9" s="338">
        <f t="shared" si="0"/>
        <v>0.24433705829054667</v>
      </c>
      <c r="O9" s="49"/>
    </row>
    <row r="10" spans="2:35" ht="13.5" customHeight="1" x14ac:dyDescent="0.25">
      <c r="B10" s="62" t="s">
        <v>122</v>
      </c>
      <c r="C10" s="36" t="s">
        <v>230</v>
      </c>
      <c r="D10"/>
      <c r="E10"/>
      <c r="F10"/>
      <c r="G10"/>
      <c r="H10"/>
      <c r="I10"/>
      <c r="J10"/>
      <c r="K10"/>
      <c r="M10" s="340">
        <f>607+1575</f>
        <v>2182</v>
      </c>
      <c r="N10" s="339">
        <f t="shared" si="0"/>
        <v>0.65901540320144969</v>
      </c>
      <c r="O10" s="49"/>
    </row>
    <row r="11" spans="2:35" ht="13.5" customHeight="1" x14ac:dyDescent="0.25">
      <c r="B11" s="50"/>
      <c r="D11"/>
      <c r="E11"/>
      <c r="F11"/>
      <c r="G11"/>
      <c r="H11"/>
      <c r="I11"/>
      <c r="J11"/>
      <c r="K11"/>
      <c r="L11" s="49"/>
      <c r="M11" s="65">
        <f>SUM(M6:M10)</f>
        <v>3311</v>
      </c>
      <c r="N11" s="338">
        <f>SUM(N6:N10)</f>
        <v>1</v>
      </c>
      <c r="O11" s="49"/>
    </row>
    <row r="12" spans="2:35" ht="13.5" customHeight="1" x14ac:dyDescent="0.2">
      <c r="D12" s="46"/>
      <c r="E12" s="46"/>
      <c r="F12" s="46"/>
      <c r="G12" s="46"/>
      <c r="H12" s="46"/>
      <c r="I12" s="46"/>
      <c r="J12" s="46"/>
      <c r="K12" s="49"/>
      <c r="L12" s="49"/>
      <c r="M12" s="49"/>
      <c r="N12" s="49"/>
      <c r="O12" s="49"/>
    </row>
    <row r="13" spans="2:35" ht="13.5" customHeight="1" x14ac:dyDescent="0.2">
      <c r="J13" s="46"/>
      <c r="K13" s="46"/>
      <c r="L13" s="46"/>
      <c r="M13" s="46"/>
      <c r="N13" s="46"/>
      <c r="O13" s="46"/>
    </row>
    <row r="14" spans="2:35" ht="13.5" customHeight="1" x14ac:dyDescent="0.2">
      <c r="B14" s="43" t="s">
        <v>146</v>
      </c>
      <c r="J14" s="46"/>
      <c r="K14" s="46"/>
      <c r="L14" s="46"/>
      <c r="M14" s="46"/>
      <c r="N14" s="46"/>
      <c r="O14" s="46"/>
    </row>
    <row r="15" spans="2:35" ht="13.5" customHeight="1" x14ac:dyDescent="0.2">
      <c r="B15" s="36" t="s">
        <v>147</v>
      </c>
      <c r="C15" s="36" t="s">
        <v>145</v>
      </c>
      <c r="J15" s="174">
        <f>_xlfn.FORECAST.LINEAR(0,K15:T15,K1:T1)</f>
        <v>2813.4198753261594</v>
      </c>
      <c r="K15" s="394">
        <v>2826.3744149736008</v>
      </c>
      <c r="L15" s="356">
        <v>2840.7647269881745</v>
      </c>
      <c r="M15" s="356">
        <v>2827.4007417521134</v>
      </c>
      <c r="N15" s="392">
        <v>2885.5996014783495</v>
      </c>
      <c r="O15" s="393">
        <v>2898.609252164747</v>
      </c>
      <c r="P15" s="391">
        <v>2912.5872824893436</v>
      </c>
      <c r="Q15" s="392">
        <v>2920.6756682846144</v>
      </c>
      <c r="R15" s="392">
        <v>2928.6951157925532</v>
      </c>
      <c r="S15" s="392">
        <v>2936.7612689571001</v>
      </c>
      <c r="T15" s="393">
        <v>2944.9206331485575</v>
      </c>
    </row>
    <row r="16" spans="2:35" ht="13.5" customHeight="1" x14ac:dyDescent="0.2"/>
    <row r="17" spans="2:35" s="51" customFormat="1" ht="13.5" customHeight="1" x14ac:dyDescent="0.2"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</row>
    <row r="18" spans="2:35" s="51" customFormat="1" ht="13.5" customHeight="1" x14ac:dyDescent="0.2">
      <c r="B18" s="351" t="s">
        <v>231</v>
      </c>
      <c r="C18" s="342"/>
      <c r="D18" s="342"/>
      <c r="E18" s="342"/>
      <c r="F18" s="342"/>
      <c r="G18" s="342"/>
      <c r="H18" s="342"/>
      <c r="I18" s="342"/>
      <c r="J18" s="377">
        <f t="shared" ref="J18:T18" si="1">J15</f>
        <v>2813.4198753261594</v>
      </c>
      <c r="K18" s="395">
        <f t="shared" si="1"/>
        <v>2826.3744149736008</v>
      </c>
      <c r="L18" s="377">
        <f t="shared" si="1"/>
        <v>2840.7647269881745</v>
      </c>
      <c r="M18" s="377">
        <f t="shared" si="1"/>
        <v>2827.4007417521134</v>
      </c>
      <c r="N18" s="377">
        <f t="shared" si="1"/>
        <v>2885.5996014783495</v>
      </c>
      <c r="O18" s="396">
        <f t="shared" si="1"/>
        <v>2898.609252164747</v>
      </c>
      <c r="P18" s="395">
        <f t="shared" si="1"/>
        <v>2912.5872824893436</v>
      </c>
      <c r="Q18" s="377">
        <f t="shared" si="1"/>
        <v>2920.6756682846144</v>
      </c>
      <c r="R18" s="377">
        <f t="shared" si="1"/>
        <v>2928.6951157925532</v>
      </c>
      <c r="S18" s="377">
        <f t="shared" si="1"/>
        <v>2936.7612689571001</v>
      </c>
      <c r="T18" s="396">
        <f t="shared" si="1"/>
        <v>2944.9206331485575</v>
      </c>
      <c r="U18" s="399">
        <f t="shared" ref="U18:AI18" si="2">FORECAST(U1,$J$18:$T$18,$J$1:$T$1)</f>
        <v>2971.0578658796712</v>
      </c>
      <c r="V18" s="376">
        <f t="shared" si="2"/>
        <v>2985.388592293627</v>
      </c>
      <c r="W18" s="376">
        <f t="shared" si="2"/>
        <v>2999.7193187075827</v>
      </c>
      <c r="X18" s="376">
        <f t="shared" si="2"/>
        <v>3014.0500451215385</v>
      </c>
      <c r="Y18" s="400">
        <f t="shared" si="2"/>
        <v>3028.3807715354937</v>
      </c>
      <c r="Z18" s="399">
        <f t="shared" si="2"/>
        <v>3042.7114979494495</v>
      </c>
      <c r="AA18" s="376">
        <f t="shared" si="2"/>
        <v>3057.0422243634052</v>
      </c>
      <c r="AB18" s="376">
        <f t="shared" si="2"/>
        <v>3071.372950777361</v>
      </c>
      <c r="AC18" s="376">
        <f t="shared" si="2"/>
        <v>3085.7036771913163</v>
      </c>
      <c r="AD18" s="400">
        <f t="shared" si="2"/>
        <v>3100.034403605272</v>
      </c>
      <c r="AE18" s="376">
        <f t="shared" si="2"/>
        <v>3114.3651300192278</v>
      </c>
      <c r="AF18" s="376">
        <f t="shared" si="2"/>
        <v>3128.6958564331835</v>
      </c>
      <c r="AG18" s="376">
        <f t="shared" si="2"/>
        <v>3143.0265828471393</v>
      </c>
      <c r="AH18" s="376">
        <f t="shared" si="2"/>
        <v>3157.3573092610945</v>
      </c>
      <c r="AI18" s="376">
        <f t="shared" si="2"/>
        <v>3171.6880356750503</v>
      </c>
    </row>
    <row r="19" spans="2:35" s="51" customFormat="1" ht="13.5" customHeight="1" x14ac:dyDescent="0.2">
      <c r="B19" s="343"/>
      <c r="C19" s="344"/>
      <c r="D19" s="344"/>
      <c r="E19" s="344"/>
      <c r="F19" s="344"/>
      <c r="G19" s="344"/>
      <c r="H19" s="344"/>
      <c r="I19" s="344"/>
      <c r="J19" s="345"/>
      <c r="K19" s="397">
        <f>K18/J18-1</f>
        <v>4.6045525451261504E-3</v>
      </c>
      <c r="L19" s="346">
        <f t="shared" ref="L19:V19" si="3">L18/K18-1</f>
        <v>5.0914386778824205E-3</v>
      </c>
      <c r="M19" s="346">
        <f t="shared" si="3"/>
        <v>-4.7043618604170057E-3</v>
      </c>
      <c r="N19" s="346">
        <f t="shared" si="3"/>
        <v>2.0583873685401599E-2</v>
      </c>
      <c r="O19" s="398">
        <f t="shared" si="3"/>
        <v>4.5084739683676212E-3</v>
      </c>
      <c r="P19" s="397">
        <f t="shared" si="3"/>
        <v>4.8223230896533575E-3</v>
      </c>
      <c r="Q19" s="346">
        <f t="shared" si="3"/>
        <v>2.7770449469097791E-3</v>
      </c>
      <c r="R19" s="346">
        <f t="shared" si="3"/>
        <v>2.7457507846631035E-3</v>
      </c>
      <c r="S19" s="346">
        <f t="shared" si="3"/>
        <v>2.7541798806749451E-3</v>
      </c>
      <c r="T19" s="398">
        <f t="shared" si="3"/>
        <v>2.7783546036599382E-3</v>
      </c>
      <c r="U19" s="397">
        <f t="shared" si="3"/>
        <v>8.8753606589284662E-3</v>
      </c>
      <c r="V19" s="346">
        <f t="shared" si="3"/>
        <v>4.8234423767148371E-3</v>
      </c>
      <c r="W19" s="346">
        <f t="shared" ref="W19" si="4">W18/V18-1</f>
        <v>4.8002884619271491E-3</v>
      </c>
      <c r="X19" s="346">
        <f t="shared" ref="X19" si="5">X18/W18-1</f>
        <v>4.7773557761163765E-3</v>
      </c>
      <c r="Y19" s="398">
        <f t="shared" ref="Y19" si="6">Y18/X18-1</f>
        <v>4.7546411636896213E-3</v>
      </c>
      <c r="Z19" s="397">
        <f t="shared" ref="Z19" si="7">Z18/Y18-1</f>
        <v>4.7321415287846502E-3</v>
      </c>
      <c r="AA19" s="346">
        <f t="shared" ref="AA19" si="8">AA18/Z18-1</f>
        <v>4.7098538338627982E-3</v>
      </c>
      <c r="AB19" s="346">
        <f t="shared" ref="AB19" si="9">AB18/AA18-1</f>
        <v>4.6877750983436162E-3</v>
      </c>
      <c r="AC19" s="346">
        <f t="shared" ref="AC19" si="10">AC18/AB18-1</f>
        <v>4.6659023972741576E-3</v>
      </c>
      <c r="AD19" s="398">
        <f t="shared" ref="AD19" si="11">AD18/AC18-1</f>
        <v>4.6442328600391214E-3</v>
      </c>
      <c r="AE19" s="346">
        <f t="shared" ref="AE19" si="12">AE18/AD18-1</f>
        <v>4.6227636691029694E-3</v>
      </c>
      <c r="AF19" s="346">
        <f t="shared" ref="AF19" si="13">AF18/AE18-1</f>
        <v>4.6014920587900132E-3</v>
      </c>
      <c r="AG19" s="346">
        <f t="shared" ref="AG19" si="14">AG18/AF18-1</f>
        <v>4.5804153140962534E-3</v>
      </c>
      <c r="AH19" s="346">
        <f t="shared" ref="AH19" si="15">AH18/AG18-1</f>
        <v>4.5595307695340814E-3</v>
      </c>
      <c r="AI19" s="346">
        <f t="shared" ref="AI19" si="16">AI18/AH18-1</f>
        <v>4.5388358080098445E-3</v>
      </c>
    </row>
    <row r="20" spans="2:35" s="51" customFormat="1" ht="13.5" customHeight="1" x14ac:dyDescent="0.2">
      <c r="B20" s="73"/>
      <c r="C20" s="73"/>
      <c r="D20" s="73"/>
      <c r="E20" s="73"/>
      <c r="F20" s="73"/>
      <c r="G20" s="73"/>
      <c r="H20" s="73"/>
      <c r="I20" s="73"/>
      <c r="J20" s="6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</row>
    <row r="21" spans="2:35" s="51" customFormat="1" ht="13.5" customHeight="1" x14ac:dyDescent="0.2">
      <c r="B21" s="73"/>
      <c r="C21" s="73"/>
      <c r="D21" s="73"/>
      <c r="E21" s="73"/>
      <c r="F21" s="73"/>
      <c r="G21" s="73"/>
      <c r="H21" s="73"/>
      <c r="I21" s="73"/>
      <c r="J21" s="6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</row>
    <row r="22" spans="2:35" s="51" customFormat="1" ht="13.5" customHeight="1" x14ac:dyDescent="0.2">
      <c r="B22" s="354" t="s">
        <v>232</v>
      </c>
      <c r="C22" s="342"/>
      <c r="D22" s="342"/>
      <c r="E22" s="342"/>
      <c r="F22" s="342"/>
      <c r="G22" s="342"/>
      <c r="H22" s="342"/>
      <c r="I22" s="342"/>
      <c r="J22" s="401"/>
      <c r="K22" s="406"/>
      <c r="L22" s="407"/>
      <c r="M22" s="407"/>
      <c r="N22" s="407"/>
      <c r="O22" s="408"/>
      <c r="P22" s="406"/>
      <c r="Q22" s="407"/>
      <c r="R22" s="407"/>
      <c r="S22" s="407"/>
      <c r="T22" s="408"/>
      <c r="U22" s="406"/>
      <c r="V22" s="407"/>
      <c r="W22" s="407"/>
      <c r="X22" s="407"/>
      <c r="Y22" s="408"/>
      <c r="Z22" s="406"/>
      <c r="AA22" s="407"/>
      <c r="AB22" s="407"/>
      <c r="AC22" s="407"/>
      <c r="AD22" s="408"/>
      <c r="AE22" s="406"/>
      <c r="AF22" s="407"/>
      <c r="AG22" s="407"/>
      <c r="AH22" s="407"/>
      <c r="AI22" s="408"/>
    </row>
    <row r="23" spans="2:35" s="51" customFormat="1" ht="13.5" customHeight="1" x14ac:dyDescent="0.2">
      <c r="B23" s="353" t="s">
        <v>126</v>
      </c>
      <c r="C23" s="73"/>
      <c r="D23" s="402"/>
      <c r="E23" s="402"/>
      <c r="F23" s="402"/>
      <c r="G23" s="402"/>
      <c r="H23" s="402"/>
      <c r="I23" s="402"/>
      <c r="J23" s="403">
        <f t="shared" ref="J23:AI23" si="17">$N6*J$18</f>
        <v>62.029492871884514</v>
      </c>
      <c r="K23" s="409">
        <f t="shared" si="17"/>
        <v>62.315110931160632</v>
      </c>
      <c r="L23" s="410">
        <f t="shared" si="17"/>
        <v>62.632384497172069</v>
      </c>
      <c r="M23" s="410">
        <f t="shared" si="17"/>
        <v>62.337739096316596</v>
      </c>
      <c r="N23" s="410">
        <f t="shared" si="17"/>
        <v>63.620891243708698</v>
      </c>
      <c r="O23" s="403">
        <f t="shared" si="17"/>
        <v>63.907724375725316</v>
      </c>
      <c r="P23" s="409">
        <f t="shared" si="17"/>
        <v>64.215908070589563</v>
      </c>
      <c r="Q23" s="410">
        <f t="shared" si="17"/>
        <v>64.394238533608231</v>
      </c>
      <c r="R23" s="410">
        <f t="shared" si="17"/>
        <v>64.571049064589658</v>
      </c>
      <c r="S23" s="410">
        <f t="shared" si="17"/>
        <v>64.748889348797434</v>
      </c>
      <c r="T23" s="403">
        <f t="shared" si="17"/>
        <v>64.928784723601538</v>
      </c>
      <c r="U23" s="409">
        <f t="shared" si="17"/>
        <v>65.505051105169429</v>
      </c>
      <c r="V23" s="410">
        <f t="shared" si="17"/>
        <v>65.821010944558978</v>
      </c>
      <c r="W23" s="410">
        <f t="shared" si="17"/>
        <v>66.136970783948513</v>
      </c>
      <c r="X23" s="410">
        <f t="shared" si="17"/>
        <v>66.452930623338048</v>
      </c>
      <c r="Y23" s="403">
        <f t="shared" si="17"/>
        <v>66.768890462727583</v>
      </c>
      <c r="Z23" s="409">
        <f t="shared" si="17"/>
        <v>67.084850302117118</v>
      </c>
      <c r="AA23" s="410">
        <f t="shared" si="17"/>
        <v>67.400810141506668</v>
      </c>
      <c r="AB23" s="410">
        <f t="shared" si="17"/>
        <v>67.716769980896203</v>
      </c>
      <c r="AC23" s="410">
        <f t="shared" si="17"/>
        <v>68.032729820285738</v>
      </c>
      <c r="AD23" s="403">
        <f t="shared" si="17"/>
        <v>68.348689659675273</v>
      </c>
      <c r="AE23" s="409">
        <f t="shared" si="17"/>
        <v>68.664649499064822</v>
      </c>
      <c r="AF23" s="410">
        <f t="shared" si="17"/>
        <v>68.980609338454357</v>
      </c>
      <c r="AG23" s="410">
        <f t="shared" si="17"/>
        <v>69.296569177843892</v>
      </c>
      <c r="AH23" s="410">
        <f t="shared" si="17"/>
        <v>69.612529017233427</v>
      </c>
      <c r="AI23" s="403">
        <f t="shared" si="17"/>
        <v>69.928488856622977</v>
      </c>
    </row>
    <row r="24" spans="2:35" s="51" customFormat="1" ht="13.5" customHeight="1" x14ac:dyDescent="0.2">
      <c r="B24" s="353" t="s">
        <v>125</v>
      </c>
      <c r="C24" s="73"/>
      <c r="D24" s="402"/>
      <c r="E24" s="402"/>
      <c r="F24" s="402"/>
      <c r="G24" s="402"/>
      <c r="H24" s="402"/>
      <c r="I24" s="402"/>
      <c r="J24" s="403">
        <f t="shared" ref="J24:AI24" si="18">$N7*J$18</f>
        <v>60.330054711010966</v>
      </c>
      <c r="K24" s="409">
        <f t="shared" si="18"/>
        <v>60.607847617978152</v>
      </c>
      <c r="L24" s="410">
        <f t="shared" si="18"/>
        <v>60.916428757523526</v>
      </c>
      <c r="M24" s="410">
        <f t="shared" si="18"/>
        <v>60.629855833403816</v>
      </c>
      <c r="N24" s="410">
        <f t="shared" si="18"/>
        <v>61.877853127442712</v>
      </c>
      <c r="O24" s="403">
        <f t="shared" si="18"/>
        <v>62.156827817486267</v>
      </c>
      <c r="P24" s="409">
        <f t="shared" si="18"/>
        <v>62.456568123450133</v>
      </c>
      <c r="Q24" s="410">
        <f t="shared" si="18"/>
        <v>62.630012820358687</v>
      </c>
      <c r="R24" s="410">
        <f t="shared" si="18"/>
        <v>62.801979227203645</v>
      </c>
      <c r="S24" s="410">
        <f t="shared" si="18"/>
        <v>62.974947174857782</v>
      </c>
      <c r="T24" s="403">
        <f t="shared" si="18"/>
        <v>63.149913909256291</v>
      </c>
      <c r="U24" s="409">
        <f t="shared" si="18"/>
        <v>63.710392170781233</v>
      </c>
      <c r="V24" s="410">
        <f t="shared" si="18"/>
        <v>64.017695576214891</v>
      </c>
      <c r="W24" s="410">
        <f t="shared" si="18"/>
        <v>64.324998981648562</v>
      </c>
      <c r="X24" s="410">
        <f t="shared" si="18"/>
        <v>64.63230238708222</v>
      </c>
      <c r="Y24" s="403">
        <f t="shared" si="18"/>
        <v>64.939605792515877</v>
      </c>
      <c r="Z24" s="409">
        <f t="shared" si="18"/>
        <v>65.246909197949535</v>
      </c>
      <c r="AA24" s="410">
        <f t="shared" si="18"/>
        <v>65.554212603383192</v>
      </c>
      <c r="AB24" s="410">
        <f t="shared" si="18"/>
        <v>65.861516008816864</v>
      </c>
      <c r="AC24" s="410">
        <f t="shared" si="18"/>
        <v>66.168819414250507</v>
      </c>
      <c r="AD24" s="403">
        <f t="shared" si="18"/>
        <v>66.476122819684178</v>
      </c>
      <c r="AE24" s="409">
        <f t="shared" si="18"/>
        <v>66.783426225117836</v>
      </c>
      <c r="AF24" s="410">
        <f t="shared" si="18"/>
        <v>67.090729630551508</v>
      </c>
      <c r="AG24" s="410">
        <f t="shared" si="18"/>
        <v>67.398033035985165</v>
      </c>
      <c r="AH24" s="410">
        <f t="shared" si="18"/>
        <v>67.705336441418822</v>
      </c>
      <c r="AI24" s="403">
        <f t="shared" si="18"/>
        <v>68.01263984685248</v>
      </c>
    </row>
    <row r="25" spans="2:35" s="51" customFormat="1" ht="13.5" customHeight="1" x14ac:dyDescent="0.2">
      <c r="B25" s="353" t="s">
        <v>124</v>
      </c>
      <c r="C25" s="73"/>
      <c r="D25" s="402"/>
      <c r="E25" s="402"/>
      <c r="F25" s="402"/>
      <c r="G25" s="402"/>
      <c r="H25" s="402"/>
      <c r="I25" s="402"/>
      <c r="J25" s="403">
        <f t="shared" ref="J25:AI25" si="19">$N8*J$18</f>
        <v>149.55055815687226</v>
      </c>
      <c r="K25" s="409">
        <f t="shared" si="19"/>
        <v>150.23917156005851</v>
      </c>
      <c r="L25" s="410">
        <f t="shared" si="19"/>
        <v>151.0041050890724</v>
      </c>
      <c r="M25" s="410">
        <f t="shared" si="19"/>
        <v>150.29372713632497</v>
      </c>
      <c r="N25" s="410">
        <f t="shared" si="19"/>
        <v>153.3873542314073</v>
      </c>
      <c r="O25" s="403">
        <f t="shared" si="19"/>
        <v>154.07889712503638</v>
      </c>
      <c r="P25" s="409">
        <f t="shared" si="19"/>
        <v>154.82191534827075</v>
      </c>
      <c r="Q25" s="410">
        <f t="shared" si="19"/>
        <v>155.25186276595957</v>
      </c>
      <c r="R25" s="410">
        <f t="shared" si="19"/>
        <v>155.6781456899696</v>
      </c>
      <c r="S25" s="410">
        <f t="shared" si="19"/>
        <v>156.10691130668971</v>
      </c>
      <c r="T25" s="403">
        <f t="shared" si="19"/>
        <v>156.5406316623818</v>
      </c>
      <c r="U25" s="409">
        <f t="shared" si="19"/>
        <v>157.92998622616193</v>
      </c>
      <c r="V25" s="410">
        <f t="shared" si="19"/>
        <v>158.69175241427916</v>
      </c>
      <c r="W25" s="410">
        <f t="shared" si="19"/>
        <v>159.45351860239643</v>
      </c>
      <c r="X25" s="410">
        <f t="shared" si="19"/>
        <v>160.21528479051366</v>
      </c>
      <c r="Y25" s="403">
        <f t="shared" si="19"/>
        <v>160.9770509786309</v>
      </c>
      <c r="Z25" s="409">
        <f t="shared" si="19"/>
        <v>161.73881716674816</v>
      </c>
      <c r="AA25" s="410">
        <f t="shared" si="19"/>
        <v>162.5005833548654</v>
      </c>
      <c r="AB25" s="410">
        <f t="shared" si="19"/>
        <v>163.26234954298263</v>
      </c>
      <c r="AC25" s="410">
        <f t="shared" si="19"/>
        <v>164.02411573109987</v>
      </c>
      <c r="AD25" s="403">
        <f t="shared" si="19"/>
        <v>164.78588191921713</v>
      </c>
      <c r="AE25" s="409">
        <f t="shared" si="19"/>
        <v>165.54764810733437</v>
      </c>
      <c r="AF25" s="410">
        <f t="shared" si="19"/>
        <v>166.30941429545163</v>
      </c>
      <c r="AG25" s="410">
        <f t="shared" si="19"/>
        <v>167.07118048356887</v>
      </c>
      <c r="AH25" s="410">
        <f t="shared" si="19"/>
        <v>167.8329466716861</v>
      </c>
      <c r="AI25" s="403">
        <f t="shared" si="19"/>
        <v>168.59471285980334</v>
      </c>
    </row>
    <row r="26" spans="2:35" s="51" customFormat="1" ht="13.5" customHeight="1" x14ac:dyDescent="0.2">
      <c r="B26" s="353" t="s">
        <v>123</v>
      </c>
      <c r="C26" s="73"/>
      <c r="D26" s="402"/>
      <c r="E26" s="402"/>
      <c r="F26" s="402"/>
      <c r="G26" s="402"/>
      <c r="H26" s="402"/>
      <c r="I26" s="402"/>
      <c r="J26" s="403">
        <f t="shared" ref="J26:AI26" si="20">$N9*J$18</f>
        <v>687.42273607335039</v>
      </c>
      <c r="K26" s="409">
        <f t="shared" si="20"/>
        <v>690.58801018231441</v>
      </c>
      <c r="L26" s="410">
        <f t="shared" si="20"/>
        <v>694.10409668783848</v>
      </c>
      <c r="M26" s="410">
        <f t="shared" si="20"/>
        <v>690.83877984822107</v>
      </c>
      <c r="N26" s="410">
        <f t="shared" si="20"/>
        <v>705.05891802959377</v>
      </c>
      <c r="O26" s="403">
        <f t="shared" si="20"/>
        <v>708.23765780769565</v>
      </c>
      <c r="P26" s="409">
        <f t="shared" si="20"/>
        <v>711.65300861790365</v>
      </c>
      <c r="Q26" s="410">
        <f t="shared" si="20"/>
        <v>713.62930100943913</v>
      </c>
      <c r="R26" s="410">
        <f t="shared" si="20"/>
        <v>715.58874922264442</v>
      </c>
      <c r="S26" s="410">
        <f t="shared" si="20"/>
        <v>717.55960935859082</v>
      </c>
      <c r="T26" s="403">
        <f t="shared" si="20"/>
        <v>719.55324440265269</v>
      </c>
      <c r="U26" s="409">
        <f t="shared" si="20"/>
        <v>725.93953896002836</v>
      </c>
      <c r="V26" s="410">
        <f t="shared" si="20"/>
        <v>729.44106649518096</v>
      </c>
      <c r="W26" s="410">
        <f t="shared" si="20"/>
        <v>732.94259403033357</v>
      </c>
      <c r="X26" s="410">
        <f t="shared" si="20"/>
        <v>736.44412156548617</v>
      </c>
      <c r="Y26" s="403">
        <f t="shared" si="20"/>
        <v>739.94564910063866</v>
      </c>
      <c r="Z26" s="409">
        <f t="shared" si="20"/>
        <v>743.44717663579115</v>
      </c>
      <c r="AA26" s="410">
        <f t="shared" si="20"/>
        <v>746.94870417094376</v>
      </c>
      <c r="AB26" s="410">
        <f t="shared" si="20"/>
        <v>750.45023170609636</v>
      </c>
      <c r="AC26" s="410">
        <f t="shared" si="20"/>
        <v>753.95175924124885</v>
      </c>
      <c r="AD26" s="403">
        <f t="shared" si="20"/>
        <v>757.45328677640146</v>
      </c>
      <c r="AE26" s="409">
        <f t="shared" si="20"/>
        <v>760.95481431155395</v>
      </c>
      <c r="AF26" s="410">
        <f t="shared" si="20"/>
        <v>764.45634184670655</v>
      </c>
      <c r="AG26" s="410">
        <f t="shared" si="20"/>
        <v>767.95786938185915</v>
      </c>
      <c r="AH26" s="410">
        <f t="shared" si="20"/>
        <v>771.45939691701165</v>
      </c>
      <c r="AI26" s="403">
        <f t="shared" si="20"/>
        <v>774.96092445216425</v>
      </c>
    </row>
    <row r="27" spans="2:35" s="51" customFormat="1" ht="13.5" customHeight="1" x14ac:dyDescent="0.25">
      <c r="B27" s="353" t="s">
        <v>122</v>
      </c>
      <c r="C27" s="404"/>
      <c r="D27" s="402"/>
      <c r="E27" s="402"/>
      <c r="F27" s="402"/>
      <c r="G27" s="402"/>
      <c r="H27" s="402"/>
      <c r="I27" s="402"/>
      <c r="J27" s="405">
        <f t="shared" ref="J27:AI27" si="21">$N10*J$18</f>
        <v>1854.0870335130412</v>
      </c>
      <c r="K27" s="411">
        <f t="shared" si="21"/>
        <v>1862.624274682089</v>
      </c>
      <c r="L27" s="349">
        <f t="shared" si="21"/>
        <v>1872.107711956568</v>
      </c>
      <c r="M27" s="349">
        <f t="shared" si="21"/>
        <v>1863.300639837847</v>
      </c>
      <c r="N27" s="349">
        <f t="shared" si="21"/>
        <v>1901.6545848461972</v>
      </c>
      <c r="O27" s="405">
        <f t="shared" si="21"/>
        <v>1910.2281450388032</v>
      </c>
      <c r="P27" s="411">
        <f t="shared" si="21"/>
        <v>1919.4398823291294</v>
      </c>
      <c r="Q27" s="349">
        <f t="shared" si="21"/>
        <v>1924.7702531552486</v>
      </c>
      <c r="R27" s="349">
        <f t="shared" si="21"/>
        <v>1930.0551925881459</v>
      </c>
      <c r="S27" s="349">
        <f t="shared" si="21"/>
        <v>1935.3709117681644</v>
      </c>
      <c r="T27" s="405">
        <f t="shared" si="21"/>
        <v>1940.7480584506652</v>
      </c>
      <c r="U27" s="411">
        <f t="shared" si="21"/>
        <v>1957.9728974175302</v>
      </c>
      <c r="V27" s="349">
        <f t="shared" si="21"/>
        <v>1967.4170668633928</v>
      </c>
      <c r="W27" s="349">
        <f t="shared" si="21"/>
        <v>1976.8612363092557</v>
      </c>
      <c r="X27" s="349">
        <f t="shared" si="21"/>
        <v>1986.3054057551183</v>
      </c>
      <c r="Y27" s="405">
        <f t="shared" si="21"/>
        <v>1995.7495752009806</v>
      </c>
      <c r="Z27" s="411">
        <f t="shared" si="21"/>
        <v>2005.1937446468435</v>
      </c>
      <c r="AA27" s="349">
        <f t="shared" si="21"/>
        <v>2014.6379140927061</v>
      </c>
      <c r="AB27" s="349">
        <f t="shared" si="21"/>
        <v>2024.0820835385689</v>
      </c>
      <c r="AC27" s="349">
        <f t="shared" si="21"/>
        <v>2033.5262529844313</v>
      </c>
      <c r="AD27" s="405">
        <f t="shared" si="21"/>
        <v>2042.9704224302939</v>
      </c>
      <c r="AE27" s="411">
        <f t="shared" si="21"/>
        <v>2052.4145918761565</v>
      </c>
      <c r="AF27" s="349">
        <f t="shared" si="21"/>
        <v>2061.8587613220193</v>
      </c>
      <c r="AG27" s="349">
        <f t="shared" si="21"/>
        <v>2071.3029307678821</v>
      </c>
      <c r="AH27" s="349">
        <f t="shared" si="21"/>
        <v>2080.7471002137445</v>
      </c>
      <c r="AI27" s="405">
        <f t="shared" si="21"/>
        <v>2090.1912696596073</v>
      </c>
    </row>
    <row r="28" spans="2:35" s="51" customFormat="1" ht="13.5" customHeight="1" x14ac:dyDescent="0.2">
      <c r="B28" s="343"/>
      <c r="C28" s="344"/>
      <c r="D28" s="344"/>
      <c r="E28" s="344"/>
      <c r="F28" s="344"/>
      <c r="G28" s="344"/>
      <c r="H28" s="344"/>
      <c r="I28" s="344"/>
      <c r="J28" s="405">
        <f>SUM(J23:J27)</f>
        <v>2813.4198753261594</v>
      </c>
      <c r="K28" s="411">
        <f t="shared" ref="K28:AI28" si="22">SUM(K23:K27)</f>
        <v>2826.3744149736008</v>
      </c>
      <c r="L28" s="349">
        <f t="shared" si="22"/>
        <v>2840.7647269881745</v>
      </c>
      <c r="M28" s="349">
        <f t="shared" si="22"/>
        <v>2827.4007417521134</v>
      </c>
      <c r="N28" s="349">
        <f t="shared" si="22"/>
        <v>2885.5996014783495</v>
      </c>
      <c r="O28" s="405">
        <f t="shared" si="22"/>
        <v>2898.609252164747</v>
      </c>
      <c r="P28" s="411">
        <f t="shared" si="22"/>
        <v>2912.5872824893436</v>
      </c>
      <c r="Q28" s="349">
        <f t="shared" si="22"/>
        <v>2920.6756682846144</v>
      </c>
      <c r="R28" s="349">
        <f t="shared" si="22"/>
        <v>2928.6951157925532</v>
      </c>
      <c r="S28" s="349">
        <f t="shared" si="22"/>
        <v>2936.7612689571001</v>
      </c>
      <c r="T28" s="405">
        <f t="shared" si="22"/>
        <v>2944.9206331485575</v>
      </c>
      <c r="U28" s="411">
        <f t="shared" si="22"/>
        <v>2971.0578658796712</v>
      </c>
      <c r="V28" s="349">
        <f t="shared" si="22"/>
        <v>2985.388592293627</v>
      </c>
      <c r="W28" s="349">
        <f t="shared" si="22"/>
        <v>2999.7193187075827</v>
      </c>
      <c r="X28" s="349">
        <f t="shared" si="22"/>
        <v>3014.0500451215385</v>
      </c>
      <c r="Y28" s="405">
        <f t="shared" si="22"/>
        <v>3028.3807715354933</v>
      </c>
      <c r="Z28" s="411">
        <f t="shared" si="22"/>
        <v>3042.7114979494495</v>
      </c>
      <c r="AA28" s="349">
        <f t="shared" si="22"/>
        <v>3057.0422243634048</v>
      </c>
      <c r="AB28" s="349">
        <f t="shared" si="22"/>
        <v>3071.372950777361</v>
      </c>
      <c r="AC28" s="349">
        <f t="shared" si="22"/>
        <v>3085.7036771913163</v>
      </c>
      <c r="AD28" s="405">
        <f t="shared" si="22"/>
        <v>3100.034403605272</v>
      </c>
      <c r="AE28" s="411">
        <f t="shared" si="22"/>
        <v>3114.3651300192273</v>
      </c>
      <c r="AF28" s="349">
        <f t="shared" si="22"/>
        <v>3128.6958564331835</v>
      </c>
      <c r="AG28" s="349">
        <f t="shared" si="22"/>
        <v>3143.0265828471393</v>
      </c>
      <c r="AH28" s="349">
        <f t="shared" si="22"/>
        <v>3157.3573092610945</v>
      </c>
      <c r="AI28" s="405">
        <f t="shared" si="22"/>
        <v>3171.6880356750503</v>
      </c>
    </row>
    <row r="29" spans="2:35" s="51" customFormat="1" ht="13.5" customHeight="1" x14ac:dyDescent="0.2"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</row>
    <row r="30" spans="2:35" s="51" customFormat="1" ht="13.5" customHeight="1" x14ac:dyDescent="0.2"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</row>
    <row r="31" spans="2:35" s="51" customFormat="1" ht="13.5" customHeight="1" x14ac:dyDescent="0.25">
      <c r="B31" s="354" t="s">
        <v>233</v>
      </c>
      <c r="C31" s="342"/>
      <c r="D31" s="342"/>
      <c r="E31" s="342"/>
      <c r="F31" s="342"/>
      <c r="G31" s="342"/>
      <c r="H31" s="342"/>
      <c r="I31" s="342"/>
      <c r="J31" s="355"/>
      <c r="K31" s="370" t="str">
        <f>K2</f>
        <v>2015/16</v>
      </c>
      <c r="L31" s="370" t="str">
        <f t="shared" ref="L31:AI31" si="23">L2</f>
        <v>2016/17</v>
      </c>
      <c r="M31" s="370" t="str">
        <f t="shared" si="23"/>
        <v>2017/18</v>
      </c>
      <c r="N31" s="371" t="str">
        <f t="shared" si="23"/>
        <v>2018/19</v>
      </c>
      <c r="O31" s="372" t="str">
        <f t="shared" si="23"/>
        <v>2019/20</v>
      </c>
      <c r="P31" s="373" t="str">
        <f t="shared" si="23"/>
        <v>2020/21</v>
      </c>
      <c r="Q31" s="371" t="str">
        <f t="shared" si="23"/>
        <v>2021/22</v>
      </c>
      <c r="R31" s="371" t="str">
        <f t="shared" si="23"/>
        <v>2022/23</v>
      </c>
      <c r="S31" s="371" t="str">
        <f t="shared" si="23"/>
        <v>2023/24</v>
      </c>
      <c r="T31" s="372" t="str">
        <f t="shared" si="23"/>
        <v>2024/25</v>
      </c>
      <c r="U31" s="373" t="str">
        <f t="shared" si="23"/>
        <v>2025/26</v>
      </c>
      <c r="V31" s="371" t="str">
        <f t="shared" si="23"/>
        <v>2026/27</v>
      </c>
      <c r="W31" s="371" t="str">
        <f t="shared" si="23"/>
        <v>2027/28</v>
      </c>
      <c r="X31" s="371" t="str">
        <f t="shared" si="23"/>
        <v>2028/29</v>
      </c>
      <c r="Y31" s="372" t="str">
        <f t="shared" si="23"/>
        <v>2029/30</v>
      </c>
      <c r="Z31" s="373" t="str">
        <f t="shared" si="23"/>
        <v>2030/31</v>
      </c>
      <c r="AA31" s="371" t="str">
        <f t="shared" si="23"/>
        <v>2031/32</v>
      </c>
      <c r="AB31" s="371" t="str">
        <f t="shared" si="23"/>
        <v>2032/33</v>
      </c>
      <c r="AC31" s="371" t="str">
        <f t="shared" si="23"/>
        <v>2033/34</v>
      </c>
      <c r="AD31" s="372" t="str">
        <f t="shared" si="23"/>
        <v>2034/35</v>
      </c>
      <c r="AE31" s="373" t="str">
        <f t="shared" si="23"/>
        <v>2035/36</v>
      </c>
      <c r="AF31" s="371" t="str">
        <f t="shared" si="23"/>
        <v>2036/37</v>
      </c>
      <c r="AG31" s="371" t="str">
        <f t="shared" si="23"/>
        <v>2037/38</v>
      </c>
      <c r="AH31" s="370" t="str">
        <f t="shared" si="23"/>
        <v>2038/39</v>
      </c>
      <c r="AI31" s="374" t="str">
        <f t="shared" si="23"/>
        <v>2039/40</v>
      </c>
    </row>
    <row r="32" spans="2:35" s="51" customFormat="1" ht="13.5" customHeight="1" x14ac:dyDescent="0.25">
      <c r="B32" s="352"/>
      <c r="C32" s="73"/>
      <c r="D32" s="73"/>
      <c r="E32" s="73"/>
      <c r="F32" s="73"/>
      <c r="G32" s="73"/>
      <c r="H32" s="73"/>
      <c r="I32" s="73"/>
      <c r="J32" s="74"/>
      <c r="K32" s="222"/>
      <c r="L32" s="222"/>
      <c r="M32" s="222"/>
      <c r="N32" s="222"/>
      <c r="O32" s="223"/>
      <c r="P32" s="221"/>
      <c r="Q32" s="222"/>
      <c r="R32" s="222"/>
      <c r="S32" s="222"/>
      <c r="T32" s="223"/>
      <c r="U32" s="221"/>
      <c r="V32" s="222"/>
      <c r="W32" s="222"/>
      <c r="X32" s="222"/>
      <c r="Y32" s="223"/>
      <c r="Z32" s="221"/>
      <c r="AA32" s="222"/>
      <c r="AB32" s="222"/>
      <c r="AC32" s="222"/>
      <c r="AD32" s="223"/>
      <c r="AE32" s="221"/>
      <c r="AF32" s="222"/>
      <c r="AG32" s="222"/>
      <c r="AH32" s="222"/>
      <c r="AI32" s="223"/>
    </row>
    <row r="33" spans="2:35" s="51" customFormat="1" ht="13.5" customHeight="1" x14ac:dyDescent="0.25">
      <c r="B33" s="353" t="s">
        <v>126</v>
      </c>
      <c r="C33" s="73"/>
      <c r="D33" s="73"/>
      <c r="E33" s="73"/>
      <c r="F33" s="73"/>
      <c r="G33" s="73"/>
      <c r="H33" s="73"/>
      <c r="I33" s="73"/>
      <c r="J33" s="74"/>
      <c r="K33" s="360">
        <f>K23-J23</f>
        <v>0.28561805927611772</v>
      </c>
      <c r="L33" s="360">
        <f t="shared" ref="L33:AI37" si="24">L23-K23</f>
        <v>0.31727356601143697</v>
      </c>
      <c r="M33" s="360">
        <f t="shared" si="24"/>
        <v>-0.29464540085547242</v>
      </c>
      <c r="N33" s="361">
        <f t="shared" si="24"/>
        <v>1.2831521473921015</v>
      </c>
      <c r="O33" s="362">
        <f t="shared" si="24"/>
        <v>0.28683313201661775</v>
      </c>
      <c r="P33" s="363">
        <f t="shared" si="24"/>
        <v>0.30818369486424757</v>
      </c>
      <c r="Q33" s="364">
        <f t="shared" si="24"/>
        <v>0.17833046301866773</v>
      </c>
      <c r="R33" s="364">
        <f t="shared" si="24"/>
        <v>0.17681053098142741</v>
      </c>
      <c r="S33" s="364">
        <f t="shared" si="24"/>
        <v>0.17784028420777531</v>
      </c>
      <c r="T33" s="365">
        <f t="shared" si="24"/>
        <v>0.17989537480410434</v>
      </c>
      <c r="U33" s="363">
        <f t="shared" si="24"/>
        <v>0.57626638156789056</v>
      </c>
      <c r="V33" s="364">
        <f t="shared" si="24"/>
        <v>0.3159598393895493</v>
      </c>
      <c r="W33" s="364">
        <f t="shared" si="24"/>
        <v>0.31595983938953509</v>
      </c>
      <c r="X33" s="364">
        <f t="shared" si="24"/>
        <v>0.31595983938953509</v>
      </c>
      <c r="Y33" s="365">
        <f t="shared" si="24"/>
        <v>0.31595983938953509</v>
      </c>
      <c r="Z33" s="363">
        <f t="shared" si="24"/>
        <v>0.31595983938953509</v>
      </c>
      <c r="AA33" s="364">
        <f t="shared" si="24"/>
        <v>0.3159598393895493</v>
      </c>
      <c r="AB33" s="364">
        <f t="shared" si="24"/>
        <v>0.31595983938953509</v>
      </c>
      <c r="AC33" s="364">
        <f t="shared" si="24"/>
        <v>0.31595983938953509</v>
      </c>
      <c r="AD33" s="365">
        <f t="shared" si="24"/>
        <v>0.31595983938953509</v>
      </c>
      <c r="AE33" s="363">
        <f t="shared" si="24"/>
        <v>0.3159598393895493</v>
      </c>
      <c r="AF33" s="364">
        <f t="shared" si="24"/>
        <v>0.31595983938953509</v>
      </c>
      <c r="AG33" s="364">
        <f t="shared" si="24"/>
        <v>0.31595983938953509</v>
      </c>
      <c r="AH33" s="366">
        <f t="shared" si="24"/>
        <v>0.31595983938953509</v>
      </c>
      <c r="AI33" s="367">
        <f t="shared" si="24"/>
        <v>0.3159598393895493</v>
      </c>
    </row>
    <row r="34" spans="2:35" s="51" customFormat="1" ht="13.5" customHeight="1" x14ac:dyDescent="0.25">
      <c r="B34" s="353" t="s">
        <v>125</v>
      </c>
      <c r="C34" s="73"/>
      <c r="D34" s="73"/>
      <c r="E34" s="73"/>
      <c r="F34" s="73"/>
      <c r="G34" s="73"/>
      <c r="H34" s="73"/>
      <c r="I34" s="73"/>
      <c r="J34" s="74"/>
      <c r="K34" s="360">
        <f t="shared" ref="K34:U37" si="25">K24-J24</f>
        <v>0.27779290696718562</v>
      </c>
      <c r="L34" s="360">
        <f t="shared" si="25"/>
        <v>0.30858113954537458</v>
      </c>
      <c r="M34" s="360">
        <f t="shared" si="25"/>
        <v>-0.28657292411971014</v>
      </c>
      <c r="N34" s="361">
        <f t="shared" si="25"/>
        <v>1.2479972940388961</v>
      </c>
      <c r="O34" s="362">
        <f t="shared" si="25"/>
        <v>0.27897469004355457</v>
      </c>
      <c r="P34" s="363">
        <f t="shared" si="25"/>
        <v>0.29974030596386569</v>
      </c>
      <c r="Q34" s="364">
        <f t="shared" si="25"/>
        <v>0.17344469690855391</v>
      </c>
      <c r="R34" s="364">
        <f t="shared" si="25"/>
        <v>0.1719664068449589</v>
      </c>
      <c r="S34" s="364">
        <f t="shared" si="25"/>
        <v>0.17296794765413637</v>
      </c>
      <c r="T34" s="365">
        <f t="shared" si="25"/>
        <v>0.17496673439850952</v>
      </c>
      <c r="U34" s="363">
        <f t="shared" si="25"/>
        <v>0.56047826152494196</v>
      </c>
      <c r="V34" s="364">
        <f t="shared" si="24"/>
        <v>0.30730340543365742</v>
      </c>
      <c r="W34" s="364">
        <f t="shared" si="24"/>
        <v>0.30730340543367163</v>
      </c>
      <c r="X34" s="364">
        <f t="shared" si="24"/>
        <v>0.30730340543365742</v>
      </c>
      <c r="Y34" s="365">
        <f t="shared" si="24"/>
        <v>0.30730340543365742</v>
      </c>
      <c r="Z34" s="363">
        <f t="shared" si="24"/>
        <v>0.30730340543365742</v>
      </c>
      <c r="AA34" s="364">
        <f t="shared" si="24"/>
        <v>0.30730340543365742</v>
      </c>
      <c r="AB34" s="364">
        <f t="shared" si="24"/>
        <v>0.30730340543367163</v>
      </c>
      <c r="AC34" s="364">
        <f t="shared" si="24"/>
        <v>0.30730340543364321</v>
      </c>
      <c r="AD34" s="365">
        <f t="shared" si="24"/>
        <v>0.30730340543367163</v>
      </c>
      <c r="AE34" s="363">
        <f t="shared" si="24"/>
        <v>0.30730340543365742</v>
      </c>
      <c r="AF34" s="364">
        <f t="shared" si="24"/>
        <v>0.30730340543367163</v>
      </c>
      <c r="AG34" s="364">
        <f t="shared" si="24"/>
        <v>0.30730340543365742</v>
      </c>
      <c r="AH34" s="366">
        <f t="shared" si="24"/>
        <v>0.30730340543365742</v>
      </c>
      <c r="AI34" s="367">
        <f t="shared" si="24"/>
        <v>0.30730340543365742</v>
      </c>
    </row>
    <row r="35" spans="2:35" s="51" customFormat="1" ht="13.5" customHeight="1" x14ac:dyDescent="0.25">
      <c r="B35" s="353" t="s">
        <v>124</v>
      </c>
      <c r="C35" s="73"/>
      <c r="D35" s="73"/>
      <c r="E35" s="73"/>
      <c r="F35" s="73"/>
      <c r="G35" s="73"/>
      <c r="H35" s="73"/>
      <c r="I35" s="73"/>
      <c r="J35" s="74"/>
      <c r="K35" s="360">
        <f t="shared" si="25"/>
        <v>0.68861340318625253</v>
      </c>
      <c r="L35" s="360">
        <f t="shared" si="25"/>
        <v>0.76493352901388789</v>
      </c>
      <c r="M35" s="360">
        <f t="shared" si="25"/>
        <v>-0.71037795274742166</v>
      </c>
      <c r="N35" s="361">
        <f t="shared" si="25"/>
        <v>3.0936270950823257</v>
      </c>
      <c r="O35" s="362">
        <f t="shared" si="25"/>
        <v>0.69154289362907662</v>
      </c>
      <c r="P35" s="363">
        <f t="shared" si="25"/>
        <v>0.7430182232343725</v>
      </c>
      <c r="Q35" s="364">
        <f t="shared" si="25"/>
        <v>0.4299474176888225</v>
      </c>
      <c r="R35" s="364">
        <f t="shared" si="25"/>
        <v>0.42628292401002454</v>
      </c>
      <c r="S35" s="364">
        <f t="shared" si="25"/>
        <v>0.42876561672011348</v>
      </c>
      <c r="T35" s="365">
        <f t="shared" si="25"/>
        <v>0.43372035569208833</v>
      </c>
      <c r="U35" s="363">
        <f t="shared" si="25"/>
        <v>1.389354563780131</v>
      </c>
      <c r="V35" s="364">
        <f t="shared" si="24"/>
        <v>0.76176618811723529</v>
      </c>
      <c r="W35" s="364">
        <f t="shared" si="24"/>
        <v>0.76176618811726371</v>
      </c>
      <c r="X35" s="364">
        <f t="shared" si="24"/>
        <v>0.76176618811723529</v>
      </c>
      <c r="Y35" s="365">
        <f t="shared" si="24"/>
        <v>0.76176618811723529</v>
      </c>
      <c r="Z35" s="363">
        <f t="shared" si="24"/>
        <v>0.76176618811726371</v>
      </c>
      <c r="AA35" s="364">
        <f t="shared" si="24"/>
        <v>0.76176618811723529</v>
      </c>
      <c r="AB35" s="364">
        <f t="shared" si="24"/>
        <v>0.76176618811723529</v>
      </c>
      <c r="AC35" s="364">
        <f t="shared" si="24"/>
        <v>0.76176618811723529</v>
      </c>
      <c r="AD35" s="365">
        <f t="shared" si="24"/>
        <v>0.76176618811726371</v>
      </c>
      <c r="AE35" s="363">
        <f t="shared" si="24"/>
        <v>0.76176618811723529</v>
      </c>
      <c r="AF35" s="364">
        <f t="shared" si="24"/>
        <v>0.76176618811726371</v>
      </c>
      <c r="AG35" s="364">
        <f t="shared" si="24"/>
        <v>0.76176618811723529</v>
      </c>
      <c r="AH35" s="366">
        <f t="shared" si="24"/>
        <v>0.76176618811723529</v>
      </c>
      <c r="AI35" s="367">
        <f t="shared" si="24"/>
        <v>0.76176618811723529</v>
      </c>
    </row>
    <row r="36" spans="2:35" s="51" customFormat="1" ht="13.5" customHeight="1" x14ac:dyDescent="0.25">
      <c r="B36" s="353" t="s">
        <v>123</v>
      </c>
      <c r="C36" s="73"/>
      <c r="D36" s="73"/>
      <c r="E36" s="73"/>
      <c r="F36" s="73"/>
      <c r="G36" s="73"/>
      <c r="H36" s="73"/>
      <c r="I36" s="73"/>
      <c r="J36" s="74"/>
      <c r="K36" s="360">
        <f t="shared" si="25"/>
        <v>3.1652741089640131</v>
      </c>
      <c r="L36" s="360">
        <f t="shared" si="25"/>
        <v>3.516086505524072</v>
      </c>
      <c r="M36" s="360">
        <f t="shared" si="25"/>
        <v>-3.2653168396174124</v>
      </c>
      <c r="N36" s="361">
        <f t="shared" si="25"/>
        <v>14.220138181372704</v>
      </c>
      <c r="O36" s="362">
        <f t="shared" si="25"/>
        <v>3.1787397781018853</v>
      </c>
      <c r="P36" s="363">
        <f t="shared" si="25"/>
        <v>3.4153508102079968</v>
      </c>
      <c r="Q36" s="364">
        <f t="shared" si="25"/>
        <v>1.9762923915354804</v>
      </c>
      <c r="R36" s="364">
        <f t="shared" si="25"/>
        <v>1.9594482132052917</v>
      </c>
      <c r="S36" s="364">
        <f t="shared" si="25"/>
        <v>1.9708601359463955</v>
      </c>
      <c r="T36" s="365">
        <f t="shared" si="25"/>
        <v>1.9936350440618753</v>
      </c>
      <c r="U36" s="363">
        <f t="shared" si="25"/>
        <v>6.3862945573756633</v>
      </c>
      <c r="V36" s="364">
        <f t="shared" si="24"/>
        <v>3.5015275351526043</v>
      </c>
      <c r="W36" s="364">
        <f t="shared" si="24"/>
        <v>3.5015275351526043</v>
      </c>
      <c r="X36" s="364">
        <f t="shared" si="24"/>
        <v>3.5015275351526043</v>
      </c>
      <c r="Y36" s="365">
        <f t="shared" si="24"/>
        <v>3.5015275351524906</v>
      </c>
      <c r="Z36" s="363">
        <f t="shared" si="24"/>
        <v>3.5015275351524906</v>
      </c>
      <c r="AA36" s="364">
        <f t="shared" si="24"/>
        <v>3.5015275351526043</v>
      </c>
      <c r="AB36" s="364">
        <f t="shared" si="24"/>
        <v>3.5015275351526043</v>
      </c>
      <c r="AC36" s="364">
        <f t="shared" si="24"/>
        <v>3.5015275351524906</v>
      </c>
      <c r="AD36" s="365">
        <f t="shared" si="24"/>
        <v>3.5015275351526043</v>
      </c>
      <c r="AE36" s="363">
        <f t="shared" si="24"/>
        <v>3.5015275351524906</v>
      </c>
      <c r="AF36" s="364">
        <f t="shared" si="24"/>
        <v>3.5015275351526043</v>
      </c>
      <c r="AG36" s="364">
        <f t="shared" si="24"/>
        <v>3.5015275351526043</v>
      </c>
      <c r="AH36" s="366">
        <f t="shared" si="24"/>
        <v>3.5015275351524906</v>
      </c>
      <c r="AI36" s="367">
        <f t="shared" si="24"/>
        <v>3.5015275351526043</v>
      </c>
    </row>
    <row r="37" spans="2:35" s="51" customFormat="1" ht="13.5" customHeight="1" x14ac:dyDescent="0.25">
      <c r="B37" s="353" t="s">
        <v>122</v>
      </c>
      <c r="C37" s="73"/>
      <c r="D37" s="73"/>
      <c r="E37" s="73"/>
      <c r="F37" s="73"/>
      <c r="G37" s="73"/>
      <c r="H37" s="73"/>
      <c r="I37" s="73"/>
      <c r="J37" s="74"/>
      <c r="K37" s="360">
        <f t="shared" si="25"/>
        <v>8.5372411690477747</v>
      </c>
      <c r="L37" s="360">
        <f t="shared" si="25"/>
        <v>9.4834372744790016</v>
      </c>
      <c r="M37" s="360">
        <f t="shared" si="25"/>
        <v>-8.8070721187209529</v>
      </c>
      <c r="N37" s="361">
        <f t="shared" si="25"/>
        <v>38.353945008350138</v>
      </c>
      <c r="O37" s="362">
        <f t="shared" si="25"/>
        <v>8.5735601926060099</v>
      </c>
      <c r="P37" s="363">
        <f t="shared" si="25"/>
        <v>9.2117372903262549</v>
      </c>
      <c r="Q37" s="364">
        <f t="shared" si="25"/>
        <v>5.3303708261191787</v>
      </c>
      <c r="R37" s="364">
        <f t="shared" si="25"/>
        <v>5.2849394328973176</v>
      </c>
      <c r="S37" s="364">
        <f t="shared" si="25"/>
        <v>5.3157191800185046</v>
      </c>
      <c r="T37" s="365">
        <f t="shared" si="25"/>
        <v>5.3771466825007792</v>
      </c>
      <c r="U37" s="363">
        <f t="shared" si="25"/>
        <v>17.224838966865036</v>
      </c>
      <c r="V37" s="364">
        <f t="shared" si="24"/>
        <v>9.4441694458625989</v>
      </c>
      <c r="W37" s="364">
        <f t="shared" si="24"/>
        <v>9.4441694458628263</v>
      </c>
      <c r="X37" s="364">
        <f t="shared" si="24"/>
        <v>9.4441694458625989</v>
      </c>
      <c r="Y37" s="365">
        <f t="shared" si="24"/>
        <v>9.4441694458623715</v>
      </c>
      <c r="Z37" s="363">
        <f t="shared" si="24"/>
        <v>9.4441694458628263</v>
      </c>
      <c r="AA37" s="364">
        <f t="shared" si="24"/>
        <v>9.4441694458625989</v>
      </c>
      <c r="AB37" s="364">
        <f t="shared" si="24"/>
        <v>9.4441694458628263</v>
      </c>
      <c r="AC37" s="364">
        <f t="shared" si="24"/>
        <v>9.4441694458623715</v>
      </c>
      <c r="AD37" s="365">
        <f t="shared" si="24"/>
        <v>9.4441694458625989</v>
      </c>
      <c r="AE37" s="363">
        <f t="shared" si="24"/>
        <v>9.4441694458625989</v>
      </c>
      <c r="AF37" s="364">
        <f t="shared" si="24"/>
        <v>9.4441694458628263</v>
      </c>
      <c r="AG37" s="364">
        <f t="shared" si="24"/>
        <v>9.4441694458628263</v>
      </c>
      <c r="AH37" s="366">
        <f t="shared" si="24"/>
        <v>9.4441694458623715</v>
      </c>
      <c r="AI37" s="367">
        <f t="shared" si="24"/>
        <v>9.4441694458628263</v>
      </c>
    </row>
    <row r="38" spans="2:35" ht="13.5" customHeight="1" x14ac:dyDescent="0.2">
      <c r="B38" s="357"/>
      <c r="C38" s="358"/>
      <c r="D38" s="358"/>
      <c r="E38" s="358"/>
      <c r="F38" s="358"/>
      <c r="G38" s="358"/>
      <c r="H38" s="358"/>
      <c r="I38" s="358"/>
      <c r="J38" s="359"/>
      <c r="K38" s="368">
        <f t="shared" ref="K38:AH38" si="26">SUM(K33:K37)</f>
        <v>12.954539647441344</v>
      </c>
      <c r="L38" s="368">
        <f t="shared" si="26"/>
        <v>14.390312014573773</v>
      </c>
      <c r="M38" s="368">
        <f t="shared" si="26"/>
        <v>-13.363985236060969</v>
      </c>
      <c r="N38" s="375">
        <f t="shared" si="26"/>
        <v>58.198859726236165</v>
      </c>
      <c r="O38" s="375">
        <f t="shared" si="26"/>
        <v>13.009650686397144</v>
      </c>
      <c r="P38" s="375">
        <f t="shared" si="26"/>
        <v>13.978030324596737</v>
      </c>
      <c r="Q38" s="375">
        <f t="shared" si="26"/>
        <v>8.0883857952707032</v>
      </c>
      <c r="R38" s="375">
        <f t="shared" si="26"/>
        <v>8.0194475079390202</v>
      </c>
      <c r="S38" s="375">
        <f t="shared" si="26"/>
        <v>8.0661531645469253</v>
      </c>
      <c r="T38" s="375">
        <f t="shared" si="26"/>
        <v>8.1593641914573567</v>
      </c>
      <c r="U38" s="375">
        <f t="shared" si="26"/>
        <v>26.137232731113663</v>
      </c>
      <c r="V38" s="375">
        <f t="shared" si="26"/>
        <v>14.330726413955645</v>
      </c>
      <c r="W38" s="375">
        <f t="shared" si="26"/>
        <v>14.330726413955901</v>
      </c>
      <c r="X38" s="375">
        <f t="shared" si="26"/>
        <v>14.330726413955631</v>
      </c>
      <c r="Y38" s="375">
        <f t="shared" si="26"/>
        <v>14.33072641395529</v>
      </c>
      <c r="Z38" s="375">
        <f t="shared" si="26"/>
        <v>14.330726413955773</v>
      </c>
      <c r="AA38" s="375">
        <f t="shared" si="26"/>
        <v>14.330726413955645</v>
      </c>
      <c r="AB38" s="375">
        <f t="shared" si="26"/>
        <v>14.330726413955873</v>
      </c>
      <c r="AC38" s="375">
        <f t="shared" si="26"/>
        <v>14.330726413955276</v>
      </c>
      <c r="AD38" s="375">
        <f t="shared" si="26"/>
        <v>14.330726413955674</v>
      </c>
      <c r="AE38" s="375">
        <f t="shared" si="26"/>
        <v>14.330726413955531</v>
      </c>
      <c r="AF38" s="375">
        <f t="shared" si="26"/>
        <v>14.330726413955901</v>
      </c>
      <c r="AG38" s="375">
        <f t="shared" si="26"/>
        <v>14.330726413955858</v>
      </c>
      <c r="AH38" s="368">
        <f t="shared" si="26"/>
        <v>14.33072641395529</v>
      </c>
      <c r="AI38" s="369">
        <f>SUM(AI33:AI37)</f>
        <v>14.330726413955873</v>
      </c>
    </row>
    <row r="39" spans="2:35" ht="13.5" customHeight="1" x14ac:dyDescent="0.2"/>
    <row r="40" spans="2:35" ht="13.5" customHeight="1" x14ac:dyDescent="0.2"/>
    <row r="41" spans="2:35" ht="13.5" customHeight="1" x14ac:dyDescent="0.2"/>
    <row r="42" spans="2:35" ht="13.5" customHeight="1" x14ac:dyDescent="0.2"/>
    <row r="43" spans="2:35" ht="13.5" customHeight="1" x14ac:dyDescent="0.2"/>
    <row r="44" spans="2:35" ht="13.5" customHeight="1" x14ac:dyDescent="0.2"/>
    <row r="45" spans="2:35" ht="13.5" customHeight="1" x14ac:dyDescent="0.2"/>
    <row r="46" spans="2:35" ht="13.5" customHeight="1" x14ac:dyDescent="0.2"/>
    <row r="47" spans="2:35" ht="13.5" customHeight="1" x14ac:dyDescent="0.2"/>
    <row r="48" spans="2:3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I85"/>
  <sheetViews>
    <sheetView tabSelected="1" workbookViewId="0">
      <pane xSplit="6" ySplit="4" topLeftCell="G23" activePane="bottomRight" state="frozen"/>
      <selection pane="topRight" activeCell="G1" sqref="G1"/>
      <selection pane="bottomLeft" activeCell="A5" sqref="A5"/>
      <selection pane="bottomRight" activeCell="J59" sqref="J59"/>
    </sheetView>
  </sheetViews>
  <sheetFormatPr defaultColWidth="12.42578125" defaultRowHeight="12.75" x14ac:dyDescent="0.2"/>
  <cols>
    <col min="1" max="2" width="5.7109375" style="36" customWidth="1"/>
    <col min="3" max="3" width="20.7109375" style="36" customWidth="1"/>
    <col min="4" max="6" width="9.140625" style="36" hidden="1" customWidth="1"/>
    <col min="7" max="7" width="8.5703125" style="36" customWidth="1"/>
    <col min="8" max="8" width="8.7109375" style="36" customWidth="1"/>
    <col min="9" max="9" width="9.5703125" style="36" bestFit="1" customWidth="1"/>
    <col min="10" max="12" width="10.7109375" style="80" customWidth="1"/>
    <col min="13" max="35" width="10.7109375" style="36" customWidth="1"/>
    <col min="36" max="38" width="8.7109375" style="36" customWidth="1"/>
    <col min="39" max="16384" width="12.42578125" style="36"/>
  </cols>
  <sheetData>
    <row r="1" spans="1:35" x14ac:dyDescent="0.2">
      <c r="A1" s="51"/>
      <c r="B1" s="51"/>
      <c r="C1" s="51"/>
      <c r="D1" s="51"/>
      <c r="E1" s="51"/>
      <c r="F1" s="51"/>
      <c r="G1" s="51"/>
      <c r="H1" s="51"/>
      <c r="I1" s="51"/>
      <c r="J1" s="57"/>
      <c r="K1" s="57"/>
      <c r="L1" s="57"/>
      <c r="M1" s="51"/>
      <c r="N1" s="51"/>
      <c r="O1" s="51"/>
      <c r="P1" s="51"/>
      <c r="Q1" s="51"/>
      <c r="R1" s="51"/>
      <c r="S1" s="51"/>
      <c r="T1" s="51"/>
      <c r="U1" s="51"/>
      <c r="V1" s="51"/>
      <c r="W1" s="58"/>
      <c r="X1" s="51"/>
      <c r="Y1" s="51"/>
      <c r="Z1" s="51"/>
      <c r="AA1" s="51"/>
      <c r="AB1" s="51"/>
      <c r="AC1" s="51"/>
    </row>
    <row r="2" spans="1:35" x14ac:dyDescent="0.2">
      <c r="A2" s="51"/>
      <c r="B2" s="59" t="str">
        <f ca="1">"Filename:  "&amp;MID(CELL("filename",B3),FIND("[",CELL("filename",B3))+1,FIND("]",CELL("filename",B3))-FIND("[",CELL("filename",B3))-1)</f>
        <v>Filename:  LRMC 2019 v1F.xlsx</v>
      </c>
      <c r="J2" s="57"/>
      <c r="K2" s="57"/>
      <c r="L2" s="57"/>
      <c r="M2" s="51"/>
      <c r="N2" s="51"/>
      <c r="O2" s="51"/>
      <c r="P2" s="51"/>
      <c r="Q2" s="51"/>
      <c r="R2" s="51"/>
      <c r="S2" s="51"/>
      <c r="T2" s="51"/>
      <c r="U2" s="51"/>
      <c r="V2" s="51"/>
      <c r="W2" s="58"/>
      <c r="X2" s="51"/>
      <c r="Y2" s="51"/>
      <c r="Z2" s="51"/>
      <c r="AA2" s="51"/>
      <c r="AB2" s="51"/>
      <c r="AC2" s="51"/>
    </row>
    <row r="3" spans="1:35" x14ac:dyDescent="0.2">
      <c r="A3" s="51"/>
      <c r="G3" s="60" t="s">
        <v>148</v>
      </c>
      <c r="H3" s="61" t="s">
        <v>149</v>
      </c>
      <c r="J3" s="62">
        <v>0</v>
      </c>
      <c r="K3" s="62">
        <f>J3+1</f>
        <v>1</v>
      </c>
      <c r="L3" s="62">
        <f t="shared" ref="L3:AI3" si="0">K3+1</f>
        <v>2</v>
      </c>
      <c r="M3" s="62">
        <f t="shared" si="0"/>
        <v>3</v>
      </c>
      <c r="N3" s="62">
        <f t="shared" si="0"/>
        <v>4</v>
      </c>
      <c r="O3" s="62">
        <f t="shared" si="0"/>
        <v>5</v>
      </c>
      <c r="P3" s="62">
        <f t="shared" si="0"/>
        <v>6</v>
      </c>
      <c r="Q3" s="62">
        <f t="shared" si="0"/>
        <v>7</v>
      </c>
      <c r="R3" s="62">
        <f t="shared" si="0"/>
        <v>8</v>
      </c>
      <c r="S3" s="62">
        <f t="shared" si="0"/>
        <v>9</v>
      </c>
      <c r="T3" s="62">
        <f t="shared" si="0"/>
        <v>10</v>
      </c>
      <c r="U3" s="62">
        <f t="shared" si="0"/>
        <v>11</v>
      </c>
      <c r="V3" s="62">
        <f t="shared" si="0"/>
        <v>12</v>
      </c>
      <c r="W3" s="62">
        <f t="shared" si="0"/>
        <v>13</v>
      </c>
      <c r="X3" s="62">
        <f t="shared" si="0"/>
        <v>14</v>
      </c>
      <c r="Y3" s="62">
        <f t="shared" si="0"/>
        <v>15</v>
      </c>
      <c r="Z3" s="62">
        <f t="shared" si="0"/>
        <v>16</v>
      </c>
      <c r="AA3" s="62">
        <f t="shared" si="0"/>
        <v>17</v>
      </c>
      <c r="AB3" s="62">
        <f t="shared" si="0"/>
        <v>18</v>
      </c>
      <c r="AC3" s="62">
        <f t="shared" si="0"/>
        <v>19</v>
      </c>
      <c r="AD3" s="62">
        <f t="shared" si="0"/>
        <v>20</v>
      </c>
      <c r="AE3" s="62">
        <f t="shared" si="0"/>
        <v>21</v>
      </c>
      <c r="AF3" s="62">
        <f t="shared" si="0"/>
        <v>22</v>
      </c>
      <c r="AG3" s="62">
        <f t="shared" si="0"/>
        <v>23</v>
      </c>
      <c r="AH3" s="62">
        <f t="shared" si="0"/>
        <v>24</v>
      </c>
      <c r="AI3" s="62">
        <f t="shared" si="0"/>
        <v>25</v>
      </c>
    </row>
    <row r="4" spans="1:35" x14ac:dyDescent="0.2">
      <c r="A4" s="51"/>
      <c r="B4" s="44" t="s">
        <v>150</v>
      </c>
      <c r="C4" s="51"/>
      <c r="D4" s="51"/>
      <c r="E4" s="51"/>
      <c r="F4" s="51"/>
      <c r="G4" s="63">
        <v>2.886698545915891E-2</v>
      </c>
      <c r="H4" s="173">
        <v>50</v>
      </c>
      <c r="I4" s="51"/>
      <c r="J4" s="38" t="s">
        <v>6</v>
      </c>
      <c r="K4" s="39" t="str">
        <f t="shared" ref="K4:AI4" si="1">LEFT(J4,4)+1&amp;"/"&amp;RIGHT(LEFT(J4,4)+2,2)</f>
        <v>2015/16</v>
      </c>
      <c r="L4" s="40" t="str">
        <f t="shared" si="1"/>
        <v>2016/17</v>
      </c>
      <c r="M4" s="40" t="str">
        <f t="shared" si="1"/>
        <v>2017/18</v>
      </c>
      <c r="N4" s="40" t="str">
        <f t="shared" si="1"/>
        <v>2018/19</v>
      </c>
      <c r="O4" s="41" t="str">
        <f t="shared" si="1"/>
        <v>2019/20</v>
      </c>
      <c r="P4" s="295" t="str">
        <f t="shared" si="1"/>
        <v>2020/21</v>
      </c>
      <c r="Q4" s="42" t="str">
        <f t="shared" si="1"/>
        <v>2021/22</v>
      </c>
      <c r="R4" s="42" t="str">
        <f t="shared" si="1"/>
        <v>2022/23</v>
      </c>
      <c r="S4" s="42" t="str">
        <f t="shared" si="1"/>
        <v>2023/24</v>
      </c>
      <c r="T4" s="64" t="str">
        <f t="shared" si="1"/>
        <v>2024/25</v>
      </c>
      <c r="U4" s="295" t="str">
        <f t="shared" si="1"/>
        <v>2025/26</v>
      </c>
      <c r="V4" s="42" t="str">
        <f t="shared" si="1"/>
        <v>2026/27</v>
      </c>
      <c r="W4" s="42" t="str">
        <f t="shared" si="1"/>
        <v>2027/28</v>
      </c>
      <c r="X4" s="42" t="str">
        <f t="shared" si="1"/>
        <v>2028/29</v>
      </c>
      <c r="Y4" s="64" t="str">
        <f t="shared" si="1"/>
        <v>2029/30</v>
      </c>
      <c r="Z4" s="295" t="str">
        <f t="shared" si="1"/>
        <v>2030/31</v>
      </c>
      <c r="AA4" s="42" t="str">
        <f t="shared" si="1"/>
        <v>2031/32</v>
      </c>
      <c r="AB4" s="42" t="str">
        <f t="shared" si="1"/>
        <v>2032/33</v>
      </c>
      <c r="AC4" s="42" t="str">
        <f t="shared" si="1"/>
        <v>2033/34</v>
      </c>
      <c r="AD4" s="64" t="str">
        <f t="shared" si="1"/>
        <v>2034/35</v>
      </c>
      <c r="AE4" s="295" t="str">
        <f t="shared" si="1"/>
        <v>2035/36</v>
      </c>
      <c r="AF4" s="42" t="str">
        <f t="shared" si="1"/>
        <v>2036/37</v>
      </c>
      <c r="AG4" s="42" t="str">
        <f t="shared" si="1"/>
        <v>2037/38</v>
      </c>
      <c r="AH4" s="42" t="str">
        <f t="shared" si="1"/>
        <v>2038/39</v>
      </c>
      <c r="AI4" s="64" t="str">
        <f t="shared" si="1"/>
        <v>2039/40</v>
      </c>
    </row>
    <row r="5" spans="1:35" x14ac:dyDescent="0.2">
      <c r="A5" s="51"/>
      <c r="B5" s="51"/>
      <c r="C5" s="51"/>
      <c r="D5" s="51"/>
      <c r="E5" s="51"/>
      <c r="F5" s="51"/>
      <c r="G5" s="51"/>
      <c r="H5" s="51"/>
      <c r="I5" s="57"/>
      <c r="J5" s="65"/>
      <c r="K5" s="66"/>
      <c r="L5" s="67"/>
      <c r="M5" s="67"/>
      <c r="N5" s="67"/>
      <c r="O5" s="68"/>
      <c r="P5" s="296"/>
      <c r="Q5" s="297"/>
      <c r="R5" s="297"/>
      <c r="S5" s="297"/>
      <c r="T5" s="298"/>
      <c r="U5" s="72"/>
      <c r="V5" s="73"/>
      <c r="W5" s="73"/>
      <c r="X5" s="73"/>
      <c r="Y5" s="74"/>
      <c r="Z5" s="72"/>
      <c r="AA5" s="54"/>
      <c r="AB5" s="54"/>
      <c r="AC5" s="54"/>
      <c r="AD5" s="304"/>
      <c r="AE5" s="56"/>
      <c r="AF5" s="54"/>
      <c r="AG5" s="54"/>
      <c r="AH5" s="54"/>
      <c r="AI5" s="304"/>
    </row>
    <row r="6" spans="1:35" x14ac:dyDescent="0.2">
      <c r="A6" s="51"/>
      <c r="C6" s="69"/>
      <c r="D6" s="69"/>
      <c r="E6" s="69"/>
      <c r="F6" s="69"/>
      <c r="G6" s="70"/>
      <c r="H6" s="71" t="s">
        <v>204</v>
      </c>
      <c r="I6" s="57"/>
      <c r="J6" s="51"/>
      <c r="K6" s="72"/>
      <c r="L6" s="73"/>
      <c r="M6" s="73"/>
      <c r="N6" s="73"/>
      <c r="O6" s="74"/>
      <c r="P6" s="72"/>
      <c r="Q6" s="73"/>
      <c r="R6" s="73"/>
      <c r="S6" s="73"/>
      <c r="T6" s="77"/>
      <c r="U6" s="72"/>
      <c r="V6" s="73"/>
      <c r="W6" s="73"/>
      <c r="X6" s="73"/>
      <c r="Y6" s="74"/>
      <c r="Z6" s="72"/>
      <c r="AA6" s="54"/>
      <c r="AB6" s="54"/>
      <c r="AC6" s="54"/>
      <c r="AD6" s="304"/>
      <c r="AE6" s="56"/>
      <c r="AF6" s="54"/>
      <c r="AG6" s="54"/>
      <c r="AH6" s="54"/>
      <c r="AI6" s="304"/>
    </row>
    <row r="7" spans="1:35" x14ac:dyDescent="0.2">
      <c r="A7" s="51"/>
      <c r="B7" s="69" t="s">
        <v>151</v>
      </c>
      <c r="C7" s="51"/>
      <c r="D7" s="51"/>
      <c r="E7" s="51"/>
      <c r="F7" s="51"/>
      <c r="H7" s="52"/>
      <c r="I7" s="57" t="s">
        <v>152</v>
      </c>
      <c r="J7" s="58"/>
      <c r="K7" s="75"/>
      <c r="L7" s="76"/>
      <c r="M7" s="76"/>
      <c r="N7" s="76"/>
      <c r="O7" s="77"/>
      <c r="P7" s="75"/>
      <c r="Q7" s="76"/>
      <c r="R7" s="76"/>
      <c r="S7" s="76"/>
      <c r="T7" s="77"/>
      <c r="U7" s="72"/>
      <c r="V7" s="73"/>
      <c r="W7" s="73"/>
      <c r="X7" s="73"/>
      <c r="Y7" s="74"/>
      <c r="Z7" s="72"/>
      <c r="AA7" s="54"/>
      <c r="AB7" s="54"/>
      <c r="AC7" s="54"/>
      <c r="AD7" s="304"/>
      <c r="AE7" s="56"/>
      <c r="AF7" s="54"/>
      <c r="AG7" s="54"/>
      <c r="AH7" s="54"/>
      <c r="AI7" s="304"/>
    </row>
    <row r="8" spans="1:35" x14ac:dyDescent="0.2">
      <c r="A8" s="51"/>
      <c r="C8" s="78" t="s">
        <v>126</v>
      </c>
      <c r="D8" s="51"/>
      <c r="E8" s="51"/>
      <c r="F8" s="51"/>
      <c r="G8" s="79"/>
      <c r="H8" s="305">
        <f>NPV($G$4,N8:AG8)</f>
        <v>5.3915691274414428</v>
      </c>
      <c r="I8" s="80"/>
      <c r="J8" s="81">
        <f>'[1]Incremental demand'!E266</f>
        <v>0</v>
      </c>
      <c r="K8" s="379">
        <f>Demand!K33</f>
        <v>0.28561805927611772</v>
      </c>
      <c r="L8" s="380">
        <f>Demand!L33</f>
        <v>0.31727356601143697</v>
      </c>
      <c r="M8" s="380">
        <f>Demand!M33</f>
        <v>-0.29464540085547242</v>
      </c>
      <c r="N8" s="380">
        <f>Demand!N33</f>
        <v>1.2831521473921015</v>
      </c>
      <c r="O8" s="381">
        <f>Demand!O33</f>
        <v>0.28683313201661775</v>
      </c>
      <c r="P8" s="379">
        <f>Demand!P33</f>
        <v>0.30818369486424757</v>
      </c>
      <c r="Q8" s="380">
        <f>Demand!Q33</f>
        <v>0.17833046301866773</v>
      </c>
      <c r="R8" s="380">
        <f>Demand!R33</f>
        <v>0.17681053098142741</v>
      </c>
      <c r="S8" s="380">
        <f>Demand!S33</f>
        <v>0.17784028420777531</v>
      </c>
      <c r="T8" s="381">
        <f>Demand!T33</f>
        <v>0.17989537480410434</v>
      </c>
      <c r="U8" s="379">
        <f>Demand!U33</f>
        <v>0.57626638156789056</v>
      </c>
      <c r="V8" s="380">
        <f>Demand!V33</f>
        <v>0.3159598393895493</v>
      </c>
      <c r="W8" s="380">
        <f>Demand!W33</f>
        <v>0.31595983938953509</v>
      </c>
      <c r="X8" s="380">
        <f>Demand!X33</f>
        <v>0.31595983938953509</v>
      </c>
      <c r="Y8" s="381">
        <f>Demand!Y33</f>
        <v>0.31595983938953509</v>
      </c>
      <c r="Z8" s="379">
        <f>Demand!Z33</f>
        <v>0.31595983938953509</v>
      </c>
      <c r="AA8" s="380">
        <f>Demand!AA33</f>
        <v>0.3159598393895493</v>
      </c>
      <c r="AB8" s="380">
        <f>Demand!AB33</f>
        <v>0.31595983938953509</v>
      </c>
      <c r="AC8" s="380">
        <f>Demand!AC33</f>
        <v>0.31595983938953509</v>
      </c>
      <c r="AD8" s="381">
        <f>Demand!AD33</f>
        <v>0.31595983938953509</v>
      </c>
      <c r="AE8" s="379">
        <f>Demand!AE33</f>
        <v>0.3159598393895493</v>
      </c>
      <c r="AF8" s="380">
        <f>Demand!AF33</f>
        <v>0.31595983938953509</v>
      </c>
      <c r="AG8" s="380">
        <f>Demand!AG33</f>
        <v>0.31595983938953509</v>
      </c>
      <c r="AH8" s="380">
        <f>Demand!AH33</f>
        <v>0.31595983938953509</v>
      </c>
      <c r="AI8" s="381">
        <f>Demand!AI33</f>
        <v>0.3159598393895493</v>
      </c>
    </row>
    <row r="9" spans="1:35" x14ac:dyDescent="0.2">
      <c r="A9" s="51"/>
      <c r="C9" s="78" t="s">
        <v>128</v>
      </c>
      <c r="D9" s="51"/>
      <c r="E9" s="51"/>
      <c r="F9" s="51"/>
      <c r="G9" s="79"/>
      <c r="H9" s="305">
        <f t="shared" ref="H9:H13" si="2">NPV($G$4,N9:AG9)</f>
        <v>5.2438549047718181</v>
      </c>
      <c r="I9" s="80"/>
      <c r="J9" s="82">
        <f>'[1]Incremental demand'!E267</f>
        <v>0</v>
      </c>
      <c r="K9" s="382">
        <f>Demand!K34</f>
        <v>0.27779290696718562</v>
      </c>
      <c r="L9" s="383">
        <f>Demand!L34</f>
        <v>0.30858113954537458</v>
      </c>
      <c r="M9" s="383">
        <f>Demand!M34</f>
        <v>-0.28657292411971014</v>
      </c>
      <c r="N9" s="383">
        <f>Demand!N34</f>
        <v>1.2479972940388961</v>
      </c>
      <c r="O9" s="384">
        <f>Demand!O34</f>
        <v>0.27897469004355457</v>
      </c>
      <c r="P9" s="382">
        <f>Demand!P34</f>
        <v>0.29974030596386569</v>
      </c>
      <c r="Q9" s="383">
        <f>Demand!Q34</f>
        <v>0.17344469690855391</v>
      </c>
      <c r="R9" s="383">
        <f>Demand!R34</f>
        <v>0.1719664068449589</v>
      </c>
      <c r="S9" s="383">
        <f>Demand!S34</f>
        <v>0.17296794765413637</v>
      </c>
      <c r="T9" s="384">
        <f>Demand!T34</f>
        <v>0.17496673439850952</v>
      </c>
      <c r="U9" s="382">
        <f>Demand!U34</f>
        <v>0.56047826152494196</v>
      </c>
      <c r="V9" s="383">
        <f>Demand!V34</f>
        <v>0.30730340543365742</v>
      </c>
      <c r="W9" s="383">
        <f>Demand!W34</f>
        <v>0.30730340543367163</v>
      </c>
      <c r="X9" s="383">
        <f>Demand!X34</f>
        <v>0.30730340543365742</v>
      </c>
      <c r="Y9" s="384">
        <f>Demand!Y34</f>
        <v>0.30730340543365742</v>
      </c>
      <c r="Z9" s="382">
        <f>Demand!Z34</f>
        <v>0.30730340543365742</v>
      </c>
      <c r="AA9" s="383">
        <f>Demand!AA34</f>
        <v>0.30730340543365742</v>
      </c>
      <c r="AB9" s="383">
        <f>Demand!AB34</f>
        <v>0.30730340543367163</v>
      </c>
      <c r="AC9" s="383">
        <f>Demand!AC34</f>
        <v>0.30730340543364321</v>
      </c>
      <c r="AD9" s="384">
        <f>Demand!AD34</f>
        <v>0.30730340543367163</v>
      </c>
      <c r="AE9" s="382">
        <f>Demand!AE34</f>
        <v>0.30730340543365742</v>
      </c>
      <c r="AF9" s="383">
        <f>Demand!AF34</f>
        <v>0.30730340543367163</v>
      </c>
      <c r="AG9" s="383">
        <f>Demand!AG34</f>
        <v>0.30730340543365742</v>
      </c>
      <c r="AH9" s="383">
        <f>Demand!AH34</f>
        <v>0.30730340543365742</v>
      </c>
      <c r="AI9" s="384">
        <f>Demand!AI34</f>
        <v>0.30730340543365742</v>
      </c>
    </row>
    <row r="10" spans="1:35" x14ac:dyDescent="0.2">
      <c r="A10" s="51"/>
      <c r="C10" s="78" t="s">
        <v>153</v>
      </c>
      <c r="D10" s="51"/>
      <c r="E10" s="51"/>
      <c r="F10" s="51"/>
      <c r="G10" s="79"/>
      <c r="H10" s="305">
        <f t="shared" si="2"/>
        <v>12.998851594927309</v>
      </c>
      <c r="I10" s="80"/>
      <c r="J10" s="82">
        <f>'[1]Incremental demand'!E268</f>
        <v>0</v>
      </c>
      <c r="K10" s="382">
        <f>Demand!K35</f>
        <v>0.68861340318625253</v>
      </c>
      <c r="L10" s="383">
        <f>Demand!L35</f>
        <v>0.76493352901388789</v>
      </c>
      <c r="M10" s="383">
        <f>Demand!M35</f>
        <v>-0.71037795274742166</v>
      </c>
      <c r="N10" s="383">
        <f>Demand!N35</f>
        <v>3.0936270950823257</v>
      </c>
      <c r="O10" s="384">
        <f>Demand!O35</f>
        <v>0.69154289362907662</v>
      </c>
      <c r="P10" s="382">
        <f>Demand!P35</f>
        <v>0.7430182232343725</v>
      </c>
      <c r="Q10" s="383">
        <f>Demand!Q35</f>
        <v>0.4299474176888225</v>
      </c>
      <c r="R10" s="383">
        <f>Demand!R35</f>
        <v>0.42628292401002454</v>
      </c>
      <c r="S10" s="383">
        <f>Demand!S35</f>
        <v>0.42876561672011348</v>
      </c>
      <c r="T10" s="384">
        <f>Demand!T35</f>
        <v>0.43372035569208833</v>
      </c>
      <c r="U10" s="382">
        <f>Demand!U35</f>
        <v>1.389354563780131</v>
      </c>
      <c r="V10" s="383">
        <f>Demand!V35</f>
        <v>0.76176618811723529</v>
      </c>
      <c r="W10" s="383">
        <f>Demand!W35</f>
        <v>0.76176618811726371</v>
      </c>
      <c r="X10" s="383">
        <f>Demand!X35</f>
        <v>0.76176618811723529</v>
      </c>
      <c r="Y10" s="384">
        <f>Demand!Y35</f>
        <v>0.76176618811723529</v>
      </c>
      <c r="Z10" s="382">
        <f>Demand!Z35</f>
        <v>0.76176618811726371</v>
      </c>
      <c r="AA10" s="383">
        <f>Demand!AA35</f>
        <v>0.76176618811723529</v>
      </c>
      <c r="AB10" s="383">
        <f>Demand!AB35</f>
        <v>0.76176618811723529</v>
      </c>
      <c r="AC10" s="383">
        <f>Demand!AC35</f>
        <v>0.76176618811723529</v>
      </c>
      <c r="AD10" s="384">
        <f>Demand!AD35</f>
        <v>0.76176618811726371</v>
      </c>
      <c r="AE10" s="382">
        <f>Demand!AE35</f>
        <v>0.76176618811723529</v>
      </c>
      <c r="AF10" s="383">
        <f>Demand!AF35</f>
        <v>0.76176618811726371</v>
      </c>
      <c r="AG10" s="383">
        <f>Demand!AG35</f>
        <v>0.76176618811723529</v>
      </c>
      <c r="AH10" s="383">
        <f>Demand!AH35</f>
        <v>0.76176618811723529</v>
      </c>
      <c r="AI10" s="384">
        <f>Demand!AI35</f>
        <v>0.76176618811723529</v>
      </c>
    </row>
    <row r="11" spans="1:35" x14ac:dyDescent="0.2">
      <c r="A11" s="51"/>
      <c r="C11" s="78" t="s">
        <v>129</v>
      </c>
      <c r="D11" s="51"/>
      <c r="E11" s="51"/>
      <c r="F11" s="51"/>
      <c r="G11" s="79"/>
      <c r="H11" s="305">
        <f t="shared" si="2"/>
        <v>59.75040306986471</v>
      </c>
      <c r="I11" s="80"/>
      <c r="J11" s="83">
        <f>'[1]Incremental demand'!E269</f>
        <v>0</v>
      </c>
      <c r="K11" s="385">
        <f>Demand!K36</f>
        <v>3.1652741089640131</v>
      </c>
      <c r="L11" s="386">
        <f>Demand!L36</f>
        <v>3.516086505524072</v>
      </c>
      <c r="M11" s="386">
        <f>Demand!M36</f>
        <v>-3.2653168396174124</v>
      </c>
      <c r="N11" s="386">
        <f>Demand!N36</f>
        <v>14.220138181372704</v>
      </c>
      <c r="O11" s="387">
        <f>Demand!O36</f>
        <v>3.1787397781018853</v>
      </c>
      <c r="P11" s="385">
        <f>Demand!P36</f>
        <v>3.4153508102079968</v>
      </c>
      <c r="Q11" s="386">
        <f>Demand!Q36</f>
        <v>1.9762923915354804</v>
      </c>
      <c r="R11" s="386">
        <f>Demand!R36</f>
        <v>1.9594482132052917</v>
      </c>
      <c r="S11" s="386">
        <f>Demand!S36</f>
        <v>1.9708601359463955</v>
      </c>
      <c r="T11" s="387">
        <f>Demand!T36</f>
        <v>1.9936350440618753</v>
      </c>
      <c r="U11" s="385">
        <f>Demand!U36</f>
        <v>6.3862945573756633</v>
      </c>
      <c r="V11" s="386">
        <f>Demand!V36</f>
        <v>3.5015275351526043</v>
      </c>
      <c r="W11" s="386">
        <f>Demand!W36</f>
        <v>3.5015275351526043</v>
      </c>
      <c r="X11" s="386">
        <f>Demand!X36</f>
        <v>3.5015275351526043</v>
      </c>
      <c r="Y11" s="387">
        <f>Demand!Y36</f>
        <v>3.5015275351524906</v>
      </c>
      <c r="Z11" s="385">
        <f>Demand!Z36</f>
        <v>3.5015275351524906</v>
      </c>
      <c r="AA11" s="386">
        <f>Demand!AA36</f>
        <v>3.5015275351526043</v>
      </c>
      <c r="AB11" s="386">
        <f>Demand!AB36</f>
        <v>3.5015275351526043</v>
      </c>
      <c r="AC11" s="386">
        <f>Demand!AC36</f>
        <v>3.5015275351524906</v>
      </c>
      <c r="AD11" s="387">
        <f>Demand!AD36</f>
        <v>3.5015275351526043</v>
      </c>
      <c r="AE11" s="385">
        <f>Demand!AE36</f>
        <v>3.5015275351524906</v>
      </c>
      <c r="AF11" s="386">
        <f>Demand!AF36</f>
        <v>3.5015275351526043</v>
      </c>
      <c r="AG11" s="386">
        <f>Demand!AG36</f>
        <v>3.5015275351526043</v>
      </c>
      <c r="AH11" s="386">
        <f>Demand!AH36</f>
        <v>3.5015275351524906</v>
      </c>
      <c r="AI11" s="387">
        <f>Demand!AI36</f>
        <v>3.5015275351526043</v>
      </c>
    </row>
    <row r="12" spans="1:35" x14ac:dyDescent="0.2">
      <c r="A12" s="51"/>
      <c r="C12" s="78" t="s">
        <v>154</v>
      </c>
      <c r="D12" s="51"/>
      <c r="E12" s="51"/>
      <c r="F12" s="51"/>
      <c r="G12" s="79"/>
      <c r="H12" s="306">
        <f t="shared" si="2"/>
        <v>161.15621693256475</v>
      </c>
      <c r="I12" s="80"/>
      <c r="J12" s="83">
        <f>'[1]Incremental demand'!E270</f>
        <v>0</v>
      </c>
      <c r="K12" s="385">
        <f>Demand!K37</f>
        <v>8.5372411690477747</v>
      </c>
      <c r="L12" s="386">
        <f>Demand!L37</f>
        <v>9.4834372744790016</v>
      </c>
      <c r="M12" s="386">
        <f>Demand!M37</f>
        <v>-8.8070721187209529</v>
      </c>
      <c r="N12" s="386">
        <f>Demand!N37</f>
        <v>38.353945008350138</v>
      </c>
      <c r="O12" s="387">
        <f>Demand!O37</f>
        <v>8.5735601926060099</v>
      </c>
      <c r="P12" s="385">
        <f>Demand!P37</f>
        <v>9.2117372903262549</v>
      </c>
      <c r="Q12" s="386">
        <f>Demand!Q37</f>
        <v>5.3303708261191787</v>
      </c>
      <c r="R12" s="386">
        <f>Demand!R37</f>
        <v>5.2849394328973176</v>
      </c>
      <c r="S12" s="386">
        <f>Demand!S37</f>
        <v>5.3157191800185046</v>
      </c>
      <c r="T12" s="387">
        <f>Demand!T37</f>
        <v>5.3771466825007792</v>
      </c>
      <c r="U12" s="385">
        <f>Demand!U37</f>
        <v>17.224838966865036</v>
      </c>
      <c r="V12" s="386">
        <f>Demand!V37</f>
        <v>9.4441694458625989</v>
      </c>
      <c r="W12" s="386">
        <f>Demand!W37</f>
        <v>9.4441694458628263</v>
      </c>
      <c r="X12" s="386">
        <f>Demand!X37</f>
        <v>9.4441694458625989</v>
      </c>
      <c r="Y12" s="387">
        <f>Demand!Y37</f>
        <v>9.4441694458623715</v>
      </c>
      <c r="Z12" s="385">
        <f>Demand!Z37</f>
        <v>9.4441694458628263</v>
      </c>
      <c r="AA12" s="386">
        <f>Demand!AA37</f>
        <v>9.4441694458625989</v>
      </c>
      <c r="AB12" s="386">
        <f>Demand!AB37</f>
        <v>9.4441694458628263</v>
      </c>
      <c r="AC12" s="386">
        <f>Demand!AC37</f>
        <v>9.4441694458623715</v>
      </c>
      <c r="AD12" s="387">
        <f>Demand!AD37</f>
        <v>9.4441694458625989</v>
      </c>
      <c r="AE12" s="385">
        <f>Demand!AE37</f>
        <v>9.4441694458625989</v>
      </c>
      <c r="AF12" s="386">
        <f>Demand!AF37</f>
        <v>9.4441694458628263</v>
      </c>
      <c r="AG12" s="386">
        <f>Demand!AG37</f>
        <v>9.4441694458628263</v>
      </c>
      <c r="AH12" s="386">
        <f>Demand!AH37</f>
        <v>9.4441694458623715</v>
      </c>
      <c r="AI12" s="387">
        <f>Demand!AI37</f>
        <v>9.4441694458628263</v>
      </c>
    </row>
    <row r="13" spans="1:35" x14ac:dyDescent="0.2">
      <c r="A13" s="51"/>
      <c r="C13" s="51" t="s">
        <v>119</v>
      </c>
      <c r="D13" s="51"/>
      <c r="E13" s="51"/>
      <c r="F13" s="51"/>
      <c r="G13" s="79"/>
      <c r="H13" s="307">
        <f t="shared" si="2"/>
        <v>244.54089562956997</v>
      </c>
      <c r="I13" s="80"/>
      <c r="J13" s="84">
        <f t="shared" ref="J13:AI13" si="3">SUM(J8:J12)</f>
        <v>0</v>
      </c>
      <c r="K13" s="388">
        <f t="shared" si="3"/>
        <v>12.954539647441344</v>
      </c>
      <c r="L13" s="389">
        <f t="shared" si="3"/>
        <v>14.390312014573773</v>
      </c>
      <c r="M13" s="389">
        <f t="shared" si="3"/>
        <v>-13.363985236060969</v>
      </c>
      <c r="N13" s="389">
        <f t="shared" si="3"/>
        <v>58.198859726236165</v>
      </c>
      <c r="O13" s="390">
        <f t="shared" si="3"/>
        <v>13.009650686397144</v>
      </c>
      <c r="P13" s="388">
        <f t="shared" si="3"/>
        <v>13.978030324596737</v>
      </c>
      <c r="Q13" s="389">
        <f t="shared" si="3"/>
        <v>8.0883857952707032</v>
      </c>
      <c r="R13" s="389">
        <f t="shared" si="3"/>
        <v>8.0194475079390202</v>
      </c>
      <c r="S13" s="389">
        <f t="shared" si="3"/>
        <v>8.0661531645469253</v>
      </c>
      <c r="T13" s="390">
        <f t="shared" si="3"/>
        <v>8.1593641914573567</v>
      </c>
      <c r="U13" s="388">
        <f t="shared" si="3"/>
        <v>26.137232731113663</v>
      </c>
      <c r="V13" s="389">
        <f t="shared" si="3"/>
        <v>14.330726413955645</v>
      </c>
      <c r="W13" s="389">
        <f t="shared" si="3"/>
        <v>14.330726413955901</v>
      </c>
      <c r="X13" s="389">
        <f t="shared" si="3"/>
        <v>14.330726413955631</v>
      </c>
      <c r="Y13" s="390">
        <f t="shared" si="3"/>
        <v>14.33072641395529</v>
      </c>
      <c r="Z13" s="388">
        <f t="shared" si="3"/>
        <v>14.330726413955773</v>
      </c>
      <c r="AA13" s="389">
        <f t="shared" si="3"/>
        <v>14.330726413955645</v>
      </c>
      <c r="AB13" s="389">
        <f t="shared" si="3"/>
        <v>14.330726413955873</v>
      </c>
      <c r="AC13" s="389">
        <f t="shared" si="3"/>
        <v>14.330726413955276</v>
      </c>
      <c r="AD13" s="390">
        <f t="shared" si="3"/>
        <v>14.330726413955674</v>
      </c>
      <c r="AE13" s="388">
        <f t="shared" si="3"/>
        <v>14.330726413955531</v>
      </c>
      <c r="AF13" s="389">
        <f t="shared" si="3"/>
        <v>14.330726413955901</v>
      </c>
      <c r="AG13" s="389">
        <f t="shared" si="3"/>
        <v>14.330726413955858</v>
      </c>
      <c r="AH13" s="389">
        <f t="shared" si="3"/>
        <v>14.33072641395529</v>
      </c>
      <c r="AI13" s="390">
        <f t="shared" si="3"/>
        <v>14.330726413955873</v>
      </c>
    </row>
    <row r="14" spans="1:35" x14ac:dyDescent="0.2">
      <c r="A14" s="51"/>
      <c r="B14" s="85"/>
      <c r="C14" s="85"/>
      <c r="D14" s="85"/>
      <c r="E14" s="85"/>
      <c r="F14" s="85"/>
      <c r="G14" s="79"/>
      <c r="H14" s="79"/>
      <c r="I14" s="57"/>
      <c r="J14" s="85"/>
      <c r="K14" s="86"/>
      <c r="L14" s="87"/>
      <c r="M14" s="87"/>
      <c r="N14" s="88"/>
      <c r="O14" s="89"/>
      <c r="P14" s="299"/>
      <c r="Q14" s="88"/>
      <c r="R14" s="88"/>
      <c r="S14" s="88"/>
      <c r="T14" s="300"/>
      <c r="U14" s="72"/>
      <c r="V14" s="73"/>
      <c r="W14" s="73"/>
      <c r="X14" s="73"/>
      <c r="Y14" s="74"/>
      <c r="Z14" s="72"/>
      <c r="AA14" s="54"/>
      <c r="AB14" s="54"/>
      <c r="AC14" s="54"/>
      <c r="AD14" s="304"/>
      <c r="AE14" s="56"/>
      <c r="AF14" s="54"/>
      <c r="AG14" s="54"/>
      <c r="AH14" s="54"/>
      <c r="AI14" s="304"/>
    </row>
    <row r="15" spans="1:35" x14ac:dyDescent="0.2">
      <c r="A15" s="51"/>
      <c r="B15" s="69" t="s">
        <v>155</v>
      </c>
      <c r="C15" s="51"/>
      <c r="D15" s="51"/>
      <c r="E15" s="51"/>
      <c r="F15" s="51"/>
      <c r="G15" s="79"/>
      <c r="H15" s="79"/>
      <c r="I15" s="57" t="s">
        <v>156</v>
      </c>
      <c r="J15" s="90"/>
      <c r="K15" s="91"/>
      <c r="L15" s="92"/>
      <c r="M15" s="92"/>
      <c r="N15" s="92"/>
      <c r="O15" s="93"/>
      <c r="P15" s="91"/>
      <c r="Q15" s="92"/>
      <c r="R15" s="92"/>
      <c r="S15" s="92"/>
      <c r="T15" s="93"/>
      <c r="U15" s="91"/>
      <c r="V15" s="92"/>
      <c r="W15" s="92"/>
      <c r="X15" s="92"/>
      <c r="Y15" s="93"/>
      <c r="Z15" s="91"/>
      <c r="AA15" s="92"/>
      <c r="AB15" s="92"/>
      <c r="AC15" s="92"/>
      <c r="AD15" s="93"/>
      <c r="AE15" s="91"/>
      <c r="AF15" s="92"/>
      <c r="AG15" s="92"/>
      <c r="AH15" s="92"/>
      <c r="AI15" s="93"/>
    </row>
    <row r="16" spans="1:35" x14ac:dyDescent="0.2">
      <c r="A16" s="51"/>
      <c r="C16" s="78" t="s">
        <v>126</v>
      </c>
      <c r="D16" s="51"/>
      <c r="E16" s="51"/>
      <c r="F16" s="51"/>
      <c r="G16" s="79"/>
      <c r="H16" s="79"/>
      <c r="I16" s="80"/>
      <c r="J16" s="90"/>
      <c r="K16" s="98">
        <f>(Augmentation!K60+Replacement!K97)/1000000</f>
        <v>7.6793308117274881</v>
      </c>
      <c r="L16" s="99">
        <f>(Augmentation!L60+Replacement!L97)/1000000</f>
        <v>8.5207186370064587</v>
      </c>
      <c r="M16" s="99">
        <f>(Augmentation!M60+Replacement!M97)/1000000</f>
        <v>11.417128042953275</v>
      </c>
      <c r="N16" s="99">
        <f>(Augmentation!N60+Replacement!N97)/1000000</f>
        <v>9.6408550536000028</v>
      </c>
      <c r="O16" s="100">
        <f>(Augmentation!O60+Replacement!O97)/1000000</f>
        <v>8.0567499999999992</v>
      </c>
      <c r="P16" s="98">
        <f>(Augmentation!P60+Replacement!P97)/1000000</f>
        <v>10.427198204352493</v>
      </c>
      <c r="Q16" s="99">
        <f>(Augmentation!Q60+Replacement!Q97)/1000000</f>
        <v>7.889209902735316</v>
      </c>
      <c r="R16" s="99">
        <f>(Augmentation!R60+Replacement!R97)/1000000</f>
        <v>2.0779401318049855</v>
      </c>
      <c r="S16" s="99">
        <f>(Augmentation!S60+Replacement!S97)/1000000</f>
        <v>1.1573473712913582</v>
      </c>
      <c r="T16" s="100">
        <f>(Augmentation!T60+Replacement!T97)/1000000</f>
        <v>3.944223362013358</v>
      </c>
      <c r="U16" s="98">
        <f>(Augmentation!U60+Replacement!U97)/1000000</f>
        <v>6.2816459239024862</v>
      </c>
      <c r="V16" s="99">
        <f>(Augmentation!V60+Replacement!V97)/1000000</f>
        <v>5.296260816016666</v>
      </c>
      <c r="W16" s="99">
        <f>(Augmentation!W60+Replacement!W97)/1000000</f>
        <v>5.296260816016666</v>
      </c>
      <c r="X16" s="99">
        <f>(Augmentation!X60+Replacement!X97)/1000000</f>
        <v>5.296260816016666</v>
      </c>
      <c r="Y16" s="100">
        <f>(Augmentation!Y60+Replacement!Y97)/1000000</f>
        <v>5.296260816016666</v>
      </c>
      <c r="Z16" s="98">
        <f>(Augmentation!Z60+Replacement!Z97)/1000000</f>
        <v>5.296260816016666</v>
      </c>
      <c r="AA16" s="99">
        <f>(Augmentation!AA60+Replacement!AA97)/1000000</f>
        <v>5.296260816016666</v>
      </c>
      <c r="AB16" s="99">
        <f>(Augmentation!AB60+Replacement!AB97)/1000000</f>
        <v>5.296260816016666</v>
      </c>
      <c r="AC16" s="99">
        <f>(Augmentation!AC60+Replacement!AC97)/1000000</f>
        <v>5.296260816016666</v>
      </c>
      <c r="AD16" s="100">
        <f>(Augmentation!AD60+Replacement!AD97)/1000000</f>
        <v>5.296260816016666</v>
      </c>
      <c r="AE16" s="98">
        <f>(Augmentation!AE60+Replacement!AE97)/1000000</f>
        <v>5.296260816016666</v>
      </c>
      <c r="AF16" s="99">
        <f>(Augmentation!AF60+Replacement!AF97)/1000000</f>
        <v>5.296260816016666</v>
      </c>
      <c r="AG16" s="99">
        <f>(Augmentation!AG60+Replacement!AG97)/1000000</f>
        <v>5.296260816016666</v>
      </c>
      <c r="AH16" s="99">
        <f>(Augmentation!AH60+Replacement!AH97)/1000000</f>
        <v>5.296260816016666</v>
      </c>
      <c r="AI16" s="100">
        <f>(Augmentation!AI60+Replacement!AI97)/1000000</f>
        <v>5.296260816016666</v>
      </c>
    </row>
    <row r="17" spans="1:35" x14ac:dyDescent="0.2">
      <c r="A17" s="51"/>
      <c r="C17" s="78" t="s">
        <v>128</v>
      </c>
      <c r="D17" s="51"/>
      <c r="E17" s="51"/>
      <c r="F17" s="51"/>
      <c r="G17" s="79"/>
      <c r="H17" s="79"/>
      <c r="I17" s="80"/>
      <c r="J17" s="90"/>
      <c r="K17" s="101">
        <f>(Augmentation!K61+Replacement!K98)/1000000</f>
        <v>27.204697292908541</v>
      </c>
      <c r="L17" s="102">
        <f>(Augmentation!L61+Replacement!L98)/1000000</f>
        <v>23.844080074509492</v>
      </c>
      <c r="M17" s="102">
        <f>(Augmentation!M61+Replacement!M98)/1000000</f>
        <v>19.696408721666696</v>
      </c>
      <c r="N17" s="102">
        <f>(Augmentation!N61+Replacement!N98)/1000000</f>
        <v>13.953888586483563</v>
      </c>
      <c r="O17" s="103">
        <f>(Augmentation!O61+Replacement!O98)/1000000</f>
        <v>11.32826333567364</v>
      </c>
      <c r="P17" s="101">
        <f>(Augmentation!P61+Replacement!P98)/1000000</f>
        <v>8.486356576741759</v>
      </c>
      <c r="Q17" s="102">
        <f>(Augmentation!Q61+Replacement!Q98)/1000000</f>
        <v>7.863483956642054</v>
      </c>
      <c r="R17" s="102">
        <f>(Augmentation!R61+Replacement!R98)/1000000</f>
        <v>8.9581850914357677</v>
      </c>
      <c r="S17" s="102">
        <f>(Augmentation!S61+Replacement!S98)/1000000</f>
        <v>8.4019632353495677</v>
      </c>
      <c r="T17" s="103">
        <f>(Augmentation!T61+Replacement!T98)/1000000</f>
        <v>6.0310613982228842</v>
      </c>
      <c r="U17" s="101">
        <f>(Augmentation!U61+Replacement!U98)/1000000</f>
        <v>4.3676105184899319</v>
      </c>
      <c r="V17" s="102">
        <f>(Augmentation!V61+Replacement!V98)/1000000</f>
        <v>7.3514434628136609</v>
      </c>
      <c r="W17" s="102">
        <f>(Augmentation!W61+Replacement!W98)/1000000</f>
        <v>7.3514434628136609</v>
      </c>
      <c r="X17" s="102">
        <f>(Augmentation!X61+Replacement!X98)/1000000</f>
        <v>7.3514434628136609</v>
      </c>
      <c r="Y17" s="103">
        <f>(Augmentation!Y61+Replacement!Y98)/1000000</f>
        <v>7.3514434628136609</v>
      </c>
      <c r="Z17" s="101">
        <f>(Augmentation!Z61+Replacement!Z98)/1000000</f>
        <v>7.3514434628136609</v>
      </c>
      <c r="AA17" s="102">
        <f>(Augmentation!AA61+Replacement!AA98)/1000000</f>
        <v>7.3514434628136609</v>
      </c>
      <c r="AB17" s="102">
        <f>(Augmentation!AB61+Replacement!AB98)/1000000</f>
        <v>7.3514434628136609</v>
      </c>
      <c r="AC17" s="102">
        <f>(Augmentation!AC61+Replacement!AC98)/1000000</f>
        <v>7.3514434628136609</v>
      </c>
      <c r="AD17" s="103">
        <f>(Augmentation!AD61+Replacement!AD98)/1000000</f>
        <v>7.3514434628136609</v>
      </c>
      <c r="AE17" s="101">
        <f>(Augmentation!AE61+Replacement!AE98)/1000000</f>
        <v>7.3514434628136609</v>
      </c>
      <c r="AF17" s="102">
        <f>(Augmentation!AF61+Replacement!AF98)/1000000</f>
        <v>7.3514434628136609</v>
      </c>
      <c r="AG17" s="102">
        <f>(Augmentation!AG61+Replacement!AG98)/1000000</f>
        <v>7.3514434628136609</v>
      </c>
      <c r="AH17" s="102">
        <f>(Augmentation!AH61+Replacement!AH98)/1000000</f>
        <v>7.3514434628136609</v>
      </c>
      <c r="AI17" s="103">
        <f>(Augmentation!AI61+Replacement!AI98)/1000000</f>
        <v>7.3514434628136609</v>
      </c>
    </row>
    <row r="18" spans="1:35" x14ac:dyDescent="0.2">
      <c r="A18" s="51"/>
      <c r="C18" s="78" t="s">
        <v>153</v>
      </c>
      <c r="D18" s="51"/>
      <c r="E18" s="51"/>
      <c r="F18" s="51"/>
      <c r="G18" s="79"/>
      <c r="H18" s="79"/>
      <c r="I18" s="80"/>
      <c r="J18" s="90"/>
      <c r="K18" s="101">
        <f>(Augmentation!K62+Replacement!K99)/1000000</f>
        <v>2.3160174021965294</v>
      </c>
      <c r="L18" s="102">
        <f>(Augmentation!L62+Replacement!L99)/1000000</f>
        <v>4.1217484663367161</v>
      </c>
      <c r="M18" s="102">
        <f>(Augmentation!M62+Replacement!M99)/1000000</f>
        <v>6.2078812905072382</v>
      </c>
      <c r="N18" s="102">
        <f>(Augmentation!N62+Replacement!N99)/1000000</f>
        <v>5.2229151621855152</v>
      </c>
      <c r="O18" s="103">
        <f>(Augmentation!O62+Replacement!O99)/1000000</f>
        <v>6.0389197525886686</v>
      </c>
      <c r="P18" s="101">
        <f>(Augmentation!P62+Replacement!P99)/1000000</f>
        <v>5.7306814265306976</v>
      </c>
      <c r="Q18" s="102">
        <f>(Augmentation!Q62+Replacement!Q99)/1000000</f>
        <v>3.2365108132957787</v>
      </c>
      <c r="R18" s="102">
        <f>(Augmentation!R62+Replacement!R99)/1000000</f>
        <v>2.9307892282259402</v>
      </c>
      <c r="S18" s="102">
        <f>(Augmentation!S62+Replacement!S99)/1000000</f>
        <v>3.532466358789446</v>
      </c>
      <c r="T18" s="103">
        <f>(Augmentation!T62+Replacement!T99)/1000000</f>
        <v>3.6951592971602305</v>
      </c>
      <c r="U18" s="101">
        <f>(Augmentation!U62+Replacement!U99)/1000000</f>
        <v>3.4549216795320863</v>
      </c>
      <c r="V18" s="102">
        <f>(Augmentation!V62+Replacement!V99)/1000000</f>
        <v>3.7634214672556965</v>
      </c>
      <c r="W18" s="102">
        <f>(Augmentation!W62+Replacement!W99)/1000000</f>
        <v>3.7634214672556965</v>
      </c>
      <c r="X18" s="102">
        <f>(Augmentation!X62+Replacement!X99)/1000000</f>
        <v>3.7634214672556965</v>
      </c>
      <c r="Y18" s="103">
        <f>(Augmentation!Y62+Replacement!Y99)/1000000</f>
        <v>3.7634214672556965</v>
      </c>
      <c r="Z18" s="101">
        <f>(Augmentation!Z62+Replacement!Z99)/1000000</f>
        <v>3.7634214672556965</v>
      </c>
      <c r="AA18" s="102">
        <f>(Augmentation!AA62+Replacement!AA99)/1000000</f>
        <v>3.7634214672556965</v>
      </c>
      <c r="AB18" s="102">
        <f>(Augmentation!AB62+Replacement!AB99)/1000000</f>
        <v>3.7634214672556965</v>
      </c>
      <c r="AC18" s="102">
        <f>(Augmentation!AC62+Replacement!AC99)/1000000</f>
        <v>3.7634214672556965</v>
      </c>
      <c r="AD18" s="103">
        <f>(Augmentation!AD62+Replacement!AD99)/1000000</f>
        <v>3.7634214672556965</v>
      </c>
      <c r="AE18" s="101">
        <f>(Augmentation!AE62+Replacement!AE99)/1000000</f>
        <v>3.7634214672556965</v>
      </c>
      <c r="AF18" s="102">
        <f>(Augmentation!AF62+Replacement!AF99)/1000000</f>
        <v>3.7634214672556965</v>
      </c>
      <c r="AG18" s="102">
        <f>(Augmentation!AG62+Replacement!AG99)/1000000</f>
        <v>3.7634214672556965</v>
      </c>
      <c r="AH18" s="102">
        <f>(Augmentation!AH62+Replacement!AH99)/1000000</f>
        <v>3.7634214672556965</v>
      </c>
      <c r="AI18" s="103">
        <f>(Augmentation!AI62+Replacement!AI99)/1000000</f>
        <v>3.7634214672556965</v>
      </c>
    </row>
    <row r="19" spans="1:35" x14ac:dyDescent="0.2">
      <c r="A19" s="51"/>
      <c r="C19" s="78" t="s">
        <v>129</v>
      </c>
      <c r="D19" s="51"/>
      <c r="E19" s="51"/>
      <c r="F19" s="51"/>
      <c r="G19" s="79"/>
      <c r="H19" s="79"/>
      <c r="I19" s="80"/>
      <c r="J19" s="90"/>
      <c r="K19" s="104">
        <f>(Augmentation!K63+Replacement!K100)/1000000</f>
        <v>6.9591665493250483</v>
      </c>
      <c r="L19" s="105">
        <f>(Augmentation!L63+Replacement!L100)/1000000</f>
        <v>7.5160613562343173</v>
      </c>
      <c r="M19" s="105">
        <f>(Augmentation!M63+Replacement!M100)/1000000</f>
        <v>7.4511665686256761</v>
      </c>
      <c r="N19" s="105">
        <f>(Augmentation!N63+Replacement!N100)/1000000</f>
        <v>6.5382839716995935</v>
      </c>
      <c r="O19" s="106">
        <f>(Augmentation!O63+Replacement!O100)/1000000</f>
        <v>7.624088543788452</v>
      </c>
      <c r="P19" s="104">
        <f>(Augmentation!P63+Replacement!P100)/1000000</f>
        <v>8.8391876952916526</v>
      </c>
      <c r="Q19" s="105">
        <f>(Augmentation!Q63+Replacement!Q100)/1000000</f>
        <v>8.9364419109094548</v>
      </c>
      <c r="R19" s="105">
        <f>(Augmentation!R63+Replacement!R100)/1000000</f>
        <v>8.944092068936671</v>
      </c>
      <c r="S19" s="105">
        <f>(Augmentation!S63+Replacement!S100)/1000000</f>
        <v>9.1287172297823602</v>
      </c>
      <c r="T19" s="106">
        <f>(Augmentation!T63+Replacement!T100)/1000000</f>
        <v>9.121108735175504</v>
      </c>
      <c r="U19" s="104">
        <f>(Augmentation!U63+Replacement!U100)/1000000</f>
        <v>9.0049054352518922</v>
      </c>
      <c r="V19" s="105">
        <f>(Augmentation!V63+Replacement!V100)/1000000</f>
        <v>8.9957421792245906</v>
      </c>
      <c r="W19" s="105">
        <f>(Augmentation!W63+Replacement!W100)/1000000</f>
        <v>8.9957421792245906</v>
      </c>
      <c r="X19" s="105">
        <f>(Augmentation!X63+Replacement!X100)/1000000</f>
        <v>8.9957421792245906</v>
      </c>
      <c r="Y19" s="106">
        <f>(Augmentation!Y63+Replacement!Y100)/1000000</f>
        <v>8.9957421792245906</v>
      </c>
      <c r="Z19" s="104">
        <f>(Augmentation!Z63+Replacement!Z100)/1000000</f>
        <v>8.9957421792245906</v>
      </c>
      <c r="AA19" s="105">
        <f>(Augmentation!AA63+Replacement!AA100)/1000000</f>
        <v>8.9957421792245906</v>
      </c>
      <c r="AB19" s="105">
        <f>(Augmentation!AB63+Replacement!AB100)/1000000</f>
        <v>8.9957421792245906</v>
      </c>
      <c r="AC19" s="105">
        <f>(Augmentation!AC63+Replacement!AC100)/1000000</f>
        <v>8.9957421792245906</v>
      </c>
      <c r="AD19" s="106">
        <f>(Augmentation!AD63+Replacement!AD100)/1000000</f>
        <v>8.9957421792245906</v>
      </c>
      <c r="AE19" s="104">
        <f>(Augmentation!AE63+Replacement!AE100)/1000000</f>
        <v>8.9957421792245906</v>
      </c>
      <c r="AF19" s="105">
        <f>(Augmentation!AF63+Replacement!AF100)/1000000</f>
        <v>8.9957421792245906</v>
      </c>
      <c r="AG19" s="105">
        <f>(Augmentation!AG63+Replacement!AG100)/1000000</f>
        <v>8.9957421792245906</v>
      </c>
      <c r="AH19" s="105">
        <f>(Augmentation!AH63+Replacement!AH100)/1000000</f>
        <v>8.9957421792245906</v>
      </c>
      <c r="AI19" s="106">
        <f>(Augmentation!AI63+Replacement!AI100)/1000000</f>
        <v>8.9957421792245906</v>
      </c>
    </row>
    <row r="20" spans="1:35" x14ac:dyDescent="0.2">
      <c r="A20" s="51"/>
      <c r="C20" s="78" t="s">
        <v>154</v>
      </c>
      <c r="D20" s="51"/>
      <c r="E20" s="51"/>
      <c r="F20" s="51"/>
      <c r="G20" s="79"/>
      <c r="H20" s="79"/>
      <c r="I20" s="80"/>
      <c r="J20" s="90"/>
      <c r="K20" s="104">
        <f>(Augmentation!K64+Replacement!K101)/1000000</f>
        <v>3.3720566504887435</v>
      </c>
      <c r="L20" s="105">
        <f>(Augmentation!L64+Replacement!L101)/1000000</f>
        <v>3.9729670567666049</v>
      </c>
      <c r="M20" s="105">
        <f>(Augmentation!M64+Replacement!M101)/1000000</f>
        <v>4.7415390039638829</v>
      </c>
      <c r="N20" s="105">
        <f>(Augmentation!N64+Replacement!N101)/1000000</f>
        <v>4.9427609667723207</v>
      </c>
      <c r="O20" s="106">
        <f>(Augmentation!O64+Replacement!O101)/1000000</f>
        <v>4.5986968077033632</v>
      </c>
      <c r="P20" s="104">
        <f>(Augmentation!P64+Replacement!P101)/1000000</f>
        <v>4.2210602352982205</v>
      </c>
      <c r="Q20" s="105">
        <f>(Augmentation!Q64+Replacement!Q101)/1000000</f>
        <v>4.2140044871506408</v>
      </c>
      <c r="R20" s="105">
        <f>(Augmentation!R64+Replacement!R101)/1000000</f>
        <v>4.1681924418689649</v>
      </c>
      <c r="S20" s="105">
        <f>(Augmentation!S64+Replacement!S101)/1000000</f>
        <v>4.1221404864934357</v>
      </c>
      <c r="T20" s="106">
        <f>(Augmentation!T64+Replacement!T101)/1000000</f>
        <v>4.0758868051931589</v>
      </c>
      <c r="U20" s="104">
        <f>(Augmentation!U64+Replacement!U101)/1000000</f>
        <v>4.0035534998291569</v>
      </c>
      <c r="V20" s="105">
        <f>(Augmentation!V64+Replacement!V101)/1000000</f>
        <v>4.1341396593055961</v>
      </c>
      <c r="W20" s="105">
        <f>(Augmentation!W64+Replacement!W101)/1000000</f>
        <v>4.1341396593055961</v>
      </c>
      <c r="X20" s="105">
        <f>(Augmentation!X64+Replacement!X101)/1000000</f>
        <v>4.1341396593055961</v>
      </c>
      <c r="Y20" s="106">
        <f>(Augmentation!Y64+Replacement!Y101)/1000000</f>
        <v>4.1341396593055961</v>
      </c>
      <c r="Z20" s="104">
        <f>(Augmentation!Z64+Replacement!Z101)/1000000</f>
        <v>4.1341396593055961</v>
      </c>
      <c r="AA20" s="105">
        <f>(Augmentation!AA64+Replacement!AA101)/1000000</f>
        <v>4.1341396593055961</v>
      </c>
      <c r="AB20" s="105">
        <f>(Augmentation!AB64+Replacement!AB101)/1000000</f>
        <v>4.1341396593055961</v>
      </c>
      <c r="AC20" s="105">
        <f>(Augmentation!AC64+Replacement!AC101)/1000000</f>
        <v>4.1341396593055961</v>
      </c>
      <c r="AD20" s="106">
        <f>(Augmentation!AD64+Replacement!AD101)/1000000</f>
        <v>4.1341396593055961</v>
      </c>
      <c r="AE20" s="104">
        <f>(Augmentation!AE64+Replacement!AE101)/1000000</f>
        <v>4.1341396593055961</v>
      </c>
      <c r="AF20" s="105">
        <f>(Augmentation!AF64+Replacement!AF101)/1000000</f>
        <v>4.1341396593055961</v>
      </c>
      <c r="AG20" s="105">
        <f>(Augmentation!AG64+Replacement!AG101)/1000000</f>
        <v>4.1341396593055961</v>
      </c>
      <c r="AH20" s="105">
        <f>(Augmentation!AH64+Replacement!AH101)/1000000</f>
        <v>4.1341396593055961</v>
      </c>
      <c r="AI20" s="106">
        <f>(Augmentation!AI64+Replacement!AI101)/1000000</f>
        <v>4.1341396593055961</v>
      </c>
    </row>
    <row r="21" spans="1:35" x14ac:dyDescent="0.2">
      <c r="A21" s="51"/>
      <c r="C21" s="51" t="s">
        <v>119</v>
      </c>
      <c r="D21" s="51"/>
      <c r="E21" s="51"/>
      <c r="F21" s="51"/>
      <c r="G21" s="79"/>
      <c r="H21" s="79"/>
      <c r="I21" s="80"/>
      <c r="J21" s="90"/>
      <c r="K21" s="107">
        <f t="shared" ref="K21:AI21" si="4">SUM(K16:K20)</f>
        <v>47.531268706646351</v>
      </c>
      <c r="L21" s="108">
        <f t="shared" si="4"/>
        <v>47.975575590853595</v>
      </c>
      <c r="M21" s="108">
        <f t="shared" si="4"/>
        <v>49.514123627716771</v>
      </c>
      <c r="N21" s="108">
        <f t="shared" si="4"/>
        <v>40.29870374074099</v>
      </c>
      <c r="O21" s="109">
        <f t="shared" si="4"/>
        <v>37.646718439754125</v>
      </c>
      <c r="P21" s="107">
        <f t="shared" si="4"/>
        <v>37.704484138214816</v>
      </c>
      <c r="Q21" s="108">
        <f t="shared" si="4"/>
        <v>32.139651070733244</v>
      </c>
      <c r="R21" s="108">
        <f t="shared" si="4"/>
        <v>27.079198962272326</v>
      </c>
      <c r="S21" s="108">
        <f t="shared" si="4"/>
        <v>26.342634681706166</v>
      </c>
      <c r="T21" s="109">
        <f t="shared" si="4"/>
        <v>26.867439597765134</v>
      </c>
      <c r="U21" s="107">
        <f t="shared" si="4"/>
        <v>27.112637057005553</v>
      </c>
      <c r="V21" s="108">
        <f t="shared" si="4"/>
        <v>29.54100758461621</v>
      </c>
      <c r="W21" s="108">
        <f t="shared" si="4"/>
        <v>29.54100758461621</v>
      </c>
      <c r="X21" s="108">
        <f t="shared" si="4"/>
        <v>29.54100758461621</v>
      </c>
      <c r="Y21" s="109">
        <f t="shared" si="4"/>
        <v>29.54100758461621</v>
      </c>
      <c r="Z21" s="107">
        <f t="shared" si="4"/>
        <v>29.54100758461621</v>
      </c>
      <c r="AA21" s="108">
        <f t="shared" si="4"/>
        <v>29.54100758461621</v>
      </c>
      <c r="AB21" s="108">
        <f t="shared" si="4"/>
        <v>29.54100758461621</v>
      </c>
      <c r="AC21" s="108">
        <f t="shared" si="4"/>
        <v>29.54100758461621</v>
      </c>
      <c r="AD21" s="109">
        <f t="shared" si="4"/>
        <v>29.54100758461621</v>
      </c>
      <c r="AE21" s="107">
        <f t="shared" si="4"/>
        <v>29.54100758461621</v>
      </c>
      <c r="AF21" s="108">
        <f t="shared" si="4"/>
        <v>29.54100758461621</v>
      </c>
      <c r="AG21" s="108">
        <f t="shared" si="4"/>
        <v>29.54100758461621</v>
      </c>
      <c r="AH21" s="108">
        <f t="shared" si="4"/>
        <v>29.54100758461621</v>
      </c>
      <c r="AI21" s="109">
        <f t="shared" si="4"/>
        <v>29.54100758461621</v>
      </c>
    </row>
    <row r="22" spans="1:35" x14ac:dyDescent="0.2">
      <c r="A22" s="51"/>
      <c r="B22" s="51"/>
      <c r="C22" s="51"/>
      <c r="D22" s="51"/>
      <c r="E22" s="51"/>
      <c r="F22" s="51"/>
      <c r="G22" s="79"/>
      <c r="H22" s="79"/>
      <c r="I22" s="94"/>
      <c r="J22" s="51"/>
      <c r="K22" s="72"/>
      <c r="L22" s="73"/>
      <c r="M22" s="73"/>
      <c r="N22" s="73"/>
      <c r="O22" s="74"/>
      <c r="P22" s="72"/>
      <c r="Q22" s="73"/>
      <c r="R22" s="73"/>
      <c r="S22" s="73"/>
      <c r="T22" s="77"/>
      <c r="U22" s="72"/>
      <c r="V22" s="73"/>
      <c r="W22" s="73"/>
      <c r="X22" s="73"/>
      <c r="Y22" s="74"/>
      <c r="Z22" s="72"/>
      <c r="AA22" s="54"/>
      <c r="AB22" s="54"/>
      <c r="AC22" s="54"/>
      <c r="AD22" s="304"/>
      <c r="AE22" s="56"/>
      <c r="AF22" s="54"/>
      <c r="AG22" s="54"/>
      <c r="AH22" s="54"/>
      <c r="AI22" s="304"/>
    </row>
    <row r="23" spans="1:35" x14ac:dyDescent="0.2">
      <c r="A23" s="51"/>
      <c r="B23" s="69" t="s">
        <v>157</v>
      </c>
      <c r="C23" s="51"/>
      <c r="D23" s="51"/>
      <c r="E23" s="51"/>
      <c r="F23" s="51"/>
      <c r="G23" s="79"/>
      <c r="H23" s="79"/>
      <c r="I23" s="57" t="s">
        <v>156</v>
      </c>
      <c r="J23" s="51"/>
      <c r="K23" s="72"/>
      <c r="L23" s="73"/>
      <c r="M23" s="73"/>
      <c r="N23" s="73"/>
      <c r="O23" s="74"/>
      <c r="P23" s="72"/>
      <c r="Q23" s="73"/>
      <c r="R23" s="73"/>
      <c r="S23" s="73"/>
      <c r="T23" s="77"/>
      <c r="U23" s="72"/>
      <c r="V23" s="73"/>
      <c r="W23" s="73"/>
      <c r="X23" s="73"/>
      <c r="Y23" s="74"/>
      <c r="Z23" s="72"/>
      <c r="AA23" s="54"/>
      <c r="AB23" s="54"/>
      <c r="AC23" s="54"/>
      <c r="AD23" s="304"/>
      <c r="AE23" s="56"/>
      <c r="AF23" s="54"/>
      <c r="AG23" s="54"/>
      <c r="AH23" s="54"/>
      <c r="AI23" s="304"/>
    </row>
    <row r="24" spans="1:35" x14ac:dyDescent="0.2">
      <c r="A24" s="51"/>
      <c r="C24" s="78" t="s">
        <v>126</v>
      </c>
      <c r="D24" s="51"/>
      <c r="E24" s="51"/>
      <c r="F24" s="51"/>
      <c r="G24" s="79"/>
      <c r="H24" s="79"/>
      <c r="I24" s="80"/>
      <c r="J24" s="51"/>
      <c r="K24" s="98">
        <f>-PMT($G$4,$H$4,K16)</f>
        <v>0.29207193014711441</v>
      </c>
      <c r="L24" s="99">
        <f t="shared" ref="L24:AI24" si="5">-PMT($G$4,$H$4,L16)</f>
        <v>0.32407286514476047</v>
      </c>
      <c r="M24" s="99">
        <f t="shared" si="5"/>
        <v>0.43423349065124811</v>
      </c>
      <c r="N24" s="99">
        <f t="shared" si="5"/>
        <v>0.36667558838243192</v>
      </c>
      <c r="O24" s="100">
        <f t="shared" si="5"/>
        <v>0.30642650784351555</v>
      </c>
      <c r="P24" s="98">
        <f t="shared" si="5"/>
        <v>0.39658298102236145</v>
      </c>
      <c r="Q24" s="99">
        <f t="shared" si="5"/>
        <v>0.30005436933498797</v>
      </c>
      <c r="R24" s="99">
        <f t="shared" si="5"/>
        <v>7.9031363527091711E-2</v>
      </c>
      <c r="S24" s="99">
        <f t="shared" si="5"/>
        <v>4.4017986576061506E-2</v>
      </c>
      <c r="T24" s="100">
        <f t="shared" si="5"/>
        <v>0.15001267148373271</v>
      </c>
      <c r="U24" s="98">
        <f t="shared" si="5"/>
        <v>0.23891306345249547</v>
      </c>
      <c r="V24" s="99">
        <f t="shared" si="5"/>
        <v>0.20143540589945513</v>
      </c>
      <c r="W24" s="99">
        <f t="shared" si="5"/>
        <v>0.20143540589945513</v>
      </c>
      <c r="X24" s="99">
        <f t="shared" si="5"/>
        <v>0.20143540589945513</v>
      </c>
      <c r="Y24" s="100">
        <f t="shared" si="5"/>
        <v>0.20143540589945513</v>
      </c>
      <c r="Z24" s="98">
        <f t="shared" si="5"/>
        <v>0.20143540589945513</v>
      </c>
      <c r="AA24" s="99">
        <f t="shared" si="5"/>
        <v>0.20143540589945513</v>
      </c>
      <c r="AB24" s="99">
        <f t="shared" si="5"/>
        <v>0.20143540589945513</v>
      </c>
      <c r="AC24" s="99">
        <f t="shared" si="5"/>
        <v>0.20143540589945513</v>
      </c>
      <c r="AD24" s="100">
        <f t="shared" si="5"/>
        <v>0.20143540589945513</v>
      </c>
      <c r="AE24" s="98">
        <f t="shared" si="5"/>
        <v>0.20143540589945513</v>
      </c>
      <c r="AF24" s="99">
        <f t="shared" si="5"/>
        <v>0.20143540589945513</v>
      </c>
      <c r="AG24" s="99">
        <f t="shared" si="5"/>
        <v>0.20143540589945513</v>
      </c>
      <c r="AH24" s="99">
        <f t="shared" si="5"/>
        <v>0.20143540589945513</v>
      </c>
      <c r="AI24" s="100">
        <f t="shared" si="5"/>
        <v>0.20143540589945513</v>
      </c>
    </row>
    <row r="25" spans="1:35" x14ac:dyDescent="0.2">
      <c r="A25" s="51"/>
      <c r="C25" s="78" t="s">
        <v>128</v>
      </c>
      <c r="D25" s="51"/>
      <c r="E25" s="51"/>
      <c r="F25" s="51"/>
      <c r="G25" s="79"/>
      <c r="H25" s="79"/>
      <c r="I25" s="80"/>
      <c r="J25" s="51"/>
      <c r="K25" s="101">
        <f>-PMT($G$4,$H$4,K17)</f>
        <v>1.0346902148392225</v>
      </c>
      <c r="L25" s="102">
        <f t="shared" ref="K25:AI28" si="6">-PMT($G$4,$H$4,L17)</f>
        <v>0.90687413534900496</v>
      </c>
      <c r="M25" s="102">
        <f t="shared" si="6"/>
        <v>0.74912362201121896</v>
      </c>
      <c r="N25" s="102">
        <f t="shared" si="6"/>
        <v>0.53071540638516124</v>
      </c>
      <c r="O25" s="103">
        <f t="shared" si="6"/>
        <v>0.43085365362983935</v>
      </c>
      <c r="P25" s="101">
        <f t="shared" si="6"/>
        <v>0.32276595527052826</v>
      </c>
      <c r="Q25" s="102">
        <f t="shared" si="6"/>
        <v>0.29907592122348775</v>
      </c>
      <c r="R25" s="102">
        <f t="shared" si="6"/>
        <v>0.34071125133391333</v>
      </c>
      <c r="S25" s="102">
        <f t="shared" si="6"/>
        <v>0.31955618000282665</v>
      </c>
      <c r="T25" s="103">
        <f t="shared" si="6"/>
        <v>0.22938245357585485</v>
      </c>
      <c r="U25" s="101">
        <f t="shared" si="6"/>
        <v>0.16611557250770798</v>
      </c>
      <c r="V25" s="102">
        <f t="shared" si="6"/>
        <v>0.27960122231905316</v>
      </c>
      <c r="W25" s="102">
        <f t="shared" si="6"/>
        <v>0.27960122231905316</v>
      </c>
      <c r="X25" s="102">
        <f t="shared" si="6"/>
        <v>0.27960122231905316</v>
      </c>
      <c r="Y25" s="103">
        <f t="shared" si="6"/>
        <v>0.27960122231905316</v>
      </c>
      <c r="Z25" s="101">
        <f t="shared" si="6"/>
        <v>0.27960122231905316</v>
      </c>
      <c r="AA25" s="102">
        <f t="shared" si="6"/>
        <v>0.27960122231905316</v>
      </c>
      <c r="AB25" s="102">
        <f t="shared" si="6"/>
        <v>0.27960122231905316</v>
      </c>
      <c r="AC25" s="102">
        <f t="shared" si="6"/>
        <v>0.27960122231905316</v>
      </c>
      <c r="AD25" s="103">
        <f t="shared" si="6"/>
        <v>0.27960122231905316</v>
      </c>
      <c r="AE25" s="101">
        <f t="shared" si="6"/>
        <v>0.27960122231905316</v>
      </c>
      <c r="AF25" s="102">
        <f t="shared" si="6"/>
        <v>0.27960122231905316</v>
      </c>
      <c r="AG25" s="102">
        <f t="shared" si="6"/>
        <v>0.27960122231905316</v>
      </c>
      <c r="AH25" s="102">
        <f t="shared" si="6"/>
        <v>0.27960122231905316</v>
      </c>
      <c r="AI25" s="103">
        <f t="shared" si="6"/>
        <v>0.27960122231905316</v>
      </c>
    </row>
    <row r="26" spans="1:35" x14ac:dyDescent="0.2">
      <c r="A26" s="51"/>
      <c r="C26" s="78" t="s">
        <v>153</v>
      </c>
      <c r="D26" s="51"/>
      <c r="E26" s="51"/>
      <c r="F26" s="51"/>
      <c r="G26" s="79"/>
      <c r="H26" s="79"/>
      <c r="I26" s="80"/>
      <c r="J26" s="51"/>
      <c r="K26" s="101">
        <f t="shared" si="6"/>
        <v>8.8086278544064714E-2</v>
      </c>
      <c r="L26" s="102">
        <f t="shared" si="6"/>
        <v>0.15676457489048637</v>
      </c>
      <c r="M26" s="102">
        <f t="shared" si="6"/>
        <v>0.23610753529118192</v>
      </c>
      <c r="N26" s="102">
        <f t="shared" si="6"/>
        <v>0.1986458130029424</v>
      </c>
      <c r="O26" s="103">
        <f t="shared" si="6"/>
        <v>0.22968133440071653</v>
      </c>
      <c r="P26" s="101">
        <f t="shared" si="6"/>
        <v>0.21795794794371154</v>
      </c>
      <c r="Q26" s="102">
        <f t="shared" si="6"/>
        <v>0.12309587688782722</v>
      </c>
      <c r="R26" s="102">
        <f t="shared" si="6"/>
        <v>0.11146821093253075</v>
      </c>
      <c r="S26" s="102">
        <f t="shared" si="6"/>
        <v>0.13435210604754386</v>
      </c>
      <c r="T26" s="103">
        <f t="shared" si="6"/>
        <v>0.14053989007407564</v>
      </c>
      <c r="U26" s="101">
        <f t="shared" si="6"/>
        <v>0.13140280946186375</v>
      </c>
      <c r="V26" s="102">
        <f t="shared" si="6"/>
        <v>0.14313614022459212</v>
      </c>
      <c r="W26" s="102">
        <f t="shared" si="6"/>
        <v>0.14313614022459212</v>
      </c>
      <c r="X26" s="102">
        <f t="shared" si="6"/>
        <v>0.14313614022459212</v>
      </c>
      <c r="Y26" s="103">
        <f t="shared" si="6"/>
        <v>0.14313614022459212</v>
      </c>
      <c r="Z26" s="101">
        <f t="shared" si="6"/>
        <v>0.14313614022459212</v>
      </c>
      <c r="AA26" s="102">
        <f t="shared" si="6"/>
        <v>0.14313614022459212</v>
      </c>
      <c r="AB26" s="102">
        <f t="shared" si="6"/>
        <v>0.14313614022459212</v>
      </c>
      <c r="AC26" s="102">
        <f t="shared" si="6"/>
        <v>0.14313614022459212</v>
      </c>
      <c r="AD26" s="103">
        <f t="shared" si="6"/>
        <v>0.14313614022459212</v>
      </c>
      <c r="AE26" s="101">
        <f t="shared" si="6"/>
        <v>0.14313614022459212</v>
      </c>
      <c r="AF26" s="102">
        <f t="shared" si="6"/>
        <v>0.14313614022459212</v>
      </c>
      <c r="AG26" s="102">
        <f t="shared" si="6"/>
        <v>0.14313614022459212</v>
      </c>
      <c r="AH26" s="102">
        <f t="shared" si="6"/>
        <v>0.14313614022459212</v>
      </c>
      <c r="AI26" s="103">
        <f t="shared" si="6"/>
        <v>0.14313614022459212</v>
      </c>
    </row>
    <row r="27" spans="1:35" x14ac:dyDescent="0.2">
      <c r="A27" s="51"/>
      <c r="C27" s="78" t="s">
        <v>129</v>
      </c>
      <c r="D27" s="51"/>
      <c r="E27" s="51"/>
      <c r="F27" s="51"/>
      <c r="G27" s="79"/>
      <c r="H27" s="79"/>
      <c r="I27" s="80"/>
      <c r="J27" s="51"/>
      <c r="K27" s="104">
        <f t="shared" si="6"/>
        <v>0.26468155313384217</v>
      </c>
      <c r="L27" s="105">
        <f t="shared" si="6"/>
        <v>0.28586221914897192</v>
      </c>
      <c r="M27" s="105">
        <f t="shared" si="6"/>
        <v>0.28339404238487192</v>
      </c>
      <c r="N27" s="105">
        <f t="shared" si="6"/>
        <v>0.24867391004277625</v>
      </c>
      <c r="O27" s="106">
        <f t="shared" si="6"/>
        <v>0.2899708726177242</v>
      </c>
      <c r="P27" s="104">
        <f t="shared" si="6"/>
        <v>0.3361853622914443</v>
      </c>
      <c r="Q27" s="105">
        <f t="shared" si="6"/>
        <v>0.33988428178935892</v>
      </c>
      <c r="R27" s="105">
        <f t="shared" si="6"/>
        <v>0.34017524417601991</v>
      </c>
      <c r="S27" s="105">
        <f t="shared" si="6"/>
        <v>0.34719718767656188</v>
      </c>
      <c r="T27" s="106">
        <f t="shared" si="6"/>
        <v>0.34690780989615105</v>
      </c>
      <c r="U27" s="104">
        <f t="shared" si="6"/>
        <v>0.34248819014929466</v>
      </c>
      <c r="V27" s="105">
        <f t="shared" si="6"/>
        <v>0.34213967932980516</v>
      </c>
      <c r="W27" s="105">
        <f t="shared" si="6"/>
        <v>0.34213967932980516</v>
      </c>
      <c r="X27" s="105">
        <f t="shared" si="6"/>
        <v>0.34213967932980516</v>
      </c>
      <c r="Y27" s="106">
        <f t="shared" si="6"/>
        <v>0.34213967932980516</v>
      </c>
      <c r="Z27" s="104">
        <f t="shared" si="6"/>
        <v>0.34213967932980516</v>
      </c>
      <c r="AA27" s="105">
        <f t="shared" si="6"/>
        <v>0.34213967932980516</v>
      </c>
      <c r="AB27" s="105">
        <f t="shared" si="6"/>
        <v>0.34213967932980516</v>
      </c>
      <c r="AC27" s="105">
        <f t="shared" si="6"/>
        <v>0.34213967932980516</v>
      </c>
      <c r="AD27" s="106">
        <f t="shared" si="6"/>
        <v>0.34213967932980516</v>
      </c>
      <c r="AE27" s="104">
        <f t="shared" si="6"/>
        <v>0.34213967932980516</v>
      </c>
      <c r="AF27" s="105">
        <f t="shared" si="6"/>
        <v>0.34213967932980516</v>
      </c>
      <c r="AG27" s="105">
        <f t="shared" si="6"/>
        <v>0.34213967932980516</v>
      </c>
      <c r="AH27" s="105">
        <f t="shared" si="6"/>
        <v>0.34213967932980516</v>
      </c>
      <c r="AI27" s="106">
        <f t="shared" si="6"/>
        <v>0.34213967932980516</v>
      </c>
    </row>
    <row r="28" spans="1:35" x14ac:dyDescent="0.2">
      <c r="A28" s="51"/>
      <c r="C28" s="78" t="s">
        <v>154</v>
      </c>
      <c r="D28" s="51"/>
      <c r="E28" s="51"/>
      <c r="F28" s="51"/>
      <c r="G28" s="79"/>
      <c r="H28" s="79"/>
      <c r="I28" s="80"/>
      <c r="J28" s="51"/>
      <c r="K28" s="104">
        <f t="shared" si="6"/>
        <v>0.12825116128212591</v>
      </c>
      <c r="L28" s="105">
        <f t="shared" si="6"/>
        <v>0.15110589517886505</v>
      </c>
      <c r="M28" s="105">
        <f t="shared" si="6"/>
        <v>0.18033738651298276</v>
      </c>
      <c r="N28" s="105">
        <f t="shared" si="6"/>
        <v>0.18799056470081374</v>
      </c>
      <c r="O28" s="106">
        <f t="shared" si="6"/>
        <v>0.17490459594944172</v>
      </c>
      <c r="P28" s="104">
        <f t="shared" si="6"/>
        <v>0.16054175037075272</v>
      </c>
      <c r="Q28" s="105">
        <f t="shared" si="6"/>
        <v>0.16027339548012234</v>
      </c>
      <c r="R28" s="105">
        <f t="shared" si="6"/>
        <v>0.15853100244908216</v>
      </c>
      <c r="S28" s="105">
        <f t="shared" si="6"/>
        <v>0.15677948479430961</v>
      </c>
      <c r="T28" s="106">
        <f t="shared" si="6"/>
        <v>0.15502029479390614</v>
      </c>
      <c r="U28" s="104">
        <f t="shared" si="6"/>
        <v>0.15226920506622812</v>
      </c>
      <c r="V28" s="105">
        <f t="shared" si="6"/>
        <v>0.15723585549240016</v>
      </c>
      <c r="W28" s="105">
        <f t="shared" si="6"/>
        <v>0.15723585549240016</v>
      </c>
      <c r="X28" s="105">
        <f t="shared" si="6"/>
        <v>0.15723585549240016</v>
      </c>
      <c r="Y28" s="106">
        <f t="shared" si="6"/>
        <v>0.15723585549240016</v>
      </c>
      <c r="Z28" s="104">
        <f t="shared" si="6"/>
        <v>0.15723585549240016</v>
      </c>
      <c r="AA28" s="105">
        <f t="shared" si="6"/>
        <v>0.15723585549240016</v>
      </c>
      <c r="AB28" s="105">
        <f t="shared" si="6"/>
        <v>0.15723585549240016</v>
      </c>
      <c r="AC28" s="105">
        <f t="shared" si="6"/>
        <v>0.15723585549240016</v>
      </c>
      <c r="AD28" s="106">
        <f t="shared" si="6"/>
        <v>0.15723585549240016</v>
      </c>
      <c r="AE28" s="104">
        <f t="shared" si="6"/>
        <v>0.15723585549240016</v>
      </c>
      <c r="AF28" s="105">
        <f t="shared" si="6"/>
        <v>0.15723585549240016</v>
      </c>
      <c r="AG28" s="105">
        <f t="shared" si="6"/>
        <v>0.15723585549240016</v>
      </c>
      <c r="AH28" s="105">
        <f t="shared" si="6"/>
        <v>0.15723585549240016</v>
      </c>
      <c r="AI28" s="106">
        <f t="shared" si="6"/>
        <v>0.15723585549240016</v>
      </c>
    </row>
    <row r="29" spans="1:35" s="45" customFormat="1" x14ac:dyDescent="0.2">
      <c r="A29" s="59"/>
      <c r="C29" s="59" t="s">
        <v>119</v>
      </c>
      <c r="D29" s="59"/>
      <c r="E29" s="59"/>
      <c r="F29" s="59"/>
      <c r="G29" s="95"/>
      <c r="H29" s="95"/>
      <c r="I29" s="96"/>
      <c r="J29" s="51"/>
      <c r="K29" s="107">
        <f t="shared" ref="K29" si="7">SUM(K24:K28)</f>
        <v>1.80778113794637</v>
      </c>
      <c r="L29" s="108">
        <f t="shared" ref="L29:AI29" si="8">SUM(L24:L28)</f>
        <v>1.8246796897120889</v>
      </c>
      <c r="M29" s="108">
        <f t="shared" si="8"/>
        <v>1.8831960768515037</v>
      </c>
      <c r="N29" s="108">
        <f t="shared" si="8"/>
        <v>1.5327012825141255</v>
      </c>
      <c r="O29" s="109">
        <f t="shared" si="8"/>
        <v>1.4318369644412372</v>
      </c>
      <c r="P29" s="107">
        <f t="shared" si="8"/>
        <v>1.4340339968987983</v>
      </c>
      <c r="Q29" s="108">
        <f t="shared" si="8"/>
        <v>1.222383844715784</v>
      </c>
      <c r="R29" s="108">
        <f t="shared" si="8"/>
        <v>1.0299170724186379</v>
      </c>
      <c r="S29" s="108">
        <f t="shared" si="8"/>
        <v>1.0019029450973034</v>
      </c>
      <c r="T29" s="109">
        <f t="shared" si="8"/>
        <v>1.0218631198237205</v>
      </c>
      <c r="U29" s="107">
        <f t="shared" si="8"/>
        <v>1.03118884063759</v>
      </c>
      <c r="V29" s="108">
        <f t="shared" si="8"/>
        <v>1.1235483032653057</v>
      </c>
      <c r="W29" s="108">
        <f t="shared" si="8"/>
        <v>1.1235483032653057</v>
      </c>
      <c r="X29" s="108">
        <f t="shared" si="8"/>
        <v>1.1235483032653057</v>
      </c>
      <c r="Y29" s="109">
        <f t="shared" si="8"/>
        <v>1.1235483032653057</v>
      </c>
      <c r="Z29" s="107">
        <f t="shared" si="8"/>
        <v>1.1235483032653057</v>
      </c>
      <c r="AA29" s="108">
        <f t="shared" si="8"/>
        <v>1.1235483032653057</v>
      </c>
      <c r="AB29" s="108">
        <f t="shared" si="8"/>
        <v>1.1235483032653057</v>
      </c>
      <c r="AC29" s="108">
        <f t="shared" si="8"/>
        <v>1.1235483032653057</v>
      </c>
      <c r="AD29" s="109">
        <f t="shared" si="8"/>
        <v>1.1235483032653057</v>
      </c>
      <c r="AE29" s="107">
        <f t="shared" si="8"/>
        <v>1.1235483032653057</v>
      </c>
      <c r="AF29" s="108">
        <f t="shared" si="8"/>
        <v>1.1235483032653057</v>
      </c>
      <c r="AG29" s="108">
        <f t="shared" si="8"/>
        <v>1.1235483032653057</v>
      </c>
      <c r="AH29" s="108">
        <f t="shared" si="8"/>
        <v>1.1235483032653057</v>
      </c>
      <c r="AI29" s="109">
        <f t="shared" si="8"/>
        <v>1.1235483032653057</v>
      </c>
    </row>
    <row r="30" spans="1:35" x14ac:dyDescent="0.2">
      <c r="A30" s="51"/>
      <c r="B30" s="78"/>
      <c r="C30" s="97"/>
      <c r="D30" s="97"/>
      <c r="E30" s="97"/>
      <c r="F30" s="97"/>
      <c r="G30" s="79"/>
      <c r="H30" s="79"/>
      <c r="I30" s="57"/>
      <c r="J30" s="51"/>
      <c r="K30" s="72"/>
      <c r="L30" s="73"/>
      <c r="M30" s="73"/>
      <c r="N30" s="73"/>
      <c r="O30" s="74"/>
      <c r="P30" s="72"/>
      <c r="Q30" s="73"/>
      <c r="R30" s="73"/>
      <c r="S30" s="73"/>
      <c r="T30" s="77"/>
      <c r="U30" s="72"/>
      <c r="V30" s="73"/>
      <c r="W30" s="73"/>
      <c r="X30" s="73"/>
      <c r="Y30" s="74"/>
      <c r="Z30" s="72"/>
      <c r="AA30" s="54"/>
      <c r="AB30" s="54"/>
      <c r="AC30" s="54"/>
      <c r="AD30" s="304"/>
      <c r="AE30" s="56"/>
      <c r="AF30" s="54"/>
      <c r="AG30" s="54"/>
      <c r="AH30" s="54"/>
      <c r="AI30" s="304"/>
    </row>
    <row r="31" spans="1:35" x14ac:dyDescent="0.2">
      <c r="A31" s="51"/>
      <c r="B31" s="69" t="s">
        <v>158</v>
      </c>
      <c r="C31" s="97"/>
      <c r="D31" s="97"/>
      <c r="E31" s="97"/>
      <c r="F31" s="97"/>
      <c r="G31" s="79"/>
      <c r="H31" s="79"/>
      <c r="I31" s="57" t="s">
        <v>159</v>
      </c>
      <c r="J31" s="51"/>
      <c r="K31" s="72"/>
      <c r="L31" s="73"/>
      <c r="M31" s="73"/>
      <c r="N31" s="73"/>
      <c r="O31" s="74"/>
      <c r="P31" s="72"/>
      <c r="Q31" s="73"/>
      <c r="R31" s="73"/>
      <c r="S31" s="73"/>
      <c r="T31" s="77"/>
      <c r="U31" s="72"/>
      <c r="V31" s="73"/>
      <c r="W31" s="73"/>
      <c r="X31" s="73"/>
      <c r="Y31" s="74"/>
      <c r="Z31" s="72"/>
      <c r="AA31" s="54"/>
      <c r="AB31" s="54"/>
      <c r="AC31" s="54"/>
      <c r="AD31" s="304"/>
      <c r="AE31" s="56"/>
      <c r="AF31" s="54"/>
      <c r="AG31" s="54"/>
      <c r="AH31" s="54"/>
      <c r="AI31" s="304"/>
    </row>
    <row r="32" spans="1:35" x14ac:dyDescent="0.2">
      <c r="A32" s="51"/>
      <c r="C32" s="78" t="s">
        <v>126</v>
      </c>
      <c r="D32" s="97"/>
      <c r="E32" s="97"/>
      <c r="F32" s="97"/>
      <c r="G32" s="79"/>
      <c r="H32" s="79"/>
      <c r="I32" s="57"/>
      <c r="J32" s="51"/>
      <c r="K32" s="98">
        <f>Opex!K33/1000000</f>
        <v>0</v>
      </c>
      <c r="L32" s="99">
        <f>Opex!L33/1000000</f>
        <v>4.6075984870364926E-2</v>
      </c>
      <c r="M32" s="99">
        <f>Opex!M33/1000000</f>
        <v>5.1124311822038741E-2</v>
      </c>
      <c r="N32" s="99">
        <f>Opex!N33/1000000</f>
        <v>6.8502768257719643E-2</v>
      </c>
      <c r="O32" s="100">
        <f>Opex!O33/1000000</f>
        <v>0.12695910762714741</v>
      </c>
      <c r="P32" s="98">
        <f>Opex!P33/1000000</f>
        <v>0.1250269677330581</v>
      </c>
      <c r="Q32" s="99">
        <f>Opex!Q33/1000000</f>
        <v>0.16531734161269443</v>
      </c>
      <c r="R32" s="99">
        <f>Opex!R33/1000000</f>
        <v>0.13410295489881191</v>
      </c>
      <c r="S32" s="99">
        <f>Opex!S33/1000000</f>
        <v>8.4978390790829902E-2</v>
      </c>
      <c r="T32" s="100">
        <f>Opex!T33/1000000</f>
        <v>0.10078886806692058</v>
      </c>
      <c r="U32" s="98">
        <f>Opex!U33/1000000</f>
        <v>9.4668229296697992E-2</v>
      </c>
      <c r="V32" s="99">
        <f>Opex!V33/1000000</f>
        <v>5.6391336729659784E-2</v>
      </c>
      <c r="W32" s="99">
        <f>Opex!W33/1000000</f>
        <v>4.2193691237722215E-2</v>
      </c>
      <c r="X32" s="99">
        <f>Opex!X33/1000000</f>
        <v>6.727557515422021E-2</v>
      </c>
      <c r="Y32" s="100">
        <f>Opex!Y33/1000000</f>
        <v>8.831237821122237E-2</v>
      </c>
      <c r="Z32" s="98">
        <f>Opex!Z33/1000000</f>
        <v>7.9443912240249992E-2</v>
      </c>
      <c r="AA32" s="99">
        <f>Opex!AA33/1000000</f>
        <v>7.9443912240249992E-2</v>
      </c>
      <c r="AB32" s="99">
        <f>Opex!AB33/1000000</f>
        <v>7.9443912240249992E-2</v>
      </c>
      <c r="AC32" s="99">
        <f>Opex!AC33/1000000</f>
        <v>7.9443912240249992E-2</v>
      </c>
      <c r="AD32" s="100">
        <f>Opex!AD33/1000000</f>
        <v>7.9443912240249992E-2</v>
      </c>
      <c r="AE32" s="98">
        <f>Opex!AE33/1000000</f>
        <v>7.9443912240249992E-2</v>
      </c>
      <c r="AF32" s="99">
        <f>Opex!AF33/1000000</f>
        <v>7.9443912240249992E-2</v>
      </c>
      <c r="AG32" s="99">
        <f>Opex!AG33/1000000</f>
        <v>7.9443912240249992E-2</v>
      </c>
      <c r="AH32" s="99">
        <f>Opex!AH33/1000000</f>
        <v>7.9443912240249992E-2</v>
      </c>
      <c r="AI32" s="100">
        <f>Opex!AI33/1000000</f>
        <v>7.9443912240249992E-2</v>
      </c>
    </row>
    <row r="33" spans="1:35" x14ac:dyDescent="0.2">
      <c r="A33" s="51"/>
      <c r="C33" s="78" t="s">
        <v>128</v>
      </c>
      <c r="D33" s="97"/>
      <c r="E33" s="97"/>
      <c r="F33" s="97"/>
      <c r="G33" s="79"/>
      <c r="H33" s="79"/>
      <c r="I33" s="57"/>
      <c r="J33" s="51"/>
      <c r="K33" s="101">
        <f>Opex!K34/1000000</f>
        <v>0</v>
      </c>
      <c r="L33" s="102">
        <f>Opex!L34/1000000</f>
        <v>0.16322818375745127</v>
      </c>
      <c r="M33" s="102">
        <f>Opex!M34/1000000</f>
        <v>0.14306448044705694</v>
      </c>
      <c r="N33" s="102">
        <f>Opex!N34/1000000</f>
        <v>0.11817845233000017</v>
      </c>
      <c r="O33" s="103">
        <f>Opex!O34/1000000</f>
        <v>0.32856560715507827</v>
      </c>
      <c r="P33" s="101">
        <f>Opex!P34/1000000</f>
        <v>0.28256630068462724</v>
      </c>
      <c r="Q33" s="102">
        <f>Opex!Q34/1000000</f>
        <v>0.22818581795545081</v>
      </c>
      <c r="R33" s="102">
        <f>Opex!R34/1000000</f>
        <v>0.17276590101820435</v>
      </c>
      <c r="S33" s="102">
        <f>Opex!S34/1000000</f>
        <v>0.15570348056967737</v>
      </c>
      <c r="T33" s="103">
        <f>Opex!T34/1000000</f>
        <v>0.12678898860277321</v>
      </c>
      <c r="U33" s="101">
        <f>Opex!U34/1000000</f>
        <v>0.10695772399911578</v>
      </c>
      <c r="V33" s="102">
        <f>Opex!V34/1000000</f>
        <v>0.1068293289338615</v>
      </c>
      <c r="W33" s="102">
        <f>Opex!W34/1000000</f>
        <v>0.11972632989502807</v>
      </c>
      <c r="X33" s="102">
        <f>Opex!X34/1000000</f>
        <v>9.8388213360887905E-2</v>
      </c>
      <c r="Y33" s="103">
        <f>Opex!Y34/1000000</f>
        <v>8.3417155443291341E-2</v>
      </c>
      <c r="Z33" s="101">
        <f>Opex!Z34/1000000</f>
        <v>0.1102716519422049</v>
      </c>
      <c r="AA33" s="102">
        <f>Opex!AA34/1000000</f>
        <v>0.1102716519422049</v>
      </c>
      <c r="AB33" s="102">
        <f>Opex!AB34/1000000</f>
        <v>0.1102716519422049</v>
      </c>
      <c r="AC33" s="102">
        <f>Opex!AC34/1000000</f>
        <v>0.1102716519422049</v>
      </c>
      <c r="AD33" s="103">
        <f>Opex!AD34/1000000</f>
        <v>0.1102716519422049</v>
      </c>
      <c r="AE33" s="101">
        <f>Opex!AE34/1000000</f>
        <v>0.1102716519422049</v>
      </c>
      <c r="AF33" s="102">
        <f>Opex!AF34/1000000</f>
        <v>0.1102716519422049</v>
      </c>
      <c r="AG33" s="102">
        <f>Opex!AG34/1000000</f>
        <v>0.1102716519422049</v>
      </c>
      <c r="AH33" s="102">
        <f>Opex!AH34/1000000</f>
        <v>0.1102716519422049</v>
      </c>
      <c r="AI33" s="103">
        <f>Opex!AI34/1000000</f>
        <v>0.1102716519422049</v>
      </c>
    </row>
    <row r="34" spans="1:35" x14ac:dyDescent="0.2">
      <c r="A34" s="51"/>
      <c r="C34" s="78" t="s">
        <v>153</v>
      </c>
      <c r="D34" s="97"/>
      <c r="E34" s="97"/>
      <c r="F34" s="97"/>
      <c r="G34" s="79"/>
      <c r="H34" s="79"/>
      <c r="I34" s="57"/>
      <c r="J34" s="51"/>
      <c r="K34" s="101">
        <f>Opex!K35/1000000</f>
        <v>0</v>
      </c>
      <c r="L34" s="102">
        <f>Opex!L35/1000000</f>
        <v>1.8528139217572237E-2</v>
      </c>
      <c r="M34" s="102">
        <f>Opex!M35/1000000</f>
        <v>3.2973987730693731E-2</v>
      </c>
      <c r="N34" s="102">
        <f>Opex!N35/1000000</f>
        <v>4.966305032405792E-2</v>
      </c>
      <c r="O34" s="103">
        <f>Opex!O35/1000000</f>
        <v>6.9575530123842474E-2</v>
      </c>
      <c r="P34" s="101">
        <f>Opex!P35/1000000</f>
        <v>9.7772339616749943E-2</v>
      </c>
      <c r="Q34" s="102">
        <f>Opex!Q35/1000000</f>
        <v>0.12034002689833244</v>
      </c>
      <c r="R34" s="102">
        <f>Opex!R35/1000000</f>
        <v>8.8567068452592421E-2</v>
      </c>
      <c r="S34" s="102">
        <f>Opex!S35/1000000</f>
        <v>9.5913350856871527E-2</v>
      </c>
      <c r="T34" s="103">
        <f>Opex!T35/1000000</f>
        <v>9.7027907988683923E-2</v>
      </c>
      <c r="U34" s="101">
        <f>Opex!U35/1000000</f>
        <v>6.8399404136831196E-2</v>
      </c>
      <c r="V34" s="102">
        <f>Opex!V35/1000000</f>
        <v>6.2808844174967987E-2</v>
      </c>
      <c r="W34" s="102">
        <f>Opex!W35/1000000</f>
        <v>7.249696804351892E-2</v>
      </c>
      <c r="X34" s="102">
        <f>Opex!X35/1000000</f>
        <v>7.4449283303968342E-2</v>
      </c>
      <c r="Y34" s="103">
        <f>Opex!Y35/1000000</f>
        <v>7.1566431892430601E-2</v>
      </c>
      <c r="Z34" s="101">
        <f>Opex!Z35/1000000</f>
        <v>7.5268429345113935E-2</v>
      </c>
      <c r="AA34" s="102">
        <f>Opex!AA35/1000000</f>
        <v>7.5268429345113935E-2</v>
      </c>
      <c r="AB34" s="102">
        <f>Opex!AB35/1000000</f>
        <v>7.5268429345113935E-2</v>
      </c>
      <c r="AC34" s="102">
        <f>Opex!AC35/1000000</f>
        <v>7.5268429345113935E-2</v>
      </c>
      <c r="AD34" s="103">
        <f>Opex!AD35/1000000</f>
        <v>7.5268429345113935E-2</v>
      </c>
      <c r="AE34" s="101">
        <f>Opex!AE35/1000000</f>
        <v>7.5268429345113935E-2</v>
      </c>
      <c r="AF34" s="102">
        <f>Opex!AF35/1000000</f>
        <v>7.5268429345113935E-2</v>
      </c>
      <c r="AG34" s="102">
        <f>Opex!AG35/1000000</f>
        <v>7.5268429345113935E-2</v>
      </c>
      <c r="AH34" s="102">
        <f>Opex!AH35/1000000</f>
        <v>7.5268429345113935E-2</v>
      </c>
      <c r="AI34" s="103">
        <f>Opex!AI35/1000000</f>
        <v>7.5268429345113935E-2</v>
      </c>
    </row>
    <row r="35" spans="1:35" x14ac:dyDescent="0.2">
      <c r="A35" s="51"/>
      <c r="C35" s="78" t="s">
        <v>129</v>
      </c>
      <c r="D35" s="97"/>
      <c r="E35" s="97"/>
      <c r="F35" s="97"/>
      <c r="G35" s="79"/>
      <c r="H35" s="79"/>
      <c r="I35" s="57"/>
      <c r="J35" s="51"/>
      <c r="K35" s="104">
        <f>Opex!K36/1000000</f>
        <v>0</v>
      </c>
      <c r="L35" s="105">
        <f>Opex!L36/1000000</f>
        <v>5.5673332394600379E-2</v>
      </c>
      <c r="M35" s="105">
        <f>Opex!M36/1000000</f>
        <v>6.0128490849874545E-2</v>
      </c>
      <c r="N35" s="105">
        <f>Opex!N36/1000000</f>
        <v>5.9609332549005425E-2</v>
      </c>
      <c r="O35" s="106">
        <f>Opex!O36/1000000</f>
        <v>0.13581627036549734</v>
      </c>
      <c r="P35" s="104">
        <f>Opex!P36/1000000</f>
        <v>0.15118544462511943</v>
      </c>
      <c r="Q35" s="105">
        <f>Opex!Q36/1000000</f>
        <v>0.16012750038584136</v>
      </c>
      <c r="R35" s="105">
        <f>Opex!R36/1000000</f>
        <v>0.14995094294767078</v>
      </c>
      <c r="S35" s="105">
        <f>Opex!S36/1000000</f>
        <v>0.16304179907695482</v>
      </c>
      <c r="T35" s="106">
        <f>Opex!T36/1000000</f>
        <v>0.17909999018175873</v>
      </c>
      <c r="U35" s="104">
        <f>Opex!U36/1000000</f>
        <v>0.18020617281231752</v>
      </c>
      <c r="V35" s="105">
        <f>Opex!V36/1000000</f>
        <v>0.17936834830925519</v>
      </c>
      <c r="W35" s="105">
        <f>Opex!W36/1000000</f>
        <v>0.18151054419118504</v>
      </c>
      <c r="X35" s="105">
        <f>Opex!X36/1000000</f>
        <v>0.18141924225590278</v>
      </c>
      <c r="Y35" s="106">
        <f>Opex!Y36/1000000</f>
        <v>0.18002480265681942</v>
      </c>
      <c r="Z35" s="104">
        <f>Opex!Z36/1000000</f>
        <v>0.17991484358449181</v>
      </c>
      <c r="AA35" s="105">
        <f>Opex!AA36/1000000</f>
        <v>0.17991484358449181</v>
      </c>
      <c r="AB35" s="105">
        <f>Opex!AB36/1000000</f>
        <v>0.17991484358449181</v>
      </c>
      <c r="AC35" s="105">
        <f>Opex!AC36/1000000</f>
        <v>0.17991484358449181</v>
      </c>
      <c r="AD35" s="106">
        <f>Opex!AD36/1000000</f>
        <v>0.17991484358449181</v>
      </c>
      <c r="AE35" s="104">
        <f>Opex!AE36/1000000</f>
        <v>0.17991484358449181</v>
      </c>
      <c r="AF35" s="105">
        <f>Opex!AF36/1000000</f>
        <v>0.17991484358449181</v>
      </c>
      <c r="AG35" s="105">
        <f>Opex!AG36/1000000</f>
        <v>0.17991484358449181</v>
      </c>
      <c r="AH35" s="105">
        <f>Opex!AH36/1000000</f>
        <v>0.17991484358449181</v>
      </c>
      <c r="AI35" s="106">
        <f>Opex!AI36/1000000</f>
        <v>0.17991484358449181</v>
      </c>
    </row>
    <row r="36" spans="1:35" x14ac:dyDescent="0.2">
      <c r="A36" s="51"/>
      <c r="C36" s="78" t="s">
        <v>154</v>
      </c>
      <c r="D36" s="97"/>
      <c r="E36" s="97"/>
      <c r="F36" s="97"/>
      <c r="G36" s="79"/>
      <c r="H36" s="79"/>
      <c r="I36" s="57"/>
      <c r="J36" s="51"/>
      <c r="K36" s="104">
        <f>Opex!K37/1000000</f>
        <v>0</v>
      </c>
      <c r="L36" s="105">
        <f>Opex!L37/1000000</f>
        <v>2.6976453203909949E-2</v>
      </c>
      <c r="M36" s="105">
        <f>Opex!M37/1000000</f>
        <v>3.1783736454132842E-2</v>
      </c>
      <c r="N36" s="105">
        <f>Opex!N37/1000000</f>
        <v>3.793231203171106E-2</v>
      </c>
      <c r="O36" s="106">
        <f>Opex!O37/1000000</f>
        <v>8.0006767540043489E-2</v>
      </c>
      <c r="P36" s="104">
        <f>Opex!P37/1000000</f>
        <v>8.4465179142826155E-2</v>
      </c>
      <c r="Q36" s="105">
        <f>Opex!Q37/1000000</f>
        <v>9.0666949929952348E-2</v>
      </c>
      <c r="R36" s="105">
        <f>Opex!R37/1000000</f>
        <v>9.3025167498472977E-2</v>
      </c>
      <c r="S36" s="105">
        <f>Opex!S37/1000000</f>
        <v>8.8529901227392058E-2</v>
      </c>
      <c r="T36" s="106">
        <f>Opex!T37/1000000</f>
        <v>8.3629846715526118E-2</v>
      </c>
      <c r="U36" s="104">
        <f>Opex!U37/1000000</f>
        <v>8.3175148287352965E-2</v>
      </c>
      <c r="V36" s="105">
        <f>Opex!V37/1000000</f>
        <v>8.2046737301060838E-2</v>
      </c>
      <c r="W36" s="105">
        <f>Opex!W37/1000000</f>
        <v>8.2538803112365999E-2</v>
      </c>
      <c r="X36" s="105">
        <f>Opex!X37/1000000</f>
        <v>8.1983758936762657E-2</v>
      </c>
      <c r="Y36" s="106">
        <f>Opex!Y37/1000000</f>
        <v>8.1115759272394644E-2</v>
      </c>
      <c r="Z36" s="104">
        <f>Opex!Z37/1000000</f>
        <v>8.2682793186111908E-2</v>
      </c>
      <c r="AA36" s="105">
        <f>Opex!AA37/1000000</f>
        <v>8.2682793186111908E-2</v>
      </c>
      <c r="AB36" s="105">
        <f>Opex!AB37/1000000</f>
        <v>8.2682793186111908E-2</v>
      </c>
      <c r="AC36" s="105">
        <f>Opex!AC37/1000000</f>
        <v>8.2682793186111908E-2</v>
      </c>
      <c r="AD36" s="106">
        <f>Opex!AD37/1000000</f>
        <v>8.2682793186111908E-2</v>
      </c>
      <c r="AE36" s="104">
        <f>Opex!AE37/1000000</f>
        <v>8.2682793186111908E-2</v>
      </c>
      <c r="AF36" s="105">
        <f>Opex!AF37/1000000</f>
        <v>8.2682793186111908E-2</v>
      </c>
      <c r="AG36" s="105">
        <f>Opex!AG37/1000000</f>
        <v>8.2682793186111908E-2</v>
      </c>
      <c r="AH36" s="105">
        <f>Opex!AH37/1000000</f>
        <v>8.2682793186111908E-2</v>
      </c>
      <c r="AI36" s="106">
        <f>Opex!AI37/1000000</f>
        <v>8.2682793186111908E-2</v>
      </c>
    </row>
    <row r="37" spans="1:35" s="45" customFormat="1" x14ac:dyDescent="0.2">
      <c r="A37" s="59"/>
      <c r="C37" s="59" t="s">
        <v>119</v>
      </c>
      <c r="D37" s="59"/>
      <c r="E37" s="59"/>
      <c r="F37" s="59"/>
      <c r="G37" s="95"/>
      <c r="H37" s="95"/>
      <c r="I37" s="96"/>
      <c r="J37" s="51"/>
      <c r="K37" s="107">
        <f>Opex!K38/1000000</f>
        <v>0</v>
      </c>
      <c r="L37" s="108">
        <f>Opex!L38/1000000</f>
        <v>0</v>
      </c>
      <c r="M37" s="108">
        <f>Opex!M38/1000000</f>
        <v>0</v>
      </c>
      <c r="N37" s="108">
        <f>Opex!N38/1000000</f>
        <v>0</v>
      </c>
      <c r="O37" s="109">
        <f>Opex!O38/1000000</f>
        <v>0</v>
      </c>
      <c r="P37" s="107">
        <f>Opex!P38/1000000</f>
        <v>0</v>
      </c>
      <c r="Q37" s="108">
        <f>Opex!Q38/1000000</f>
        <v>0</v>
      </c>
      <c r="R37" s="108">
        <f>Opex!R38/1000000</f>
        <v>0</v>
      </c>
      <c r="S37" s="108">
        <f>Opex!S38/1000000</f>
        <v>0</v>
      </c>
      <c r="T37" s="109">
        <f>Opex!T38/1000000</f>
        <v>0</v>
      </c>
      <c r="U37" s="107">
        <f>Opex!U38/1000000</f>
        <v>0</v>
      </c>
      <c r="V37" s="108">
        <f>Opex!V38/1000000</f>
        <v>0</v>
      </c>
      <c r="W37" s="108">
        <f>Opex!W38/1000000</f>
        <v>0</v>
      </c>
      <c r="X37" s="108">
        <f>Opex!X38/1000000</f>
        <v>0</v>
      </c>
      <c r="Y37" s="109">
        <f>Opex!Y38/1000000</f>
        <v>0</v>
      </c>
      <c r="Z37" s="107">
        <f>Opex!Z38/1000000</f>
        <v>0</v>
      </c>
      <c r="AA37" s="108">
        <f>Opex!AA38/1000000</f>
        <v>0</v>
      </c>
      <c r="AB37" s="108">
        <f>Opex!AB38/1000000</f>
        <v>0</v>
      </c>
      <c r="AC37" s="108">
        <f>Opex!AC38/1000000</f>
        <v>0</v>
      </c>
      <c r="AD37" s="109">
        <f>Opex!AD38/1000000</f>
        <v>0</v>
      </c>
      <c r="AE37" s="107">
        <f>Opex!AE38/1000000</f>
        <v>0</v>
      </c>
      <c r="AF37" s="108">
        <f>Opex!AF38/1000000</f>
        <v>0</v>
      </c>
      <c r="AG37" s="108">
        <f>Opex!AG38/1000000</f>
        <v>0</v>
      </c>
      <c r="AH37" s="108">
        <f>Opex!AH38/1000000</f>
        <v>0</v>
      </c>
      <c r="AI37" s="109">
        <f>Opex!AI38/1000000</f>
        <v>0</v>
      </c>
    </row>
    <row r="38" spans="1:35" x14ac:dyDescent="0.2">
      <c r="A38" s="51"/>
      <c r="B38" s="51"/>
      <c r="C38" s="51"/>
      <c r="D38" s="51"/>
      <c r="E38" s="51"/>
      <c r="F38" s="51"/>
      <c r="G38" s="51"/>
      <c r="H38" s="51"/>
      <c r="I38" s="57"/>
      <c r="J38" s="51"/>
      <c r="K38" s="72"/>
      <c r="L38" s="73"/>
      <c r="M38" s="73"/>
      <c r="N38" s="73"/>
      <c r="O38" s="74"/>
      <c r="P38" s="72"/>
      <c r="Q38" s="73"/>
      <c r="R38" s="73"/>
      <c r="S38" s="73"/>
      <c r="T38" s="77"/>
      <c r="U38" s="72"/>
      <c r="V38" s="73"/>
      <c r="W38" s="73"/>
      <c r="X38" s="73"/>
      <c r="Y38" s="74"/>
      <c r="Z38" s="72"/>
      <c r="AA38" s="54"/>
      <c r="AB38" s="54"/>
      <c r="AC38" s="54"/>
      <c r="AD38" s="304"/>
      <c r="AE38" s="56"/>
      <c r="AF38" s="54"/>
      <c r="AG38" s="54"/>
      <c r="AH38" s="54"/>
      <c r="AI38" s="304"/>
    </row>
    <row r="39" spans="1:35" x14ac:dyDescent="0.2">
      <c r="A39" s="51"/>
      <c r="B39" s="69" t="s">
        <v>160</v>
      </c>
      <c r="C39" s="69"/>
      <c r="D39" s="69"/>
      <c r="E39" s="69"/>
      <c r="F39" s="69"/>
      <c r="G39" s="60"/>
      <c r="H39" s="60"/>
      <c r="I39" s="57" t="s">
        <v>159</v>
      </c>
      <c r="J39" s="51"/>
      <c r="K39" s="72"/>
      <c r="L39" s="73"/>
      <c r="M39" s="73"/>
      <c r="N39" s="73"/>
      <c r="O39" s="74"/>
      <c r="P39" s="72"/>
      <c r="Q39" s="73"/>
      <c r="R39" s="73"/>
      <c r="S39" s="73"/>
      <c r="T39" s="77"/>
      <c r="U39" s="72"/>
      <c r="V39" s="73"/>
      <c r="W39" s="73"/>
      <c r="X39" s="73"/>
      <c r="Y39" s="74"/>
      <c r="Z39" s="72"/>
      <c r="AA39" s="54"/>
      <c r="AB39" s="54"/>
      <c r="AC39" s="54"/>
      <c r="AD39" s="304"/>
      <c r="AE39" s="56"/>
      <c r="AF39" s="54"/>
      <c r="AG39" s="54"/>
      <c r="AH39" s="54"/>
      <c r="AI39" s="304"/>
    </row>
    <row r="40" spans="1:35" x14ac:dyDescent="0.2">
      <c r="A40" s="51"/>
      <c r="C40" s="78" t="s">
        <v>126</v>
      </c>
      <c r="D40" s="85"/>
      <c r="E40" s="85"/>
      <c r="F40" s="85"/>
      <c r="G40" s="79"/>
      <c r="H40" s="308">
        <f>NPV($G$4,N40:AG40)</f>
        <v>4.6846598375362705</v>
      </c>
      <c r="J40" s="51"/>
      <c r="K40" s="98">
        <f t="shared" ref="K40:AI44" si="9">K24+K32</f>
        <v>0.29207193014711441</v>
      </c>
      <c r="L40" s="99">
        <f t="shared" si="9"/>
        <v>0.37014885001512537</v>
      </c>
      <c r="M40" s="99">
        <f t="shared" si="9"/>
        <v>0.48535780247328686</v>
      </c>
      <c r="N40" s="99">
        <f t="shared" si="9"/>
        <v>0.43517835664015159</v>
      </c>
      <c r="O40" s="100">
        <f t="shared" si="9"/>
        <v>0.43338561547066295</v>
      </c>
      <c r="P40" s="98">
        <f t="shared" si="9"/>
        <v>0.52160994875541955</v>
      </c>
      <c r="Q40" s="99">
        <f t="shared" si="9"/>
        <v>0.46537171094768237</v>
      </c>
      <c r="R40" s="99">
        <f t="shared" si="9"/>
        <v>0.21313431842590363</v>
      </c>
      <c r="S40" s="99">
        <f t="shared" si="9"/>
        <v>0.1289963773668914</v>
      </c>
      <c r="T40" s="100">
        <f t="shared" si="9"/>
        <v>0.25080153955065332</v>
      </c>
      <c r="U40" s="98">
        <f t="shared" si="9"/>
        <v>0.33358129274919346</v>
      </c>
      <c r="V40" s="99">
        <f t="shared" si="9"/>
        <v>0.25782674262911492</v>
      </c>
      <c r="W40" s="99">
        <f t="shared" si="9"/>
        <v>0.24362909713717734</v>
      </c>
      <c r="X40" s="99">
        <f t="shared" si="9"/>
        <v>0.26871098105367536</v>
      </c>
      <c r="Y40" s="100">
        <f t="shared" si="9"/>
        <v>0.28974778411067748</v>
      </c>
      <c r="Z40" s="98">
        <f t="shared" si="9"/>
        <v>0.28087931813970513</v>
      </c>
      <c r="AA40" s="99">
        <f t="shared" si="9"/>
        <v>0.28087931813970513</v>
      </c>
      <c r="AB40" s="99">
        <f t="shared" si="9"/>
        <v>0.28087931813970513</v>
      </c>
      <c r="AC40" s="99">
        <f t="shared" si="9"/>
        <v>0.28087931813970513</v>
      </c>
      <c r="AD40" s="100">
        <f t="shared" si="9"/>
        <v>0.28087931813970513</v>
      </c>
      <c r="AE40" s="98">
        <f t="shared" si="9"/>
        <v>0.28087931813970513</v>
      </c>
      <c r="AF40" s="99">
        <f t="shared" si="9"/>
        <v>0.28087931813970513</v>
      </c>
      <c r="AG40" s="99">
        <f t="shared" si="9"/>
        <v>0.28087931813970513</v>
      </c>
      <c r="AH40" s="99">
        <f t="shared" si="9"/>
        <v>0.28087931813970513</v>
      </c>
      <c r="AI40" s="100">
        <f t="shared" si="9"/>
        <v>0.28087931813970513</v>
      </c>
    </row>
    <row r="41" spans="1:35" x14ac:dyDescent="0.2">
      <c r="A41" s="51"/>
      <c r="C41" s="78" t="s">
        <v>128</v>
      </c>
      <c r="D41" s="85"/>
      <c r="E41" s="85"/>
      <c r="F41" s="85"/>
      <c r="G41" s="79"/>
      <c r="H41" s="308">
        <f t="shared" ref="H41:H45" si="10">NPV($G$4,N41:AG41)</f>
        <v>6.8180775425182469</v>
      </c>
      <c r="I41" s="94"/>
      <c r="J41" s="51"/>
      <c r="K41" s="101">
        <f t="shared" si="9"/>
        <v>1.0346902148392225</v>
      </c>
      <c r="L41" s="102">
        <f t="shared" si="9"/>
        <v>1.0701023191064563</v>
      </c>
      <c r="M41" s="102">
        <f t="shared" si="9"/>
        <v>0.89218810245827584</v>
      </c>
      <c r="N41" s="102">
        <f t="shared" si="9"/>
        <v>0.64889385871516136</v>
      </c>
      <c r="O41" s="103">
        <f t="shared" si="9"/>
        <v>0.75941926078491762</v>
      </c>
      <c r="P41" s="101">
        <f t="shared" si="9"/>
        <v>0.6053322559551555</v>
      </c>
      <c r="Q41" s="102">
        <f t="shared" si="9"/>
        <v>0.52726173917893859</v>
      </c>
      <c r="R41" s="102">
        <f t="shared" si="9"/>
        <v>0.51347715235211766</v>
      </c>
      <c r="S41" s="102">
        <f t="shared" si="9"/>
        <v>0.47525966057250402</v>
      </c>
      <c r="T41" s="103">
        <f t="shared" si="9"/>
        <v>0.35617144217862806</v>
      </c>
      <c r="U41" s="101">
        <f t="shared" si="9"/>
        <v>0.27307329650682377</v>
      </c>
      <c r="V41" s="102">
        <f t="shared" si="9"/>
        <v>0.38643055125291464</v>
      </c>
      <c r="W41" s="102">
        <f t="shared" si="9"/>
        <v>0.39932755221408123</v>
      </c>
      <c r="X41" s="102">
        <f t="shared" si="9"/>
        <v>0.37798943567994103</v>
      </c>
      <c r="Y41" s="103">
        <f t="shared" si="9"/>
        <v>0.36301837776234447</v>
      </c>
      <c r="Z41" s="101">
        <f t="shared" si="9"/>
        <v>0.38987287426125805</v>
      </c>
      <c r="AA41" s="102">
        <f t="shared" si="9"/>
        <v>0.38987287426125805</v>
      </c>
      <c r="AB41" s="102">
        <f t="shared" si="9"/>
        <v>0.38987287426125805</v>
      </c>
      <c r="AC41" s="102">
        <f t="shared" si="9"/>
        <v>0.38987287426125805</v>
      </c>
      <c r="AD41" s="103">
        <f t="shared" si="9"/>
        <v>0.38987287426125805</v>
      </c>
      <c r="AE41" s="101">
        <f t="shared" si="9"/>
        <v>0.38987287426125805</v>
      </c>
      <c r="AF41" s="102">
        <f t="shared" si="9"/>
        <v>0.38987287426125805</v>
      </c>
      <c r="AG41" s="102">
        <f t="shared" si="9"/>
        <v>0.38987287426125805</v>
      </c>
      <c r="AH41" s="102">
        <f t="shared" si="9"/>
        <v>0.38987287426125805</v>
      </c>
      <c r="AI41" s="103">
        <f t="shared" si="9"/>
        <v>0.38987287426125805</v>
      </c>
    </row>
    <row r="42" spans="1:35" x14ac:dyDescent="0.2">
      <c r="A42" s="51"/>
      <c r="C42" s="78" t="s">
        <v>153</v>
      </c>
      <c r="D42" s="85"/>
      <c r="E42" s="85"/>
      <c r="F42" s="85"/>
      <c r="G42" s="79"/>
      <c r="H42" s="308">
        <f t="shared" si="10"/>
        <v>3.4807465937910416</v>
      </c>
      <c r="I42" s="94"/>
      <c r="J42" s="51"/>
      <c r="K42" s="101">
        <f t="shared" si="9"/>
        <v>8.8086278544064714E-2</v>
      </c>
      <c r="L42" s="102">
        <f t="shared" si="9"/>
        <v>0.17529271410805861</v>
      </c>
      <c r="M42" s="102">
        <f t="shared" si="9"/>
        <v>0.26908152302187566</v>
      </c>
      <c r="N42" s="102">
        <f t="shared" si="9"/>
        <v>0.24830886332700031</v>
      </c>
      <c r="O42" s="103">
        <f t="shared" si="9"/>
        <v>0.29925686452455902</v>
      </c>
      <c r="P42" s="101">
        <f t="shared" si="9"/>
        <v>0.31573028756046151</v>
      </c>
      <c r="Q42" s="102">
        <f t="shared" si="9"/>
        <v>0.24343590378615965</v>
      </c>
      <c r="R42" s="102">
        <f t="shared" si="9"/>
        <v>0.20003527938512317</v>
      </c>
      <c r="S42" s="102">
        <f t="shared" si="9"/>
        <v>0.23026545690441538</v>
      </c>
      <c r="T42" s="103">
        <f t="shared" si="9"/>
        <v>0.23756779806275957</v>
      </c>
      <c r="U42" s="101">
        <f t="shared" si="9"/>
        <v>0.19980221359869493</v>
      </c>
      <c r="V42" s="102">
        <f t="shared" si="9"/>
        <v>0.2059449843995601</v>
      </c>
      <c r="W42" s="102">
        <f t="shared" si="9"/>
        <v>0.21563310826811105</v>
      </c>
      <c r="X42" s="102">
        <f t="shared" si="9"/>
        <v>0.21758542352856047</v>
      </c>
      <c r="Y42" s="103">
        <f t="shared" si="9"/>
        <v>0.21470257211702271</v>
      </c>
      <c r="Z42" s="101">
        <f t="shared" si="9"/>
        <v>0.21840456956970605</v>
      </c>
      <c r="AA42" s="102">
        <f t="shared" si="9"/>
        <v>0.21840456956970605</v>
      </c>
      <c r="AB42" s="102">
        <f t="shared" si="9"/>
        <v>0.21840456956970605</v>
      </c>
      <c r="AC42" s="102">
        <f t="shared" si="9"/>
        <v>0.21840456956970605</v>
      </c>
      <c r="AD42" s="103">
        <f t="shared" si="9"/>
        <v>0.21840456956970605</v>
      </c>
      <c r="AE42" s="101">
        <f t="shared" si="9"/>
        <v>0.21840456956970605</v>
      </c>
      <c r="AF42" s="102">
        <f t="shared" si="9"/>
        <v>0.21840456956970605</v>
      </c>
      <c r="AG42" s="102">
        <f t="shared" si="9"/>
        <v>0.21840456956970605</v>
      </c>
      <c r="AH42" s="102">
        <f t="shared" si="9"/>
        <v>0.21840456956970605</v>
      </c>
      <c r="AI42" s="103">
        <f t="shared" si="9"/>
        <v>0.21840456956970605</v>
      </c>
    </row>
    <row r="43" spans="1:35" x14ac:dyDescent="0.2">
      <c r="A43" s="51"/>
      <c r="C43" s="78" t="s">
        <v>129</v>
      </c>
      <c r="D43" s="85"/>
      <c r="E43" s="85"/>
      <c r="F43" s="85"/>
      <c r="G43" s="79"/>
      <c r="H43" s="308">
        <f t="shared" si="10"/>
        <v>7.4666599607987028</v>
      </c>
      <c r="I43" s="94"/>
      <c r="J43" s="51"/>
      <c r="K43" s="104">
        <f t="shared" si="9"/>
        <v>0.26468155313384217</v>
      </c>
      <c r="L43" s="105">
        <f t="shared" si="9"/>
        <v>0.34153555154357229</v>
      </c>
      <c r="M43" s="105">
        <f t="shared" si="9"/>
        <v>0.34352253323474646</v>
      </c>
      <c r="N43" s="105">
        <f t="shared" si="9"/>
        <v>0.30828324259178169</v>
      </c>
      <c r="O43" s="106">
        <f t="shared" si="9"/>
        <v>0.42578714298322151</v>
      </c>
      <c r="P43" s="104">
        <f t="shared" si="9"/>
        <v>0.48737080691656376</v>
      </c>
      <c r="Q43" s="105">
        <f t="shared" si="9"/>
        <v>0.50001178217520026</v>
      </c>
      <c r="R43" s="105">
        <f t="shared" si="9"/>
        <v>0.49012618712369072</v>
      </c>
      <c r="S43" s="105">
        <f t="shared" si="9"/>
        <v>0.51023898675351664</v>
      </c>
      <c r="T43" s="106">
        <f t="shared" si="9"/>
        <v>0.52600780007790982</v>
      </c>
      <c r="U43" s="104">
        <f t="shared" si="9"/>
        <v>0.5226943629616122</v>
      </c>
      <c r="V43" s="105">
        <f t="shared" si="9"/>
        <v>0.52150802763906035</v>
      </c>
      <c r="W43" s="105">
        <f t="shared" si="9"/>
        <v>0.52365022352099022</v>
      </c>
      <c r="X43" s="105">
        <f t="shared" si="9"/>
        <v>0.52355892158570794</v>
      </c>
      <c r="Y43" s="106">
        <f t="shared" si="9"/>
        <v>0.52216448198662457</v>
      </c>
      <c r="Z43" s="104">
        <f t="shared" si="9"/>
        <v>0.52205452291429699</v>
      </c>
      <c r="AA43" s="105">
        <f t="shared" si="9"/>
        <v>0.52205452291429699</v>
      </c>
      <c r="AB43" s="105">
        <f t="shared" si="9"/>
        <v>0.52205452291429699</v>
      </c>
      <c r="AC43" s="105">
        <f t="shared" si="9"/>
        <v>0.52205452291429699</v>
      </c>
      <c r="AD43" s="106">
        <f t="shared" si="9"/>
        <v>0.52205452291429699</v>
      </c>
      <c r="AE43" s="104">
        <f t="shared" si="9"/>
        <v>0.52205452291429699</v>
      </c>
      <c r="AF43" s="105">
        <f t="shared" si="9"/>
        <v>0.52205452291429699</v>
      </c>
      <c r="AG43" s="105">
        <f t="shared" si="9"/>
        <v>0.52205452291429699</v>
      </c>
      <c r="AH43" s="105">
        <f t="shared" si="9"/>
        <v>0.52205452291429699</v>
      </c>
      <c r="AI43" s="106">
        <f t="shared" si="9"/>
        <v>0.52205452291429699</v>
      </c>
    </row>
    <row r="44" spans="1:35" x14ac:dyDescent="0.2">
      <c r="A44" s="51"/>
      <c r="C44" s="78" t="s">
        <v>154</v>
      </c>
      <c r="D44" s="85"/>
      <c r="E44" s="85"/>
      <c r="F44" s="85"/>
      <c r="G44" s="79"/>
      <c r="H44" s="309">
        <f t="shared" si="10"/>
        <v>3.6299409701370142</v>
      </c>
      <c r="I44" s="94"/>
      <c r="J44" s="51"/>
      <c r="K44" s="104">
        <f t="shared" si="9"/>
        <v>0.12825116128212591</v>
      </c>
      <c r="L44" s="105">
        <f t="shared" si="9"/>
        <v>0.17808234838277501</v>
      </c>
      <c r="M44" s="105">
        <f t="shared" si="9"/>
        <v>0.21212112296711561</v>
      </c>
      <c r="N44" s="105">
        <f t="shared" si="9"/>
        <v>0.22592287673252481</v>
      </c>
      <c r="O44" s="106">
        <f t="shared" si="9"/>
        <v>0.25491136348948518</v>
      </c>
      <c r="P44" s="104">
        <f t="shared" si="9"/>
        <v>0.24500692951357889</v>
      </c>
      <c r="Q44" s="105">
        <f t="shared" si="9"/>
        <v>0.25094034541007471</v>
      </c>
      <c r="R44" s="105">
        <f t="shared" si="9"/>
        <v>0.25155616994755514</v>
      </c>
      <c r="S44" s="105">
        <f t="shared" si="9"/>
        <v>0.24530938602170166</v>
      </c>
      <c r="T44" s="106">
        <f t="shared" si="9"/>
        <v>0.23865014150943226</v>
      </c>
      <c r="U44" s="104">
        <f t="shared" si="9"/>
        <v>0.2354443533535811</v>
      </c>
      <c r="V44" s="105">
        <f t="shared" si="9"/>
        <v>0.23928259279346098</v>
      </c>
      <c r="W44" s="105">
        <f t="shared" si="9"/>
        <v>0.23977465860476616</v>
      </c>
      <c r="X44" s="105">
        <f t="shared" si="9"/>
        <v>0.23921961442916281</v>
      </c>
      <c r="Y44" s="106">
        <f t="shared" si="9"/>
        <v>0.2383516147647948</v>
      </c>
      <c r="Z44" s="104">
        <f t="shared" si="9"/>
        <v>0.23991864867851206</v>
      </c>
      <c r="AA44" s="105">
        <f t="shared" si="9"/>
        <v>0.23991864867851206</v>
      </c>
      <c r="AB44" s="105">
        <f t="shared" si="9"/>
        <v>0.23991864867851206</v>
      </c>
      <c r="AC44" s="105">
        <f t="shared" si="9"/>
        <v>0.23991864867851206</v>
      </c>
      <c r="AD44" s="106">
        <f t="shared" si="9"/>
        <v>0.23991864867851206</v>
      </c>
      <c r="AE44" s="104">
        <f t="shared" si="9"/>
        <v>0.23991864867851206</v>
      </c>
      <c r="AF44" s="105">
        <f t="shared" si="9"/>
        <v>0.23991864867851206</v>
      </c>
      <c r="AG44" s="105">
        <f t="shared" si="9"/>
        <v>0.23991864867851206</v>
      </c>
      <c r="AH44" s="105">
        <f t="shared" si="9"/>
        <v>0.23991864867851206</v>
      </c>
      <c r="AI44" s="106">
        <f t="shared" si="9"/>
        <v>0.23991864867851206</v>
      </c>
    </row>
    <row r="45" spans="1:35" x14ac:dyDescent="0.2">
      <c r="A45" s="51"/>
      <c r="C45" s="51" t="s">
        <v>119</v>
      </c>
      <c r="D45" s="51"/>
      <c r="E45" s="51"/>
      <c r="F45" s="51"/>
      <c r="G45" s="79"/>
      <c r="H45" s="310">
        <f t="shared" si="10"/>
        <v>26.08008490478128</v>
      </c>
      <c r="I45" s="94"/>
      <c r="J45" s="51"/>
      <c r="K45" s="301">
        <f t="shared" ref="K45:AI45" si="11">SUM(K40:K44)</f>
        <v>1.80778113794637</v>
      </c>
      <c r="L45" s="302">
        <f t="shared" si="11"/>
        <v>2.1351617831559877</v>
      </c>
      <c r="M45" s="302">
        <f t="shared" si="11"/>
        <v>2.2022710841553002</v>
      </c>
      <c r="N45" s="302">
        <f t="shared" si="11"/>
        <v>1.8665871980066198</v>
      </c>
      <c r="O45" s="303">
        <f t="shared" si="11"/>
        <v>2.172760247252846</v>
      </c>
      <c r="P45" s="301">
        <f t="shared" si="11"/>
        <v>2.1750502287011795</v>
      </c>
      <c r="Q45" s="302">
        <f t="shared" si="11"/>
        <v>1.9870214814980556</v>
      </c>
      <c r="R45" s="302">
        <f t="shared" si="11"/>
        <v>1.6683291072343902</v>
      </c>
      <c r="S45" s="302">
        <f t="shared" si="11"/>
        <v>1.590069867619029</v>
      </c>
      <c r="T45" s="303">
        <f t="shared" si="11"/>
        <v>1.609198721379383</v>
      </c>
      <c r="U45" s="301">
        <f t="shared" si="11"/>
        <v>1.5645955191699052</v>
      </c>
      <c r="V45" s="302">
        <f t="shared" si="11"/>
        <v>1.6109928987141109</v>
      </c>
      <c r="W45" s="302">
        <f t="shared" si="11"/>
        <v>1.6220146397451261</v>
      </c>
      <c r="X45" s="302">
        <f t="shared" si="11"/>
        <v>1.6270643762770474</v>
      </c>
      <c r="Y45" s="303">
        <f t="shared" si="11"/>
        <v>1.6279848307414642</v>
      </c>
      <c r="Z45" s="301">
        <f t="shared" si="11"/>
        <v>1.6511299335634784</v>
      </c>
      <c r="AA45" s="302">
        <f t="shared" si="11"/>
        <v>1.6511299335634784</v>
      </c>
      <c r="AB45" s="302">
        <f t="shared" si="11"/>
        <v>1.6511299335634784</v>
      </c>
      <c r="AC45" s="302">
        <f t="shared" si="11"/>
        <v>1.6511299335634784</v>
      </c>
      <c r="AD45" s="303">
        <f t="shared" si="11"/>
        <v>1.6511299335634784</v>
      </c>
      <c r="AE45" s="301">
        <f t="shared" si="11"/>
        <v>1.6511299335634784</v>
      </c>
      <c r="AF45" s="302">
        <f t="shared" si="11"/>
        <v>1.6511299335634784</v>
      </c>
      <c r="AG45" s="302">
        <f t="shared" si="11"/>
        <v>1.6511299335634784</v>
      </c>
      <c r="AH45" s="302">
        <f t="shared" si="11"/>
        <v>1.6511299335634784</v>
      </c>
      <c r="AI45" s="303">
        <f t="shared" si="11"/>
        <v>1.6511299335634784</v>
      </c>
    </row>
    <row r="46" spans="1:35" x14ac:dyDescent="0.2">
      <c r="A46" s="51"/>
      <c r="B46" s="51"/>
      <c r="C46" s="51"/>
      <c r="D46" s="51"/>
      <c r="E46" s="51"/>
      <c r="F46" s="51"/>
      <c r="G46" s="79"/>
      <c r="H46" s="171"/>
      <c r="I46" s="94"/>
      <c r="J46" s="51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</row>
    <row r="47" spans="1:35" x14ac:dyDescent="0.2">
      <c r="A47" s="51"/>
      <c r="B47" s="51"/>
      <c r="C47" s="51"/>
      <c r="D47" s="51"/>
      <c r="E47" s="51"/>
      <c r="F47" s="51"/>
      <c r="G47" s="51"/>
      <c r="H47" s="51"/>
      <c r="I47" s="79"/>
      <c r="J47" s="57"/>
      <c r="K47" s="36"/>
      <c r="L47" s="36"/>
      <c r="P47" s="51"/>
      <c r="Q47" s="51"/>
      <c r="R47" s="51"/>
      <c r="S47" s="51"/>
      <c r="T47" s="51"/>
      <c r="U47" s="58"/>
      <c r="V47" s="51"/>
      <c r="W47" s="51"/>
      <c r="X47" s="51"/>
      <c r="Y47" s="51"/>
      <c r="Z47" s="51"/>
      <c r="AA47" s="51"/>
    </row>
    <row r="48" spans="1:35" x14ac:dyDescent="0.2">
      <c r="A48" s="51"/>
      <c r="B48" s="69" t="s">
        <v>161</v>
      </c>
      <c r="J48" s="36"/>
      <c r="K48" s="36"/>
      <c r="L48" s="36"/>
    </row>
    <row r="49" spans="1:22" x14ac:dyDescent="0.2">
      <c r="A49" s="51"/>
      <c r="B49" s="69"/>
      <c r="I49" s="110" t="s">
        <v>224</v>
      </c>
      <c r="J49" s="315" t="s">
        <v>205</v>
      </c>
      <c r="K49" s="316">
        <f>SUM(J52:J$56)</f>
        <v>244.54089562957003</v>
      </c>
      <c r="L49" s="317">
        <f>SUM(J53:J$56)</f>
        <v>239.14932650212859</v>
      </c>
      <c r="M49" s="316">
        <f>SUM(J54:J$56)</f>
        <v>233.90547159735678</v>
      </c>
      <c r="N49" s="317">
        <f>SUM(J55:J$56)</f>
        <v>220.90662000242946</v>
      </c>
      <c r="O49" s="316">
        <f>SUM(J56:J$56)</f>
        <v>161.15621693256475</v>
      </c>
      <c r="P49" s="175"/>
      <c r="Q49" s="111"/>
      <c r="R49" s="111"/>
      <c r="S49" s="112"/>
      <c r="U49" s="424" t="s">
        <v>225</v>
      </c>
      <c r="V49" s="425"/>
    </row>
    <row r="50" spans="1:22" x14ac:dyDescent="0.2">
      <c r="A50" s="51"/>
      <c r="C50" s="51"/>
      <c r="D50" s="51"/>
      <c r="E50" s="51"/>
      <c r="F50" s="51"/>
      <c r="G50" s="51"/>
      <c r="H50" s="51"/>
      <c r="I50" s="113"/>
      <c r="J50" s="318" t="s">
        <v>206</v>
      </c>
      <c r="K50" s="319">
        <f>H40</f>
        <v>4.6846598375362705</v>
      </c>
      <c r="L50" s="320">
        <f>H41</f>
        <v>6.8180775425182469</v>
      </c>
      <c r="M50" s="319">
        <f>H42</f>
        <v>3.4807465937910416</v>
      </c>
      <c r="N50" s="320">
        <f>H43</f>
        <v>7.4666599607987028</v>
      </c>
      <c r="O50" s="319">
        <f>H44</f>
        <v>3.6299409701370142</v>
      </c>
      <c r="P50" s="325">
        <f>SUM(K50:O50)</f>
        <v>26.080084904781273</v>
      </c>
      <c r="Q50" s="114"/>
      <c r="R50" s="114"/>
      <c r="S50" s="115"/>
      <c r="U50" s="426" t="s">
        <v>226</v>
      </c>
      <c r="V50" s="427"/>
    </row>
    <row r="51" spans="1:22" x14ac:dyDescent="0.2">
      <c r="A51" s="51"/>
      <c r="C51" s="51"/>
      <c r="D51" s="51"/>
      <c r="E51" s="51"/>
      <c r="F51" s="51"/>
      <c r="G51" s="51"/>
      <c r="H51" s="51"/>
      <c r="I51" s="178"/>
      <c r="J51" s="311" t="s">
        <v>162</v>
      </c>
      <c r="K51" s="116" t="s">
        <v>126</v>
      </c>
      <c r="L51" s="177" t="s">
        <v>128</v>
      </c>
      <c r="M51" s="116" t="s">
        <v>153</v>
      </c>
      <c r="N51" s="176" t="s">
        <v>129</v>
      </c>
      <c r="O51" s="116" t="s">
        <v>154</v>
      </c>
      <c r="P51" s="116" t="s">
        <v>163</v>
      </c>
      <c r="Q51" s="117" t="s">
        <v>164</v>
      </c>
      <c r="R51" s="118" t="s">
        <v>127</v>
      </c>
      <c r="S51" s="118" t="s">
        <v>165</v>
      </c>
      <c r="U51" s="47" t="s">
        <v>227</v>
      </c>
      <c r="V51" s="48" t="s">
        <v>228</v>
      </c>
    </row>
    <row r="52" spans="1:22" x14ac:dyDescent="0.2">
      <c r="A52" s="51"/>
      <c r="C52" s="51"/>
      <c r="D52" s="51"/>
      <c r="E52" s="51"/>
      <c r="F52" s="51"/>
      <c r="G52" s="51"/>
      <c r="H52" s="51"/>
      <c r="I52" s="119" t="s">
        <v>126</v>
      </c>
      <c r="J52" s="312">
        <f>H8</f>
        <v>5.3915691274414428</v>
      </c>
      <c r="K52" s="321">
        <f>K$50*J52/SUM(J$52:J$56)</f>
        <v>0.10328606709155778</v>
      </c>
      <c r="L52" s="120"/>
      <c r="M52" s="120"/>
      <c r="N52" s="120"/>
      <c r="O52" s="120"/>
      <c r="P52" s="326">
        <f>SUM(K52:O52)</f>
        <v>0.10328606709155778</v>
      </c>
      <c r="Q52" s="121">
        <f>P52*1000/J52</f>
        <v>19.156958697953662</v>
      </c>
      <c r="R52" s="122">
        <v>0.95</v>
      </c>
      <c r="S52" s="123">
        <f>Q52*R52</f>
        <v>18.199110763055977</v>
      </c>
      <c r="U52" s="332">
        <f>Q52</f>
        <v>19.156958697953662</v>
      </c>
      <c r="V52" s="333">
        <f>U52*R52</f>
        <v>18.199110763055977</v>
      </c>
    </row>
    <row r="53" spans="1:22" x14ac:dyDescent="0.2">
      <c r="A53" s="51"/>
      <c r="C53" s="51"/>
      <c r="D53" s="51"/>
      <c r="E53" s="51"/>
      <c r="F53" s="51"/>
      <c r="G53" s="51"/>
      <c r="H53" s="51"/>
      <c r="I53" s="124" t="s">
        <v>128</v>
      </c>
      <c r="J53" s="313">
        <f>H9</f>
        <v>5.2438549047718181</v>
      </c>
      <c r="K53" s="322">
        <f>K$50*J53/SUM(J$52:J$56)</f>
        <v>0.10045631182877546</v>
      </c>
      <c r="L53" s="322">
        <f>L$50*J53/SUM(J$53:J$56)</f>
        <v>0.149500773785916</v>
      </c>
      <c r="M53" s="125"/>
      <c r="N53" s="125"/>
      <c r="O53" s="126"/>
      <c r="P53" s="327">
        <f t="shared" ref="P53:P56" si="12">SUM(K53:O53)</f>
        <v>0.24995708561469146</v>
      </c>
      <c r="Q53" s="127">
        <f>P53*1000/J53</f>
        <v>47.66666701384792</v>
      </c>
      <c r="R53" s="128">
        <v>0.9</v>
      </c>
      <c r="S53" s="129">
        <f t="shared" ref="S53:S56" si="13">Q53*R53</f>
        <v>42.900000312463128</v>
      </c>
      <c r="U53" s="334">
        <f>Q53-Q52</f>
        <v>28.509708315894258</v>
      </c>
      <c r="V53" s="335">
        <f t="shared" ref="V53:V56" si="14">U53*R53</f>
        <v>25.658737484304833</v>
      </c>
    </row>
    <row r="54" spans="1:22" x14ac:dyDescent="0.2">
      <c r="C54" s="51"/>
      <c r="D54" s="51"/>
      <c r="E54" s="51"/>
      <c r="F54" s="51"/>
      <c r="G54" s="51"/>
      <c r="H54" s="51"/>
      <c r="I54" s="124" t="s">
        <v>153</v>
      </c>
      <c r="J54" s="313">
        <f>H10</f>
        <v>12.998851594927309</v>
      </c>
      <c r="K54" s="322">
        <f>K$50*J54/SUM(J$52:J$56)</f>
        <v>0.24901846312485154</v>
      </c>
      <c r="L54" s="322">
        <f>L$50*J54/SUM(J$53:J$56)</f>
        <v>0.37059346741297444</v>
      </c>
      <c r="M54" s="322">
        <f>M$50*J54/SUM(J$54:J$56)</f>
        <v>0.19343587006858959</v>
      </c>
      <c r="N54" s="125"/>
      <c r="O54" s="126"/>
      <c r="P54" s="327">
        <f t="shared" si="12"/>
        <v>0.81304780060641568</v>
      </c>
      <c r="Q54" s="127">
        <f>P54*1000/J54</f>
        <v>62.547663896993839</v>
      </c>
      <c r="R54" s="128">
        <v>0.9</v>
      </c>
      <c r="S54" s="129">
        <f t="shared" si="13"/>
        <v>56.292897507294455</v>
      </c>
      <c r="U54" s="334">
        <f t="shared" ref="U54:U56" si="15">Q54-Q53</f>
        <v>14.880996883145919</v>
      </c>
      <c r="V54" s="335">
        <f t="shared" si="14"/>
        <v>13.392897194831328</v>
      </c>
    </row>
    <row r="55" spans="1:22" x14ac:dyDescent="0.2">
      <c r="C55" s="51"/>
      <c r="D55" s="51"/>
      <c r="E55" s="51"/>
      <c r="F55" s="51"/>
      <c r="G55" s="51"/>
      <c r="H55" s="51"/>
      <c r="I55" s="124" t="s">
        <v>129</v>
      </c>
      <c r="J55" s="313">
        <f>H11</f>
        <v>59.75040306986471</v>
      </c>
      <c r="K55" s="322">
        <f>K$50*J55/SUM(J$52:J$56)</f>
        <v>1.1446360037954821</v>
      </c>
      <c r="L55" s="322">
        <f>L$50*J55/SUM(J$53:J$56)</f>
        <v>1.7034665632789556</v>
      </c>
      <c r="M55" s="322">
        <f>M$50*J55/SUM(J$54:J$56)</f>
        <v>0.88914556184936877</v>
      </c>
      <c r="N55" s="322">
        <f>N$50*J55/SUM(J$55:J$56)</f>
        <v>2.0195680067823965</v>
      </c>
      <c r="O55" s="126"/>
      <c r="P55" s="327">
        <f t="shared" si="12"/>
        <v>5.7568161357062033</v>
      </c>
      <c r="Q55" s="127">
        <f>P55*1000/J55</f>
        <v>96.347737252498476</v>
      </c>
      <c r="R55" s="128">
        <v>0.9</v>
      </c>
      <c r="S55" s="129">
        <f t="shared" si="13"/>
        <v>86.712963527248633</v>
      </c>
      <c r="U55" s="334">
        <f t="shared" si="15"/>
        <v>33.800073355504637</v>
      </c>
      <c r="V55" s="335">
        <f t="shared" si="14"/>
        <v>30.420066019954174</v>
      </c>
    </row>
    <row r="56" spans="1:22" x14ac:dyDescent="0.2">
      <c r="I56" s="130" t="s">
        <v>154</v>
      </c>
      <c r="J56" s="314">
        <f>H12</f>
        <v>161.15621693256475</v>
      </c>
      <c r="K56" s="323">
        <f>K$50*J56/SUM(J$52:J$56)</f>
        <v>3.0872629916956034</v>
      </c>
      <c r="L56" s="323">
        <f>L$50*J56/SUM(J$53:J$56)</f>
        <v>4.5945167380404</v>
      </c>
      <c r="M56" s="323">
        <f>M$50*J56/SUM(J$54:J$56)</f>
        <v>2.398165161873083</v>
      </c>
      <c r="N56" s="323">
        <f>N$50*J56/SUM(J$55:J$56)</f>
        <v>5.4470919540163063</v>
      </c>
      <c r="O56" s="324">
        <f>O50</f>
        <v>3.6299409701370142</v>
      </c>
      <c r="P56" s="328">
        <f t="shared" si="12"/>
        <v>19.156977815762406</v>
      </c>
      <c r="Q56" s="131">
        <f>P56*1000/J56</f>
        <v>118.87209926116952</v>
      </c>
      <c r="R56" s="132">
        <v>0.9</v>
      </c>
      <c r="S56" s="133">
        <f t="shared" si="13"/>
        <v>106.98488933505257</v>
      </c>
      <c r="U56" s="336">
        <f t="shared" si="15"/>
        <v>22.524362008671048</v>
      </c>
      <c r="V56" s="337">
        <f t="shared" si="14"/>
        <v>20.271925807803942</v>
      </c>
    </row>
    <row r="57" spans="1:22" x14ac:dyDescent="0.2">
      <c r="I57" s="134"/>
      <c r="J57" s="330">
        <f>SUM(J52:J56)</f>
        <v>244.54089562957003</v>
      </c>
      <c r="K57" s="331">
        <f>SUM(K52:K56)</f>
        <v>4.6846598375362705</v>
      </c>
      <c r="L57" s="329">
        <f>SUM(L52:L56)</f>
        <v>6.818077542518246</v>
      </c>
      <c r="M57" s="331">
        <f t="shared" ref="M57:P57" si="16">SUM(M52:M56)</f>
        <v>3.4807465937910411</v>
      </c>
      <c r="N57" s="329">
        <f t="shared" si="16"/>
        <v>7.4666599607987028</v>
      </c>
      <c r="O57" s="331">
        <f t="shared" si="16"/>
        <v>3.6299409701370142</v>
      </c>
      <c r="P57" s="329">
        <f t="shared" si="16"/>
        <v>26.080084904781273</v>
      </c>
      <c r="Q57" s="135"/>
      <c r="R57" s="136"/>
      <c r="S57" s="137"/>
    </row>
    <row r="58" spans="1:22" x14ac:dyDescent="0.2">
      <c r="J58" s="36"/>
      <c r="K58" s="36"/>
      <c r="L58" s="36"/>
    </row>
    <row r="59" spans="1:22" x14ac:dyDescent="0.2">
      <c r="J59" s="36"/>
      <c r="K59" s="36"/>
      <c r="L59" s="36"/>
    </row>
    <row r="60" spans="1:22" x14ac:dyDescent="0.2">
      <c r="J60" s="36"/>
      <c r="K60" s="36"/>
      <c r="L60" s="36"/>
    </row>
    <row r="61" spans="1:22" x14ac:dyDescent="0.2">
      <c r="J61" s="36"/>
      <c r="K61" s="36"/>
      <c r="L61" s="36"/>
    </row>
    <row r="62" spans="1:22" x14ac:dyDescent="0.2">
      <c r="J62" s="36"/>
      <c r="K62" s="36"/>
      <c r="L62" s="36"/>
    </row>
    <row r="63" spans="1:22" x14ac:dyDescent="0.2">
      <c r="J63" s="36"/>
      <c r="K63" s="36"/>
      <c r="L63" s="36"/>
    </row>
    <row r="64" spans="1:22" x14ac:dyDescent="0.2">
      <c r="A64" s="73"/>
      <c r="J64" s="36"/>
      <c r="K64" s="36"/>
      <c r="L64" s="36"/>
    </row>
    <row r="65" spans="1:32" x14ac:dyDescent="0.2">
      <c r="A65" s="73"/>
      <c r="J65" s="36"/>
      <c r="K65" s="36"/>
      <c r="L65" s="36"/>
    </row>
    <row r="66" spans="1:32" x14ac:dyDescent="0.2">
      <c r="A66" s="73"/>
      <c r="J66" s="36"/>
      <c r="K66" s="36"/>
      <c r="L66" s="36"/>
    </row>
    <row r="67" spans="1:32" x14ac:dyDescent="0.2">
      <c r="A67" s="73"/>
      <c r="J67" s="36"/>
      <c r="K67" s="36"/>
      <c r="L67" s="36"/>
    </row>
    <row r="68" spans="1:32" x14ac:dyDescent="0.2">
      <c r="A68" s="73"/>
      <c r="J68" s="36"/>
      <c r="K68" s="36"/>
      <c r="L68" s="36"/>
    </row>
    <row r="69" spans="1:32" x14ac:dyDescent="0.2">
      <c r="A69" s="73"/>
      <c r="J69" s="36"/>
      <c r="K69" s="36"/>
      <c r="L69" s="36"/>
    </row>
    <row r="70" spans="1:32" x14ac:dyDescent="0.2">
      <c r="A70" s="73"/>
      <c r="J70" s="36"/>
      <c r="K70" s="36"/>
      <c r="L70" s="36"/>
    </row>
    <row r="71" spans="1:32" x14ac:dyDescent="0.2">
      <c r="A71" s="51"/>
      <c r="J71" s="36"/>
      <c r="K71" s="36"/>
      <c r="L71" s="36"/>
    </row>
    <row r="72" spans="1:32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</row>
    <row r="73" spans="1:32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</row>
    <row r="74" spans="1:32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</row>
    <row r="75" spans="1:32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</row>
    <row r="76" spans="1:32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</row>
    <row r="77" spans="1:32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</row>
    <row r="78" spans="1:32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</row>
    <row r="79" spans="1:32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</row>
    <row r="80" spans="1:32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</row>
    <row r="81" spans="10:12" x14ac:dyDescent="0.2">
      <c r="J81" s="36"/>
      <c r="K81" s="36"/>
      <c r="L81" s="36"/>
    </row>
    <row r="82" spans="10:12" x14ac:dyDescent="0.2">
      <c r="J82" s="36"/>
      <c r="K82" s="36"/>
      <c r="L82" s="36"/>
    </row>
    <row r="85" spans="10:12" x14ac:dyDescent="0.2">
      <c r="L85" s="138"/>
    </row>
  </sheetData>
  <mergeCells count="2">
    <mergeCell ref="U49:V49"/>
    <mergeCell ref="U50:V50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24BF-2C0E-4912-925D-08813783D086}">
  <sheetPr>
    <tabColor rgb="FF00B0F0"/>
  </sheetPr>
  <dimension ref="B2:N29"/>
  <sheetViews>
    <sheetView workbookViewId="0">
      <selection activeCell="D32" sqref="D32"/>
    </sheetView>
  </sheetViews>
  <sheetFormatPr defaultRowHeight="15" x14ac:dyDescent="0.25"/>
  <cols>
    <col min="2" max="2" width="24.140625" customWidth="1"/>
    <col min="3" max="14" width="10.7109375" customWidth="1"/>
    <col min="15" max="15" width="12.7109375" customWidth="1"/>
    <col min="16" max="16" width="10.7109375" customWidth="1"/>
  </cols>
  <sheetData>
    <row r="2" spans="2:14" ht="16.5" thickBot="1" x14ac:dyDescent="0.3">
      <c r="B2" s="428" t="s">
        <v>239</v>
      </c>
      <c r="C2" s="428"/>
    </row>
    <row r="3" spans="2:14" x14ac:dyDescent="0.25">
      <c r="B3" s="429"/>
      <c r="C3" s="430" t="s">
        <v>12</v>
      </c>
      <c r="D3" s="430" t="str">
        <f>C3</f>
        <v>2020/21</v>
      </c>
      <c r="E3" s="431"/>
      <c r="F3" s="432"/>
      <c r="G3" s="433" t="s">
        <v>240</v>
      </c>
      <c r="H3" s="432"/>
      <c r="I3" s="434"/>
      <c r="J3" s="431"/>
      <c r="K3" s="432"/>
      <c r="L3" s="433" t="s">
        <v>240</v>
      </c>
      <c r="M3" s="432"/>
      <c r="N3" s="434"/>
    </row>
    <row r="4" spans="2:14" ht="30.75" thickBot="1" x14ac:dyDescent="0.3">
      <c r="B4" s="435" t="s">
        <v>241</v>
      </c>
      <c r="C4" s="435" t="s">
        <v>242</v>
      </c>
      <c r="D4" s="436" t="s">
        <v>243</v>
      </c>
      <c r="E4" s="437" t="s">
        <v>244</v>
      </c>
      <c r="F4" s="438" t="s">
        <v>245</v>
      </c>
      <c r="G4" s="438" t="s">
        <v>246</v>
      </c>
      <c r="H4" s="438" t="s">
        <v>247</v>
      </c>
      <c r="I4" s="439" t="s">
        <v>248</v>
      </c>
      <c r="J4" s="437" t="s">
        <v>244</v>
      </c>
      <c r="K4" s="438" t="s">
        <v>245</v>
      </c>
      <c r="L4" s="438" t="s">
        <v>246</v>
      </c>
      <c r="M4" s="438" t="s">
        <v>247</v>
      </c>
      <c r="N4" s="439" t="s">
        <v>248</v>
      </c>
    </row>
    <row r="5" spans="2:14" x14ac:dyDescent="0.25">
      <c r="B5" s="431" t="s">
        <v>249</v>
      </c>
      <c r="C5" s="463">
        <v>64.3</v>
      </c>
      <c r="D5" s="468">
        <f t="shared" ref="D5:D10" si="0">0.9*C5</f>
        <v>57.87</v>
      </c>
      <c r="E5" s="440">
        <v>0.37</v>
      </c>
      <c r="F5" s="441">
        <v>0.36</v>
      </c>
      <c r="G5" s="441">
        <v>0.48</v>
      </c>
      <c r="H5" s="441">
        <v>0.48</v>
      </c>
      <c r="I5" s="442">
        <v>0.98</v>
      </c>
      <c r="J5" s="443">
        <f>$D5*E5</f>
        <v>21.411899999999999</v>
      </c>
      <c r="K5" s="444">
        <f t="shared" ref="K5:N12" si="1">$D5*F5</f>
        <v>20.833199999999998</v>
      </c>
      <c r="L5" s="444">
        <f t="shared" si="1"/>
        <v>27.777599999999996</v>
      </c>
      <c r="M5" s="444">
        <f t="shared" si="1"/>
        <v>27.777599999999996</v>
      </c>
      <c r="N5" s="445">
        <f t="shared" si="1"/>
        <v>56.712599999999995</v>
      </c>
    </row>
    <row r="6" spans="2:14" x14ac:dyDescent="0.25">
      <c r="B6" s="446" t="s">
        <v>250</v>
      </c>
      <c r="C6" s="464">
        <v>140.69999999999999</v>
      </c>
      <c r="D6" s="470">
        <f t="shared" si="0"/>
        <v>126.63</v>
      </c>
      <c r="E6" s="447">
        <v>0.08</v>
      </c>
      <c r="F6" s="448">
        <v>0.11</v>
      </c>
      <c r="G6" s="448">
        <v>0.4</v>
      </c>
      <c r="H6" s="448">
        <v>0.4</v>
      </c>
      <c r="I6" s="449">
        <v>0.86</v>
      </c>
      <c r="J6" s="450">
        <f t="shared" ref="J6:J12" si="2">$D6*E6</f>
        <v>10.1304</v>
      </c>
      <c r="K6" s="451">
        <f t="shared" si="1"/>
        <v>13.9293</v>
      </c>
      <c r="L6" s="451">
        <f t="shared" si="1"/>
        <v>50.652000000000001</v>
      </c>
      <c r="M6" s="451">
        <f t="shared" si="1"/>
        <v>50.652000000000001</v>
      </c>
      <c r="N6" s="452">
        <f t="shared" si="1"/>
        <v>108.90179999999999</v>
      </c>
    </row>
    <row r="7" spans="2:14" x14ac:dyDescent="0.25">
      <c r="B7" s="446" t="s">
        <v>251</v>
      </c>
      <c r="C7" s="464">
        <v>267.39999999999998</v>
      </c>
      <c r="D7" s="470">
        <f t="shared" si="0"/>
        <v>240.66</v>
      </c>
      <c r="E7" s="447">
        <v>0.03</v>
      </c>
      <c r="F7" s="448">
        <v>7.0000000000000007E-2</v>
      </c>
      <c r="G7" s="448">
        <v>0.39</v>
      </c>
      <c r="H7" s="448">
        <v>0.39</v>
      </c>
      <c r="I7" s="449">
        <v>0.92</v>
      </c>
      <c r="J7" s="450">
        <f t="shared" si="2"/>
        <v>7.2197999999999993</v>
      </c>
      <c r="K7" s="451">
        <f t="shared" si="1"/>
        <v>16.8462</v>
      </c>
      <c r="L7" s="451">
        <f t="shared" si="1"/>
        <v>93.857399999999998</v>
      </c>
      <c r="M7" s="451">
        <f t="shared" si="1"/>
        <v>93.857399999999998</v>
      </c>
      <c r="N7" s="452">
        <f t="shared" si="1"/>
        <v>221.40720000000002</v>
      </c>
    </row>
    <row r="8" spans="2:14" x14ac:dyDescent="0.25">
      <c r="B8" s="446" t="s">
        <v>252</v>
      </c>
      <c r="C8" s="464">
        <v>136.69999999999999</v>
      </c>
      <c r="D8" s="470">
        <f t="shared" si="0"/>
        <v>123.02999999999999</v>
      </c>
      <c r="E8" s="446"/>
      <c r="F8" s="448"/>
      <c r="G8" s="448">
        <v>0.32</v>
      </c>
      <c r="H8" s="448">
        <v>0.32</v>
      </c>
      <c r="I8" s="449">
        <v>0.55000000000000004</v>
      </c>
      <c r="J8" s="450">
        <f t="shared" si="2"/>
        <v>0</v>
      </c>
      <c r="K8" s="451">
        <f t="shared" si="1"/>
        <v>0</v>
      </c>
      <c r="L8" s="451">
        <f t="shared" si="1"/>
        <v>39.369599999999998</v>
      </c>
      <c r="M8" s="451">
        <f t="shared" si="1"/>
        <v>39.369599999999998</v>
      </c>
      <c r="N8" s="452">
        <f t="shared" si="1"/>
        <v>67.666499999999999</v>
      </c>
    </row>
    <row r="9" spans="2:14" x14ac:dyDescent="0.25">
      <c r="B9" s="446" t="s">
        <v>253</v>
      </c>
      <c r="C9" s="464">
        <v>120.6</v>
      </c>
      <c r="D9" s="470">
        <f t="shared" si="0"/>
        <v>108.53999999999999</v>
      </c>
      <c r="E9" s="446"/>
      <c r="F9" s="448"/>
      <c r="G9" s="448"/>
      <c r="H9" s="448">
        <v>0.32</v>
      </c>
      <c r="I9" s="449">
        <v>0.9</v>
      </c>
      <c r="J9" s="450">
        <f t="shared" si="2"/>
        <v>0</v>
      </c>
      <c r="K9" s="451">
        <f t="shared" si="1"/>
        <v>0</v>
      </c>
      <c r="L9" s="451">
        <f t="shared" si="1"/>
        <v>0</v>
      </c>
      <c r="M9" s="451">
        <f t="shared" si="1"/>
        <v>34.732799999999997</v>
      </c>
      <c r="N9" s="452">
        <f t="shared" si="1"/>
        <v>97.685999999999993</v>
      </c>
    </row>
    <row r="10" spans="2:14" x14ac:dyDescent="0.25">
      <c r="B10" s="446" t="s">
        <v>254</v>
      </c>
      <c r="C10" s="464">
        <v>44.2</v>
      </c>
      <c r="D10" s="470">
        <f t="shared" si="0"/>
        <v>39.78</v>
      </c>
      <c r="E10" s="446"/>
      <c r="F10" s="448"/>
      <c r="G10" s="448"/>
      <c r="H10" s="448">
        <v>0.32</v>
      </c>
      <c r="I10" s="449">
        <v>0.9</v>
      </c>
      <c r="J10" s="450">
        <f t="shared" si="2"/>
        <v>0</v>
      </c>
      <c r="K10" s="451">
        <f t="shared" si="1"/>
        <v>0</v>
      </c>
      <c r="L10" s="451">
        <f t="shared" si="1"/>
        <v>0</v>
      </c>
      <c r="M10" s="451">
        <f t="shared" si="1"/>
        <v>12.729600000000001</v>
      </c>
      <c r="N10" s="452">
        <f t="shared" si="1"/>
        <v>35.802</v>
      </c>
    </row>
    <row r="11" spans="2:14" x14ac:dyDescent="0.25">
      <c r="B11" s="446" t="s">
        <v>255</v>
      </c>
      <c r="C11" s="464">
        <f>30.1-2</f>
        <v>28.1</v>
      </c>
      <c r="D11" s="470">
        <f>C11</f>
        <v>28.1</v>
      </c>
      <c r="E11" s="446"/>
      <c r="F11" s="448"/>
      <c r="G11" s="448">
        <v>0.01</v>
      </c>
      <c r="H11" s="448">
        <v>0.1</v>
      </c>
      <c r="I11" s="449">
        <v>0.9</v>
      </c>
      <c r="J11" s="450">
        <f t="shared" si="2"/>
        <v>0</v>
      </c>
      <c r="K11" s="451">
        <f t="shared" si="1"/>
        <v>0</v>
      </c>
      <c r="L11" s="451">
        <f t="shared" si="1"/>
        <v>0.28100000000000003</v>
      </c>
      <c r="M11" s="451">
        <f t="shared" si="1"/>
        <v>2.8100000000000005</v>
      </c>
      <c r="N11" s="452">
        <f t="shared" si="1"/>
        <v>25.290000000000003</v>
      </c>
    </row>
    <row r="12" spans="2:14" ht="15.75" thickBot="1" x14ac:dyDescent="0.3">
      <c r="B12" s="453" t="s">
        <v>256</v>
      </c>
      <c r="C12" s="465"/>
      <c r="D12" s="471">
        <f>C14-SUM(D5:D11)</f>
        <v>77.3900000000001</v>
      </c>
      <c r="E12" s="454">
        <v>0.53</v>
      </c>
      <c r="F12" s="455">
        <v>0.55000000000000004</v>
      </c>
      <c r="G12" s="455">
        <v>0.73</v>
      </c>
      <c r="H12" s="455">
        <v>0.73</v>
      </c>
      <c r="I12" s="456">
        <v>0.97</v>
      </c>
      <c r="J12" s="457">
        <f t="shared" si="2"/>
        <v>41.016700000000057</v>
      </c>
      <c r="K12" s="458">
        <f t="shared" si="1"/>
        <v>42.564500000000059</v>
      </c>
      <c r="L12" s="458">
        <f t="shared" si="1"/>
        <v>56.494700000000073</v>
      </c>
      <c r="M12" s="458">
        <f t="shared" si="1"/>
        <v>56.494700000000073</v>
      </c>
      <c r="N12" s="459">
        <f t="shared" si="1"/>
        <v>75.068300000000093</v>
      </c>
    </row>
    <row r="13" spans="2:14" x14ac:dyDescent="0.25">
      <c r="B13" s="446"/>
      <c r="C13" s="464"/>
      <c r="D13" s="470"/>
      <c r="E13" s="446"/>
      <c r="F13" s="222"/>
      <c r="G13" s="222"/>
      <c r="H13" s="222"/>
      <c r="I13" s="460"/>
      <c r="J13" s="446"/>
      <c r="K13" s="222"/>
      <c r="L13" s="222"/>
      <c r="M13" s="222"/>
      <c r="N13" s="460"/>
    </row>
    <row r="14" spans="2:14" ht="15.75" thickBot="1" x14ac:dyDescent="0.3">
      <c r="B14" s="453"/>
      <c r="C14" s="465">
        <f>SUM(C5:C13)</f>
        <v>802</v>
      </c>
      <c r="D14" s="471">
        <f>C14</f>
        <v>802</v>
      </c>
      <c r="E14" s="453"/>
      <c r="F14" s="461"/>
      <c r="G14" s="461"/>
      <c r="H14" s="461"/>
      <c r="I14" s="462"/>
      <c r="J14" s="457">
        <f>SUM(J5:J13)</f>
        <v>79.778800000000047</v>
      </c>
      <c r="K14" s="458">
        <f t="shared" ref="K14:N14" si="3">SUM(K5:K13)</f>
        <v>94.173200000000065</v>
      </c>
      <c r="L14" s="458">
        <f t="shared" si="3"/>
        <v>268.43230000000005</v>
      </c>
      <c r="M14" s="458">
        <f t="shared" si="3"/>
        <v>318.42370000000005</v>
      </c>
      <c r="N14" s="459">
        <f t="shared" si="3"/>
        <v>688.53440000000012</v>
      </c>
    </row>
    <row r="15" spans="2:14" x14ac:dyDescent="0.25">
      <c r="C15" s="466"/>
      <c r="D15" s="466"/>
    </row>
    <row r="16" spans="2:14" x14ac:dyDescent="0.25">
      <c r="C16" s="466"/>
      <c r="D16" s="466"/>
    </row>
    <row r="17" spans="2:14" ht="16.5" thickBot="1" x14ac:dyDescent="0.3">
      <c r="B17" s="428" t="s">
        <v>257</v>
      </c>
      <c r="C17" s="467"/>
      <c r="D17" s="466"/>
    </row>
    <row r="18" spans="2:14" x14ac:dyDescent="0.25">
      <c r="B18" s="429"/>
      <c r="C18" s="430" t="s">
        <v>12</v>
      </c>
      <c r="D18" s="472" t="str">
        <f>C18</f>
        <v>2020/21</v>
      </c>
      <c r="E18" s="431"/>
      <c r="F18" s="432"/>
      <c r="G18" s="433" t="s">
        <v>240</v>
      </c>
      <c r="H18" s="432"/>
      <c r="I18" s="434"/>
      <c r="J18" s="431"/>
      <c r="K18" s="432"/>
      <c r="L18" s="433" t="s">
        <v>240</v>
      </c>
      <c r="M18" s="432"/>
      <c r="N18" s="434"/>
    </row>
    <row r="19" spans="2:14" ht="30.75" thickBot="1" x14ac:dyDescent="0.3">
      <c r="B19" s="435" t="s">
        <v>241</v>
      </c>
      <c r="C19" s="469" t="s">
        <v>242</v>
      </c>
      <c r="D19" s="473" t="s">
        <v>243</v>
      </c>
      <c r="E19" s="437" t="s">
        <v>244</v>
      </c>
      <c r="F19" s="438" t="s">
        <v>245</v>
      </c>
      <c r="G19" s="438" t="s">
        <v>246</v>
      </c>
      <c r="H19" s="438" t="s">
        <v>247</v>
      </c>
      <c r="I19" s="439" t="s">
        <v>248</v>
      </c>
      <c r="J19" s="437" t="s">
        <v>244</v>
      </c>
      <c r="K19" s="438" t="s">
        <v>245</v>
      </c>
      <c r="L19" s="438" t="s">
        <v>246</v>
      </c>
      <c r="M19" s="438" t="s">
        <v>247</v>
      </c>
      <c r="N19" s="439" t="s">
        <v>248</v>
      </c>
    </row>
    <row r="20" spans="2:14" x14ac:dyDescent="0.25">
      <c r="B20" s="431" t="s">
        <v>249</v>
      </c>
      <c r="C20" s="463">
        <v>64.3</v>
      </c>
      <c r="D20" s="468">
        <f t="shared" ref="D20:D25" si="4">0.9*C20</f>
        <v>57.87</v>
      </c>
      <c r="E20" s="440">
        <v>-0.01</v>
      </c>
      <c r="F20" s="441">
        <v>-0.01</v>
      </c>
      <c r="G20" s="441">
        <v>-0.03</v>
      </c>
      <c r="H20" s="441">
        <v>-0.03</v>
      </c>
      <c r="I20" s="442">
        <v>-0.02</v>
      </c>
      <c r="J20" s="443">
        <f>$D20*E20</f>
        <v>-0.57869999999999999</v>
      </c>
      <c r="K20" s="444">
        <f t="shared" ref="K20:N27" si="5">$D20*F20</f>
        <v>-0.57869999999999999</v>
      </c>
      <c r="L20" s="444">
        <f t="shared" si="5"/>
        <v>-1.7360999999999998</v>
      </c>
      <c r="M20" s="444">
        <f t="shared" si="5"/>
        <v>-1.7360999999999998</v>
      </c>
      <c r="N20" s="445">
        <f t="shared" si="5"/>
        <v>-1.1574</v>
      </c>
    </row>
    <row r="21" spans="2:14" x14ac:dyDescent="0.25">
      <c r="B21" s="446" t="s">
        <v>250</v>
      </c>
      <c r="C21" s="464">
        <v>140.69999999999999</v>
      </c>
      <c r="D21" s="470">
        <f t="shared" si="4"/>
        <v>126.63</v>
      </c>
      <c r="E21" s="447">
        <v>-0.04</v>
      </c>
      <c r="F21" s="448">
        <v>-0.04</v>
      </c>
      <c r="G21" s="448">
        <v>-0.04</v>
      </c>
      <c r="H21" s="448">
        <v>-0.04</v>
      </c>
      <c r="I21" s="449">
        <v>-0.14000000000000001</v>
      </c>
      <c r="J21" s="450">
        <f t="shared" ref="J21:J27" si="6">$D21*E21</f>
        <v>-5.0651999999999999</v>
      </c>
      <c r="K21" s="451">
        <f t="shared" si="5"/>
        <v>-5.0651999999999999</v>
      </c>
      <c r="L21" s="451">
        <f t="shared" si="5"/>
        <v>-5.0651999999999999</v>
      </c>
      <c r="M21" s="451">
        <f t="shared" si="5"/>
        <v>-5.0651999999999999</v>
      </c>
      <c r="N21" s="452">
        <f t="shared" si="5"/>
        <v>-17.728200000000001</v>
      </c>
    </row>
    <row r="22" spans="2:14" x14ac:dyDescent="0.25">
      <c r="B22" s="446" t="s">
        <v>251</v>
      </c>
      <c r="C22" s="464">
        <v>267.39999999999998</v>
      </c>
      <c r="D22" s="470">
        <f t="shared" si="4"/>
        <v>240.66</v>
      </c>
      <c r="E22" s="447"/>
      <c r="F22" s="448"/>
      <c r="G22" s="448">
        <v>-0.04</v>
      </c>
      <c r="H22" s="448">
        <v>-0.04</v>
      </c>
      <c r="I22" s="449">
        <v>-0.22</v>
      </c>
      <c r="J22" s="450">
        <f t="shared" si="6"/>
        <v>0</v>
      </c>
      <c r="K22" s="451">
        <f t="shared" si="5"/>
        <v>0</v>
      </c>
      <c r="L22" s="451">
        <f t="shared" si="5"/>
        <v>-9.6264000000000003</v>
      </c>
      <c r="M22" s="451">
        <f t="shared" si="5"/>
        <v>-9.6264000000000003</v>
      </c>
      <c r="N22" s="452">
        <f t="shared" si="5"/>
        <v>-52.9452</v>
      </c>
    </row>
    <row r="23" spans="2:14" x14ac:dyDescent="0.25">
      <c r="B23" s="446" t="s">
        <v>252</v>
      </c>
      <c r="C23" s="464">
        <v>136.69999999999999</v>
      </c>
      <c r="D23" s="470">
        <f t="shared" si="4"/>
        <v>123.02999999999999</v>
      </c>
      <c r="E23" s="446"/>
      <c r="F23" s="448"/>
      <c r="G23" s="448">
        <v>-0.23</v>
      </c>
      <c r="H23" s="448">
        <v>-0.23</v>
      </c>
      <c r="I23" s="449">
        <v>-0.36</v>
      </c>
      <c r="J23" s="450">
        <f t="shared" si="6"/>
        <v>0</v>
      </c>
      <c r="K23" s="451">
        <f t="shared" si="5"/>
        <v>0</v>
      </c>
      <c r="L23" s="451">
        <f t="shared" si="5"/>
        <v>-28.296899999999997</v>
      </c>
      <c r="M23" s="451">
        <f t="shared" si="5"/>
        <v>-28.296899999999997</v>
      </c>
      <c r="N23" s="452">
        <f t="shared" si="5"/>
        <v>-44.29079999999999</v>
      </c>
    </row>
    <row r="24" spans="2:14" x14ac:dyDescent="0.25">
      <c r="B24" s="446" t="s">
        <v>253</v>
      </c>
      <c r="C24" s="464">
        <v>120.6</v>
      </c>
      <c r="D24" s="470">
        <f t="shared" si="4"/>
        <v>108.53999999999999</v>
      </c>
      <c r="E24" s="446"/>
      <c r="F24" s="448"/>
      <c r="G24" s="448"/>
      <c r="H24" s="448">
        <v>-0.1</v>
      </c>
      <c r="I24" s="449">
        <v>-0.68</v>
      </c>
      <c r="J24" s="450">
        <f t="shared" si="6"/>
        <v>0</v>
      </c>
      <c r="K24" s="451">
        <f t="shared" si="5"/>
        <v>0</v>
      </c>
      <c r="L24" s="451">
        <f t="shared" si="5"/>
        <v>0</v>
      </c>
      <c r="M24" s="451">
        <f t="shared" si="5"/>
        <v>-10.853999999999999</v>
      </c>
      <c r="N24" s="452">
        <f t="shared" si="5"/>
        <v>-73.807199999999995</v>
      </c>
    </row>
    <row r="25" spans="2:14" x14ac:dyDescent="0.25">
      <c r="B25" s="446" t="s">
        <v>254</v>
      </c>
      <c r="C25" s="464">
        <v>44.2</v>
      </c>
      <c r="D25" s="470">
        <f t="shared" si="4"/>
        <v>39.78</v>
      </c>
      <c r="E25" s="446"/>
      <c r="F25" s="448"/>
      <c r="G25" s="448"/>
      <c r="H25" s="448">
        <v>-0.1</v>
      </c>
      <c r="I25" s="449">
        <v>-0.68</v>
      </c>
      <c r="J25" s="450">
        <f t="shared" si="6"/>
        <v>0</v>
      </c>
      <c r="K25" s="451">
        <f t="shared" si="5"/>
        <v>0</v>
      </c>
      <c r="L25" s="451">
        <f t="shared" si="5"/>
        <v>0</v>
      </c>
      <c r="M25" s="451">
        <f t="shared" si="5"/>
        <v>-3.9780000000000002</v>
      </c>
      <c r="N25" s="452">
        <f t="shared" si="5"/>
        <v>-27.050400000000003</v>
      </c>
    </row>
    <row r="26" spans="2:14" x14ac:dyDescent="0.25">
      <c r="B26" s="446" t="s">
        <v>255</v>
      </c>
      <c r="C26" s="464">
        <f>30.1-2</f>
        <v>28.1</v>
      </c>
      <c r="D26" s="470">
        <f>C26</f>
        <v>28.1</v>
      </c>
      <c r="E26" s="446"/>
      <c r="F26" s="448"/>
      <c r="G26" s="448">
        <v>-0.01</v>
      </c>
      <c r="H26" s="448">
        <v>-0.1</v>
      </c>
      <c r="I26" s="449">
        <v>-0.68</v>
      </c>
      <c r="J26" s="450">
        <f t="shared" si="6"/>
        <v>0</v>
      </c>
      <c r="K26" s="451">
        <f t="shared" si="5"/>
        <v>0</v>
      </c>
      <c r="L26" s="451">
        <f t="shared" si="5"/>
        <v>-0.28100000000000003</v>
      </c>
      <c r="M26" s="451">
        <f t="shared" si="5"/>
        <v>-2.8100000000000005</v>
      </c>
      <c r="N26" s="452">
        <f t="shared" si="5"/>
        <v>-19.108000000000004</v>
      </c>
    </row>
    <row r="27" spans="2:14" ht="15.75" thickBot="1" x14ac:dyDescent="0.3">
      <c r="B27" s="453" t="s">
        <v>256</v>
      </c>
      <c r="C27" s="465"/>
      <c r="D27" s="471">
        <f>C29-SUM(D20:D26)</f>
        <v>77.3900000000001</v>
      </c>
      <c r="E27" s="454"/>
      <c r="F27" s="455"/>
      <c r="G27" s="455">
        <v>-0.02</v>
      </c>
      <c r="H27" s="455">
        <v>-0.02</v>
      </c>
      <c r="I27" s="456">
        <v>-0.27</v>
      </c>
      <c r="J27" s="457">
        <f t="shared" si="6"/>
        <v>0</v>
      </c>
      <c r="K27" s="458">
        <f t="shared" si="5"/>
        <v>0</v>
      </c>
      <c r="L27" s="458">
        <f t="shared" si="5"/>
        <v>-1.5478000000000021</v>
      </c>
      <c r="M27" s="458">
        <f t="shared" si="5"/>
        <v>-1.5478000000000021</v>
      </c>
      <c r="N27" s="459">
        <f t="shared" si="5"/>
        <v>-20.895300000000027</v>
      </c>
    </row>
    <row r="28" spans="2:14" x14ac:dyDescent="0.25">
      <c r="B28" s="446"/>
      <c r="C28" s="464"/>
      <c r="D28" s="470"/>
      <c r="E28" s="446"/>
      <c r="F28" s="222"/>
      <c r="G28" s="222"/>
      <c r="H28" s="222"/>
      <c r="I28" s="460"/>
      <c r="J28" s="446"/>
      <c r="K28" s="222"/>
      <c r="L28" s="222"/>
      <c r="M28" s="222"/>
      <c r="N28" s="460"/>
    </row>
    <row r="29" spans="2:14" ht="15.75" thickBot="1" x14ac:dyDescent="0.3">
      <c r="B29" s="453"/>
      <c r="C29" s="465">
        <f>SUM(C20:C28)</f>
        <v>802</v>
      </c>
      <c r="D29" s="471">
        <f>C29</f>
        <v>802</v>
      </c>
      <c r="E29" s="453"/>
      <c r="F29" s="461"/>
      <c r="G29" s="461"/>
      <c r="H29" s="461"/>
      <c r="I29" s="462"/>
      <c r="J29" s="457">
        <f>SUM(J20:J28)</f>
        <v>-5.6439000000000004</v>
      </c>
      <c r="K29" s="458">
        <f t="shared" ref="K29:N29" si="7">SUM(K20:K28)</f>
        <v>-5.6439000000000004</v>
      </c>
      <c r="L29" s="458">
        <f t="shared" si="7"/>
        <v>-46.553399999999996</v>
      </c>
      <c r="M29" s="458">
        <f t="shared" si="7"/>
        <v>-63.914400000000001</v>
      </c>
      <c r="N29" s="459">
        <f t="shared" si="7"/>
        <v>-256.98250000000002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Augmentation</vt:lpstr>
      <vt:lpstr>Replacement</vt:lpstr>
      <vt:lpstr>Opex</vt:lpstr>
      <vt:lpstr>Demand</vt:lpstr>
      <vt:lpstr>LRMC - AIC</vt:lpstr>
      <vt:lpstr>Standalone Avoidable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Bennett</dc:creator>
  <cp:lastModifiedBy>James Bennett</cp:lastModifiedBy>
  <cp:lastPrinted>2019-01-30T11:19:30Z</cp:lastPrinted>
  <dcterms:created xsi:type="dcterms:W3CDTF">2016-09-13T00:22:31Z</dcterms:created>
  <dcterms:modified xsi:type="dcterms:W3CDTF">2019-01-31T00:00:16Z</dcterms:modified>
</cp:coreProperties>
</file>