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80" yWindow="435" windowWidth="20010" windowHeight="7755" firstSheet="7" activeTab="8"/>
  </bookViews>
  <sheets>
    <sheet name="inputs¦BandT" sheetId="14" r:id="rId1"/>
    <sheet name="inputs¦Engineering" sheetId="16" r:id="rId2"/>
    <sheet name="inputs¦other" sheetId="5" r:id="rId3"/>
    <sheet name="inputs│RIN" sheetId="19" r:id="rId4"/>
    <sheet name="calculation¦capex" sheetId="15" r:id="rId5"/>
    <sheet name="calculation¦RBP capex" sheetId="1" r:id="rId6"/>
    <sheet name="calculation¦real dollars" sheetId="9" r:id="rId7"/>
    <sheet name="Calculation│RIN" sheetId="17" r:id="rId8"/>
    <sheet name="Outputs│PTRM" sheetId="3" r:id="rId9"/>
    <sheet name="Outputs│RFM" sheetId="12" r:id="rId10"/>
    <sheet name="Outputs│RIN" sheetId="18" r:id="rId11"/>
    <sheet name="Outputs│Tables" sheetId="11" r:id="rId12"/>
    <sheet name="Outputs│Graphs" sheetId="13" r:id="rId13"/>
  </sheets>
  <externalReferences>
    <externalReference r:id="rId14"/>
    <externalReference r:id="rId15"/>
    <externalReference r:id="rId16"/>
  </externalReferences>
  <definedNames>
    <definedName name="_xlnm._FilterDatabase" localSheetId="1" hidden="1">'inputs¦Engineering'!$A$5:$AN$76</definedName>
    <definedName name="_Ref458591050" localSheetId="11">Outputs│Tables!$B$40</definedName>
    <definedName name="AssetClass1">'inputs¦other'!$A$34</definedName>
    <definedName name="AssetClass10">'inputs¦other'!$A$43</definedName>
    <definedName name="AssetClass11">'inputs¦other'!$A$44</definedName>
    <definedName name="AssetClass12">'inputs¦other'!$A$45</definedName>
    <definedName name="AssetClass13">'inputs¦other'!$A$46</definedName>
    <definedName name="AssetClass2">'inputs¦other'!$A$35</definedName>
    <definedName name="AssetClass3">'inputs¦other'!$A$36</definedName>
    <definedName name="AssetClass4">'inputs¦other'!$A$37</definedName>
    <definedName name="AssetClass5">'inputs¦other'!$A$38</definedName>
    <definedName name="AssetClass6">'inputs¦other'!$A$39</definedName>
    <definedName name="AssetClass7">'inputs¦other'!$A$40</definedName>
    <definedName name="AssetClass8">'inputs¦other'!$A$41</definedName>
    <definedName name="AssetClass9">'inputs¦other'!$A$42</definedName>
    <definedName name="CorporateAllocation" localSheetId="0">#REF!</definedName>
    <definedName name="corporateallocation">'inputs¦other'!$A$25:$C$31</definedName>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ollarReal">'[1]Business &amp; other details'!$C$63</definedName>
    <definedName name="Escalation" localSheetId="4">#REF!</definedName>
    <definedName name="Escalation" localSheetId="10">#REF!</definedName>
    <definedName name="Escalation">#REF!</definedName>
    <definedName name="FRCP_y1">'[1]Business &amp; other details'!$C$35</definedName>
    <definedName name="FRCP_y2">'[1]Business &amp; other details'!$D$35</definedName>
    <definedName name="FRCP_y3">'[1]Business &amp; other details'!$E$35</definedName>
    <definedName name="FRCP_y4">'[1]Business &amp; other details'!$F$35</definedName>
    <definedName name="FRCP_y5">'[1]Business &amp; other details'!$G$35</definedName>
    <definedName name="InflationAdjustment" localSheetId="0">#REF!</definedName>
    <definedName name="InflationAdjustment">'inputs¦other'!$A$13:$B$21</definedName>
    <definedName name="Portfolio_Roadmap_updated_April_2016" localSheetId="0">'inputs¦BandT'!$A$13:$A$43</definedName>
    <definedName name="_xlnm.Print_Area" localSheetId="0">'inputs¦BandT'!$A$1:$B$43</definedName>
    <definedName name="_xlnm.Print_Area" localSheetId="8">Outputs│PTRM!$A$1:$J$25</definedName>
    <definedName name="_xlnm.Print_Titles" localSheetId="1">'inputs¦Engineering'!$1:$4</definedName>
  </definedNames>
  <calcPr calcId="145621"/>
</workbook>
</file>

<file path=xl/calcChain.xml><?xml version="1.0" encoding="utf-8"?>
<calcChain xmlns="http://schemas.openxmlformats.org/spreadsheetml/2006/main">
  <c r="D70" i="11" l="1"/>
  <c r="E70" i="11"/>
  <c r="F70" i="11"/>
  <c r="G70" i="11"/>
  <c r="C70" i="11"/>
  <c r="D69" i="11"/>
  <c r="E69" i="11"/>
  <c r="F69" i="11"/>
  <c r="G69" i="11"/>
  <c r="C69" i="11"/>
  <c r="B66" i="18" l="1"/>
  <c r="B67" i="18"/>
  <c r="B68" i="18"/>
  <c r="D119" i="17" l="1"/>
  <c r="E119" i="17" s="1"/>
  <c r="F119" i="17" s="1"/>
  <c r="G119" i="17" s="1"/>
  <c r="C119" i="17"/>
  <c r="B119" i="17"/>
  <c r="G118" i="17"/>
  <c r="F118" i="17"/>
  <c r="E118" i="17"/>
  <c r="D118" i="17"/>
  <c r="C118" i="17"/>
  <c r="B118" i="17"/>
  <c r="D44" i="17"/>
  <c r="C44" i="17"/>
  <c r="B44" i="17"/>
  <c r="H114" i="17"/>
  <c r="H113" i="17"/>
  <c r="H112" i="17"/>
  <c r="H111" i="17"/>
  <c r="H110" i="17"/>
  <c r="H109" i="17"/>
  <c r="M152" i="11"/>
  <c r="J23" i="17"/>
  <c r="J24" i="17"/>
  <c r="J26" i="17"/>
  <c r="J22" i="17"/>
  <c r="T118" i="11"/>
  <c r="T117" i="11"/>
  <c r="T116" i="11"/>
  <c r="T115" i="11"/>
  <c r="T114" i="11"/>
  <c r="T113" i="11"/>
  <c r="T112" i="11"/>
  <c r="M167" i="11"/>
  <c r="C132" i="19"/>
  <c r="D132" i="19"/>
  <c r="E132" i="19"/>
  <c r="G132" i="19"/>
  <c r="B132" i="19"/>
  <c r="H131" i="19"/>
  <c r="H129" i="19"/>
  <c r="H128" i="19"/>
  <c r="G127" i="19"/>
  <c r="A129" i="19"/>
  <c r="A130" i="19"/>
  <c r="A131" i="19"/>
  <c r="A132" i="19"/>
  <c r="A128" i="19"/>
  <c r="F127" i="19"/>
  <c r="F15" i="17"/>
  <c r="E15" i="17"/>
  <c r="C15" i="17"/>
  <c r="B15" i="17"/>
  <c r="A10" i="19"/>
  <c r="A53" i="19"/>
  <c r="F52" i="19"/>
  <c r="E52" i="19"/>
  <c r="D52" i="19"/>
  <c r="C52" i="19"/>
  <c r="B52" i="19"/>
  <c r="G52" i="19" s="1"/>
  <c r="A52" i="19"/>
  <c r="F51" i="19"/>
  <c r="E51" i="19"/>
  <c r="D51" i="19"/>
  <c r="C51" i="19"/>
  <c r="B51" i="19"/>
  <c r="A51" i="19"/>
  <c r="F50" i="19"/>
  <c r="E50" i="19"/>
  <c r="D50" i="19"/>
  <c r="C50" i="19"/>
  <c r="B50" i="19"/>
  <c r="G50" i="19" s="1"/>
  <c r="A50" i="19"/>
  <c r="F49" i="19"/>
  <c r="E49" i="19"/>
  <c r="D49" i="19"/>
  <c r="C49" i="19"/>
  <c r="B49" i="19"/>
  <c r="A49" i="19"/>
  <c r="F48" i="19"/>
  <c r="E48" i="19"/>
  <c r="D48" i="19"/>
  <c r="C48" i="19"/>
  <c r="B48" i="19"/>
  <c r="G48" i="19" s="1"/>
  <c r="A48" i="19"/>
  <c r="F47" i="19"/>
  <c r="E47" i="19"/>
  <c r="D47" i="19"/>
  <c r="C47" i="19"/>
  <c r="B47" i="19"/>
  <c r="A47" i="19"/>
  <c r="F46" i="19"/>
  <c r="F53" i="19" s="1"/>
  <c r="E46" i="19"/>
  <c r="D46" i="19"/>
  <c r="C46" i="19"/>
  <c r="C53" i="19" s="1"/>
  <c r="B46" i="19"/>
  <c r="B53" i="19" s="1"/>
  <c r="A46" i="19"/>
  <c r="F43" i="19"/>
  <c r="E43" i="19"/>
  <c r="D43" i="19"/>
  <c r="C43" i="19"/>
  <c r="B43" i="19"/>
  <c r="G42" i="19"/>
  <c r="G41" i="19"/>
  <c r="G40" i="19"/>
  <c r="G39" i="19"/>
  <c r="G38" i="19"/>
  <c r="G37" i="19"/>
  <c r="G36" i="19"/>
  <c r="F32" i="19"/>
  <c r="E32" i="19"/>
  <c r="D32" i="19"/>
  <c r="C32" i="19"/>
  <c r="B32" i="19"/>
  <c r="G31" i="19"/>
  <c r="G30" i="19"/>
  <c r="G29" i="19"/>
  <c r="G28" i="19"/>
  <c r="G27" i="19"/>
  <c r="G26" i="19"/>
  <c r="G25" i="19"/>
  <c r="F20" i="19"/>
  <c r="E20" i="19"/>
  <c r="D20" i="19"/>
  <c r="C20" i="19"/>
  <c r="B20" i="19"/>
  <c r="G19" i="19"/>
  <c r="G18" i="19"/>
  <c r="G17" i="19"/>
  <c r="G16" i="19"/>
  <c r="G15" i="19"/>
  <c r="G14" i="19"/>
  <c r="A118" i="17"/>
  <c r="G20" i="19" l="1"/>
  <c r="D53" i="19"/>
  <c r="G53" i="19" s="1"/>
  <c r="J53" i="19" s="1"/>
  <c r="G49" i="19"/>
  <c r="G32" i="19"/>
  <c r="G43" i="19"/>
  <c r="E53" i="19"/>
  <c r="G47" i="19"/>
  <c r="G51" i="19"/>
  <c r="G46" i="19"/>
  <c r="J115" i="1" l="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C17" i="5" l="1"/>
  <c r="C18" i="5" l="1"/>
  <c r="C19" i="5" s="1"/>
  <c r="C20" i="5" s="1"/>
  <c r="C21" i="5" s="1"/>
  <c r="B17" i="5"/>
  <c r="B18" i="5" l="1"/>
  <c r="B19" i="5" s="1"/>
  <c r="B20" i="5" s="1"/>
  <c r="B21" i="5" s="1"/>
  <c r="G16" i="17" l="1"/>
  <c r="F16" i="17"/>
  <c r="E16" i="17"/>
  <c r="D16" i="17"/>
  <c r="C16" i="17"/>
  <c r="B16" i="17"/>
  <c r="B14" i="17"/>
  <c r="G14" i="17" l="1"/>
  <c r="F46" i="17" s="1"/>
  <c r="D14" i="17"/>
  <c r="E14" i="17"/>
  <c r="F14" i="17"/>
  <c r="C14" i="17"/>
  <c r="C129" i="17" l="1"/>
  <c r="D129" i="17"/>
  <c r="E129" i="17"/>
  <c r="F129" i="17"/>
  <c r="G129" i="17"/>
  <c r="B75" i="17"/>
  <c r="B86" i="17"/>
  <c r="B97" i="17" s="1"/>
  <c r="C97" i="17" l="1"/>
  <c r="D97" i="17" s="1"/>
  <c r="E97" i="17" s="1"/>
  <c r="F97" i="17" s="1"/>
  <c r="G97" i="17" s="1"/>
  <c r="B108" i="17"/>
  <c r="C86" i="17"/>
  <c r="D86" i="17" s="1"/>
  <c r="E86" i="17" s="1"/>
  <c r="F86" i="17" s="1"/>
  <c r="G86" i="17" s="1"/>
  <c r="E85" i="17"/>
  <c r="D85" i="17"/>
  <c r="C75" i="17"/>
  <c r="D75" i="17" s="1"/>
  <c r="E75" i="17" s="1"/>
  <c r="F75" i="17" s="1"/>
  <c r="G75" i="17" s="1"/>
  <c r="E74" i="17"/>
  <c r="D63" i="17"/>
  <c r="C64" i="17"/>
  <c r="D64" i="17" s="1"/>
  <c r="E64" i="17" s="1"/>
  <c r="F64" i="17" s="1"/>
  <c r="G64" i="17" s="1"/>
  <c r="G38" i="17"/>
  <c r="F23" i="17"/>
  <c r="F24" i="17"/>
  <c r="F25" i="17"/>
  <c r="F26" i="17"/>
  <c r="F27" i="17"/>
  <c r="F22" i="17"/>
  <c r="E23" i="17"/>
  <c r="E25" i="17"/>
  <c r="E26" i="17"/>
  <c r="E27" i="17"/>
  <c r="D23" i="17"/>
  <c r="C23" i="17"/>
  <c r="C25" i="17"/>
  <c r="B23" i="17"/>
  <c r="B25" i="17"/>
  <c r="B21" i="17" a="1"/>
  <c r="D21" i="17" s="1"/>
  <c r="D38" i="17" s="1"/>
  <c r="H15" i="17"/>
  <c r="C50" i="17"/>
  <c r="D50" i="17"/>
  <c r="E50" i="17"/>
  <c r="F50" i="17"/>
  <c r="F63" i="17" s="1"/>
  <c r="G50" i="17"/>
  <c r="B50" i="17"/>
  <c r="B74" i="17" s="1"/>
  <c r="G23" i="17" l="1"/>
  <c r="D40" i="17" s="1"/>
  <c r="B85" i="17"/>
  <c r="G96" i="17"/>
  <c r="G107" i="17"/>
  <c r="C96" i="17"/>
  <c r="C107" i="17"/>
  <c r="F74" i="17"/>
  <c r="E96" i="17"/>
  <c r="E107" i="17"/>
  <c r="E63" i="17"/>
  <c r="C74" i="17"/>
  <c r="G74" i="17"/>
  <c r="F85" i="17"/>
  <c r="B129" i="17"/>
  <c r="B107" i="17"/>
  <c r="B96" i="17"/>
  <c r="D107" i="17"/>
  <c r="D96" i="17"/>
  <c r="B63" i="17"/>
  <c r="D74" i="17"/>
  <c r="C85" i="17"/>
  <c r="G85" i="17"/>
  <c r="C63" i="17"/>
  <c r="G63" i="17"/>
  <c r="F107" i="17"/>
  <c r="F96" i="17"/>
  <c r="C108" i="17"/>
  <c r="D108" i="17" s="1"/>
  <c r="E108" i="17" s="1"/>
  <c r="F108" i="17" s="1"/>
  <c r="G108" i="17" s="1"/>
  <c r="C21" i="17"/>
  <c r="C38" i="17" s="1"/>
  <c r="F21" i="17"/>
  <c r="F38" i="17" s="1"/>
  <c r="B21" i="17"/>
  <c r="B38" i="17" s="1"/>
  <c r="E21" i="17"/>
  <c r="E38" i="17" s="1"/>
  <c r="B40" i="17" l="1"/>
  <c r="C40" i="17"/>
  <c r="E40" i="17"/>
  <c r="F40" i="17"/>
  <c r="A55" i="17" a="1"/>
  <c r="A58" i="17" s="1"/>
  <c r="A68" i="17" s="1"/>
  <c r="A79" i="17" s="1"/>
  <c r="F145" i="18"/>
  <c r="F133" i="18"/>
  <c r="E133" i="18"/>
  <c r="D133" i="18"/>
  <c r="C133" i="18"/>
  <c r="F92" i="18"/>
  <c r="E92" i="18"/>
  <c r="D92" i="18"/>
  <c r="C92" i="18"/>
  <c r="L50" i="18"/>
  <c r="K50" i="18"/>
  <c r="J50" i="18"/>
  <c r="I50" i="18"/>
  <c r="H50" i="18"/>
  <c r="G50" i="18"/>
  <c r="F50" i="18"/>
  <c r="E50" i="18"/>
  <c r="D50" i="18"/>
  <c r="C50" i="18"/>
  <c r="G40" i="17" l="1"/>
  <c r="A90" i="17"/>
  <c r="A60" i="17"/>
  <c r="A59" i="17"/>
  <c r="A69" i="17" s="1"/>
  <c r="A80" i="17" s="1"/>
  <c r="A55" i="17"/>
  <c r="A65" i="17" s="1"/>
  <c r="A76" i="17" s="1"/>
  <c r="A57" i="17"/>
  <c r="A67" i="17" s="1"/>
  <c r="A78" i="17" s="1"/>
  <c r="A56" i="17"/>
  <c r="A66" i="17" s="1"/>
  <c r="A77" i="17" s="1"/>
  <c r="A10" i="18"/>
  <c r="A87" i="17" l="1"/>
  <c r="A91" i="17"/>
  <c r="A88" i="17"/>
  <c r="A101" i="17"/>
  <c r="A89" i="17"/>
  <c r="A70" i="17"/>
  <c r="A81" i="17" s="1"/>
  <c r="A92" i="17" s="1"/>
  <c r="A103" i="17" s="1"/>
  <c r="A114" i="17" s="1"/>
  <c r="A125" i="17" s="1"/>
  <c r="A135" i="17" s="1"/>
  <c r="A100" i="17" l="1"/>
  <c r="A102" i="17"/>
  <c r="A99" i="17"/>
  <c r="A112" i="17"/>
  <c r="A123" i="17" s="1"/>
  <c r="A98" i="17"/>
  <c r="E24" i="17"/>
  <c r="D24" i="17"/>
  <c r="B24" i="17"/>
  <c r="A19" i="17"/>
  <c r="A18" i="17"/>
  <c r="A17" i="17"/>
  <c r="A16" i="17"/>
  <c r="A15" i="17"/>
  <c r="A14" i="17"/>
  <c r="M149" i="11" s="1"/>
  <c r="D22" i="17"/>
  <c r="E22" i="17"/>
  <c r="B22" i="17"/>
  <c r="A10" i="17"/>
  <c r="A133" i="17" l="1"/>
  <c r="A109" i="17"/>
  <c r="A120" i="17" s="1"/>
  <c r="A113" i="17"/>
  <c r="A124" i="17" s="1"/>
  <c r="A110" i="17"/>
  <c r="A121" i="17" s="1"/>
  <c r="A111" i="17"/>
  <c r="A122" i="17" s="1"/>
  <c r="C22" i="17"/>
  <c r="G22" i="17" s="1"/>
  <c r="C24" i="17"/>
  <c r="G24" i="17" s="1"/>
  <c r="A30" i="17"/>
  <c r="A39" i="17" s="1"/>
  <c r="A22" i="17"/>
  <c r="A31" i="17"/>
  <c r="A40" i="17" s="1"/>
  <c r="A23" i="17"/>
  <c r="A35" i="17"/>
  <c r="A44" i="17" s="1"/>
  <c r="A27" i="17"/>
  <c r="A32" i="17"/>
  <c r="A41" i="17" s="1"/>
  <c r="A24" i="17"/>
  <c r="A33" i="17"/>
  <c r="A42" i="17" s="1"/>
  <c r="A25" i="17"/>
  <c r="A34" i="17"/>
  <c r="A43" i="17" s="1"/>
  <c r="A26" i="17"/>
  <c r="H14" i="17"/>
  <c r="H16" i="17"/>
  <c r="E46" i="17"/>
  <c r="A96" i="17"/>
  <c r="A85" i="17"/>
  <c r="A74" i="17"/>
  <c r="A107" i="17"/>
  <c r="A63" i="17"/>
  <c r="A134" i="17" l="1"/>
  <c r="A130" i="17"/>
  <c r="A132" i="17"/>
  <c r="A131" i="17"/>
  <c r="F39" i="17"/>
  <c r="D39" i="17"/>
  <c r="F41" i="17"/>
  <c r="D41" i="17"/>
  <c r="E41" i="17"/>
  <c r="C39" i="17"/>
  <c r="E39" i="17"/>
  <c r="B39" i="17"/>
  <c r="B41" i="17"/>
  <c r="C41" i="17"/>
  <c r="G41" i="17" l="1"/>
  <c r="G39" i="17"/>
  <c r="C54" i="11" l="1"/>
  <c r="D54" i="11"/>
  <c r="E54" i="11"/>
  <c r="F54" i="11"/>
  <c r="G54" i="11"/>
  <c r="C55" i="11"/>
  <c r="D55" i="11"/>
  <c r="E55" i="11"/>
  <c r="F55" i="11"/>
  <c r="G55" i="11"/>
  <c r="C56" i="11"/>
  <c r="D56" i="11"/>
  <c r="E56" i="11"/>
  <c r="F56" i="11"/>
  <c r="G56" i="11"/>
  <c r="C57" i="11"/>
  <c r="D57" i="11"/>
  <c r="E57" i="11"/>
  <c r="F57" i="11"/>
  <c r="G57" i="11"/>
  <c r="C58" i="11"/>
  <c r="D58" i="11"/>
  <c r="E58" i="11"/>
  <c r="F58" i="11"/>
  <c r="G58" i="11"/>
  <c r="C59" i="11"/>
  <c r="D59" i="11"/>
  <c r="E59" i="11"/>
  <c r="F59" i="11"/>
  <c r="G59" i="11"/>
  <c r="C60" i="11"/>
  <c r="D60" i="11"/>
  <c r="E60" i="11"/>
  <c r="F60" i="11"/>
  <c r="G60" i="11"/>
  <c r="D53" i="11"/>
  <c r="E53" i="11"/>
  <c r="F53" i="11"/>
  <c r="G53" i="11"/>
  <c r="C53" i="11"/>
  <c r="D52" i="11"/>
  <c r="E52" i="11"/>
  <c r="F52" i="11"/>
  <c r="G52" i="11"/>
  <c r="C52" i="11"/>
  <c r="B58" i="11"/>
  <c r="B59" i="11"/>
  <c r="B60" i="11"/>
  <c r="B53" i="11"/>
  <c r="B54" i="11"/>
  <c r="B55" i="11"/>
  <c r="B56" i="11"/>
  <c r="B57" i="11"/>
  <c r="B52" i="11"/>
  <c r="B32" i="11" l="1"/>
  <c r="B31" i="11"/>
  <c r="B29" i="11"/>
  <c r="AL76" i="16" l="1"/>
  <c r="AK76" i="16"/>
  <c r="AJ76" i="16"/>
  <c r="AL75" i="16"/>
  <c r="AK75" i="16"/>
  <c r="AJ75" i="16"/>
  <c r="AL74" i="16"/>
  <c r="AK74" i="16"/>
  <c r="AJ74" i="16"/>
  <c r="AL73" i="16"/>
  <c r="AK73" i="16"/>
  <c r="AJ73" i="16"/>
  <c r="AL72" i="16"/>
  <c r="AK72" i="16"/>
  <c r="AJ72" i="16"/>
  <c r="AL71" i="16"/>
  <c r="AJ71" i="16"/>
  <c r="AL70" i="16"/>
  <c r="AK70" i="16"/>
  <c r="AJ70" i="16"/>
  <c r="AL69" i="16"/>
  <c r="AK69" i="16"/>
  <c r="AJ69" i="16"/>
  <c r="AL68" i="16"/>
  <c r="AK68" i="16"/>
  <c r="AJ68" i="16"/>
  <c r="AL67" i="16"/>
  <c r="AK67" i="16"/>
  <c r="AJ67" i="16"/>
  <c r="AL66" i="16"/>
  <c r="AK66" i="16"/>
  <c r="AJ66" i="16"/>
  <c r="AL65" i="16"/>
  <c r="AK65" i="16"/>
  <c r="AJ65" i="16"/>
  <c r="AL64" i="16"/>
  <c r="AK64" i="16"/>
  <c r="AJ64" i="16"/>
  <c r="AL63" i="16"/>
  <c r="AK63" i="16"/>
  <c r="AJ63" i="16"/>
  <c r="AL62" i="16"/>
  <c r="AK62" i="16"/>
  <c r="AJ62" i="16"/>
  <c r="AL61" i="16"/>
  <c r="AK61" i="16"/>
  <c r="AJ61" i="16"/>
  <c r="AL60" i="16"/>
  <c r="AJ60" i="16"/>
  <c r="AL59" i="16"/>
  <c r="AK59" i="16"/>
  <c r="AJ59" i="16"/>
  <c r="AL58" i="16"/>
  <c r="AK58" i="16"/>
  <c r="AJ58"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L47" i="16"/>
  <c r="AK47" i="16"/>
  <c r="AJ47" i="16"/>
  <c r="AL46" i="16"/>
  <c r="AK46" i="16"/>
  <c r="AJ46" i="16"/>
  <c r="AL45" i="16"/>
  <c r="AK45" i="16"/>
  <c r="AJ45" i="16"/>
  <c r="AL44" i="16"/>
  <c r="AK44" i="16"/>
  <c r="AJ44" i="16"/>
  <c r="AL43" i="16"/>
  <c r="AK43" i="16"/>
  <c r="AJ43" i="16"/>
  <c r="AL42" i="16"/>
  <c r="AK42" i="16"/>
  <c r="AJ42" i="16"/>
  <c r="AL41" i="16"/>
  <c r="AK41" i="16"/>
  <c r="AJ41" i="16"/>
  <c r="AL40" i="16"/>
  <c r="AK40" i="16"/>
  <c r="AJ40" i="16"/>
  <c r="AL39" i="16"/>
  <c r="AK39" i="16"/>
  <c r="AJ39" i="16"/>
  <c r="AL38" i="16"/>
  <c r="AK38" i="16"/>
  <c r="AJ38" i="16"/>
  <c r="AL37" i="16"/>
  <c r="AK37" i="16"/>
  <c r="AJ37" i="16"/>
  <c r="AL36" i="16"/>
  <c r="AK36" i="16"/>
  <c r="AJ36" i="16"/>
  <c r="AL35" i="16"/>
  <c r="AK35" i="16"/>
  <c r="AJ35" i="16"/>
  <c r="AL34" i="16"/>
  <c r="AK34" i="16"/>
  <c r="AJ34" i="16"/>
  <c r="AL33" i="16"/>
  <c r="AK33" i="16"/>
  <c r="AJ33" i="16"/>
  <c r="AL32" i="16"/>
  <c r="AK32" i="16"/>
  <c r="AJ32" i="16"/>
  <c r="AL31" i="16"/>
  <c r="AK31" i="16"/>
  <c r="AJ31" i="16"/>
  <c r="AL30" i="16"/>
  <c r="AK30" i="16"/>
  <c r="AJ30" i="16"/>
  <c r="AL29" i="16"/>
  <c r="AK29" i="16"/>
  <c r="AJ29" i="16"/>
  <c r="AL28" i="16"/>
  <c r="AK28" i="16"/>
  <c r="AJ28" i="16"/>
  <c r="AL27" i="16"/>
  <c r="AK27" i="16"/>
  <c r="AJ27" i="16"/>
  <c r="AL26" i="16"/>
  <c r="AK26" i="16"/>
  <c r="AJ26" i="16"/>
  <c r="AL25" i="16"/>
  <c r="AK25" i="16"/>
  <c r="AJ25" i="16"/>
  <c r="AL24" i="16"/>
  <c r="AK24" i="16"/>
  <c r="AJ24" i="16"/>
  <c r="AL23" i="16"/>
  <c r="AK23" i="16"/>
  <c r="AJ23" i="16"/>
  <c r="AL22" i="16"/>
  <c r="AK22" i="16"/>
  <c r="AJ22" i="16"/>
  <c r="AL21" i="16"/>
  <c r="AK21" i="16"/>
  <c r="AJ21" i="16"/>
  <c r="AL20" i="16"/>
  <c r="AK20" i="16"/>
  <c r="AJ20" i="16"/>
  <c r="AL19" i="16"/>
  <c r="AK19" i="16"/>
  <c r="AJ19" i="16"/>
  <c r="AL18" i="16"/>
  <c r="AK18" i="16"/>
  <c r="AJ18" i="16"/>
  <c r="AL17" i="16"/>
  <c r="AK17" i="16"/>
  <c r="AJ17" i="16"/>
  <c r="AL16" i="16"/>
  <c r="AK16" i="16"/>
  <c r="AJ16" i="16"/>
  <c r="AL15" i="16"/>
  <c r="AK15" i="16"/>
  <c r="AJ15" i="16"/>
  <c r="AL14" i="16"/>
  <c r="AK14" i="16"/>
  <c r="AJ14" i="16"/>
  <c r="AL13" i="16"/>
  <c r="AK13" i="16"/>
  <c r="AJ13" i="16"/>
  <c r="AL12" i="16"/>
  <c r="AK12" i="16"/>
  <c r="AJ12" i="16"/>
  <c r="AL11" i="16"/>
  <c r="AK11" i="16"/>
  <c r="AJ11" i="16"/>
  <c r="AL10" i="16"/>
  <c r="AK10" i="16"/>
  <c r="AJ10" i="16"/>
  <c r="AL9" i="16"/>
  <c r="AK9" i="16"/>
  <c r="AJ9" i="16"/>
  <c r="AL8" i="16"/>
  <c r="AK8" i="16"/>
  <c r="AJ8" i="16"/>
  <c r="AL7" i="16"/>
  <c r="AK7" i="16"/>
  <c r="AJ7" i="16"/>
  <c r="AL6" i="16"/>
  <c r="AK6" i="16"/>
  <c r="AJ6" i="16"/>
  <c r="AL5" i="16"/>
  <c r="AK5" i="16"/>
  <c r="AJ5" i="16"/>
  <c r="S121" i="11" l="1"/>
  <c r="S122" i="11"/>
  <c r="S124" i="11"/>
  <c r="S125" i="11"/>
  <c r="O121" i="11"/>
  <c r="P121" i="11"/>
  <c r="Q121" i="11"/>
  <c r="R121" i="11"/>
  <c r="O122" i="11"/>
  <c r="P122" i="11"/>
  <c r="Q122" i="11"/>
  <c r="R122" i="11"/>
  <c r="R123" i="11"/>
  <c r="T123" i="11" s="1"/>
  <c r="O124" i="11"/>
  <c r="P124" i="11"/>
  <c r="Q124" i="11"/>
  <c r="R124" i="11"/>
  <c r="O125" i="11"/>
  <c r="P125" i="11"/>
  <c r="Q125" i="11"/>
  <c r="R125" i="11"/>
  <c r="O126" i="11"/>
  <c r="P126" i="11"/>
  <c r="Q126" i="11"/>
  <c r="R126" i="11"/>
  <c r="N122" i="11"/>
  <c r="N124" i="11"/>
  <c r="N125" i="11"/>
  <c r="T125" i="11" s="1"/>
  <c r="N126" i="11"/>
  <c r="N121" i="11"/>
  <c r="M107" i="11"/>
  <c r="L57" i="11"/>
  <c r="M122" i="11"/>
  <c r="M131" i="11" s="1"/>
  <c r="M140" i="11" s="1"/>
  <c r="M123" i="11"/>
  <c r="M132" i="11" s="1"/>
  <c r="M141" i="11" s="1"/>
  <c r="M124" i="11"/>
  <c r="M133" i="11" s="1"/>
  <c r="M142" i="11" s="1"/>
  <c r="M125" i="11"/>
  <c r="M134" i="11" s="1"/>
  <c r="M143" i="11" s="1"/>
  <c r="M126" i="11"/>
  <c r="M135" i="11" s="1"/>
  <c r="M144" i="11" s="1"/>
  <c r="M127" i="11"/>
  <c r="M136" i="11" s="1"/>
  <c r="M145" i="11" s="1"/>
  <c r="M121" i="11"/>
  <c r="M130" i="11" s="1"/>
  <c r="M139" i="11" s="1"/>
  <c r="M120" i="11"/>
  <c r="M57" i="11"/>
  <c r="T124" i="11" l="1"/>
  <c r="T121" i="11"/>
  <c r="T122" i="11"/>
  <c r="T126" i="11"/>
  <c r="P127" i="11"/>
  <c r="S127" i="11"/>
  <c r="K57" i="11"/>
  <c r="N127" i="11"/>
  <c r="M93" i="11"/>
  <c r="O127" i="11"/>
  <c r="R127" i="11"/>
  <c r="Q127" i="11"/>
  <c r="F13" i="3"/>
  <c r="G13" i="3"/>
  <c r="H13" i="3"/>
  <c r="I13" i="3"/>
  <c r="E13" i="3"/>
  <c r="D15" i="11"/>
  <c r="E15" i="11"/>
  <c r="F15" i="11"/>
  <c r="G15" i="11"/>
  <c r="C15" i="11"/>
  <c r="T127" i="11" l="1"/>
  <c r="O75" i="11"/>
  <c r="P75" i="11"/>
  <c r="Q75" i="11"/>
  <c r="R75" i="11"/>
  <c r="S75" i="11"/>
  <c r="T75" i="11"/>
  <c r="N75" i="11"/>
  <c r="L61" i="11"/>
  <c r="L62" i="11"/>
  <c r="L63" i="11"/>
  <c r="L64" i="11"/>
  <c r="L65" i="11"/>
  <c r="L66" i="11"/>
  <c r="L67" i="11"/>
  <c r="L68" i="11"/>
  <c r="L69" i="11"/>
  <c r="L70" i="11"/>
  <c r="L58" i="11"/>
  <c r="L59" i="11"/>
  <c r="L60" i="11"/>
  <c r="L55" i="11"/>
  <c r="L56" i="11"/>
  <c r="M62" i="11"/>
  <c r="M58" i="11"/>
  <c r="M68" i="11"/>
  <c r="M59" i="11"/>
  <c r="M63" i="11"/>
  <c r="M56" i="11"/>
  <c r="M61" i="11"/>
  <c r="M60" i="11"/>
  <c r="M70" i="11"/>
  <c r="M65" i="11"/>
  <c r="M64" i="11"/>
  <c r="M69" i="11"/>
  <c r="M67" i="11"/>
  <c r="M66" i="11"/>
  <c r="M55" i="11"/>
  <c r="K66" i="11" l="1"/>
  <c r="K62" i="11"/>
  <c r="K65" i="11"/>
  <c r="K56" i="11"/>
  <c r="K63" i="11"/>
  <c r="K60" i="11"/>
  <c r="K59" i="11"/>
  <c r="K58" i="11"/>
  <c r="K61" i="11"/>
  <c r="K68" i="11"/>
  <c r="K69" i="11"/>
  <c r="K70" i="11"/>
  <c r="K67" i="11"/>
  <c r="K64" i="11"/>
  <c r="K55" i="11"/>
  <c r="M105" i="11"/>
  <c r="M98" i="11"/>
  <c r="M104" i="11"/>
  <c r="M99" i="11"/>
  <c r="M106" i="11"/>
  <c r="M94" i="11"/>
  <c r="M96" i="11"/>
  <c r="M103" i="11"/>
  <c r="M97" i="11"/>
  <c r="M92" i="11"/>
  <c r="M95" i="11"/>
  <c r="M100" i="11"/>
  <c r="M101" i="11"/>
  <c r="M102" i="11"/>
  <c r="M91" i="11"/>
  <c r="M78" i="11"/>
  <c r="H88" i="5"/>
  <c r="H24" i="11" s="1"/>
  <c r="G88" i="5"/>
  <c r="G24" i="11" s="1"/>
  <c r="F88" i="5"/>
  <c r="F24" i="11" s="1"/>
  <c r="E88" i="5"/>
  <c r="E24" i="11" s="1"/>
  <c r="D88" i="5"/>
  <c r="D24" i="11" s="1"/>
  <c r="C88" i="5"/>
  <c r="C24" i="11" s="1"/>
  <c r="A118" i="15" l="1"/>
  <c r="A117" i="15"/>
  <c r="A116" i="15"/>
  <c r="A115" i="15"/>
  <c r="A112" i="1" s="1"/>
  <c r="A114" i="15"/>
  <c r="A113" i="15"/>
  <c r="A112" i="15"/>
  <c r="A111" i="15"/>
  <c r="I111" i="15" s="1"/>
  <c r="A110" i="15"/>
  <c r="A109" i="15"/>
  <c r="A108" i="15"/>
  <c r="A107" i="15"/>
  <c r="I107" i="15" s="1"/>
  <c r="A106" i="15"/>
  <c r="A105" i="15"/>
  <c r="A104" i="15"/>
  <c r="A103" i="15"/>
  <c r="A100" i="1" s="1"/>
  <c r="A102" i="15"/>
  <c r="A101" i="15"/>
  <c r="A98" i="1" s="1"/>
  <c r="A100" i="15"/>
  <c r="I118" i="15"/>
  <c r="I117" i="15"/>
  <c r="I116" i="15"/>
  <c r="I114" i="15"/>
  <c r="I113" i="15"/>
  <c r="I112" i="15"/>
  <c r="I110" i="15"/>
  <c r="I109" i="15"/>
  <c r="I108" i="15"/>
  <c r="I106" i="15"/>
  <c r="I105" i="15"/>
  <c r="I104" i="15"/>
  <c r="I102" i="15"/>
  <c r="I101" i="15"/>
  <c r="I100" i="15"/>
  <c r="A115" i="1"/>
  <c r="A114" i="1"/>
  <c r="A113" i="1"/>
  <c r="A111" i="1"/>
  <c r="A110" i="1"/>
  <c r="A109" i="1"/>
  <c r="A108" i="1"/>
  <c r="A107" i="1"/>
  <c r="A105" i="1"/>
  <c r="A104" i="1"/>
  <c r="A103" i="1"/>
  <c r="A101" i="1"/>
  <c r="A99" i="1"/>
  <c r="A97" i="1"/>
  <c r="C87" i="1"/>
  <c r="A87" i="1"/>
  <c r="C86" i="1"/>
  <c r="A86" i="1"/>
  <c r="A85" i="1"/>
  <c r="I13" i="1"/>
  <c r="H13" i="1"/>
  <c r="G13" i="1"/>
  <c r="F13" i="1"/>
  <c r="E13" i="1"/>
  <c r="D13" i="1"/>
  <c r="A71" i="15"/>
  <c r="A72" i="15"/>
  <c r="A18" i="15"/>
  <c r="J18" i="15" s="1"/>
  <c r="A87" i="15"/>
  <c r="L87" i="15" s="1"/>
  <c r="J84" i="1" s="1"/>
  <c r="A86" i="15"/>
  <c r="A85" i="15"/>
  <c r="K85" i="15" s="1"/>
  <c r="A84" i="15"/>
  <c r="L84" i="15" s="1"/>
  <c r="J81" i="1" s="1"/>
  <c r="A83" i="15"/>
  <c r="L83" i="15" s="1"/>
  <c r="J80" i="1" s="1"/>
  <c r="A82" i="15"/>
  <c r="A81" i="15"/>
  <c r="A80" i="15"/>
  <c r="L80" i="15" s="1"/>
  <c r="J77" i="1" s="1"/>
  <c r="A79" i="15"/>
  <c r="L79" i="15" s="1"/>
  <c r="J76" i="1" s="1"/>
  <c r="A78" i="15"/>
  <c r="A77" i="15"/>
  <c r="A76" i="15"/>
  <c r="B76" i="15" s="1"/>
  <c r="A75" i="15"/>
  <c r="L75" i="15" s="1"/>
  <c r="J72" i="1" s="1"/>
  <c r="A74" i="15"/>
  <c r="A73" i="15"/>
  <c r="A70" i="15"/>
  <c r="C70" i="15" s="1"/>
  <c r="A69" i="15"/>
  <c r="C69" i="15" s="1"/>
  <c r="A68" i="15"/>
  <c r="A67" i="15"/>
  <c r="A66" i="15"/>
  <c r="L66" i="15" s="1"/>
  <c r="J63" i="1" s="1"/>
  <c r="A65" i="15"/>
  <c r="L65" i="15" s="1"/>
  <c r="J62" i="1" s="1"/>
  <c r="L149" i="11" s="1"/>
  <c r="A64" i="15"/>
  <c r="A63" i="15"/>
  <c r="A62" i="15"/>
  <c r="K62" i="15" s="1"/>
  <c r="A61" i="15"/>
  <c r="L61" i="15" s="1"/>
  <c r="J58" i="1" s="1"/>
  <c r="A60" i="15"/>
  <c r="A59" i="15"/>
  <c r="A58" i="15"/>
  <c r="L58" i="15" s="1"/>
  <c r="J55" i="1" s="1"/>
  <c r="A57" i="15"/>
  <c r="L57" i="15" s="1"/>
  <c r="J54" i="1" s="1"/>
  <c r="A56" i="15"/>
  <c r="A55" i="15"/>
  <c r="A54" i="15"/>
  <c r="A53" i="15"/>
  <c r="L53" i="15" s="1"/>
  <c r="J50" i="1" s="1"/>
  <c r="A52" i="15"/>
  <c r="A51" i="15"/>
  <c r="L51" i="15" s="1"/>
  <c r="J48" i="1" s="1"/>
  <c r="A50" i="15"/>
  <c r="J50" i="15" s="1"/>
  <c r="A49" i="15"/>
  <c r="L49" i="15" s="1"/>
  <c r="J46" i="1" s="1"/>
  <c r="A48" i="15"/>
  <c r="A47" i="15"/>
  <c r="L47" i="15" s="1"/>
  <c r="J44" i="1" s="1"/>
  <c r="A46" i="15"/>
  <c r="C46" i="15" s="1"/>
  <c r="A45" i="15"/>
  <c r="L45" i="15" s="1"/>
  <c r="J42" i="1" s="1"/>
  <c r="A44" i="15"/>
  <c r="A43" i="15"/>
  <c r="L43" i="15" s="1"/>
  <c r="J40" i="1" s="1"/>
  <c r="A42" i="15"/>
  <c r="A41" i="15"/>
  <c r="L41" i="15" s="1"/>
  <c r="J38" i="1" s="1"/>
  <c r="A40" i="15"/>
  <c r="C40" i="15" s="1"/>
  <c r="A39" i="15"/>
  <c r="A38" i="15"/>
  <c r="C38" i="15" s="1"/>
  <c r="A37" i="15"/>
  <c r="J37" i="15" s="1"/>
  <c r="A36" i="15"/>
  <c r="A35" i="15"/>
  <c r="A34" i="15"/>
  <c r="B34" i="15" s="1"/>
  <c r="A33" i="15"/>
  <c r="A32" i="15"/>
  <c r="A31" i="15"/>
  <c r="A30" i="15"/>
  <c r="B30" i="15" s="1"/>
  <c r="A29" i="15"/>
  <c r="C29" i="15" s="1"/>
  <c r="A26" i="15"/>
  <c r="L26" i="15" s="1"/>
  <c r="J23" i="1" s="1"/>
  <c r="A27" i="15"/>
  <c r="A28" i="15"/>
  <c r="L28" i="15" s="1"/>
  <c r="J25" i="1" s="1"/>
  <c r="A22" i="15"/>
  <c r="A23" i="15"/>
  <c r="A24" i="15"/>
  <c r="C24" i="15" s="1"/>
  <c r="A25" i="15"/>
  <c r="J25" i="15" s="1"/>
  <c r="A20" i="15"/>
  <c r="L20" i="15" s="1"/>
  <c r="J17" i="1" s="1"/>
  <c r="A21" i="15"/>
  <c r="A19" i="15"/>
  <c r="A17" i="15"/>
  <c r="A14" i="1" s="1"/>
  <c r="C87" i="15"/>
  <c r="AA1" i="16"/>
  <c r="AB1" i="16"/>
  <c r="AC1" i="16"/>
  <c r="AD1" i="16"/>
  <c r="AE1" i="16"/>
  <c r="AF1" i="16"/>
  <c r="AA2" i="16"/>
  <c r="AB2" i="16"/>
  <c r="AC2" i="16"/>
  <c r="AD2" i="16"/>
  <c r="AE2" i="16"/>
  <c r="AF2" i="16"/>
  <c r="E115" i="15" l="1"/>
  <c r="I103" i="15"/>
  <c r="I115" i="15"/>
  <c r="B38" i="15"/>
  <c r="C30" i="15"/>
  <c r="K84" i="15"/>
  <c r="B46" i="15"/>
  <c r="C34" i="15"/>
  <c r="A15" i="1"/>
  <c r="A27" i="1"/>
  <c r="B80" i="15"/>
  <c r="K25" i="15"/>
  <c r="B50" i="15"/>
  <c r="A31" i="1"/>
  <c r="B31" i="1" s="1"/>
  <c r="A35" i="1"/>
  <c r="B35" i="1" s="1"/>
  <c r="A17" i="1"/>
  <c r="A19" i="1"/>
  <c r="A28" i="1"/>
  <c r="B28" i="1" s="1"/>
  <c r="A39" i="1"/>
  <c r="B39" i="1" s="1"/>
  <c r="A43" i="1"/>
  <c r="A47" i="1"/>
  <c r="B47" i="1" s="1"/>
  <c r="A51" i="1"/>
  <c r="B51" i="1" s="1"/>
  <c r="A55" i="1"/>
  <c r="B55" i="1" s="1"/>
  <c r="A59" i="1"/>
  <c r="A67" i="1"/>
  <c r="B67" i="1" s="1"/>
  <c r="A71" i="1"/>
  <c r="B71" i="1" s="1"/>
  <c r="A82" i="1"/>
  <c r="B82" i="1" s="1"/>
  <c r="A75" i="1"/>
  <c r="A79" i="1"/>
  <c r="B79" i="1" s="1"/>
  <c r="A18" i="1"/>
  <c r="B18" i="1" s="1"/>
  <c r="M49" i="15"/>
  <c r="A26" i="1"/>
  <c r="A30" i="1"/>
  <c r="A34" i="1"/>
  <c r="B34" i="1" s="1"/>
  <c r="A84" i="1"/>
  <c r="B84" i="1" s="1"/>
  <c r="A49" i="1"/>
  <c r="A57" i="1"/>
  <c r="B57" i="1" s="1"/>
  <c r="A29" i="1"/>
  <c r="B29" i="1" s="1"/>
  <c r="A23" i="1"/>
  <c r="B23" i="1" s="1"/>
  <c r="A58" i="1"/>
  <c r="A66" i="1"/>
  <c r="A70" i="1"/>
  <c r="B70" i="1" s="1"/>
  <c r="A74" i="1"/>
  <c r="B27" i="15"/>
  <c r="C79" i="15"/>
  <c r="L46" i="15"/>
  <c r="A53" i="1"/>
  <c r="B53" i="1" s="1"/>
  <c r="A40" i="1"/>
  <c r="A24" i="1"/>
  <c r="B24" i="1" s="1"/>
  <c r="A63" i="1"/>
  <c r="B63" i="1" s="1"/>
  <c r="A44" i="1"/>
  <c r="B44" i="1" s="1"/>
  <c r="A68" i="1"/>
  <c r="B68" i="1" s="1"/>
  <c r="M87" i="15"/>
  <c r="C53" i="15"/>
  <c r="J61" i="15"/>
  <c r="O61" i="15" s="1"/>
  <c r="M79" i="15"/>
  <c r="A16" i="1"/>
  <c r="A48" i="1"/>
  <c r="B48" i="1" s="1"/>
  <c r="A72" i="1"/>
  <c r="B72" i="1" s="1"/>
  <c r="J53" i="15"/>
  <c r="O53" i="15" s="1"/>
  <c r="M37" i="15"/>
  <c r="B53" i="15"/>
  <c r="B69" i="15"/>
  <c r="A76" i="1"/>
  <c r="B76" i="1" s="1"/>
  <c r="B43" i="1"/>
  <c r="A42" i="1"/>
  <c r="B42" i="1" s="1"/>
  <c r="A20" i="1"/>
  <c r="B27" i="1"/>
  <c r="A36" i="1"/>
  <c r="B36" i="1" s="1"/>
  <c r="B49" i="1"/>
  <c r="B87" i="9"/>
  <c r="C55" i="15"/>
  <c r="A50" i="1"/>
  <c r="B50" i="1" s="1"/>
  <c r="K59" i="15"/>
  <c r="A54" i="1"/>
  <c r="B54" i="1" s="1"/>
  <c r="L67" i="15"/>
  <c r="A61" i="1"/>
  <c r="B61" i="1" s="1"/>
  <c r="K77" i="15"/>
  <c r="M72" i="15"/>
  <c r="A65" i="1"/>
  <c r="B65" i="1" s="1"/>
  <c r="A46" i="1"/>
  <c r="B46" i="1" s="1"/>
  <c r="M36" i="15"/>
  <c r="A32" i="1"/>
  <c r="B32" i="1" s="1"/>
  <c r="C68" i="15"/>
  <c r="A62" i="1"/>
  <c r="B62" i="1" s="1"/>
  <c r="B75" i="1"/>
  <c r="A22" i="1"/>
  <c r="A38" i="1"/>
  <c r="B38" i="1" s="1"/>
  <c r="B59" i="1"/>
  <c r="A78" i="1"/>
  <c r="B78" i="1" s="1"/>
  <c r="B85" i="1"/>
  <c r="B87" i="1"/>
  <c r="M22" i="15"/>
  <c r="M29" i="15"/>
  <c r="M33" i="15"/>
  <c r="M69" i="15"/>
  <c r="J29" i="15"/>
  <c r="O29" i="15" s="1"/>
  <c r="J70" i="15"/>
  <c r="O70" i="15" s="1"/>
  <c r="K34" i="15"/>
  <c r="L25" i="15"/>
  <c r="M57" i="15"/>
  <c r="A41" i="1"/>
  <c r="B41" i="1" s="1"/>
  <c r="A45" i="1"/>
  <c r="B45" i="1" s="1"/>
  <c r="A56" i="1"/>
  <c r="A80" i="1"/>
  <c r="B80" i="1" s="1"/>
  <c r="B85" i="9"/>
  <c r="B67" i="15"/>
  <c r="B47" i="15"/>
  <c r="B51" i="15"/>
  <c r="B81" i="15"/>
  <c r="B59" i="15"/>
  <c r="B85" i="15"/>
  <c r="B55" i="15"/>
  <c r="M30" i="15"/>
  <c r="M34" i="15"/>
  <c r="M38" i="15"/>
  <c r="M42" i="15"/>
  <c r="M54" i="15"/>
  <c r="K58" i="15"/>
  <c r="M62" i="15"/>
  <c r="M76" i="15"/>
  <c r="M84" i="15"/>
  <c r="M18" i="15"/>
  <c r="J45" i="15"/>
  <c r="O45" i="15" s="1"/>
  <c r="J80" i="15"/>
  <c r="N80" i="15" s="1"/>
  <c r="K46" i="15"/>
  <c r="L34" i="15"/>
  <c r="M25" i="15"/>
  <c r="M66" i="15"/>
  <c r="A21" i="1"/>
  <c r="B21" i="1" s="1"/>
  <c r="A25" i="1"/>
  <c r="B25" i="1" s="1"/>
  <c r="A33" i="1"/>
  <c r="B33" i="1" s="1"/>
  <c r="A37" i="1"/>
  <c r="B37" i="1" s="1"/>
  <c r="A52" i="1"/>
  <c r="B52" i="1" s="1"/>
  <c r="A60" i="1"/>
  <c r="A64" i="1"/>
  <c r="A69" i="1"/>
  <c r="A73" i="1"/>
  <c r="A77" i="1"/>
  <c r="A81" i="1"/>
  <c r="B81" i="1" s="1"/>
  <c r="A83" i="1"/>
  <c r="B86" i="9"/>
  <c r="C107" i="1"/>
  <c r="A102" i="1"/>
  <c r="A106" i="1"/>
  <c r="B66" i="1"/>
  <c r="B30" i="1"/>
  <c r="B74" i="1"/>
  <c r="B14" i="1"/>
  <c r="B15" i="1"/>
  <c r="B17" i="1"/>
  <c r="B19" i="1"/>
  <c r="B26" i="1"/>
  <c r="B58" i="1"/>
  <c r="B86" i="1"/>
  <c r="C85" i="1"/>
  <c r="B78" i="15"/>
  <c r="B40" i="15"/>
  <c r="B68" i="15"/>
  <c r="J20" i="15"/>
  <c r="O20" i="15" s="1"/>
  <c r="J33" i="15"/>
  <c r="N33" i="15" s="1"/>
  <c r="G33" i="15" s="1"/>
  <c r="J46" i="15"/>
  <c r="N46" i="15" s="1"/>
  <c r="J54" i="15"/>
  <c r="N54" i="15" s="1"/>
  <c r="H54" i="15" s="1"/>
  <c r="J62" i="15"/>
  <c r="N62" i="15" s="1"/>
  <c r="J75" i="15"/>
  <c r="O75" i="15" s="1"/>
  <c r="J83" i="15"/>
  <c r="O83" i="15" s="1"/>
  <c r="J65" i="15"/>
  <c r="O65" i="15" s="1"/>
  <c r="K29" i="15"/>
  <c r="K37" i="15"/>
  <c r="K50" i="15"/>
  <c r="K67" i="15"/>
  <c r="K18" i="15"/>
  <c r="L29" i="15"/>
  <c r="L37" i="15"/>
  <c r="L62" i="15"/>
  <c r="L18" i="15"/>
  <c r="M28" i="15"/>
  <c r="M41" i="15"/>
  <c r="M50" i="15"/>
  <c r="M58" i="15"/>
  <c r="M70" i="15"/>
  <c r="M80" i="15"/>
  <c r="B60" i="15"/>
  <c r="B44" i="15"/>
  <c r="B29" i="15"/>
  <c r="C26" i="1" s="1"/>
  <c r="B37" i="15"/>
  <c r="J49" i="15"/>
  <c r="O49" i="15" s="1"/>
  <c r="J57" i="15"/>
  <c r="O57" i="15" s="1"/>
  <c r="J66" i="15"/>
  <c r="O66" i="15" s="1"/>
  <c r="J76" i="15"/>
  <c r="N76" i="15" s="1"/>
  <c r="H76" i="15" s="1"/>
  <c r="J84" i="15"/>
  <c r="N84" i="15" s="1"/>
  <c r="J42" i="15"/>
  <c r="N42" i="15" s="1"/>
  <c r="F42" i="15" s="1"/>
  <c r="K30" i="15"/>
  <c r="K38" i="15"/>
  <c r="K54" i="15"/>
  <c r="K76" i="15"/>
  <c r="K42" i="15"/>
  <c r="L30" i="15"/>
  <c r="L38" i="15"/>
  <c r="L50" i="15"/>
  <c r="L76" i="15"/>
  <c r="L42" i="15"/>
  <c r="M45" i="15"/>
  <c r="M53" i="15"/>
  <c r="M61" i="15"/>
  <c r="M75" i="15"/>
  <c r="M83" i="15"/>
  <c r="M65" i="15"/>
  <c r="B74" i="15"/>
  <c r="J28" i="15"/>
  <c r="O28" i="15" s="1"/>
  <c r="J41" i="15"/>
  <c r="N41" i="15" s="1"/>
  <c r="G41" i="15" s="1"/>
  <c r="J58" i="15"/>
  <c r="N58" i="15" s="1"/>
  <c r="G58" i="15" s="1"/>
  <c r="J67" i="15"/>
  <c r="N67" i="15" s="1"/>
  <c r="H67" i="15" s="1"/>
  <c r="J79" i="15"/>
  <c r="O79" i="15" s="1"/>
  <c r="J87" i="15"/>
  <c r="O87" i="15" s="1"/>
  <c r="K22" i="15"/>
  <c r="K33" i="15"/>
  <c r="K41" i="15"/>
  <c r="K80" i="15"/>
  <c r="L22" i="15"/>
  <c r="L33" i="15"/>
  <c r="L54" i="15"/>
  <c r="M20" i="15"/>
  <c r="M46" i="15"/>
  <c r="M17" i="15"/>
  <c r="J17" i="15"/>
  <c r="N17" i="15" s="1"/>
  <c r="H17" i="15" s="1"/>
  <c r="L17" i="15"/>
  <c r="M23" i="15"/>
  <c r="J23" i="15"/>
  <c r="O23" i="15" s="1"/>
  <c r="L23" i="15"/>
  <c r="K23" i="15"/>
  <c r="L32" i="15"/>
  <c r="K32" i="15"/>
  <c r="M44" i="15"/>
  <c r="J44" i="15"/>
  <c r="N44" i="15" s="1"/>
  <c r="L44" i="15"/>
  <c r="K44" i="15"/>
  <c r="M56" i="15"/>
  <c r="J56" i="15"/>
  <c r="O56" i="15" s="1"/>
  <c r="L56" i="15"/>
  <c r="K56" i="15"/>
  <c r="M64" i="15"/>
  <c r="J64" i="15"/>
  <c r="N64" i="15" s="1"/>
  <c r="I64" i="15" s="1"/>
  <c r="L64" i="15"/>
  <c r="K64" i="15"/>
  <c r="C64" i="15"/>
  <c r="M74" i="15"/>
  <c r="J74" i="15"/>
  <c r="N74" i="15" s="1"/>
  <c r="H74" i="15" s="1"/>
  <c r="L74" i="15"/>
  <c r="K74" i="15"/>
  <c r="M86" i="15"/>
  <c r="J86" i="15"/>
  <c r="N86" i="15" s="1"/>
  <c r="E86" i="15" s="1"/>
  <c r="L86" i="15"/>
  <c r="K86" i="15"/>
  <c r="B26" i="15"/>
  <c r="C59" i="15"/>
  <c r="C86" i="15"/>
  <c r="B36" i="15"/>
  <c r="J36" i="15"/>
  <c r="O36" i="15" s="1"/>
  <c r="K26" i="15"/>
  <c r="K43" i="15"/>
  <c r="K51" i="15"/>
  <c r="K68" i="15"/>
  <c r="C21" i="15"/>
  <c r="M21" i="15"/>
  <c r="L36" i="15"/>
  <c r="K36" i="15"/>
  <c r="M48" i="15"/>
  <c r="J48" i="15"/>
  <c r="O48" i="15" s="1"/>
  <c r="L48" i="15"/>
  <c r="K48" i="15"/>
  <c r="M60" i="15"/>
  <c r="J60" i="15"/>
  <c r="N60" i="15" s="1"/>
  <c r="G60" i="15" s="1"/>
  <c r="L60" i="15"/>
  <c r="K60" i="15"/>
  <c r="M78" i="15"/>
  <c r="J78" i="15"/>
  <c r="N78" i="15" s="1"/>
  <c r="C78" i="15"/>
  <c r="L78" i="15"/>
  <c r="K78" i="15"/>
  <c r="C44" i="15"/>
  <c r="J21" i="15"/>
  <c r="O21" i="15" s="1"/>
  <c r="J72" i="15"/>
  <c r="N72" i="15" s="1"/>
  <c r="F72" i="15" s="1"/>
  <c r="K21" i="15"/>
  <c r="K72" i="15"/>
  <c r="K17" i="15"/>
  <c r="C26" i="15"/>
  <c r="M26" i="15"/>
  <c r="J26" i="15"/>
  <c r="N26" i="15" s="1"/>
  <c r="L40" i="15"/>
  <c r="K40" i="15"/>
  <c r="M52" i="15"/>
  <c r="J52" i="15"/>
  <c r="N52" i="15" s="1"/>
  <c r="F52" i="15" s="1"/>
  <c r="L52" i="15"/>
  <c r="K52" i="15"/>
  <c r="C52" i="15"/>
  <c r="M68" i="15"/>
  <c r="J68" i="15"/>
  <c r="O68" i="15" s="1"/>
  <c r="L68" i="15"/>
  <c r="M82" i="15"/>
  <c r="J82" i="15"/>
  <c r="N82" i="15" s="1"/>
  <c r="G82" i="15" s="1"/>
  <c r="L82" i="15"/>
  <c r="K82" i="15"/>
  <c r="M71" i="15"/>
  <c r="J71" i="15"/>
  <c r="O71" i="15" s="1"/>
  <c r="L71" i="15"/>
  <c r="C36" i="15"/>
  <c r="M19" i="15"/>
  <c r="J19" i="15"/>
  <c r="N19" i="15" s="1"/>
  <c r="D19" i="15" s="1"/>
  <c r="L19" i="15"/>
  <c r="K19" i="15"/>
  <c r="L24" i="15"/>
  <c r="K24" i="15"/>
  <c r="M27" i="15"/>
  <c r="J27" i="15"/>
  <c r="O27" i="15" s="1"/>
  <c r="L27" i="15"/>
  <c r="K27" i="15"/>
  <c r="M31" i="15"/>
  <c r="J31" i="15"/>
  <c r="O31" i="15" s="1"/>
  <c r="C31" i="15"/>
  <c r="L31" i="15"/>
  <c r="K31" i="15"/>
  <c r="C35" i="15"/>
  <c r="M35" i="15"/>
  <c r="J35" i="15"/>
  <c r="N35" i="15" s="1"/>
  <c r="L35" i="15"/>
  <c r="K35" i="15"/>
  <c r="M39" i="15"/>
  <c r="J39" i="15"/>
  <c r="O39" i="15" s="1"/>
  <c r="C39" i="15"/>
  <c r="L39" i="15"/>
  <c r="K39" i="15"/>
  <c r="M43" i="15"/>
  <c r="J43" i="15"/>
  <c r="O43" i="15" s="1"/>
  <c r="M47" i="15"/>
  <c r="J47" i="15"/>
  <c r="N47" i="15" s="1"/>
  <c r="M51" i="15"/>
  <c r="J51" i="15"/>
  <c r="O51" i="15" s="1"/>
  <c r="M55" i="15"/>
  <c r="J55" i="15"/>
  <c r="N55" i="15" s="1"/>
  <c r="L55" i="15"/>
  <c r="M59" i="15"/>
  <c r="J59" i="15"/>
  <c r="O59" i="15" s="1"/>
  <c r="L59" i="15"/>
  <c r="M63" i="15"/>
  <c r="J63" i="15"/>
  <c r="O63" i="15" s="1"/>
  <c r="L63" i="15"/>
  <c r="J60" i="1" s="1"/>
  <c r="C67" i="15"/>
  <c r="M67" i="15"/>
  <c r="M73" i="15"/>
  <c r="J73" i="15"/>
  <c r="O73" i="15" s="1"/>
  <c r="L73" i="15"/>
  <c r="M77" i="15"/>
  <c r="J77" i="15"/>
  <c r="O77" i="15" s="1"/>
  <c r="C77" i="15"/>
  <c r="L77" i="15"/>
  <c r="M81" i="15"/>
  <c r="J81" i="15"/>
  <c r="O81" i="15" s="1"/>
  <c r="L81" i="15"/>
  <c r="M85" i="15"/>
  <c r="J85" i="15"/>
  <c r="O85" i="15" s="1"/>
  <c r="L85" i="15"/>
  <c r="J24" i="15"/>
  <c r="O24" i="15" s="1"/>
  <c r="J32" i="15"/>
  <c r="O32" i="15" s="1"/>
  <c r="J40" i="15"/>
  <c r="O40" i="15" s="1"/>
  <c r="K47" i="15"/>
  <c r="K55" i="15"/>
  <c r="K63" i="15"/>
  <c r="K73" i="15"/>
  <c r="K81" i="15"/>
  <c r="K71" i="15"/>
  <c r="L21" i="15"/>
  <c r="L72" i="15"/>
  <c r="M24" i="15"/>
  <c r="M32" i="15"/>
  <c r="M40" i="15"/>
  <c r="B86" i="15"/>
  <c r="J22" i="15"/>
  <c r="N22" i="15" s="1"/>
  <c r="G22" i="15" s="1"/>
  <c r="J30" i="15"/>
  <c r="N30" i="15" s="1"/>
  <c r="J34" i="15"/>
  <c r="N34" i="15" s="1"/>
  <c r="G34" i="15" s="1"/>
  <c r="J38" i="15"/>
  <c r="N38" i="15" s="1"/>
  <c r="D38" i="15" s="1"/>
  <c r="K69" i="15"/>
  <c r="L69" i="15"/>
  <c r="B82" i="15"/>
  <c r="B39" i="15"/>
  <c r="J69" i="15"/>
  <c r="N69" i="15" s="1"/>
  <c r="G69" i="15" s="1"/>
  <c r="K20" i="15"/>
  <c r="K28" i="15"/>
  <c r="K45" i="15"/>
  <c r="K49" i="15"/>
  <c r="K53" i="15"/>
  <c r="K57" i="15"/>
  <c r="K61" i="15"/>
  <c r="K66" i="15"/>
  <c r="K70" i="15"/>
  <c r="K75" i="15"/>
  <c r="K79" i="15"/>
  <c r="K83" i="15"/>
  <c r="K87" i="15"/>
  <c r="K65" i="15"/>
  <c r="L70" i="15"/>
  <c r="C71" i="15"/>
  <c r="B71" i="15"/>
  <c r="B87" i="15"/>
  <c r="C85" i="15"/>
  <c r="B84" i="15"/>
  <c r="C84" i="15"/>
  <c r="B83" i="15"/>
  <c r="C83" i="15"/>
  <c r="C82" i="15"/>
  <c r="C81" i="15"/>
  <c r="C80" i="15"/>
  <c r="B79" i="15"/>
  <c r="B77" i="15"/>
  <c r="C76" i="15"/>
  <c r="B75" i="15"/>
  <c r="C75" i="15"/>
  <c r="C74" i="15"/>
  <c r="C73" i="15"/>
  <c r="C72" i="15"/>
  <c r="B73" i="15"/>
  <c r="B72" i="15"/>
  <c r="B70" i="15"/>
  <c r="C66" i="15"/>
  <c r="B66" i="15"/>
  <c r="C65" i="15"/>
  <c r="B65" i="15"/>
  <c r="B64" i="15"/>
  <c r="B63" i="15"/>
  <c r="C63" i="15"/>
  <c r="B62" i="15"/>
  <c r="C62" i="15"/>
  <c r="C61" i="15"/>
  <c r="B61" i="15"/>
  <c r="C60" i="15"/>
  <c r="B58" i="15"/>
  <c r="C58" i="15"/>
  <c r="B57" i="15"/>
  <c r="C57" i="15"/>
  <c r="B56" i="15"/>
  <c r="C56" i="15"/>
  <c r="B54" i="15"/>
  <c r="C54" i="15"/>
  <c r="B52" i="15"/>
  <c r="C51" i="15"/>
  <c r="C50" i="15"/>
  <c r="B49" i="15"/>
  <c r="C49" i="15"/>
  <c r="C48" i="15"/>
  <c r="B48" i="15"/>
  <c r="C47" i="15"/>
  <c r="C45" i="15"/>
  <c r="B45" i="15"/>
  <c r="B42" i="15"/>
  <c r="C42" i="15"/>
  <c r="B43" i="15"/>
  <c r="C43" i="15"/>
  <c r="B41" i="15"/>
  <c r="C41" i="15"/>
  <c r="C37" i="15"/>
  <c r="B35" i="15"/>
  <c r="B33" i="15"/>
  <c r="C33" i="15"/>
  <c r="B31" i="15"/>
  <c r="B24" i="15"/>
  <c r="C32" i="15"/>
  <c r="B32" i="15"/>
  <c r="B28" i="15"/>
  <c r="C28" i="15"/>
  <c r="B21" i="15"/>
  <c r="B20" i="15"/>
  <c r="B19" i="15"/>
  <c r="C17" i="15"/>
  <c r="B18" i="15"/>
  <c r="C18" i="15"/>
  <c r="B23" i="15"/>
  <c r="C23" i="15"/>
  <c r="B17" i="15"/>
  <c r="C14" i="1" s="1"/>
  <c r="B22" i="15"/>
  <c r="C27" i="15"/>
  <c r="C25" i="15"/>
  <c r="B25" i="15"/>
  <c r="C22" i="15"/>
  <c r="C20" i="15"/>
  <c r="C19" i="15"/>
  <c r="B118" i="15"/>
  <c r="C115" i="1" s="1"/>
  <c r="B117" i="15"/>
  <c r="C114" i="1" s="1"/>
  <c r="B116" i="15"/>
  <c r="C113" i="1" s="1"/>
  <c r="B115" i="15"/>
  <c r="C112" i="1" s="1"/>
  <c r="B114" i="15"/>
  <c r="C111" i="1" s="1"/>
  <c r="B113" i="15"/>
  <c r="C110" i="1" s="1"/>
  <c r="B112" i="15"/>
  <c r="C109" i="1" s="1"/>
  <c r="B111" i="15"/>
  <c r="C108" i="1" s="1"/>
  <c r="B110" i="15"/>
  <c r="B109" i="15"/>
  <c r="B108" i="15"/>
  <c r="C105" i="1" s="1"/>
  <c r="B107" i="15"/>
  <c r="C104" i="1" s="1"/>
  <c r="B106" i="15"/>
  <c r="C103" i="1" s="1"/>
  <c r="B105" i="15"/>
  <c r="B104" i="15"/>
  <c r="C101" i="1" s="1"/>
  <c r="B103" i="15"/>
  <c r="C100" i="1" s="1"/>
  <c r="B102" i="15"/>
  <c r="C99" i="1" s="1"/>
  <c r="B101" i="15"/>
  <c r="B100" i="15"/>
  <c r="A99" i="15"/>
  <c r="A98" i="15"/>
  <c r="A97" i="15"/>
  <c r="A96" i="15"/>
  <c r="A95" i="15"/>
  <c r="A94" i="15"/>
  <c r="A93" i="15"/>
  <c r="A92" i="15"/>
  <c r="A91" i="15"/>
  <c r="B108" i="1" s="1"/>
  <c r="AC118" i="15"/>
  <c r="Q118" i="15"/>
  <c r="O118" i="15"/>
  <c r="AC117" i="15"/>
  <c r="Q117" i="15"/>
  <c r="O117" i="15"/>
  <c r="AC116" i="15"/>
  <c r="Q116" i="15"/>
  <c r="O116" i="15"/>
  <c r="AC115" i="15"/>
  <c r="Q115" i="15"/>
  <c r="O115" i="15"/>
  <c r="AC114" i="15"/>
  <c r="Q114" i="15"/>
  <c r="O114" i="15"/>
  <c r="AC113" i="15"/>
  <c r="Q113" i="15"/>
  <c r="O113" i="15"/>
  <c r="AC112" i="15"/>
  <c r="Q112" i="15"/>
  <c r="O112" i="15"/>
  <c r="AC111" i="15"/>
  <c r="Q111" i="15"/>
  <c r="O111" i="15"/>
  <c r="AC110" i="15"/>
  <c r="Q110" i="15"/>
  <c r="O110" i="15"/>
  <c r="AC109" i="15"/>
  <c r="Q109" i="15"/>
  <c r="O109" i="15"/>
  <c r="AC108" i="15"/>
  <c r="Q108" i="15"/>
  <c r="O108" i="15"/>
  <c r="AC107" i="15"/>
  <c r="Q107" i="15"/>
  <c r="O107" i="15"/>
  <c r="AC106" i="15"/>
  <c r="Q106" i="15"/>
  <c r="O106" i="15"/>
  <c r="AC105" i="15"/>
  <c r="Q105" i="15"/>
  <c r="O105" i="15"/>
  <c r="AC104" i="15"/>
  <c r="Q104" i="15"/>
  <c r="O104" i="15"/>
  <c r="AC103" i="15"/>
  <c r="Q103" i="15"/>
  <c r="O103" i="15"/>
  <c r="AC102" i="15"/>
  <c r="Q102" i="15"/>
  <c r="O102" i="15"/>
  <c r="AC101" i="15"/>
  <c r="Q101" i="15"/>
  <c r="O101" i="15"/>
  <c r="AC100" i="15"/>
  <c r="Q100" i="15"/>
  <c r="O100" i="15"/>
  <c r="AC99" i="15"/>
  <c r="Q99" i="15"/>
  <c r="O99" i="15"/>
  <c r="AC98" i="15"/>
  <c r="Q98" i="15"/>
  <c r="O98" i="15"/>
  <c r="AC97" i="15"/>
  <c r="Q97" i="15"/>
  <c r="O97" i="15"/>
  <c r="AC96" i="15"/>
  <c r="Q96" i="15"/>
  <c r="O96" i="15"/>
  <c r="AC95" i="15"/>
  <c r="Q95" i="15"/>
  <c r="O95" i="15"/>
  <c r="AC94" i="15"/>
  <c r="Q94" i="15"/>
  <c r="O94" i="15"/>
  <c r="AC93" i="15"/>
  <c r="Q93" i="15"/>
  <c r="O93" i="15"/>
  <c r="AC92" i="15"/>
  <c r="Q92" i="15"/>
  <c r="O92" i="15"/>
  <c r="AC91" i="15"/>
  <c r="Q91" i="15"/>
  <c r="O91" i="15"/>
  <c r="AC90" i="15"/>
  <c r="Q90" i="15"/>
  <c r="O90" i="15"/>
  <c r="AC89" i="15"/>
  <c r="Q89" i="15"/>
  <c r="P89" i="15"/>
  <c r="O89" i="15"/>
  <c r="AC88" i="15"/>
  <c r="Q88" i="15"/>
  <c r="P88" i="15"/>
  <c r="O88" i="15"/>
  <c r="AC42" i="15"/>
  <c r="AC65" i="15"/>
  <c r="Q65" i="15"/>
  <c r="AC71" i="15"/>
  <c r="AC18" i="15"/>
  <c r="N18" i="15"/>
  <c r="F18" i="15" s="1"/>
  <c r="AC87" i="15"/>
  <c r="Q87" i="15"/>
  <c r="AC86" i="15"/>
  <c r="AC85" i="15"/>
  <c r="AC84" i="15"/>
  <c r="Q84" i="15"/>
  <c r="AC83" i="15"/>
  <c r="Q83" i="15"/>
  <c r="AC82" i="15"/>
  <c r="AC81" i="15"/>
  <c r="AC80" i="15"/>
  <c r="Q80" i="15"/>
  <c r="AC79" i="15"/>
  <c r="Q79" i="15"/>
  <c r="AC78" i="15"/>
  <c r="AC77" i="15"/>
  <c r="AC76" i="15"/>
  <c r="AC75" i="15"/>
  <c r="Q75" i="15"/>
  <c r="AC74" i="15"/>
  <c r="AC73" i="15"/>
  <c r="AC72" i="15"/>
  <c r="AC70" i="15"/>
  <c r="AC69" i="15"/>
  <c r="AC68" i="15"/>
  <c r="AC67" i="15"/>
  <c r="AC66" i="15"/>
  <c r="Q66" i="15"/>
  <c r="AC64" i="15"/>
  <c r="AC63" i="15"/>
  <c r="AC62" i="15"/>
  <c r="AC61" i="15"/>
  <c r="Q61" i="15"/>
  <c r="AC60" i="15"/>
  <c r="AC59" i="15"/>
  <c r="AC58" i="15"/>
  <c r="Q58" i="15"/>
  <c r="AC57" i="15"/>
  <c r="Q57" i="15"/>
  <c r="AC56" i="15"/>
  <c r="AC55" i="15"/>
  <c r="AC54" i="15"/>
  <c r="AC53" i="15"/>
  <c r="Q53" i="15"/>
  <c r="AC52" i="15"/>
  <c r="AC51" i="15"/>
  <c r="Q51" i="15"/>
  <c r="AC50" i="15"/>
  <c r="N50" i="15"/>
  <c r="H50" i="15" s="1"/>
  <c r="AC49" i="15"/>
  <c r="Q49" i="15"/>
  <c r="AC48" i="15"/>
  <c r="AC47" i="15"/>
  <c r="Q47" i="15"/>
  <c r="AC46" i="15"/>
  <c r="AC45" i="15"/>
  <c r="Q45" i="15"/>
  <c r="AC44" i="15"/>
  <c r="AC43" i="15"/>
  <c r="Q43" i="15"/>
  <c r="AC41" i="15"/>
  <c r="Q41" i="15"/>
  <c r="AC40" i="15"/>
  <c r="AC39" i="15"/>
  <c r="AC38" i="15"/>
  <c r="AC37" i="15"/>
  <c r="N37" i="15"/>
  <c r="H37" i="15" s="1"/>
  <c r="AC36" i="15"/>
  <c r="AC35" i="15"/>
  <c r="AC34" i="15"/>
  <c r="AC33" i="15"/>
  <c r="AC32" i="15"/>
  <c r="AC31" i="15"/>
  <c r="AC30" i="15"/>
  <c r="AC29" i="15"/>
  <c r="AC28" i="15"/>
  <c r="Q28" i="15"/>
  <c r="AC27" i="15"/>
  <c r="AC26" i="15"/>
  <c r="Q26" i="15"/>
  <c r="AC25" i="15"/>
  <c r="O25" i="15"/>
  <c r="AC24" i="15"/>
  <c r="AC23" i="15"/>
  <c r="AC22" i="15"/>
  <c r="AC21" i="15"/>
  <c r="AC20" i="15"/>
  <c r="Q20" i="15"/>
  <c r="AC19" i="15"/>
  <c r="AC17" i="15"/>
  <c r="Z16" i="15"/>
  <c r="Y16" i="15"/>
  <c r="X16" i="15"/>
  <c r="W16" i="15"/>
  <c r="V16" i="15"/>
  <c r="U16" i="15"/>
  <c r="T16" i="15"/>
  <c r="S16" i="15"/>
  <c r="R16" i="15"/>
  <c r="D100" i="15"/>
  <c r="E100" i="15"/>
  <c r="F100" i="15"/>
  <c r="G100" i="15"/>
  <c r="H100" i="15"/>
  <c r="D101" i="15"/>
  <c r="E101" i="15"/>
  <c r="F101" i="15"/>
  <c r="G101" i="15"/>
  <c r="H101" i="15"/>
  <c r="D102" i="15"/>
  <c r="E102" i="15"/>
  <c r="F102" i="15"/>
  <c r="G102" i="15"/>
  <c r="H102" i="15"/>
  <c r="D103" i="15"/>
  <c r="E103" i="15"/>
  <c r="F103" i="15"/>
  <c r="G103" i="15"/>
  <c r="H103" i="15"/>
  <c r="D104" i="15"/>
  <c r="E104" i="15"/>
  <c r="F104" i="15"/>
  <c r="G104" i="15"/>
  <c r="H104" i="15"/>
  <c r="D105" i="15"/>
  <c r="E105" i="15"/>
  <c r="F105" i="15"/>
  <c r="G105" i="15"/>
  <c r="H105" i="15"/>
  <c r="D106" i="15"/>
  <c r="E106" i="15"/>
  <c r="F106" i="15"/>
  <c r="G106" i="15"/>
  <c r="H106" i="15"/>
  <c r="D107" i="15"/>
  <c r="E107" i="15"/>
  <c r="F107" i="15"/>
  <c r="G107" i="15"/>
  <c r="H107" i="15"/>
  <c r="D108" i="15"/>
  <c r="E108" i="15"/>
  <c r="F108" i="15"/>
  <c r="G108" i="15"/>
  <c r="H108" i="15"/>
  <c r="D109" i="15"/>
  <c r="E109" i="15"/>
  <c r="F109" i="15"/>
  <c r="G109" i="15"/>
  <c r="H109" i="15"/>
  <c r="D110" i="15"/>
  <c r="E110" i="15"/>
  <c r="F110" i="15"/>
  <c r="G110" i="15"/>
  <c r="H110" i="15"/>
  <c r="D111" i="15"/>
  <c r="E111" i="15"/>
  <c r="F111" i="15"/>
  <c r="G111" i="15"/>
  <c r="H111" i="15"/>
  <c r="D112" i="15"/>
  <c r="E112" i="15"/>
  <c r="F112" i="15"/>
  <c r="G112" i="15"/>
  <c r="H112" i="15"/>
  <c r="D113" i="15"/>
  <c r="E113" i="15"/>
  <c r="F113" i="15"/>
  <c r="G113" i="15"/>
  <c r="H113" i="15"/>
  <c r="D114" i="15"/>
  <c r="E114" i="15"/>
  <c r="F114" i="15"/>
  <c r="G114" i="15"/>
  <c r="H114" i="15"/>
  <c r="D115" i="15"/>
  <c r="F115" i="15"/>
  <c r="G115" i="15"/>
  <c r="H115" i="15"/>
  <c r="D116" i="15"/>
  <c r="E116" i="15"/>
  <c r="F116" i="15"/>
  <c r="G116" i="15"/>
  <c r="H116" i="15"/>
  <c r="D117" i="15"/>
  <c r="E117" i="15"/>
  <c r="F117" i="15"/>
  <c r="G117" i="15"/>
  <c r="H117" i="15"/>
  <c r="D118" i="15"/>
  <c r="E118" i="15"/>
  <c r="F118" i="15"/>
  <c r="G118" i="15"/>
  <c r="H118" i="15"/>
  <c r="Q21" i="15" l="1"/>
  <c r="J18" i="1"/>
  <c r="Q77" i="15"/>
  <c r="J74" i="1"/>
  <c r="Q27" i="15"/>
  <c r="J24" i="1"/>
  <c r="Q64" i="15"/>
  <c r="J61" i="1"/>
  <c r="Q44" i="15"/>
  <c r="J41" i="1"/>
  <c r="Q25" i="15"/>
  <c r="J22" i="1"/>
  <c r="Q67" i="15"/>
  <c r="J64" i="1"/>
  <c r="Q69" i="15"/>
  <c r="J66" i="1"/>
  <c r="Q81" i="15"/>
  <c r="J78" i="1"/>
  <c r="Q39" i="15"/>
  <c r="J36" i="1"/>
  <c r="Q17" i="15"/>
  <c r="J14" i="1"/>
  <c r="Q38" i="15"/>
  <c r="J35" i="1"/>
  <c r="Q62" i="15"/>
  <c r="J59" i="1"/>
  <c r="Q85" i="15"/>
  <c r="J82" i="1"/>
  <c r="Q35" i="15"/>
  <c r="J32" i="1"/>
  <c r="Q19" i="15"/>
  <c r="J16" i="1"/>
  <c r="Q71" i="15"/>
  <c r="J68" i="1"/>
  <c r="Q82" i="15"/>
  <c r="J79" i="1"/>
  <c r="Q52" i="15"/>
  <c r="J49" i="1"/>
  <c r="Q40" i="15"/>
  <c r="J37" i="1"/>
  <c r="Q60" i="15"/>
  <c r="J57" i="1"/>
  <c r="Q48" i="15"/>
  <c r="J45" i="1"/>
  <c r="Q36" i="15"/>
  <c r="J33" i="1"/>
  <c r="Q23" i="15"/>
  <c r="J20" i="1"/>
  <c r="Q54" i="15"/>
  <c r="J51" i="1"/>
  <c r="Q42" i="15"/>
  <c r="J39" i="1"/>
  <c r="Q30" i="15"/>
  <c r="J27" i="1"/>
  <c r="Q37" i="15"/>
  <c r="J34" i="1"/>
  <c r="Q46" i="15"/>
  <c r="J43" i="1"/>
  <c r="Q73" i="15"/>
  <c r="J70" i="1"/>
  <c r="Q59" i="15"/>
  <c r="J56" i="1"/>
  <c r="Q24" i="15"/>
  <c r="J21" i="1"/>
  <c r="Q56" i="15"/>
  <c r="J53" i="1"/>
  <c r="Q32" i="15"/>
  <c r="J29" i="1"/>
  <c r="Q22" i="15"/>
  <c r="J19" i="1"/>
  <c r="Q50" i="15"/>
  <c r="J47" i="1"/>
  <c r="Q18" i="15"/>
  <c r="J15" i="1"/>
  <c r="Q68" i="15"/>
  <c r="J65" i="1"/>
  <c r="Q78" i="15"/>
  <c r="J75" i="1"/>
  <c r="Q34" i="15"/>
  <c r="J31" i="1"/>
  <c r="Q63" i="15"/>
  <c r="Q70" i="15"/>
  <c r="J67" i="1"/>
  <c r="Q72" i="15"/>
  <c r="J69" i="1"/>
  <c r="Q55" i="15"/>
  <c r="J52" i="1"/>
  <c r="Q31" i="15"/>
  <c r="J28" i="1"/>
  <c r="Q86" i="15"/>
  <c r="J83" i="1"/>
  <c r="Q74" i="15"/>
  <c r="J71" i="1"/>
  <c r="Q33" i="15"/>
  <c r="J30" i="1"/>
  <c r="Q76" i="15"/>
  <c r="J73" i="1"/>
  <c r="Q29" i="15"/>
  <c r="J26" i="1"/>
  <c r="B92" i="15"/>
  <c r="A89" i="1"/>
  <c r="I92" i="15"/>
  <c r="H92" i="15"/>
  <c r="G92" i="15"/>
  <c r="F92" i="15"/>
  <c r="E92" i="15"/>
  <c r="D92" i="15"/>
  <c r="B96" i="15"/>
  <c r="E96" i="15"/>
  <c r="D96" i="15"/>
  <c r="I96" i="15"/>
  <c r="H96" i="15"/>
  <c r="G96" i="15"/>
  <c r="F96" i="15"/>
  <c r="A93" i="1"/>
  <c r="B102" i="1"/>
  <c r="B107" i="1"/>
  <c r="B103" i="1"/>
  <c r="B100" i="1"/>
  <c r="B97" i="1"/>
  <c r="B93" i="15"/>
  <c r="I93" i="15"/>
  <c r="H93" i="15"/>
  <c r="G93" i="15"/>
  <c r="F93" i="15"/>
  <c r="E93" i="15"/>
  <c r="D93" i="15"/>
  <c r="A90" i="1"/>
  <c r="B97" i="15"/>
  <c r="I97" i="15"/>
  <c r="H97" i="15"/>
  <c r="G97" i="15"/>
  <c r="F97" i="15"/>
  <c r="E97" i="15"/>
  <c r="D97" i="15"/>
  <c r="A94" i="1"/>
  <c r="B114" i="1"/>
  <c r="B98" i="1"/>
  <c r="B99" i="1"/>
  <c r="B105" i="1"/>
  <c r="B94" i="15"/>
  <c r="A91" i="1"/>
  <c r="D94" i="15"/>
  <c r="G94" i="15"/>
  <c r="F94" i="15"/>
  <c r="I94" i="15"/>
  <c r="H94" i="15"/>
  <c r="E94" i="15"/>
  <c r="B98" i="15"/>
  <c r="A95" i="1"/>
  <c r="G98" i="15"/>
  <c r="F98" i="15"/>
  <c r="D98" i="15"/>
  <c r="I98" i="15"/>
  <c r="H98" i="15"/>
  <c r="E98" i="15"/>
  <c r="B110" i="1"/>
  <c r="B112" i="1"/>
  <c r="B109" i="1"/>
  <c r="B113" i="1"/>
  <c r="B101" i="1"/>
  <c r="B91" i="15"/>
  <c r="A88" i="1"/>
  <c r="I91" i="15"/>
  <c r="H91" i="15"/>
  <c r="G91" i="15"/>
  <c r="F91" i="15"/>
  <c r="E91" i="15"/>
  <c r="D91" i="15"/>
  <c r="B95" i="15"/>
  <c r="I95" i="15"/>
  <c r="H95" i="15"/>
  <c r="G95" i="15"/>
  <c r="F95" i="15"/>
  <c r="E95" i="15"/>
  <c r="D95" i="15"/>
  <c r="A92" i="1"/>
  <c r="B99" i="15"/>
  <c r="A96" i="1"/>
  <c r="I99" i="15"/>
  <c r="H99" i="15"/>
  <c r="G99" i="15"/>
  <c r="F99" i="15"/>
  <c r="E99" i="15"/>
  <c r="D99" i="15"/>
  <c r="B106" i="1"/>
  <c r="B104" i="1"/>
  <c r="B111" i="1"/>
  <c r="B115" i="1"/>
  <c r="C66" i="1"/>
  <c r="C19" i="1"/>
  <c r="C47" i="1"/>
  <c r="C59" i="1"/>
  <c r="C31" i="1"/>
  <c r="C35" i="1"/>
  <c r="C43" i="1"/>
  <c r="C27" i="1"/>
  <c r="C34" i="1"/>
  <c r="C50" i="1"/>
  <c r="C57" i="1"/>
  <c r="C67" i="1"/>
  <c r="C44" i="1"/>
  <c r="C82" i="1"/>
  <c r="C70" i="1"/>
  <c r="C79" i="1"/>
  <c r="C17" i="1"/>
  <c r="C29" i="1"/>
  <c r="C84" i="1"/>
  <c r="C49" i="1"/>
  <c r="C32" i="1"/>
  <c r="C15" i="1"/>
  <c r="C24" i="1"/>
  <c r="C51" i="1"/>
  <c r="C53" i="1"/>
  <c r="C76" i="1"/>
  <c r="C75" i="1"/>
  <c r="C39" i="1"/>
  <c r="C23" i="1"/>
  <c r="C30" i="1"/>
  <c r="G30" i="1" s="1"/>
  <c r="C63" i="1"/>
  <c r="C40" i="1"/>
  <c r="C33" i="1"/>
  <c r="C74" i="1"/>
  <c r="C58" i="1"/>
  <c r="C71" i="1"/>
  <c r="C69" i="1"/>
  <c r="C18" i="1"/>
  <c r="C28" i="1"/>
  <c r="C55" i="1"/>
  <c r="C48" i="1"/>
  <c r="C41" i="1"/>
  <c r="C62" i="1"/>
  <c r="C37" i="1"/>
  <c r="C65" i="1"/>
  <c r="C42" i="1"/>
  <c r="B69" i="1"/>
  <c r="B40" i="1"/>
  <c r="C16" i="1"/>
  <c r="C38" i="1"/>
  <c r="C68" i="1"/>
  <c r="C46" i="1"/>
  <c r="C72" i="1"/>
  <c r="C81" i="1"/>
  <c r="C45" i="1"/>
  <c r="B16" i="1"/>
  <c r="C61" i="1"/>
  <c r="C80" i="1"/>
  <c r="C21" i="1"/>
  <c r="B56" i="1"/>
  <c r="C56" i="1"/>
  <c r="C54" i="1"/>
  <c r="B77" i="1"/>
  <c r="C77" i="1"/>
  <c r="C60" i="1"/>
  <c r="B60" i="1"/>
  <c r="B73" i="1"/>
  <c r="C73" i="1"/>
  <c r="C52" i="1"/>
  <c r="B22" i="1"/>
  <c r="C22" i="1"/>
  <c r="G55" i="1"/>
  <c r="Q98" i="11" s="1"/>
  <c r="C25" i="1"/>
  <c r="C20" i="1"/>
  <c r="B20" i="1"/>
  <c r="C83" i="1"/>
  <c r="B83" i="1"/>
  <c r="C36" i="1"/>
  <c r="C64" i="1"/>
  <c r="B64" i="1"/>
  <c r="C78" i="1"/>
  <c r="C102" i="1"/>
  <c r="C98" i="1"/>
  <c r="C106" i="1"/>
  <c r="C97" i="1"/>
  <c r="G37" i="15"/>
  <c r="G76" i="15"/>
  <c r="I37" i="15"/>
  <c r="H47" i="15"/>
  <c r="I47" i="15"/>
  <c r="F55" i="15"/>
  <c r="E55" i="15"/>
  <c r="I55" i="15"/>
  <c r="I52" i="15"/>
  <c r="F86" i="15"/>
  <c r="E64" i="15"/>
  <c r="I18" i="15"/>
  <c r="G18" i="15"/>
  <c r="I33" i="15"/>
  <c r="D37" i="15"/>
  <c r="G38" i="15"/>
  <c r="E76" i="15"/>
  <c r="D33" i="15"/>
  <c r="E19" i="15"/>
  <c r="H33" i="15"/>
  <c r="F33" i="15"/>
  <c r="D50" i="15"/>
  <c r="D52" i="15"/>
  <c r="G64" i="15"/>
  <c r="H72" i="15"/>
  <c r="D82" i="15"/>
  <c r="H18" i="15"/>
  <c r="G50" i="15"/>
  <c r="F19" i="15"/>
  <c r="D69" i="15"/>
  <c r="E37" i="15"/>
  <c r="E41" i="15"/>
  <c r="H52" i="15"/>
  <c r="I67" i="15"/>
  <c r="D74" i="15"/>
  <c r="F37" i="15"/>
  <c r="E62" i="15"/>
  <c r="I62" i="15"/>
  <c r="F58" i="15"/>
  <c r="D60" i="15"/>
  <c r="D62" i="15"/>
  <c r="E54" i="15"/>
  <c r="F30" i="15"/>
  <c r="D30" i="15"/>
  <c r="G30" i="15"/>
  <c r="H30" i="15"/>
  <c r="E30" i="15"/>
  <c r="I30" i="15"/>
  <c r="D80" i="15"/>
  <c r="F80" i="15"/>
  <c r="D84" i="15"/>
  <c r="H84" i="15"/>
  <c r="E22" i="15"/>
  <c r="I54" i="15"/>
  <c r="H60" i="15"/>
  <c r="H62" i="15"/>
  <c r="H69" i="15"/>
  <c r="I76" i="15"/>
  <c r="D76" i="15"/>
  <c r="H80" i="15"/>
  <c r="H82" i="15"/>
  <c r="F84" i="15"/>
  <c r="D18" i="15"/>
  <c r="E18" i="15"/>
  <c r="G19" i="15"/>
  <c r="G55" i="15"/>
  <c r="H55" i="15"/>
  <c r="D55" i="15"/>
  <c r="H19" i="15"/>
  <c r="I19" i="15"/>
  <c r="D22" i="15"/>
  <c r="H38" i="15"/>
  <c r="I41" i="15"/>
  <c r="G52" i="15"/>
  <c r="F54" i="15"/>
  <c r="F49" i="1" s="1"/>
  <c r="P95" i="11" s="1"/>
  <c r="D54" i="15"/>
  <c r="E72" i="15"/>
  <c r="F76" i="15"/>
  <c r="E80" i="15"/>
  <c r="E84" i="15"/>
  <c r="F62" i="15"/>
  <c r="E52" i="15"/>
  <c r="H58" i="15"/>
  <c r="D58" i="15"/>
  <c r="F60" i="15"/>
  <c r="I60" i="15"/>
  <c r="E60" i="15"/>
  <c r="E26" i="15"/>
  <c r="I26" i="15"/>
  <c r="G26" i="15"/>
  <c r="F26" i="15"/>
  <c r="D26" i="15"/>
  <c r="H26" i="15"/>
  <c r="D34" i="15"/>
  <c r="E34" i="15"/>
  <c r="H34" i="15"/>
  <c r="I34" i="15"/>
  <c r="E38" i="15"/>
  <c r="I38" i="15"/>
  <c r="G47" i="15"/>
  <c r="F47" i="15"/>
  <c r="D64" i="15"/>
  <c r="H64" i="15"/>
  <c r="G67" i="15"/>
  <c r="F67" i="15"/>
  <c r="F69" i="15"/>
  <c r="I69" i="15"/>
  <c r="E69" i="15"/>
  <c r="E74" i="15"/>
  <c r="F74" i="15"/>
  <c r="I74" i="15"/>
  <c r="F78" i="15"/>
  <c r="D78" i="15"/>
  <c r="G78" i="15"/>
  <c r="H78" i="15"/>
  <c r="I78" i="15"/>
  <c r="E78" i="15"/>
  <c r="E82" i="15"/>
  <c r="I82" i="15"/>
  <c r="D86" i="15"/>
  <c r="G86" i="15"/>
  <c r="H86" i="15"/>
  <c r="H42" i="15"/>
  <c r="I42" i="15"/>
  <c r="D42" i="15"/>
  <c r="E42" i="15"/>
  <c r="G42" i="15"/>
  <c r="D35" i="15"/>
  <c r="H35" i="15"/>
  <c r="F35" i="15"/>
  <c r="E35" i="15"/>
  <c r="I35" i="15"/>
  <c r="G35" i="15"/>
  <c r="D44" i="15"/>
  <c r="I44" i="15"/>
  <c r="G44" i="15"/>
  <c r="E44" i="15"/>
  <c r="H44" i="15"/>
  <c r="G46" i="15"/>
  <c r="I46" i="15"/>
  <c r="D46" i="15"/>
  <c r="H46" i="15"/>
  <c r="E46" i="15"/>
  <c r="F46" i="15"/>
  <c r="F50" i="15"/>
  <c r="E50" i="15"/>
  <c r="I50" i="15"/>
  <c r="F22" i="15"/>
  <c r="H22" i="15"/>
  <c r="I22" i="15"/>
  <c r="E33" i="15"/>
  <c r="F38" i="15"/>
  <c r="H41" i="15"/>
  <c r="F41" i="15"/>
  <c r="E47" i="15"/>
  <c r="G54" i="15"/>
  <c r="I58" i="15"/>
  <c r="G62" i="15"/>
  <c r="G57" i="1" s="1"/>
  <c r="Q100" i="11" s="1"/>
  <c r="F64" i="15"/>
  <c r="E67" i="15"/>
  <c r="D72" i="15"/>
  <c r="I72" i="15"/>
  <c r="I80" i="15"/>
  <c r="I84" i="15"/>
  <c r="G84" i="15"/>
  <c r="I86" i="15"/>
  <c r="G80" i="15"/>
  <c r="E58" i="15"/>
  <c r="F82" i="15"/>
  <c r="F44" i="15"/>
  <c r="F34" i="15"/>
  <c r="G74" i="15"/>
  <c r="D41" i="15"/>
  <c r="G72" i="15"/>
  <c r="D67" i="15"/>
  <c r="D47" i="15"/>
  <c r="D17" i="15"/>
  <c r="I17" i="15"/>
  <c r="G17" i="15"/>
  <c r="F17" i="15"/>
  <c r="E17" i="15"/>
  <c r="O22" i="15"/>
  <c r="O50" i="15"/>
  <c r="O58" i="15"/>
  <c r="O67" i="15"/>
  <c r="O74" i="15"/>
  <c r="O84" i="15"/>
  <c r="O17" i="15"/>
  <c r="O19" i="15"/>
  <c r="O37" i="15"/>
  <c r="O38" i="15"/>
  <c r="O46" i="15"/>
  <c r="O62" i="15"/>
  <c r="O69" i="15"/>
  <c r="O80" i="15"/>
  <c r="O86" i="15"/>
  <c r="O26" i="15"/>
  <c r="O44" i="15"/>
  <c r="O47" i="15"/>
  <c r="O54" i="15"/>
  <c r="O55" i="15"/>
  <c r="O60" i="15"/>
  <c r="O64" i="15"/>
  <c r="O76" i="15"/>
  <c r="O82" i="15"/>
  <c r="O42" i="15"/>
  <c r="O30" i="15"/>
  <c r="O33" i="15"/>
  <c r="O35" i="15"/>
  <c r="O41" i="15"/>
  <c r="O52" i="15"/>
  <c r="O72" i="15"/>
  <c r="O78" i="15"/>
  <c r="O18" i="15"/>
  <c r="N57" i="15"/>
  <c r="N75" i="15"/>
  <c r="N65" i="15"/>
  <c r="N27" i="15"/>
  <c r="N79" i="15"/>
  <c r="N40" i="15"/>
  <c r="N66" i="15"/>
  <c r="N83" i="15"/>
  <c r="N32" i="15"/>
  <c r="N20" i="15"/>
  <c r="N23" i="15"/>
  <c r="N49" i="15"/>
  <c r="N70" i="15"/>
  <c r="N87" i="15"/>
  <c r="N24" i="15"/>
  <c r="N28" i="15"/>
  <c r="N31" i="15"/>
  <c r="N39" i="15"/>
  <c r="N43" i="15"/>
  <c r="N48" i="15"/>
  <c r="N51" i="15"/>
  <c r="N56" i="15"/>
  <c r="N59" i="15"/>
  <c r="N21" i="15"/>
  <c r="N25" i="15"/>
  <c r="N29" i="15"/>
  <c r="O34" i="15"/>
  <c r="N36" i="15"/>
  <c r="N45" i="15"/>
  <c r="N53" i="15"/>
  <c r="N61" i="15"/>
  <c r="N63" i="15"/>
  <c r="N68" i="15"/>
  <c r="N73" i="15"/>
  <c r="N77" i="15"/>
  <c r="N81" i="15"/>
  <c r="N85" i="15"/>
  <c r="N71" i="15"/>
  <c r="K21" i="14"/>
  <c r="K27" i="14"/>
  <c r="K22" i="14"/>
  <c r="D43" i="14"/>
  <c r="K35" i="14"/>
  <c r="K31" i="14"/>
  <c r="K40" i="14"/>
  <c r="K42" i="14"/>
  <c r="K38" i="14"/>
  <c r="H43" i="14"/>
  <c r="F43" i="14"/>
  <c r="K36" i="14"/>
  <c r="K32" i="14"/>
  <c r="K28" i="14"/>
  <c r="K24" i="14"/>
  <c r="K18" i="14"/>
  <c r="K14" i="14"/>
  <c r="K41" i="14"/>
  <c r="K19" i="14"/>
  <c r="K15" i="14"/>
  <c r="K39" i="14"/>
  <c r="K37" i="14"/>
  <c r="K34" i="14"/>
  <c r="K33" i="14"/>
  <c r="K30" i="14"/>
  <c r="K29" i="14"/>
  <c r="K26" i="14"/>
  <c r="K25" i="14"/>
  <c r="K20" i="14"/>
  <c r="I43" i="14"/>
  <c r="K16" i="14"/>
  <c r="G43" i="14"/>
  <c r="E43" i="14"/>
  <c r="K17" i="14"/>
  <c r="C96" i="1" l="1"/>
  <c r="B96" i="1"/>
  <c r="B93" i="1"/>
  <c r="C93" i="1"/>
  <c r="C95" i="1"/>
  <c r="B95" i="1"/>
  <c r="C91" i="1"/>
  <c r="B91" i="1"/>
  <c r="B92" i="1"/>
  <c r="C92" i="1"/>
  <c r="C89" i="1"/>
  <c r="B89" i="1"/>
  <c r="C88" i="1"/>
  <c r="B88" i="1"/>
  <c r="C94" i="1"/>
  <c r="B94" i="1"/>
  <c r="C90" i="1"/>
  <c r="B90" i="1"/>
  <c r="F47" i="1"/>
  <c r="H47" i="1"/>
  <c r="I59" i="1"/>
  <c r="S102" i="11" s="1"/>
  <c r="H41" i="1"/>
  <c r="D30" i="1"/>
  <c r="G47" i="1"/>
  <c r="I15" i="1"/>
  <c r="S91" i="11" s="1"/>
  <c r="S133" i="11" s="1"/>
  <c r="S142" i="11" s="1"/>
  <c r="I39" i="1"/>
  <c r="H59" i="1"/>
  <c r="R102" i="11" s="1"/>
  <c r="F39" i="1"/>
  <c r="E79" i="1"/>
  <c r="G79" i="1"/>
  <c r="D57" i="1"/>
  <c r="N100" i="11" s="1"/>
  <c r="E39" i="1"/>
  <c r="I30" i="1"/>
  <c r="F30" i="1"/>
  <c r="F59" i="1"/>
  <c r="P102" i="11" s="1"/>
  <c r="E41" i="1"/>
  <c r="G41" i="1"/>
  <c r="E55" i="1"/>
  <c r="O98" i="11" s="1"/>
  <c r="D15" i="1"/>
  <c r="N91" i="11" s="1"/>
  <c r="D47" i="1"/>
  <c r="E15" i="1"/>
  <c r="O91" i="11" s="1"/>
  <c r="E59" i="1"/>
  <c r="O102" i="11" s="1"/>
  <c r="G75" i="1"/>
  <c r="D41" i="1"/>
  <c r="G15" i="1"/>
  <c r="Q91" i="11" s="1"/>
  <c r="F15" i="1"/>
  <c r="P91" i="11" s="1"/>
  <c r="G49" i="1"/>
  <c r="Q95" i="11" s="1"/>
  <c r="D79" i="1"/>
  <c r="H30" i="1"/>
  <c r="G77" i="1"/>
  <c r="I75" i="1"/>
  <c r="F75" i="1"/>
  <c r="F55" i="1"/>
  <c r="P98" i="11" s="1"/>
  <c r="F57" i="1"/>
  <c r="P100" i="11" s="1"/>
  <c r="H15" i="1"/>
  <c r="R91" i="11" s="1"/>
  <c r="H75" i="1"/>
  <c r="E57" i="1"/>
  <c r="O100" i="11" s="1"/>
  <c r="E69" i="1"/>
  <c r="I47" i="1"/>
  <c r="H49" i="1"/>
  <c r="R95" i="11" s="1"/>
  <c r="H61" i="1"/>
  <c r="I77" i="1"/>
  <c r="F41" i="1"/>
  <c r="I41" i="1"/>
  <c r="G39" i="1"/>
  <c r="E77" i="1"/>
  <c r="D49" i="1"/>
  <c r="N95" i="11" s="1"/>
  <c r="E81" i="1"/>
  <c r="H57" i="1"/>
  <c r="R100" i="11" s="1"/>
  <c r="H77" i="1"/>
  <c r="D55" i="1"/>
  <c r="N98" i="11" s="1"/>
  <c r="G59" i="1"/>
  <c r="Q102" i="11" s="1"/>
  <c r="I81" i="1"/>
  <c r="E30" i="1"/>
  <c r="D69" i="1"/>
  <c r="H55" i="1"/>
  <c r="R98" i="11" s="1"/>
  <c r="H69" i="1"/>
  <c r="I79" i="1"/>
  <c r="H39" i="1"/>
  <c r="D39" i="1"/>
  <c r="H79" i="1"/>
  <c r="E75" i="1"/>
  <c r="D59" i="1"/>
  <c r="N102" i="11" s="1"/>
  <c r="I55" i="1"/>
  <c r="S98" i="11" s="1"/>
  <c r="E47" i="1"/>
  <c r="F69" i="1"/>
  <c r="I69" i="1"/>
  <c r="I49" i="1"/>
  <c r="S95" i="11" s="1"/>
  <c r="E49" i="1"/>
  <c r="O95" i="11" s="1"/>
  <c r="I57" i="1"/>
  <c r="S100" i="11" s="1"/>
  <c r="I61" i="1"/>
  <c r="D75" i="1"/>
  <c r="F79" i="1"/>
  <c r="G69" i="1"/>
  <c r="F81" i="1"/>
  <c r="E61" i="1"/>
  <c r="G61" i="1"/>
  <c r="F61" i="1"/>
  <c r="D61" i="1"/>
  <c r="F77" i="1"/>
  <c r="D81" i="1"/>
  <c r="H81" i="1"/>
  <c r="G81" i="1"/>
  <c r="D77" i="1"/>
  <c r="P58" i="15"/>
  <c r="P41" i="15"/>
  <c r="F63" i="15"/>
  <c r="I63" i="15"/>
  <c r="E63" i="15"/>
  <c r="H63" i="15"/>
  <c r="G63" i="15"/>
  <c r="D63" i="15"/>
  <c r="D43" i="15"/>
  <c r="D38" i="1" s="1"/>
  <c r="E43" i="15"/>
  <c r="E38" i="1" s="1"/>
  <c r="G43" i="15"/>
  <c r="G38" i="1" s="1"/>
  <c r="I43" i="15"/>
  <c r="I38" i="1" s="1"/>
  <c r="F43" i="15"/>
  <c r="F38" i="1" s="1"/>
  <c r="H43" i="15"/>
  <c r="H38" i="1" s="1"/>
  <c r="E23" i="15"/>
  <c r="E19" i="1" s="1"/>
  <c r="I23" i="15"/>
  <c r="I19" i="1" s="1"/>
  <c r="F23" i="15"/>
  <c r="F19" i="1" s="1"/>
  <c r="G23" i="15"/>
  <c r="G19" i="1" s="1"/>
  <c r="D23" i="15"/>
  <c r="D19" i="1" s="1"/>
  <c r="H23" i="15"/>
  <c r="H19" i="1" s="1"/>
  <c r="E57" i="15"/>
  <c r="E52" i="1" s="1"/>
  <c r="O97" i="11" s="1"/>
  <c r="H57" i="15"/>
  <c r="H52" i="1" s="1"/>
  <c r="R97" i="11" s="1"/>
  <c r="I57" i="15"/>
  <c r="I52" i="1" s="1"/>
  <c r="S97" i="11" s="1"/>
  <c r="D57" i="15"/>
  <c r="D52" i="1" s="1"/>
  <c r="N97" i="11" s="1"/>
  <c r="F57" i="15"/>
  <c r="F52" i="1" s="1"/>
  <c r="P97" i="11" s="1"/>
  <c r="G57" i="15"/>
  <c r="G52" i="1" s="1"/>
  <c r="Q97" i="11" s="1"/>
  <c r="G53" i="15"/>
  <c r="F53" i="15"/>
  <c r="E53" i="15"/>
  <c r="E50" i="1" s="1"/>
  <c r="D53" i="15"/>
  <c r="H53" i="15"/>
  <c r="I53" i="15"/>
  <c r="G56" i="15"/>
  <c r="E56" i="15"/>
  <c r="E51" i="1" s="1"/>
  <c r="O96" i="11" s="1"/>
  <c r="F56" i="15"/>
  <c r="F51" i="1" s="1"/>
  <c r="P96" i="11" s="1"/>
  <c r="H56" i="15"/>
  <c r="H51" i="1" s="1"/>
  <c r="R96" i="11" s="1"/>
  <c r="D56" i="15"/>
  <c r="D51" i="1" s="1"/>
  <c r="N96" i="11" s="1"/>
  <c r="I56" i="15"/>
  <c r="I51" i="1" s="1"/>
  <c r="S96" i="11" s="1"/>
  <c r="D87" i="15"/>
  <c r="G87" i="15"/>
  <c r="H87" i="15"/>
  <c r="H84" i="1" s="1"/>
  <c r="E87" i="15"/>
  <c r="F87" i="15"/>
  <c r="I87" i="15"/>
  <c r="G40" i="15"/>
  <c r="G37" i="1" s="1"/>
  <c r="Q94" i="11" s="1"/>
  <c r="D40" i="15"/>
  <c r="D37" i="1" s="1"/>
  <c r="N94" i="11" s="1"/>
  <c r="H40" i="15"/>
  <c r="E40" i="15"/>
  <c r="I40" i="15"/>
  <c r="I37" i="1" s="1"/>
  <c r="S94" i="11" s="1"/>
  <c r="F40" i="15"/>
  <c r="I71" i="15"/>
  <c r="G71" i="15"/>
  <c r="E71" i="15"/>
  <c r="H71" i="15"/>
  <c r="F71" i="15"/>
  <c r="D71" i="15"/>
  <c r="H73" i="15"/>
  <c r="H66" i="1" s="1"/>
  <c r="R106" i="11" s="1"/>
  <c r="G73" i="15"/>
  <c r="G66" i="1" s="1"/>
  <c r="Q106" i="11" s="1"/>
  <c r="D73" i="15"/>
  <c r="D66" i="1" s="1"/>
  <c r="N106" i="11" s="1"/>
  <c r="F73" i="15"/>
  <c r="F66" i="1" s="1"/>
  <c r="P106" i="11" s="1"/>
  <c r="E73" i="15"/>
  <c r="E66" i="1" s="1"/>
  <c r="O106" i="11" s="1"/>
  <c r="I73" i="15"/>
  <c r="I66" i="1" s="1"/>
  <c r="S106" i="11" s="1"/>
  <c r="F45" i="15"/>
  <c r="H45" i="15"/>
  <c r="I45" i="15"/>
  <c r="D45" i="15"/>
  <c r="G45" i="15"/>
  <c r="E45" i="15"/>
  <c r="F25" i="15"/>
  <c r="F22" i="1" s="1"/>
  <c r="E25" i="15"/>
  <c r="G25" i="15"/>
  <c r="G22" i="1" s="1"/>
  <c r="D25" i="15"/>
  <c r="H25" i="15"/>
  <c r="H22" i="1" s="1"/>
  <c r="I25" i="15"/>
  <c r="E51" i="15"/>
  <c r="F51" i="15"/>
  <c r="G51" i="15"/>
  <c r="I51" i="15"/>
  <c r="H51" i="15"/>
  <c r="D51" i="15"/>
  <c r="D31" i="15"/>
  <c r="D27" i="1" s="1"/>
  <c r="H31" i="15"/>
  <c r="H27" i="1" s="1"/>
  <c r="G31" i="15"/>
  <c r="G27" i="1" s="1"/>
  <c r="I31" i="15"/>
  <c r="I27" i="1" s="1"/>
  <c r="F31" i="15"/>
  <c r="F27" i="1" s="1"/>
  <c r="E31" i="15"/>
  <c r="E27" i="1" s="1"/>
  <c r="F70" i="15"/>
  <c r="F64" i="1" s="1"/>
  <c r="P104" i="11" s="1"/>
  <c r="G70" i="15"/>
  <c r="G64" i="1" s="1"/>
  <c r="Q104" i="11" s="1"/>
  <c r="D70" i="15"/>
  <c r="D64" i="1" s="1"/>
  <c r="N104" i="11" s="1"/>
  <c r="E70" i="15"/>
  <c r="E64" i="1" s="1"/>
  <c r="O104" i="11" s="1"/>
  <c r="H70" i="15"/>
  <c r="I70" i="15"/>
  <c r="I64" i="1" s="1"/>
  <c r="S104" i="11" s="1"/>
  <c r="D32" i="15"/>
  <c r="D28" i="1" s="1"/>
  <c r="F32" i="15"/>
  <c r="I32" i="15"/>
  <c r="E32" i="15"/>
  <c r="H32" i="15"/>
  <c r="H29" i="1" s="1"/>
  <c r="G32" i="15"/>
  <c r="E79" i="15"/>
  <c r="I79" i="15"/>
  <c r="D79" i="15"/>
  <c r="G79" i="15"/>
  <c r="F79" i="15"/>
  <c r="H79" i="15"/>
  <c r="E65" i="15"/>
  <c r="E83" i="1" s="1"/>
  <c r="F65" i="15"/>
  <c r="F83" i="1" s="1"/>
  <c r="D65" i="15"/>
  <c r="D83" i="1" s="1"/>
  <c r="H65" i="15"/>
  <c r="H83" i="1" s="1"/>
  <c r="G65" i="15"/>
  <c r="G83" i="1" s="1"/>
  <c r="I65" i="15"/>
  <c r="I83" i="1" s="1"/>
  <c r="D81" i="15"/>
  <c r="G81" i="15"/>
  <c r="I81" i="15"/>
  <c r="E81" i="15"/>
  <c r="H81" i="15"/>
  <c r="F81" i="15"/>
  <c r="I61" i="15"/>
  <c r="E61" i="15"/>
  <c r="F61" i="15"/>
  <c r="H61" i="15"/>
  <c r="G61" i="15"/>
  <c r="D61" i="15"/>
  <c r="G59" i="15"/>
  <c r="D59" i="15"/>
  <c r="D54" i="1" s="1"/>
  <c r="H59" i="15"/>
  <c r="I59" i="15"/>
  <c r="E59" i="15"/>
  <c r="F59" i="15"/>
  <c r="G24" i="15"/>
  <c r="E24" i="15"/>
  <c r="D24" i="15"/>
  <c r="D20" i="1" s="1"/>
  <c r="H24" i="15"/>
  <c r="H20" i="1" s="1"/>
  <c r="I24" i="15"/>
  <c r="F24" i="15"/>
  <c r="I66" i="15"/>
  <c r="I63" i="1" s="1"/>
  <c r="H66" i="15"/>
  <c r="E66" i="15"/>
  <c r="E60" i="1" s="1"/>
  <c r="O103" i="11" s="1"/>
  <c r="F66" i="15"/>
  <c r="D66" i="15"/>
  <c r="D63" i="1" s="1"/>
  <c r="G66" i="15"/>
  <c r="D77" i="15"/>
  <c r="G77" i="15"/>
  <c r="G70" i="1" s="1"/>
  <c r="H77" i="15"/>
  <c r="I77" i="15"/>
  <c r="E77" i="15"/>
  <c r="E70" i="1" s="1"/>
  <c r="F77" i="15"/>
  <c r="D29" i="15"/>
  <c r="H29" i="15"/>
  <c r="E29" i="15"/>
  <c r="I29" i="15"/>
  <c r="F29" i="15"/>
  <c r="G29" i="15"/>
  <c r="I39" i="15"/>
  <c r="I35" i="1" s="1"/>
  <c r="E39" i="15"/>
  <c r="E35" i="1" s="1"/>
  <c r="F39" i="15"/>
  <c r="F35" i="1" s="1"/>
  <c r="D39" i="15"/>
  <c r="D35" i="1" s="1"/>
  <c r="G39" i="15"/>
  <c r="G35" i="1" s="1"/>
  <c r="H39" i="15"/>
  <c r="H35" i="1" s="1"/>
  <c r="G20" i="15"/>
  <c r="G16" i="1" s="1"/>
  <c r="E20" i="15"/>
  <c r="E16" i="1" s="1"/>
  <c r="F20" i="15"/>
  <c r="F16" i="1" s="1"/>
  <c r="H20" i="15"/>
  <c r="H16" i="1" s="1"/>
  <c r="D20" i="15"/>
  <c r="D16" i="1" s="1"/>
  <c r="I20" i="15"/>
  <c r="I16" i="1" s="1"/>
  <c r="H85" i="15"/>
  <c r="D85" i="15"/>
  <c r="G85" i="15"/>
  <c r="E85" i="15"/>
  <c r="I85" i="15"/>
  <c r="I78" i="1" s="1"/>
  <c r="F85" i="15"/>
  <c r="D68" i="15"/>
  <c r="D62" i="1" s="1"/>
  <c r="N149" i="11" s="1"/>
  <c r="H68" i="15"/>
  <c r="H62" i="1" s="1"/>
  <c r="R149" i="11" s="1"/>
  <c r="G68" i="15"/>
  <c r="G62" i="1" s="1"/>
  <c r="Q149" i="11" s="1"/>
  <c r="E68" i="15"/>
  <c r="F68" i="15"/>
  <c r="I68" i="15"/>
  <c r="F36" i="15"/>
  <c r="F32" i="1" s="1"/>
  <c r="P93" i="11" s="1"/>
  <c r="H36" i="15"/>
  <c r="G36" i="15"/>
  <c r="G32" i="1" s="1"/>
  <c r="Q93" i="11" s="1"/>
  <c r="D36" i="15"/>
  <c r="D32" i="1" s="1"/>
  <c r="N93" i="11" s="1"/>
  <c r="I36" i="15"/>
  <c r="I32" i="1" s="1"/>
  <c r="S93" i="11" s="1"/>
  <c r="E36" i="15"/>
  <c r="E32" i="1" s="1"/>
  <c r="O93" i="11" s="1"/>
  <c r="G21" i="15"/>
  <c r="E21" i="15"/>
  <c r="E17" i="1" s="1"/>
  <c r="I21" i="15"/>
  <c r="I18" i="1" s="1"/>
  <c r="D21" i="15"/>
  <c r="H21" i="15"/>
  <c r="H18" i="1" s="1"/>
  <c r="F21" i="15"/>
  <c r="D48" i="15"/>
  <c r="D45" i="1" s="1"/>
  <c r="H48" i="15"/>
  <c r="E48" i="15"/>
  <c r="G48" i="15"/>
  <c r="I48" i="15"/>
  <c r="I45" i="1" s="1"/>
  <c r="F48" i="15"/>
  <c r="F28" i="15"/>
  <c r="I28" i="15"/>
  <c r="H28" i="15"/>
  <c r="E28" i="15"/>
  <c r="D28" i="15"/>
  <c r="G28" i="15"/>
  <c r="I49" i="15"/>
  <c r="I44" i="1" s="1"/>
  <c r="E49" i="15"/>
  <c r="E44" i="1" s="1"/>
  <c r="F49" i="15"/>
  <c r="F44" i="1" s="1"/>
  <c r="G49" i="15"/>
  <c r="G44" i="1" s="1"/>
  <c r="D49" i="15"/>
  <c r="D44" i="1" s="1"/>
  <c r="H49" i="15"/>
  <c r="H44" i="1" s="1"/>
  <c r="F83" i="15"/>
  <c r="F76" i="1" s="1"/>
  <c r="G83" i="15"/>
  <c r="D83" i="15"/>
  <c r="D76" i="1" s="1"/>
  <c r="E83" i="15"/>
  <c r="H83" i="15"/>
  <c r="I83" i="15"/>
  <c r="I76" i="1" s="1"/>
  <c r="E27" i="15"/>
  <c r="F27" i="15"/>
  <c r="G27" i="15"/>
  <c r="I27" i="15"/>
  <c r="D27" i="15"/>
  <c r="H27" i="15"/>
  <c r="F75" i="15"/>
  <c r="F68" i="1" s="1"/>
  <c r="D75" i="15"/>
  <c r="D68" i="1" s="1"/>
  <c r="H75" i="15"/>
  <c r="I75" i="15"/>
  <c r="G75" i="15"/>
  <c r="E75" i="15"/>
  <c r="P50" i="15"/>
  <c r="P116" i="15"/>
  <c r="P112" i="15"/>
  <c r="P108" i="15"/>
  <c r="P104" i="15"/>
  <c r="P103" i="15"/>
  <c r="P37" i="15"/>
  <c r="P84" i="15"/>
  <c r="P74" i="15"/>
  <c r="P67" i="15"/>
  <c r="P62" i="15"/>
  <c r="P54" i="15"/>
  <c r="P46" i="15"/>
  <c r="P35" i="15"/>
  <c r="P26" i="15"/>
  <c r="P33" i="15"/>
  <c r="P22" i="15"/>
  <c r="P19" i="15"/>
  <c r="P118" i="15"/>
  <c r="P114" i="15"/>
  <c r="P110" i="15"/>
  <c r="P106" i="15"/>
  <c r="P95" i="15"/>
  <c r="P115" i="15"/>
  <c r="P111" i="15"/>
  <c r="P107" i="15"/>
  <c r="P99" i="15"/>
  <c r="P86" i="15"/>
  <c r="P80" i="15"/>
  <c r="P69" i="15"/>
  <c r="P17" i="15"/>
  <c r="P98" i="15"/>
  <c r="P42" i="15"/>
  <c r="P82" i="15"/>
  <c r="P76" i="15"/>
  <c r="P64" i="15"/>
  <c r="P44" i="15"/>
  <c r="P38" i="15"/>
  <c r="P30" i="15"/>
  <c r="P47" i="15"/>
  <c r="P94" i="15"/>
  <c r="P52" i="15"/>
  <c r="P117" i="15"/>
  <c r="P113" i="15"/>
  <c r="P109" i="15"/>
  <c r="P105" i="15"/>
  <c r="P91" i="15"/>
  <c r="P100" i="15"/>
  <c r="P96" i="15"/>
  <c r="P92" i="15"/>
  <c r="P101" i="15"/>
  <c r="P97" i="15"/>
  <c r="P93" i="15"/>
  <c r="P18" i="15"/>
  <c r="P78" i="15"/>
  <c r="P72" i="15"/>
  <c r="P60" i="15"/>
  <c r="P34" i="15"/>
  <c r="P55" i="15"/>
  <c r="P102" i="15"/>
  <c r="K43" i="14"/>
  <c r="S156" i="11" l="1"/>
  <c r="Q133" i="11"/>
  <c r="Q142" i="11" s="1"/>
  <c r="T97" i="11"/>
  <c r="O133" i="11"/>
  <c r="O142" i="11" s="1"/>
  <c r="T106" i="11"/>
  <c r="T102" i="11"/>
  <c r="T98" i="11"/>
  <c r="T95" i="11"/>
  <c r="R133" i="11"/>
  <c r="R142" i="11" s="1"/>
  <c r="P133" i="11"/>
  <c r="P142" i="11" s="1"/>
  <c r="T100" i="11"/>
  <c r="N133" i="11"/>
  <c r="N142" i="11" s="1"/>
  <c r="E76" i="1"/>
  <c r="D17" i="1"/>
  <c r="F60" i="1"/>
  <c r="P103" i="11" s="1"/>
  <c r="E20" i="1"/>
  <c r="H78" i="1"/>
  <c r="R156" i="11" s="1"/>
  <c r="D70" i="1"/>
  <c r="G56" i="1"/>
  <c r="Q99" i="11" s="1"/>
  <c r="F67" i="1"/>
  <c r="I68" i="1"/>
  <c r="I54" i="1"/>
  <c r="E56" i="1"/>
  <c r="O99" i="11" s="1"/>
  <c r="G76" i="1"/>
  <c r="G24" i="1"/>
  <c r="I62" i="1"/>
  <c r="S149" i="11" s="1"/>
  <c r="E78" i="1"/>
  <c r="O156" i="11" s="1"/>
  <c r="I70" i="1"/>
  <c r="H60" i="1"/>
  <c r="R103" i="11" s="1"/>
  <c r="F46" i="1"/>
  <c r="D21" i="1"/>
  <c r="G82" i="1"/>
  <c r="Q160" i="11" s="1"/>
  <c r="E68" i="1"/>
  <c r="F54" i="1"/>
  <c r="H56" i="1"/>
  <c r="R99" i="11" s="1"/>
  <c r="D46" i="1"/>
  <c r="I58" i="1"/>
  <c r="S101" i="11" s="1"/>
  <c r="D29" i="1"/>
  <c r="E24" i="1"/>
  <c r="E62" i="1"/>
  <c r="O149" i="11" s="1"/>
  <c r="F78" i="1"/>
  <c r="P156" i="11" s="1"/>
  <c r="F70" i="1"/>
  <c r="F20" i="1"/>
  <c r="D56" i="1"/>
  <c r="N99" i="11" s="1"/>
  <c r="F28" i="1"/>
  <c r="I46" i="1"/>
  <c r="I21" i="1"/>
  <c r="S92" i="11" s="1"/>
  <c r="H82" i="1"/>
  <c r="R160" i="11" s="1"/>
  <c r="F36" i="1"/>
  <c r="F53" i="1"/>
  <c r="D53" i="1"/>
  <c r="T91" i="11"/>
  <c r="G65" i="1"/>
  <c r="Q105" i="11" s="1"/>
  <c r="F17" i="1"/>
  <c r="H70" i="1"/>
  <c r="E54" i="1"/>
  <c r="I24" i="1"/>
  <c r="G60" i="1"/>
  <c r="Q103" i="11" s="1"/>
  <c r="G63" i="1"/>
  <c r="E28" i="1"/>
  <c r="D82" i="1"/>
  <c r="N160" i="11" s="1"/>
  <c r="E36" i="1"/>
  <c r="I80" i="1"/>
  <c r="G80" i="1"/>
  <c r="I48" i="1"/>
  <c r="F48" i="1"/>
  <c r="D58" i="1"/>
  <c r="N101" i="11" s="1"/>
  <c r="D22" i="1"/>
  <c r="E37" i="1"/>
  <c r="O94" i="11" s="1"/>
  <c r="E65" i="1"/>
  <c r="O105" i="11" s="1"/>
  <c r="I65" i="1"/>
  <c r="S105" i="11" s="1"/>
  <c r="D18" i="1"/>
  <c r="I84" i="1"/>
  <c r="G67" i="1"/>
  <c r="H65" i="1"/>
  <c r="R105" i="11" s="1"/>
  <c r="E18" i="1"/>
  <c r="E67" i="1"/>
  <c r="I53" i="1"/>
  <c r="G68" i="1"/>
  <c r="H76" i="1"/>
  <c r="D24" i="1"/>
  <c r="F24" i="1"/>
  <c r="H17" i="1"/>
  <c r="G17" i="1"/>
  <c r="G18" i="1"/>
  <c r="F62" i="1"/>
  <c r="P149" i="11" s="1"/>
  <c r="F65" i="1"/>
  <c r="P105" i="11" s="1"/>
  <c r="G78" i="1"/>
  <c r="Q156" i="11" s="1"/>
  <c r="D60" i="1"/>
  <c r="N103" i="11" s="1"/>
  <c r="I60" i="1"/>
  <c r="S103" i="11" s="1"/>
  <c r="G54" i="1"/>
  <c r="F56" i="1"/>
  <c r="P99" i="11" s="1"/>
  <c r="I28" i="1"/>
  <c r="H64" i="1"/>
  <c r="R104" i="11" s="1"/>
  <c r="T104" i="11" s="1"/>
  <c r="H67" i="1"/>
  <c r="H46" i="1"/>
  <c r="E46" i="1"/>
  <c r="G21" i="1"/>
  <c r="F82" i="1"/>
  <c r="P160" i="11" s="1"/>
  <c r="I82" i="1"/>
  <c r="S160" i="11" s="1"/>
  <c r="H36" i="1"/>
  <c r="F80" i="1"/>
  <c r="F84" i="1"/>
  <c r="D80" i="1"/>
  <c r="H48" i="1"/>
  <c r="G48" i="1"/>
  <c r="G58" i="1"/>
  <c r="Q101" i="11" s="1"/>
  <c r="F58" i="1"/>
  <c r="P101" i="11" s="1"/>
  <c r="I22" i="1"/>
  <c r="I29" i="1"/>
  <c r="F63" i="1"/>
  <c r="D67" i="1"/>
  <c r="H53" i="1"/>
  <c r="I67" i="1"/>
  <c r="E63" i="1"/>
  <c r="F18" i="1"/>
  <c r="H63" i="1"/>
  <c r="D84" i="1"/>
  <c r="H32" i="1"/>
  <c r="R93" i="11" s="1"/>
  <c r="T93" i="11" s="1"/>
  <c r="G28" i="1"/>
  <c r="G29" i="1"/>
  <c r="E21" i="1"/>
  <c r="D36" i="1"/>
  <c r="E80" i="1"/>
  <c r="D48" i="1"/>
  <c r="H58" i="1"/>
  <c r="R101" i="11" s="1"/>
  <c r="E84" i="1"/>
  <c r="I50" i="1"/>
  <c r="G84" i="1"/>
  <c r="H68" i="1"/>
  <c r="H24" i="1"/>
  <c r="I17" i="1"/>
  <c r="I20" i="1"/>
  <c r="G20" i="1"/>
  <c r="H54" i="1"/>
  <c r="I56" i="1"/>
  <c r="S99" i="11" s="1"/>
  <c r="H28" i="1"/>
  <c r="G46" i="1"/>
  <c r="H21" i="1"/>
  <c r="F21" i="1"/>
  <c r="E82" i="1"/>
  <c r="O160" i="11" s="1"/>
  <c r="I36" i="1"/>
  <c r="G36" i="1"/>
  <c r="H80" i="1"/>
  <c r="G51" i="1"/>
  <c r="Q96" i="11" s="1"/>
  <c r="T96" i="11" s="1"/>
  <c r="G53" i="1"/>
  <c r="E48" i="1"/>
  <c r="E58" i="1"/>
  <c r="O101" i="11" s="1"/>
  <c r="D78" i="1"/>
  <c r="N156" i="11" s="1"/>
  <c r="F45" i="1"/>
  <c r="E45" i="1"/>
  <c r="D65" i="1"/>
  <c r="N105" i="11" s="1"/>
  <c r="F50" i="1"/>
  <c r="G50" i="1"/>
  <c r="F37" i="1"/>
  <c r="P94" i="11" s="1"/>
  <c r="H45" i="1"/>
  <c r="H50" i="1"/>
  <c r="G45" i="1"/>
  <c r="D50" i="1"/>
  <c r="E22" i="1"/>
  <c r="E53" i="1"/>
  <c r="F29" i="1"/>
  <c r="H37" i="1"/>
  <c r="R94" i="11" s="1"/>
  <c r="E29" i="1"/>
  <c r="P66" i="15"/>
  <c r="P43" i="15"/>
  <c r="P23" i="15"/>
  <c r="P36" i="15"/>
  <c r="P53" i="15"/>
  <c r="P65" i="15"/>
  <c r="P40" i="15"/>
  <c r="P81" i="15"/>
  <c r="P39" i="15"/>
  <c r="P57" i="15"/>
  <c r="P24" i="15"/>
  <c r="P61" i="15"/>
  <c r="P71" i="15"/>
  <c r="P28" i="15"/>
  <c r="P77" i="15"/>
  <c r="P51" i="15"/>
  <c r="P20" i="15"/>
  <c r="P79" i="15"/>
  <c r="P87" i="15"/>
  <c r="P85" i="15"/>
  <c r="P27" i="15"/>
  <c r="P83" i="15"/>
  <c r="P29" i="15"/>
  <c r="P63" i="15"/>
  <c r="P49" i="15"/>
  <c r="P59" i="15"/>
  <c r="P75" i="15"/>
  <c r="P32" i="15"/>
  <c r="P45" i="15"/>
  <c r="P70" i="15"/>
  <c r="P31" i="15"/>
  <c r="P25" i="15"/>
  <c r="P56" i="15"/>
  <c r="P68" i="15"/>
  <c r="P73" i="15"/>
  <c r="P48" i="15"/>
  <c r="P21" i="15"/>
  <c r="N18" i="11"/>
  <c r="M18" i="11"/>
  <c r="N17" i="11"/>
  <c r="M17" i="11"/>
  <c r="N16" i="11"/>
  <c r="M16" i="11"/>
  <c r="N15" i="11"/>
  <c r="M15" i="11"/>
  <c r="N14" i="11"/>
  <c r="M14" i="11"/>
  <c r="B62" i="18" s="1"/>
  <c r="N13" i="11"/>
  <c r="M13" i="11"/>
  <c r="P167" i="11" l="1"/>
  <c r="Q167" i="11"/>
  <c r="T149" i="11"/>
  <c r="O167" i="11"/>
  <c r="R167" i="11"/>
  <c r="N167" i="11"/>
  <c r="S167" i="11"/>
  <c r="T156" i="11"/>
  <c r="T160" i="11"/>
  <c r="B98" i="18"/>
  <c r="B99" i="18"/>
  <c r="S130" i="11"/>
  <c r="S139" i="11" s="1"/>
  <c r="R130" i="11"/>
  <c r="R139" i="11" s="1"/>
  <c r="Q130" i="11"/>
  <c r="Q139" i="11" s="1"/>
  <c r="P130" i="11"/>
  <c r="P139" i="11" s="1"/>
  <c r="O130" i="11"/>
  <c r="O139" i="11" s="1"/>
  <c r="N130" i="11"/>
  <c r="N139" i="11" s="1"/>
  <c r="T105" i="11"/>
  <c r="P92" i="11"/>
  <c r="R92" i="11"/>
  <c r="N92" i="11"/>
  <c r="T103" i="11"/>
  <c r="T99" i="11"/>
  <c r="T101" i="11"/>
  <c r="S131" i="11"/>
  <c r="S140" i="11" s="1"/>
  <c r="S107" i="11"/>
  <c r="O92" i="11"/>
  <c r="Q92" i="11"/>
  <c r="T94" i="11"/>
  <c r="C14" i="9"/>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T167" i="11" l="1"/>
  <c r="Q131" i="11"/>
  <c r="Q140" i="11" s="1"/>
  <c r="Q107" i="11"/>
  <c r="R131" i="11"/>
  <c r="R140" i="11" s="1"/>
  <c r="R107" i="11"/>
  <c r="O131" i="11"/>
  <c r="O140" i="11" s="1"/>
  <c r="O107" i="11"/>
  <c r="N131" i="11"/>
  <c r="N140" i="11" s="1"/>
  <c r="T92" i="11"/>
  <c r="N107" i="11"/>
  <c r="P131" i="11"/>
  <c r="P140" i="11" s="1"/>
  <c r="P107" i="11"/>
  <c r="A10" i="13"/>
  <c r="T107" i="11" l="1"/>
  <c r="B25" i="12"/>
  <c r="A25" i="12"/>
  <c r="B24" i="12"/>
  <c r="B23" i="12"/>
  <c r="B22" i="12"/>
  <c r="B21" i="12"/>
  <c r="B20" i="12"/>
  <c r="B19" i="12"/>
  <c r="B18" i="12"/>
  <c r="B17" i="12"/>
  <c r="B16" i="12"/>
  <c r="B15" i="12"/>
  <c r="B14" i="12"/>
  <c r="A10" i="12"/>
  <c r="H16" i="11" l="1"/>
  <c r="A10" i="11" l="1"/>
  <c r="B25" i="3" l="1"/>
  <c r="B24" i="3"/>
  <c r="B23" i="3"/>
  <c r="B22" i="3"/>
  <c r="B21" i="3"/>
  <c r="B20" i="3"/>
  <c r="B19" i="3"/>
  <c r="B18" i="3"/>
  <c r="B17" i="3"/>
  <c r="B16" i="3"/>
  <c r="B15" i="3"/>
  <c r="B14" i="3"/>
  <c r="H14" i="1" l="1"/>
  <c r="G14" i="1"/>
  <c r="E14" i="1"/>
  <c r="E71" i="1"/>
  <c r="F14" i="1"/>
  <c r="G42" i="1"/>
  <c r="E26" i="1"/>
  <c r="G71" i="1"/>
  <c r="H73" i="1"/>
  <c r="I42" i="1"/>
  <c r="E73" i="1"/>
  <c r="E31" i="1"/>
  <c r="D14" i="1"/>
  <c r="D71" i="1"/>
  <c r="F34" i="1"/>
  <c r="I31" i="1"/>
  <c r="F33" i="1"/>
  <c r="F31" i="1"/>
  <c r="F73" i="1"/>
  <c r="I14" i="1"/>
  <c r="H31" i="1"/>
  <c r="H34" i="1"/>
  <c r="D26" i="1"/>
  <c r="E34" i="1"/>
  <c r="I34" i="1"/>
  <c r="G31" i="1"/>
  <c r="H71" i="1"/>
  <c r="D31" i="1"/>
  <c r="D73" i="1"/>
  <c r="G33" i="1"/>
  <c r="I71" i="1"/>
  <c r="G73" i="1"/>
  <c r="D34" i="1"/>
  <c r="F71" i="1"/>
  <c r="G34" i="1"/>
  <c r="I73" i="1"/>
  <c r="D43" i="1"/>
  <c r="H25" i="1"/>
  <c r="G23" i="1"/>
  <c r="E23" i="1"/>
  <c r="F43" i="1"/>
  <c r="D40" i="1"/>
  <c r="D25" i="1"/>
  <c r="E72" i="1"/>
  <c r="I33" i="1"/>
  <c r="H42" i="1"/>
  <c r="I25" i="1"/>
  <c r="I74" i="1"/>
  <c r="F26" i="1"/>
  <c r="I26" i="1"/>
  <c r="G43" i="1"/>
  <c r="H72" i="1"/>
  <c r="E43" i="1"/>
  <c r="I43" i="1"/>
  <c r="H43" i="1"/>
  <c r="F74" i="1"/>
  <c r="E33" i="1"/>
  <c r="H74" i="1"/>
  <c r="D72" i="1"/>
  <c r="F42" i="1"/>
  <c r="I40" i="1"/>
  <c r="E42" i="1"/>
  <c r="I23" i="1"/>
  <c r="H40" i="1"/>
  <c r="F40" i="1"/>
  <c r="F23" i="1"/>
  <c r="G72" i="1"/>
  <c r="I72" i="1"/>
  <c r="H26" i="1"/>
  <c r="H33" i="1"/>
  <c r="E25" i="1"/>
  <c r="D33" i="1"/>
  <c r="D23" i="1"/>
  <c r="E40" i="1"/>
  <c r="G40" i="1"/>
  <c r="H23" i="1"/>
  <c r="E74" i="1"/>
  <c r="G25" i="1"/>
  <c r="G74" i="1"/>
  <c r="D74" i="1"/>
  <c r="G26" i="1"/>
  <c r="F25" i="1"/>
  <c r="F72" i="1"/>
  <c r="D42" i="1"/>
  <c r="B77" i="5"/>
  <c r="A76" i="5"/>
  <c r="A75" i="5"/>
  <c r="A74" i="5"/>
  <c r="A73" i="5"/>
  <c r="A72" i="5"/>
  <c r="A71" i="5"/>
  <c r="A70" i="5"/>
  <c r="A69" i="5"/>
  <c r="A68" i="5"/>
  <c r="A67" i="5"/>
  <c r="A66" i="5"/>
  <c r="A65" i="5"/>
  <c r="J114" i="9" l="1"/>
  <c r="A24" i="3"/>
  <c r="A23" i="3"/>
  <c r="A22" i="3"/>
  <c r="A21" i="3"/>
  <c r="A20" i="3"/>
  <c r="A19" i="3"/>
  <c r="A18" i="3"/>
  <c r="A17" i="3"/>
  <c r="A16" i="3"/>
  <c r="A15" i="3"/>
  <c r="A14" i="3"/>
  <c r="W13" i="9"/>
  <c r="V13" i="9"/>
  <c r="U13" i="9"/>
  <c r="T13" i="9"/>
  <c r="S13" i="9"/>
  <c r="R13" i="9"/>
  <c r="Q13" i="9"/>
  <c r="P13" i="9"/>
  <c r="O13" i="9"/>
  <c r="N13" i="9"/>
  <c r="M13" i="9"/>
  <c r="W13" i="1"/>
  <c r="V13" i="1"/>
  <c r="U13" i="1"/>
  <c r="T13" i="1"/>
  <c r="S13" i="1"/>
  <c r="R13" i="1"/>
  <c r="Q13" i="1"/>
  <c r="P13" i="1"/>
  <c r="O13" i="1"/>
  <c r="N13" i="1"/>
  <c r="M13" i="1"/>
  <c r="A20" i="12" l="1"/>
  <c r="A21" i="12"/>
  <c r="A22" i="12"/>
  <c r="A16" i="12"/>
  <c r="A24" i="12"/>
  <c r="A17" i="12"/>
  <c r="A14" i="12"/>
  <c r="A18" i="12"/>
  <c r="A15" i="12"/>
  <c r="A19" i="12"/>
  <c r="A23" i="12"/>
  <c r="A15" i="9"/>
  <c r="B15" i="9" s="1"/>
  <c r="A17" i="9"/>
  <c r="B17" i="9" s="1"/>
  <c r="A19" i="9"/>
  <c r="B19" i="9" s="1"/>
  <c r="A21" i="9"/>
  <c r="B21" i="9" s="1"/>
  <c r="A23" i="9"/>
  <c r="B23" i="9" s="1"/>
  <c r="A25" i="9"/>
  <c r="B25" i="9" s="1"/>
  <c r="A27" i="9"/>
  <c r="B27" i="9" s="1"/>
  <c r="A29" i="9"/>
  <c r="B29" i="9" s="1"/>
  <c r="A31" i="9"/>
  <c r="B31" i="9" s="1"/>
  <c r="A33" i="9"/>
  <c r="B33" i="9" s="1"/>
  <c r="A35" i="9"/>
  <c r="B35" i="9" s="1"/>
  <c r="A37" i="9"/>
  <c r="B37" i="9" s="1"/>
  <c r="A39" i="9"/>
  <c r="B39" i="9" s="1"/>
  <c r="A41" i="9"/>
  <c r="B41" i="9" s="1"/>
  <c r="A43" i="9"/>
  <c r="B43" i="9" s="1"/>
  <c r="A45" i="9"/>
  <c r="B45" i="9" s="1"/>
  <c r="A47" i="9"/>
  <c r="B47" i="9" s="1"/>
  <c r="A49" i="9"/>
  <c r="B49" i="9" s="1"/>
  <c r="A51" i="9"/>
  <c r="B51" i="9" s="1"/>
  <c r="A53" i="9"/>
  <c r="B53" i="9" s="1"/>
  <c r="A55" i="9"/>
  <c r="B55" i="9" s="1"/>
  <c r="A57" i="9"/>
  <c r="B57" i="9" s="1"/>
  <c r="A59" i="9"/>
  <c r="B59" i="9" s="1"/>
  <c r="A61" i="9"/>
  <c r="B61" i="9" s="1"/>
  <c r="A63" i="9"/>
  <c r="B63" i="9" s="1"/>
  <c r="A65" i="9"/>
  <c r="B65" i="9" s="1"/>
  <c r="A67" i="9"/>
  <c r="B67" i="9" s="1"/>
  <c r="A69" i="9"/>
  <c r="B69" i="9" s="1"/>
  <c r="A71" i="9"/>
  <c r="B71" i="9" s="1"/>
  <c r="A73" i="9"/>
  <c r="B73" i="9" s="1"/>
  <c r="A75" i="9"/>
  <c r="B75" i="9" s="1"/>
  <c r="A77" i="9"/>
  <c r="B77" i="9" s="1"/>
  <c r="A79" i="9"/>
  <c r="B79" i="9" s="1"/>
  <c r="A81" i="9"/>
  <c r="A83" i="9"/>
  <c r="A85" i="9"/>
  <c r="K85" i="9" s="1"/>
  <c r="A87" i="9"/>
  <c r="A89" i="9"/>
  <c r="B89" i="9" s="1"/>
  <c r="A91" i="9"/>
  <c r="B91" i="9" s="1"/>
  <c r="A93" i="9"/>
  <c r="B93" i="9" s="1"/>
  <c r="A95" i="9"/>
  <c r="B95" i="9" s="1"/>
  <c r="A97" i="9"/>
  <c r="B97" i="9" s="1"/>
  <c r="A99" i="9"/>
  <c r="B99" i="9" s="1"/>
  <c r="A101" i="9"/>
  <c r="B101" i="9" s="1"/>
  <c r="A103" i="9"/>
  <c r="B103" i="9" s="1"/>
  <c r="A105" i="9"/>
  <c r="B105" i="9" s="1"/>
  <c r="A107" i="9"/>
  <c r="B107" i="9" s="1"/>
  <c r="A109" i="9"/>
  <c r="B109" i="9" s="1"/>
  <c r="A111" i="9"/>
  <c r="B111" i="9" s="1"/>
  <c r="A113" i="9"/>
  <c r="B113" i="9" s="1"/>
  <c r="B83" i="9" l="1"/>
  <c r="K83" i="9" s="1"/>
  <c r="B81" i="9"/>
  <c r="K81" i="9" s="1"/>
  <c r="A88" i="9"/>
  <c r="B88" i="9" s="1"/>
  <c r="K109" i="9"/>
  <c r="K111" i="9"/>
  <c r="K107" i="9"/>
  <c r="K103" i="9"/>
  <c r="K99" i="9"/>
  <c r="K95" i="9"/>
  <c r="K91" i="9"/>
  <c r="K87" i="9"/>
  <c r="K113" i="9"/>
  <c r="K105" i="9"/>
  <c r="K101" i="9"/>
  <c r="K97" i="9"/>
  <c r="K93" i="9"/>
  <c r="A112" i="9"/>
  <c r="B112" i="9" s="1"/>
  <c r="A108" i="9"/>
  <c r="B108" i="9" s="1"/>
  <c r="A104" i="9"/>
  <c r="B104" i="9" s="1"/>
  <c r="A100" i="9"/>
  <c r="B100" i="9" s="1"/>
  <c r="A96" i="9"/>
  <c r="B96" i="9" s="1"/>
  <c r="A92" i="9"/>
  <c r="B92" i="9" s="1"/>
  <c r="A84" i="9"/>
  <c r="B84" i="9" s="1"/>
  <c r="A80" i="9"/>
  <c r="B80" i="9" s="1"/>
  <c r="A76" i="9"/>
  <c r="B76" i="9" s="1"/>
  <c r="A72" i="9"/>
  <c r="B72" i="9" s="1"/>
  <c r="A68" i="9"/>
  <c r="B68" i="9" s="1"/>
  <c r="A64" i="9"/>
  <c r="B64" i="9" s="1"/>
  <c r="A60" i="9"/>
  <c r="B60" i="9" s="1"/>
  <c r="A56" i="9"/>
  <c r="B56" i="9" s="1"/>
  <c r="A52" i="9"/>
  <c r="B52" i="9" s="1"/>
  <c r="A48" i="9"/>
  <c r="B48" i="9" s="1"/>
  <c r="A44" i="9"/>
  <c r="B44" i="9" s="1"/>
  <c r="A40" i="9"/>
  <c r="B40" i="9" s="1"/>
  <c r="A36" i="9"/>
  <c r="B36" i="9" s="1"/>
  <c r="A32" i="9"/>
  <c r="B32" i="9" s="1"/>
  <c r="A28" i="9"/>
  <c r="B28" i="9" s="1"/>
  <c r="A24" i="9"/>
  <c r="B24" i="9" s="1"/>
  <c r="A20" i="9"/>
  <c r="B20" i="9" s="1"/>
  <c r="A16" i="9"/>
  <c r="B16" i="9" s="1"/>
  <c r="A110" i="9"/>
  <c r="A106" i="9"/>
  <c r="A102" i="9"/>
  <c r="A98" i="9"/>
  <c r="A94" i="9"/>
  <c r="A90" i="9"/>
  <c r="A82" i="9"/>
  <c r="A78" i="9"/>
  <c r="B78" i="9" s="1"/>
  <c r="A74" i="9"/>
  <c r="B74" i="9" s="1"/>
  <c r="A70" i="9"/>
  <c r="B70" i="9" s="1"/>
  <c r="A66" i="9"/>
  <c r="B66" i="9" s="1"/>
  <c r="A62" i="9"/>
  <c r="B62" i="9" s="1"/>
  <c r="A58" i="9"/>
  <c r="B58" i="9" s="1"/>
  <c r="A54" i="9"/>
  <c r="B54" i="9" s="1"/>
  <c r="A50" i="9"/>
  <c r="B50" i="9" s="1"/>
  <c r="A46" i="9"/>
  <c r="B46" i="9" s="1"/>
  <c r="A42" i="9"/>
  <c r="B42" i="9" s="1"/>
  <c r="A38" i="9"/>
  <c r="B38" i="9" s="1"/>
  <c r="A34" i="9"/>
  <c r="B34" i="9" s="1"/>
  <c r="A30" i="9"/>
  <c r="B30" i="9" s="1"/>
  <c r="A26" i="9"/>
  <c r="B26" i="9" s="1"/>
  <c r="A22" i="9"/>
  <c r="B22" i="9" s="1"/>
  <c r="A18" i="9"/>
  <c r="B18" i="9" s="1"/>
  <c r="K89" i="9"/>
  <c r="B90" i="9" l="1"/>
  <c r="K90" i="9" s="1"/>
  <c r="B94" i="9"/>
  <c r="K94" i="9" s="1"/>
  <c r="B82" i="9"/>
  <c r="K82" i="9" s="1"/>
  <c r="B110" i="9"/>
  <c r="K110" i="9" s="1"/>
  <c r="B98" i="9"/>
  <c r="K98" i="9" s="1"/>
  <c r="B106" i="9"/>
  <c r="K106" i="9" s="1"/>
  <c r="B102" i="9"/>
  <c r="K102" i="9" s="1"/>
  <c r="A86" i="9"/>
  <c r="K86" i="9" s="1"/>
  <c r="K88" i="9"/>
  <c r="K100" i="9"/>
  <c r="K84" i="9"/>
  <c r="K104" i="9"/>
  <c r="K92" i="9"/>
  <c r="K108" i="9"/>
  <c r="K96" i="9"/>
  <c r="K112" i="9"/>
  <c r="A14" i="9" l="1"/>
  <c r="B14" i="9" l="1"/>
  <c r="A10" i="9"/>
  <c r="K16" i="9" l="1"/>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15" i="9" l="1"/>
  <c r="K14" i="9" l="1"/>
  <c r="A10" i="1"/>
  <c r="L14" i="1" l="1"/>
  <c r="L16" i="1"/>
  <c r="L15" i="1"/>
  <c r="L18" i="1"/>
  <c r="L19" i="1"/>
  <c r="L17" i="1"/>
  <c r="H13" i="9"/>
  <c r="L18" i="9"/>
  <c r="D13" i="9"/>
  <c r="L14" i="9"/>
  <c r="L16" i="9"/>
  <c r="F13" i="9"/>
  <c r="L17" i="9"/>
  <c r="G13" i="9"/>
  <c r="L19" i="9"/>
  <c r="I13" i="9"/>
  <c r="E13" i="9"/>
  <c r="L15" i="9"/>
  <c r="R24" i="1"/>
  <c r="N24" i="1"/>
  <c r="Q24" i="1"/>
  <c r="P24" i="1"/>
  <c r="M24" i="1"/>
  <c r="O24" i="1"/>
  <c r="A10" i="5" l="1"/>
  <c r="A10" i="3"/>
  <c r="E86" i="1" l="1"/>
  <c r="F94" i="1"/>
  <c r="I90" i="1"/>
  <c r="E107" i="1"/>
  <c r="I91" i="1"/>
  <c r="G94" i="1"/>
  <c r="E94" i="1"/>
  <c r="D100" i="1"/>
  <c r="E114" i="1"/>
  <c r="I107" i="1"/>
  <c r="F100" i="1"/>
  <c r="D89" i="1"/>
  <c r="H114" i="1"/>
  <c r="G98" i="1"/>
  <c r="H92" i="1"/>
  <c r="E105" i="1"/>
  <c r="D108" i="1"/>
  <c r="F114" i="1"/>
  <c r="E98" i="1"/>
  <c r="I114" i="1"/>
  <c r="E85" i="1"/>
  <c r="D93" i="1"/>
  <c r="E103" i="1"/>
  <c r="H105" i="1"/>
  <c r="E100" i="1"/>
  <c r="I93" i="1"/>
  <c r="E97" i="1"/>
  <c r="F97" i="1"/>
  <c r="I106" i="1"/>
  <c r="F106" i="1"/>
  <c r="I94" i="1"/>
  <c r="F91" i="1"/>
  <c r="D86" i="1"/>
  <c r="G91" i="1"/>
  <c r="F99" i="1"/>
  <c r="D107" i="1"/>
  <c r="H108" i="1"/>
  <c r="D99" i="1"/>
  <c r="G93" i="1"/>
  <c r="G105" i="1"/>
  <c r="H89" i="1"/>
  <c r="I103" i="1"/>
  <c r="F93" i="1"/>
  <c r="G89" i="1"/>
  <c r="E108" i="1"/>
  <c r="G85" i="1"/>
  <c r="H97" i="1"/>
  <c r="H106" i="1"/>
  <c r="G86" i="1"/>
  <c r="F90" i="1"/>
  <c r="I86" i="1"/>
  <c r="D94" i="1"/>
  <c r="G92" i="1"/>
  <c r="H99" i="1"/>
  <c r="G100" i="1"/>
  <c r="D114" i="1"/>
  <c r="F89" i="1"/>
  <c r="E92" i="1"/>
  <c r="D113" i="1"/>
  <c r="I105" i="1"/>
  <c r="E89" i="1"/>
  <c r="H85" i="1"/>
  <c r="F85" i="1"/>
  <c r="D105" i="1"/>
  <c r="D106" i="1"/>
  <c r="I97" i="1"/>
  <c r="H90" i="1"/>
  <c r="E99" i="1"/>
  <c r="H86" i="1"/>
  <c r="D91" i="1"/>
  <c r="H94" i="1"/>
  <c r="E91" i="1"/>
  <c r="H91" i="1"/>
  <c r="F105" i="1"/>
  <c r="H103" i="1"/>
  <c r="F98" i="1"/>
  <c r="I113" i="1"/>
  <c r="I100" i="1"/>
  <c r="F103" i="1"/>
  <c r="H98" i="1"/>
  <c r="I92" i="1"/>
  <c r="H100" i="1"/>
  <c r="G108" i="1"/>
  <c r="G114" i="1"/>
  <c r="G113" i="1"/>
  <c r="I99" i="1"/>
  <c r="I108" i="1"/>
  <c r="D103" i="1"/>
  <c r="H113" i="1"/>
  <c r="D85" i="1"/>
  <c r="E113" i="1"/>
  <c r="D97" i="1"/>
  <c r="D98" i="1"/>
  <c r="E106" i="1"/>
  <c r="F107" i="1"/>
  <c r="E90" i="1"/>
  <c r="G103" i="1"/>
  <c r="F92" i="1"/>
  <c r="H107" i="1"/>
  <c r="I89" i="1"/>
  <c r="H93" i="1"/>
  <c r="D92" i="1"/>
  <c r="I98" i="1"/>
  <c r="G97" i="1"/>
  <c r="D90" i="1"/>
  <c r="F86" i="1"/>
  <c r="G90" i="1"/>
  <c r="F113" i="1"/>
  <c r="G99" i="1"/>
  <c r="I85" i="1"/>
  <c r="G107" i="1"/>
  <c r="F108" i="1"/>
  <c r="E93" i="1"/>
  <c r="G106" i="1"/>
  <c r="C31" i="5"/>
  <c r="G95" i="1"/>
  <c r="E95" i="1"/>
  <c r="G96" i="1"/>
  <c r="H109" i="1"/>
  <c r="F88" i="1"/>
  <c r="I88" i="1"/>
  <c r="D110" i="1"/>
  <c r="F96" i="1"/>
  <c r="F109" i="1"/>
  <c r="D109" i="1"/>
  <c r="D96" i="1"/>
  <c r="D95" i="1"/>
  <c r="G110" i="1"/>
  <c r="E110" i="1"/>
  <c r="H110" i="1"/>
  <c r="D88" i="1"/>
  <c r="H95" i="1"/>
  <c r="F110" i="1"/>
  <c r="I109" i="1"/>
  <c r="H88" i="1"/>
  <c r="E109" i="1"/>
  <c r="E88" i="1"/>
  <c r="F95" i="1"/>
  <c r="G109" i="1"/>
  <c r="G88" i="1"/>
  <c r="I95" i="1"/>
  <c r="E96" i="1"/>
  <c r="I96" i="1"/>
  <c r="H96" i="1"/>
  <c r="I110" i="1"/>
  <c r="G115" i="1" l="1"/>
  <c r="F111" i="1"/>
  <c r="D104" i="1"/>
  <c r="G111" i="1"/>
  <c r="F104" i="1"/>
  <c r="E102" i="1"/>
  <c r="I112" i="1"/>
  <c r="F101" i="1"/>
  <c r="F102" i="1"/>
  <c r="E101" i="1"/>
  <c r="D115" i="1"/>
  <c r="H111" i="1"/>
  <c r="E112" i="1"/>
  <c r="H101" i="1"/>
  <c r="E115" i="1"/>
  <c r="G104" i="1"/>
  <c r="E104" i="1"/>
  <c r="I111" i="1"/>
  <c r="H104" i="1"/>
  <c r="E111" i="1"/>
  <c r="I115" i="1"/>
  <c r="G101" i="1"/>
  <c r="D101" i="1"/>
  <c r="G102" i="1"/>
  <c r="I101" i="1"/>
  <c r="G112" i="1"/>
  <c r="D112" i="1"/>
  <c r="H115" i="1"/>
  <c r="D102" i="1"/>
  <c r="F115" i="1"/>
  <c r="F112" i="1"/>
  <c r="I104" i="1"/>
  <c r="I102" i="1"/>
  <c r="D111" i="1"/>
  <c r="H112" i="1"/>
  <c r="H102" i="1"/>
  <c r="B114" i="17" l="1"/>
  <c r="H87" i="1" l="1"/>
  <c r="R18" i="1" l="1"/>
  <c r="U18" i="1"/>
  <c r="S18" i="1"/>
  <c r="P18" i="1"/>
  <c r="N18" i="1"/>
  <c r="M18" i="1"/>
  <c r="Q18" i="1"/>
  <c r="V18" i="1"/>
  <c r="Q25" i="1"/>
  <c r="T18" i="1"/>
  <c r="O18" i="1"/>
  <c r="W18" i="1"/>
  <c r="F87" i="1"/>
  <c r="V16" i="1" l="1"/>
  <c r="W16" i="1"/>
  <c r="S16" i="1"/>
  <c r="U16" i="1"/>
  <c r="N16" i="1"/>
  <c r="O16" i="1"/>
  <c r="P16" i="1"/>
  <c r="M16" i="1"/>
  <c r="O25" i="1"/>
  <c r="T16" i="1"/>
  <c r="Q16" i="1"/>
  <c r="R16" i="1"/>
  <c r="X18" i="1"/>
  <c r="Z18" i="1" s="1"/>
  <c r="I90" i="15" l="1"/>
  <c r="I87" i="1" s="1"/>
  <c r="D87" i="1"/>
  <c r="X16" i="1"/>
  <c r="Z16" i="1" s="1"/>
  <c r="O14" i="1" l="1"/>
  <c r="T14" i="1"/>
  <c r="M25" i="1"/>
  <c r="Q14" i="1"/>
  <c r="R14" i="1"/>
  <c r="W14" i="1"/>
  <c r="S14" i="1"/>
  <c r="U14" i="1"/>
  <c r="N14" i="1"/>
  <c r="V14" i="1"/>
  <c r="P14" i="1"/>
  <c r="M14" i="1"/>
  <c r="O19" i="1"/>
  <c r="T19" i="1"/>
  <c r="R19" i="1"/>
  <c r="R25" i="1"/>
  <c r="W19" i="1"/>
  <c r="P19" i="1"/>
  <c r="M19" i="1"/>
  <c r="S19" i="1"/>
  <c r="V19" i="1"/>
  <c r="U19" i="1"/>
  <c r="Q19" i="1"/>
  <c r="N19" i="1"/>
  <c r="X14" i="1" l="1"/>
  <c r="Z14" i="1" s="1"/>
  <c r="X19" i="1"/>
  <c r="Z19" i="1" s="1"/>
  <c r="G87" i="1" l="1"/>
  <c r="W17" i="1" l="1"/>
  <c r="N17" i="1"/>
  <c r="V17" i="1"/>
  <c r="R17" i="1"/>
  <c r="P17" i="1"/>
  <c r="M17" i="1"/>
  <c r="Q17" i="1"/>
  <c r="T17" i="1"/>
  <c r="S17" i="1"/>
  <c r="P25" i="1"/>
  <c r="U17" i="1"/>
  <c r="O17" i="1"/>
  <c r="X17" i="1" l="1"/>
  <c r="Z17" i="1" s="1"/>
  <c r="E87" i="1" l="1"/>
  <c r="P90" i="15"/>
  <c r="T15" i="1" l="1"/>
  <c r="T21" i="1" s="1"/>
  <c r="P15" i="1"/>
  <c r="P21" i="1" s="1"/>
  <c r="N25" i="1"/>
  <c r="S25" i="1" s="1"/>
  <c r="V25" i="1" s="1"/>
  <c r="N15" i="1"/>
  <c r="N21" i="1" s="1"/>
  <c r="M15" i="1"/>
  <c r="R15" i="1"/>
  <c r="R21" i="1" s="1"/>
  <c r="O15" i="1"/>
  <c r="O21" i="1" s="1"/>
  <c r="U15" i="1"/>
  <c r="U21" i="1" s="1"/>
  <c r="V15" i="1"/>
  <c r="V21" i="1" s="1"/>
  <c r="Q15" i="1"/>
  <c r="Q21" i="1" s="1"/>
  <c r="W15" i="1"/>
  <c r="S15" i="1"/>
  <c r="S21" i="1" s="1"/>
  <c r="M21" i="1" l="1"/>
  <c r="X15" i="1"/>
  <c r="Z15" i="1" s="1"/>
  <c r="B15" i="5"/>
  <c r="H70" i="9" l="1"/>
  <c r="E83" i="9"/>
  <c r="F97" i="9"/>
  <c r="F53" i="9"/>
  <c r="H90" i="9"/>
  <c r="H22" i="9"/>
  <c r="H19" i="9"/>
  <c r="F20" i="9"/>
  <c r="I84" i="9"/>
  <c r="F19" i="9"/>
  <c r="I54" i="9"/>
  <c r="G50" i="9"/>
  <c r="H109" i="9"/>
  <c r="G101" i="9"/>
  <c r="G67" i="9"/>
  <c r="G24" i="9"/>
  <c r="F69" i="9"/>
  <c r="G105" i="9"/>
  <c r="F84" i="9"/>
  <c r="G113" i="9"/>
  <c r="I50" i="9"/>
  <c r="H50" i="9"/>
  <c r="G81" i="9"/>
  <c r="F81" i="9"/>
  <c r="E74" i="9"/>
  <c r="G89" i="9"/>
  <c r="H73" i="9"/>
  <c r="I89" i="9"/>
  <c r="G77" i="9"/>
  <c r="H48" i="9"/>
  <c r="H23" i="9"/>
  <c r="F83" i="9"/>
  <c r="H72" i="9"/>
  <c r="I107" i="9"/>
  <c r="H75" i="9"/>
  <c r="I109" i="9"/>
  <c r="I40" i="9"/>
  <c r="E103" i="9"/>
  <c r="H105" i="9"/>
  <c r="F26" i="9"/>
  <c r="I100" i="9"/>
  <c r="G69" i="9"/>
  <c r="E111" i="9"/>
  <c r="F67" i="9"/>
  <c r="F87" i="9"/>
  <c r="I97" i="9"/>
  <c r="G40" i="9"/>
  <c r="I73" i="9"/>
  <c r="F48" i="9"/>
  <c r="H34" i="9"/>
  <c r="I106" i="9"/>
  <c r="F102" i="9"/>
  <c r="F25" i="9"/>
  <c r="G90" i="9"/>
  <c r="H53" i="9"/>
  <c r="E100" i="9"/>
  <c r="E88" i="9"/>
  <c r="F29" i="9"/>
  <c r="I38" i="9"/>
  <c r="E73" i="9"/>
  <c r="G38" i="9"/>
  <c r="G45" i="9"/>
  <c r="I33" i="9"/>
  <c r="H88" i="9"/>
  <c r="G84" i="9"/>
  <c r="I36" i="9"/>
  <c r="E109" i="9"/>
  <c r="H113" i="9"/>
  <c r="I45" i="9"/>
  <c r="E45" i="9"/>
  <c r="E47" i="9"/>
  <c r="H100" i="9"/>
  <c r="I46" i="9"/>
  <c r="F17" i="9"/>
  <c r="G70" i="9"/>
  <c r="H46" i="9"/>
  <c r="F38" i="9"/>
  <c r="E38" i="9"/>
  <c r="G98" i="9"/>
  <c r="I29" i="9"/>
  <c r="F23" i="9"/>
  <c r="I75" i="9"/>
  <c r="I19" i="9"/>
  <c r="E80" i="9"/>
  <c r="E99" i="9"/>
  <c r="G73" i="9"/>
  <c r="F39" i="9"/>
  <c r="E112" i="9"/>
  <c r="F106" i="9"/>
  <c r="E31" i="9"/>
  <c r="E71" i="9"/>
  <c r="G17" i="9"/>
  <c r="H92" i="9"/>
  <c r="G54" i="9"/>
  <c r="G108" i="9"/>
  <c r="I25" i="9"/>
  <c r="I81" i="9"/>
  <c r="F34" i="9"/>
  <c r="G79" i="9"/>
  <c r="F45" i="9"/>
  <c r="G80" i="9"/>
  <c r="E67" i="9"/>
  <c r="E87" i="9"/>
  <c r="E108" i="9"/>
  <c r="F71" i="9"/>
  <c r="F68" i="9"/>
  <c r="E17" i="9"/>
  <c r="I94" i="9"/>
  <c r="I43" i="9"/>
  <c r="F105" i="9"/>
  <c r="H54" i="9"/>
  <c r="H95" i="9"/>
  <c r="H89" i="9"/>
  <c r="F110" i="9"/>
  <c r="F16" i="9"/>
  <c r="I77" i="9"/>
  <c r="F113" i="9"/>
  <c r="E26" i="9"/>
  <c r="F72" i="9"/>
  <c r="G110" i="9"/>
  <c r="H111" i="9"/>
  <c r="E27" i="9"/>
  <c r="G39" i="9"/>
  <c r="I22" i="9"/>
  <c r="H43" i="9"/>
  <c r="H107" i="9"/>
  <c r="G33" i="9"/>
  <c r="H101" i="9"/>
  <c r="F18" i="9"/>
  <c r="F70" i="9"/>
  <c r="I34" i="9"/>
  <c r="H94" i="9"/>
  <c r="H96" i="9"/>
  <c r="G95" i="9"/>
  <c r="I63" i="9"/>
  <c r="F91" i="9"/>
  <c r="H76" i="9"/>
  <c r="F30" i="9"/>
  <c r="H44" i="9"/>
  <c r="I44" i="9"/>
  <c r="H16" i="9"/>
  <c r="G100" i="9"/>
  <c r="I42" i="9"/>
  <c r="I41" i="9"/>
  <c r="H45" i="9"/>
  <c r="G96" i="9"/>
  <c r="H84" i="9"/>
  <c r="I108" i="9"/>
  <c r="F22" i="9"/>
  <c r="G104" i="9"/>
  <c r="H20" i="9"/>
  <c r="G35" i="9"/>
  <c r="E18" i="9"/>
  <c r="H24" i="9"/>
  <c r="H36" i="9"/>
  <c r="I110" i="9"/>
  <c r="G74" i="9"/>
  <c r="H108" i="9"/>
  <c r="E30" i="9"/>
  <c r="G20" i="9"/>
  <c r="I92" i="9"/>
  <c r="F40" i="9"/>
  <c r="F73" i="9"/>
  <c r="F90" i="9"/>
  <c r="G71" i="9"/>
  <c r="F112" i="9"/>
  <c r="I79" i="9"/>
  <c r="E20" i="9"/>
  <c r="F61" i="9"/>
  <c r="E61" i="9"/>
  <c r="H29" i="9"/>
  <c r="G26" i="9"/>
  <c r="F107" i="9"/>
  <c r="E72" i="9"/>
  <c r="E92" i="9"/>
  <c r="E34" i="9"/>
  <c r="E68" i="9"/>
  <c r="I74" i="9"/>
  <c r="I69" i="9"/>
  <c r="I48" i="9"/>
  <c r="I23" i="9"/>
  <c r="E104" i="9"/>
  <c r="G25" i="9"/>
  <c r="G53" i="9"/>
  <c r="I30" i="9"/>
  <c r="G47" i="9"/>
  <c r="H93" i="9"/>
  <c r="F54" i="9"/>
  <c r="F33" i="9"/>
  <c r="E42" i="9"/>
  <c r="F75" i="9"/>
  <c r="H27" i="9"/>
  <c r="E89" i="9"/>
  <c r="I53" i="9"/>
  <c r="G18" i="9"/>
  <c r="H31" i="9"/>
  <c r="E97" i="9"/>
  <c r="E25" i="9"/>
  <c r="H69" i="9"/>
  <c r="F76" i="9"/>
  <c r="E22" i="9"/>
  <c r="G88" i="9"/>
  <c r="G44" i="9"/>
  <c r="H38" i="9"/>
  <c r="F36" i="9"/>
  <c r="I93" i="9"/>
  <c r="F27" i="9"/>
  <c r="G34" i="9"/>
  <c r="E54" i="9"/>
  <c r="H110" i="9"/>
  <c r="F74" i="9"/>
  <c r="H106" i="9"/>
  <c r="F24" i="9"/>
  <c r="H39" i="9"/>
  <c r="H41" i="9"/>
  <c r="G63" i="9"/>
  <c r="H103" i="9"/>
  <c r="I71" i="9"/>
  <c r="H42" i="9"/>
  <c r="E90" i="9"/>
  <c r="I17" i="9"/>
  <c r="G36" i="9"/>
  <c r="F93" i="9"/>
  <c r="H112" i="9"/>
  <c r="F98" i="9"/>
  <c r="D80" i="9"/>
  <c r="I59" i="9"/>
  <c r="S66" i="11" s="1"/>
  <c r="D58" i="9"/>
  <c r="E28" i="9"/>
  <c r="H77" i="9"/>
  <c r="E96" i="9"/>
  <c r="E24" i="9"/>
  <c r="G94" i="9"/>
  <c r="H26" i="9"/>
  <c r="G99" i="9"/>
  <c r="E40" i="9"/>
  <c r="G93" i="9"/>
  <c r="H68" i="9"/>
  <c r="G28" i="9"/>
  <c r="I76" i="9"/>
  <c r="E102" i="9"/>
  <c r="I16" i="9"/>
  <c r="F31" i="9"/>
  <c r="H104" i="9"/>
  <c r="E36" i="9"/>
  <c r="G103" i="9"/>
  <c r="F46" i="9"/>
  <c r="G31" i="9"/>
  <c r="I68" i="9"/>
  <c r="H25" i="9"/>
  <c r="H91" i="9"/>
  <c r="F43" i="9"/>
  <c r="H28" i="9"/>
  <c r="G92" i="9"/>
  <c r="F28" i="9"/>
  <c r="E46" i="9"/>
  <c r="H67" i="9"/>
  <c r="H98" i="9"/>
  <c r="G83" i="9"/>
  <c r="E33" i="9"/>
  <c r="H30" i="9"/>
  <c r="I28" i="9"/>
  <c r="E29" i="9"/>
  <c r="G87" i="9"/>
  <c r="E44" i="9"/>
  <c r="F88" i="9"/>
  <c r="F80" i="9"/>
  <c r="I88" i="9"/>
  <c r="F89" i="9"/>
  <c r="I35" i="9"/>
  <c r="G27" i="9"/>
  <c r="E70" i="9"/>
  <c r="E41" i="9"/>
  <c r="F103" i="9"/>
  <c r="I87" i="9"/>
  <c r="I24" i="9"/>
  <c r="G42" i="9"/>
  <c r="I96" i="9"/>
  <c r="G112" i="9"/>
  <c r="G22" i="9"/>
  <c r="E106" i="9"/>
  <c r="I105" i="9"/>
  <c r="H102" i="9"/>
  <c r="D46" i="9"/>
  <c r="E58" i="9"/>
  <c r="O65" i="11" s="1"/>
  <c r="G60" i="9"/>
  <c r="Q67" i="11" s="1"/>
  <c r="G65" i="9"/>
  <c r="Q69" i="11" s="1"/>
  <c r="E53" i="9"/>
  <c r="F42" i="9"/>
  <c r="F111" i="9"/>
  <c r="H81" i="9"/>
  <c r="F63" i="9"/>
  <c r="G30" i="9"/>
  <c r="E19" i="9"/>
  <c r="H83" i="9"/>
  <c r="H99" i="9"/>
  <c r="I67" i="9"/>
  <c r="H35" i="9"/>
  <c r="F108" i="9"/>
  <c r="F109" i="9"/>
  <c r="E101" i="9"/>
  <c r="H47" i="9"/>
  <c r="E107" i="9"/>
  <c r="E113" i="9"/>
  <c r="F47" i="9"/>
  <c r="E48" i="9"/>
  <c r="G109" i="9"/>
  <c r="I113" i="9"/>
  <c r="I18" i="9"/>
  <c r="E69" i="9"/>
  <c r="H97" i="9"/>
  <c r="G72" i="9"/>
  <c r="H33" i="9"/>
  <c r="H79" i="9"/>
  <c r="E65" i="9"/>
  <c r="O69" i="11" s="1"/>
  <c r="D42" i="9"/>
  <c r="D84" i="9"/>
  <c r="D89" i="9"/>
  <c r="I21" i="9"/>
  <c r="S56" i="11" s="1"/>
  <c r="S78" i="11" s="1"/>
  <c r="G30" i="11" s="1"/>
  <c r="H65" i="9"/>
  <c r="R69" i="11" s="1"/>
  <c r="F64" i="9"/>
  <c r="P68" i="11" s="1"/>
  <c r="D40" i="9"/>
  <c r="D15" i="9"/>
  <c r="E66" i="9"/>
  <c r="O70" i="11" s="1"/>
  <c r="O86" i="11" s="1"/>
  <c r="G58" i="9"/>
  <c r="Q65" i="11" s="1"/>
  <c r="D29" i="9"/>
  <c r="I56" i="9"/>
  <c r="S63" i="11" s="1"/>
  <c r="S85" i="11" s="1"/>
  <c r="D99" i="9"/>
  <c r="D23" i="9"/>
  <c r="F60" i="9"/>
  <c r="P67" i="11" s="1"/>
  <c r="H56" i="9"/>
  <c r="R63" i="11" s="1"/>
  <c r="R85" i="11" s="1"/>
  <c r="D35" i="9"/>
  <c r="D26" i="9"/>
  <c r="D73" i="9"/>
  <c r="D110" i="9"/>
  <c r="E57" i="9"/>
  <c r="O64" i="11" s="1"/>
  <c r="F77" i="9"/>
  <c r="E16" i="9"/>
  <c r="E91" i="9"/>
  <c r="G76" i="9"/>
  <c r="F100" i="9"/>
  <c r="E63" i="9"/>
  <c r="H63" i="9"/>
  <c r="I103" i="9"/>
  <c r="G48" i="9"/>
  <c r="I27" i="9"/>
  <c r="E50" i="9"/>
  <c r="G106" i="9"/>
  <c r="G102" i="9"/>
  <c r="E43" i="9"/>
  <c r="G46" i="9"/>
  <c r="I99" i="9"/>
  <c r="H71" i="9"/>
  <c r="I83" i="9"/>
  <c r="I47" i="9"/>
  <c r="E76" i="9"/>
  <c r="I101" i="9"/>
  <c r="F96" i="9"/>
  <c r="I112" i="9"/>
  <c r="E35" i="9"/>
  <c r="F104" i="9"/>
  <c r="F95" i="9"/>
  <c r="I70" i="9"/>
  <c r="G55" i="9"/>
  <c r="Q62" i="11" s="1"/>
  <c r="H64" i="9"/>
  <c r="R68" i="11" s="1"/>
  <c r="E59" i="9"/>
  <c r="O66" i="11" s="1"/>
  <c r="D75" i="9"/>
  <c r="D45" i="9"/>
  <c r="D112" i="9"/>
  <c r="D71" i="9"/>
  <c r="H15" i="9"/>
  <c r="D31" i="9"/>
  <c r="H58" i="9"/>
  <c r="R65" i="11" s="1"/>
  <c r="D94" i="9"/>
  <c r="H59" i="9"/>
  <c r="R66" i="11" s="1"/>
  <c r="D51" i="9"/>
  <c r="G15" i="9"/>
  <c r="D41" i="9"/>
  <c r="I58" i="9"/>
  <c r="S65" i="11" s="1"/>
  <c r="G21" i="9"/>
  <c r="Q56" i="11" s="1"/>
  <c r="Q78" i="11" s="1"/>
  <c r="E30" i="11" s="1"/>
  <c r="D38" i="9"/>
  <c r="F21" i="9"/>
  <c r="P56" i="11" s="1"/>
  <c r="P78" i="11" s="1"/>
  <c r="D30" i="11" s="1"/>
  <c r="I49" i="9"/>
  <c r="S59" i="11" s="1"/>
  <c r="I102" i="9"/>
  <c r="G111" i="9"/>
  <c r="G43" i="9"/>
  <c r="I91" i="9"/>
  <c r="H40" i="9"/>
  <c r="H87" i="9"/>
  <c r="H18" i="9"/>
  <c r="F44" i="9"/>
  <c r="F94" i="9"/>
  <c r="E23" i="9"/>
  <c r="G97" i="9"/>
  <c r="G16" i="9"/>
  <c r="G41" i="9"/>
  <c r="F99" i="9"/>
  <c r="I66" i="9"/>
  <c r="S70" i="11" s="1"/>
  <c r="S86" i="11" s="1"/>
  <c r="H57" i="9"/>
  <c r="R64" i="11" s="1"/>
  <c r="D39" i="9"/>
  <c r="F65" i="9"/>
  <c r="P69" i="11" s="1"/>
  <c r="D16" i="9"/>
  <c r="D17" i="9"/>
  <c r="D103" i="9"/>
  <c r="D64" i="9"/>
  <c r="D66" i="9"/>
  <c r="D52" i="9"/>
  <c r="D65" i="9"/>
  <c r="F41" i="9"/>
  <c r="E77" i="9"/>
  <c r="G23" i="9"/>
  <c r="I98" i="9"/>
  <c r="E79" i="9"/>
  <c r="E39" i="9"/>
  <c r="H17" i="9"/>
  <c r="I95" i="9"/>
  <c r="I31" i="9"/>
  <c r="E75" i="9"/>
  <c r="I26" i="9"/>
  <c r="G91" i="9"/>
  <c r="I61" i="9"/>
  <c r="E110" i="9"/>
  <c r="E64" i="9"/>
  <c r="O68" i="11" s="1"/>
  <c r="D60" i="9"/>
  <c r="G64" i="9"/>
  <c r="Q68" i="11" s="1"/>
  <c r="D50" i="9"/>
  <c r="H21" i="9"/>
  <c r="R56" i="11" s="1"/>
  <c r="R78" i="11" s="1"/>
  <c r="F30" i="11" s="1"/>
  <c r="D106" i="9"/>
  <c r="D21" i="9"/>
  <c r="D101" i="9"/>
  <c r="D72" i="9"/>
  <c r="I65" i="9"/>
  <c r="S69" i="11" s="1"/>
  <c r="G37" i="9"/>
  <c r="Q58" i="11" s="1"/>
  <c r="D43" i="9"/>
  <c r="D95" i="9"/>
  <c r="D28" i="9"/>
  <c r="D113" i="9"/>
  <c r="D111" i="9"/>
  <c r="D61" i="9"/>
  <c r="I32" i="9"/>
  <c r="S57" i="11" s="1"/>
  <c r="D62" i="9"/>
  <c r="N152" i="11" s="1"/>
  <c r="G29" i="9"/>
  <c r="F101" i="9"/>
  <c r="G75" i="9"/>
  <c r="E95" i="9"/>
  <c r="E84" i="9"/>
  <c r="I90" i="9"/>
  <c r="G107" i="9"/>
  <c r="F56" i="9"/>
  <c r="P63" i="11" s="1"/>
  <c r="P85" i="11" s="1"/>
  <c r="H66" i="9"/>
  <c r="R70" i="11" s="1"/>
  <c r="R86" i="11" s="1"/>
  <c r="D59" i="9"/>
  <c r="D33" i="9"/>
  <c r="D48" i="9"/>
  <c r="D69" i="9"/>
  <c r="D32" i="9"/>
  <c r="D87" i="9"/>
  <c r="D105" i="9"/>
  <c r="G52" i="9"/>
  <c r="Q61" i="11" s="1"/>
  <c r="Q134" i="11" s="1"/>
  <c r="Q143" i="11" s="1"/>
  <c r="D82" i="9"/>
  <c r="D27" i="9"/>
  <c r="F58" i="9"/>
  <c r="P65" i="11" s="1"/>
  <c r="D91" i="9"/>
  <c r="D44" i="9"/>
  <c r="D78" i="9"/>
  <c r="G51" i="9"/>
  <c r="Q60" i="11" s="1"/>
  <c r="Q135" i="11" s="1"/>
  <c r="Q144" i="11" s="1"/>
  <c r="D55" i="9"/>
  <c r="G68" i="9"/>
  <c r="I80" i="9"/>
  <c r="I72" i="9"/>
  <c r="I111" i="9"/>
  <c r="E98" i="9"/>
  <c r="H61" i="9"/>
  <c r="E105" i="9"/>
  <c r="F55" i="9"/>
  <c r="P62" i="11" s="1"/>
  <c r="D70" i="9"/>
  <c r="I82" i="9"/>
  <c r="D76" i="9"/>
  <c r="D63" i="9"/>
  <c r="E60" i="9"/>
  <c r="O67" i="11" s="1"/>
  <c r="D92" i="9"/>
  <c r="D88" i="9"/>
  <c r="F32" i="9"/>
  <c r="P57" i="11" s="1"/>
  <c r="I64" i="9"/>
  <c r="S68" i="11" s="1"/>
  <c r="F49" i="9"/>
  <c r="P59" i="11" s="1"/>
  <c r="H55" i="9"/>
  <c r="R62" i="11" s="1"/>
  <c r="G62" i="9"/>
  <c r="D14" i="9"/>
  <c r="H49" i="9"/>
  <c r="R59" i="11" s="1"/>
  <c r="F66" i="9"/>
  <c r="P70" i="11" s="1"/>
  <c r="P86" i="11" s="1"/>
  <c r="D57" i="9"/>
  <c r="D100" i="9"/>
  <c r="G49" i="9"/>
  <c r="Q59" i="11" s="1"/>
  <c r="I15" i="9"/>
  <c r="I78" i="9"/>
  <c r="I37" i="9"/>
  <c r="S58" i="11" s="1"/>
  <c r="D104" i="9"/>
  <c r="D77" i="9"/>
  <c r="E51" i="9"/>
  <c r="O60" i="11" s="1"/>
  <c r="O135" i="11" s="1"/>
  <c r="O144" i="11" s="1"/>
  <c r="D37" i="9"/>
  <c r="N58" i="11" s="1"/>
  <c r="E32" i="9"/>
  <c r="O57" i="11" s="1"/>
  <c r="I55" i="9"/>
  <c r="S62" i="11" s="1"/>
  <c r="D53" i="9"/>
  <c r="H80" i="9"/>
  <c r="E81" i="9"/>
  <c r="I104" i="9"/>
  <c r="F51" i="9"/>
  <c r="P60" i="11" s="1"/>
  <c r="P135" i="11" s="1"/>
  <c r="P144" i="11" s="1"/>
  <c r="E15" i="9"/>
  <c r="F52" i="9"/>
  <c r="P61" i="11" s="1"/>
  <c r="P134" i="11" s="1"/>
  <c r="P143" i="11" s="1"/>
  <c r="I60" i="9"/>
  <c r="S67" i="11" s="1"/>
  <c r="D79" i="9"/>
  <c r="I20" i="9"/>
  <c r="E94" i="9"/>
  <c r="F50" i="9"/>
  <c r="G19" i="9"/>
  <c r="F15" i="9"/>
  <c r="H62" i="9"/>
  <c r="D19" i="9"/>
  <c r="G82" i="9"/>
  <c r="S16" i="11" s="1"/>
  <c r="J68" i="18" s="1"/>
  <c r="G59" i="9"/>
  <c r="Q66" i="11" s="1"/>
  <c r="F14" i="9"/>
  <c r="D108" i="9"/>
  <c r="E52" i="9"/>
  <c r="O61" i="11" s="1"/>
  <c r="O134" i="11" s="1"/>
  <c r="O143" i="11" s="1"/>
  <c r="D56" i="9"/>
  <c r="E37" i="9"/>
  <c r="O58" i="11" s="1"/>
  <c r="G78" i="9"/>
  <c r="H52" i="9"/>
  <c r="R61" i="11" s="1"/>
  <c r="R134" i="11" s="1"/>
  <c r="R143" i="11" s="1"/>
  <c r="H78" i="9"/>
  <c r="T15" i="11" s="1"/>
  <c r="K67" i="18" s="1"/>
  <c r="G57" i="9"/>
  <c r="Q64" i="11" s="1"/>
  <c r="F37" i="9"/>
  <c r="P58" i="11" s="1"/>
  <c r="D34" i="9"/>
  <c r="I52" i="9"/>
  <c r="S61" i="11" s="1"/>
  <c r="S134" i="11" s="1"/>
  <c r="S143" i="11" s="1"/>
  <c r="E21" i="9"/>
  <c r="O56" i="11" s="1"/>
  <c r="O78" i="11" s="1"/>
  <c r="C30" i="11" s="1"/>
  <c r="D24" i="9"/>
  <c r="G32" i="9"/>
  <c r="Q57" i="11" s="1"/>
  <c r="D68" i="9"/>
  <c r="D49" i="9"/>
  <c r="N59" i="11" s="1"/>
  <c r="D30" i="9"/>
  <c r="F62" i="9"/>
  <c r="D102" i="9"/>
  <c r="F59" i="9"/>
  <c r="P66" i="11" s="1"/>
  <c r="D98" i="9"/>
  <c r="D22" i="9"/>
  <c r="F57" i="9"/>
  <c r="P64" i="11" s="1"/>
  <c r="H74" i="9"/>
  <c r="G61" i="9"/>
  <c r="E93" i="9"/>
  <c r="H82" i="9"/>
  <c r="T16" i="11" s="1"/>
  <c r="K68" i="18" s="1"/>
  <c r="D54" i="9"/>
  <c r="E55" i="9"/>
  <c r="O62" i="11" s="1"/>
  <c r="H51" i="9"/>
  <c r="R60" i="11" s="1"/>
  <c r="R135" i="11" s="1"/>
  <c r="R144" i="11" s="1"/>
  <c r="D74" i="9"/>
  <c r="G56" i="9"/>
  <c r="Q63" i="11" s="1"/>
  <c r="Q85" i="11" s="1"/>
  <c r="H37" i="9"/>
  <c r="R58" i="11" s="1"/>
  <c r="D109" i="9"/>
  <c r="F92" i="9"/>
  <c r="G14" i="9"/>
  <c r="E14" i="9"/>
  <c r="F82" i="9"/>
  <c r="R16" i="11" s="1"/>
  <c r="I68" i="18" s="1"/>
  <c r="E49" i="9"/>
  <c r="O59" i="11" s="1"/>
  <c r="D96" i="9"/>
  <c r="E62" i="9"/>
  <c r="I14" i="9"/>
  <c r="E78" i="9"/>
  <c r="D93" i="9"/>
  <c r="H32" i="9"/>
  <c r="R57" i="11" s="1"/>
  <c r="D90" i="9"/>
  <c r="D47" i="9"/>
  <c r="I57" i="9"/>
  <c r="S64" i="11" s="1"/>
  <c r="D20" i="9"/>
  <c r="B14" i="5"/>
  <c r="I51" i="9"/>
  <c r="S60" i="11" s="1"/>
  <c r="S135" i="11" s="1"/>
  <c r="S144" i="11" s="1"/>
  <c r="E82" i="9"/>
  <c r="Q16" i="11" s="1"/>
  <c r="H68" i="18" s="1"/>
  <c r="D36" i="9"/>
  <c r="H14" i="9"/>
  <c r="D107" i="9"/>
  <c r="I62" i="9"/>
  <c r="D81" i="9"/>
  <c r="D83" i="9"/>
  <c r="D97" i="9"/>
  <c r="F78" i="9"/>
  <c r="D25" i="9"/>
  <c r="H60" i="9"/>
  <c r="R67" i="11" s="1"/>
  <c r="E56" i="9"/>
  <c r="O63" i="11" s="1"/>
  <c r="O85" i="11" s="1"/>
  <c r="D18" i="9"/>
  <c r="G66" i="9"/>
  <c r="Q70" i="11" s="1"/>
  <c r="Q86" i="11" s="1"/>
  <c r="D67" i="9"/>
  <c r="I39" i="9"/>
  <c r="F35" i="9"/>
  <c r="F79" i="9"/>
  <c r="T13" i="11" l="1"/>
  <c r="K66" i="18" s="1"/>
  <c r="R152" i="11"/>
  <c r="U16" i="11"/>
  <c r="L68" i="18" s="1"/>
  <c r="F130" i="19"/>
  <c r="O164" i="11"/>
  <c r="N164" i="11"/>
  <c r="R13" i="11"/>
  <c r="I66" i="18" s="1"/>
  <c r="P152" i="11"/>
  <c r="S13" i="11"/>
  <c r="J66" i="18" s="1"/>
  <c r="Q152" i="11"/>
  <c r="U13" i="11"/>
  <c r="L66" i="18" s="1"/>
  <c r="S152" i="11"/>
  <c r="P164" i="11"/>
  <c r="R164" i="11"/>
  <c r="Q13" i="11"/>
  <c r="H66" i="18" s="1"/>
  <c r="O152" i="11"/>
  <c r="S164" i="11"/>
  <c r="Q164" i="11"/>
  <c r="Q84" i="11"/>
  <c r="H30" i="11"/>
  <c r="P84" i="11"/>
  <c r="J27" i="9"/>
  <c r="J39" i="9"/>
  <c r="J18" i="9"/>
  <c r="J96" i="9"/>
  <c r="J104" i="9"/>
  <c r="R84" i="11"/>
  <c r="J92" i="9"/>
  <c r="J87" i="9"/>
  <c r="J28" i="9"/>
  <c r="J106" i="9"/>
  <c r="J103" i="9"/>
  <c r="J47" i="9"/>
  <c r="Q15" i="11"/>
  <c r="O84" i="11"/>
  <c r="J68" i="9"/>
  <c r="S84" i="11"/>
  <c r="R15" i="11"/>
  <c r="I67" i="18" s="1"/>
  <c r="J93" i="9"/>
  <c r="J54" i="9"/>
  <c r="J33" i="9"/>
  <c r="J31" i="9"/>
  <c r="J45" i="9"/>
  <c r="J42" i="9"/>
  <c r="J46" i="9"/>
  <c r="J97" i="9"/>
  <c r="C48" i="11"/>
  <c r="C33" i="17"/>
  <c r="J49" i="9"/>
  <c r="O83" i="11"/>
  <c r="O76" i="11"/>
  <c r="O132" i="11"/>
  <c r="O79" i="11"/>
  <c r="C32" i="11" s="1"/>
  <c r="J78" i="9"/>
  <c r="P15" i="11"/>
  <c r="G67" i="18" s="1"/>
  <c r="S79" i="11"/>
  <c r="G32" i="11" s="1"/>
  <c r="S132" i="11"/>
  <c r="J65" i="9"/>
  <c r="N69" i="11"/>
  <c r="T69" i="11" s="1"/>
  <c r="J51" i="9"/>
  <c r="N60" i="11"/>
  <c r="J35" i="9"/>
  <c r="J74" i="9"/>
  <c r="J102" i="9"/>
  <c r="R14" i="11"/>
  <c r="D31" i="17" s="1"/>
  <c r="P55" i="11"/>
  <c r="O55" i="11"/>
  <c r="Q14" i="11"/>
  <c r="C31" i="17" s="1"/>
  <c r="J37" i="9"/>
  <c r="J100" i="9"/>
  <c r="J14" i="9"/>
  <c r="J44" i="9"/>
  <c r="N57" i="11"/>
  <c r="J32" i="9"/>
  <c r="J61" i="9"/>
  <c r="J72" i="9"/>
  <c r="N61" i="11"/>
  <c r="J52" i="9"/>
  <c r="J17" i="9"/>
  <c r="T14" i="11"/>
  <c r="F31" i="17" s="1"/>
  <c r="R55" i="11"/>
  <c r="J67" i="9"/>
  <c r="J83" i="9"/>
  <c r="E111" i="17"/>
  <c r="G111" i="17"/>
  <c r="D110" i="17"/>
  <c r="E110" i="17"/>
  <c r="F111" i="17"/>
  <c r="G110" i="17"/>
  <c r="D111" i="17"/>
  <c r="E86" i="9"/>
  <c r="Q18" i="11" s="1"/>
  <c r="F110" i="17"/>
  <c r="F86" i="9"/>
  <c r="R18" i="11" s="1"/>
  <c r="F85" i="9"/>
  <c r="R17" i="11" s="1"/>
  <c r="C111" i="17"/>
  <c r="D85" i="9"/>
  <c r="G109" i="17"/>
  <c r="F109" i="17"/>
  <c r="I86" i="9"/>
  <c r="U18" i="11" s="1"/>
  <c r="G86" i="9"/>
  <c r="S18" i="11" s="1"/>
  <c r="H86" i="9"/>
  <c r="T18" i="11" s="1"/>
  <c r="E85" i="9"/>
  <c r="Q17" i="11" s="1"/>
  <c r="G85" i="9"/>
  <c r="S17" i="11" s="1"/>
  <c r="I85" i="9"/>
  <c r="U17" i="11" s="1"/>
  <c r="C109" i="17"/>
  <c r="E109" i="17"/>
  <c r="D109" i="17"/>
  <c r="H85" i="9"/>
  <c r="T17" i="11" s="1"/>
  <c r="D86" i="9"/>
  <c r="C110" i="17"/>
  <c r="J90" i="9"/>
  <c r="D48" i="11"/>
  <c r="D33" i="17"/>
  <c r="J109" i="9"/>
  <c r="J22" i="9"/>
  <c r="Q132" i="11"/>
  <c r="Q79" i="11"/>
  <c r="E32" i="11" s="1"/>
  <c r="J34" i="9"/>
  <c r="E33" i="17"/>
  <c r="E48" i="11"/>
  <c r="J79" i="9"/>
  <c r="J53" i="9"/>
  <c r="U15" i="11"/>
  <c r="L67" i="18" s="1"/>
  <c r="J57" i="9"/>
  <c r="N64" i="11"/>
  <c r="T64" i="11" s="1"/>
  <c r="P132" i="11"/>
  <c r="P79" i="11"/>
  <c r="D32" i="11" s="1"/>
  <c r="J63" i="9"/>
  <c r="J55" i="9"/>
  <c r="N62" i="11"/>
  <c r="T62" i="11" s="1"/>
  <c r="J91" i="9"/>
  <c r="J69" i="9"/>
  <c r="J111" i="9"/>
  <c r="J43" i="9"/>
  <c r="J101" i="9"/>
  <c r="J50" i="9"/>
  <c r="N70" i="11"/>
  <c r="J66" i="9"/>
  <c r="J16" i="9"/>
  <c r="J41" i="9"/>
  <c r="J94" i="9"/>
  <c r="J71" i="9"/>
  <c r="J73" i="9"/>
  <c r="J29" i="9"/>
  <c r="J40" i="9"/>
  <c r="J89" i="9"/>
  <c r="J80" i="9"/>
  <c r="N67" i="11"/>
  <c r="T67" i="11" s="1"/>
  <c r="J60" i="9"/>
  <c r="J99" i="9"/>
  <c r="N65" i="11"/>
  <c r="T65" i="11" s="1"/>
  <c r="J58" i="9"/>
  <c r="J107" i="9"/>
  <c r="F48" i="11"/>
  <c r="F33" i="17"/>
  <c r="F38" i="11"/>
  <c r="F32" i="17"/>
  <c r="J56" i="9"/>
  <c r="N63" i="11"/>
  <c r="S76" i="11"/>
  <c r="S83" i="11"/>
  <c r="J70" i="9"/>
  <c r="J82" i="9"/>
  <c r="P16" i="11"/>
  <c r="G68" i="18" s="1"/>
  <c r="J59" i="9"/>
  <c r="N66" i="11"/>
  <c r="T66" i="11" s="1"/>
  <c r="J95" i="9"/>
  <c r="J75" i="9"/>
  <c r="J110" i="9"/>
  <c r="N55" i="11"/>
  <c r="P14" i="11"/>
  <c r="B31" i="17" s="1"/>
  <c r="J15" i="9"/>
  <c r="J25" i="9"/>
  <c r="J81" i="9"/>
  <c r="J36" i="9"/>
  <c r="J20" i="9"/>
  <c r="R79" i="11"/>
  <c r="F32" i="11" s="1"/>
  <c r="R132" i="11"/>
  <c r="C43" i="11"/>
  <c r="R83" i="11"/>
  <c r="R76" i="11"/>
  <c r="J98" i="9"/>
  <c r="J30" i="9"/>
  <c r="J24" i="9"/>
  <c r="P76" i="11"/>
  <c r="P83" i="11"/>
  <c r="S15" i="11"/>
  <c r="J67" i="18" s="1"/>
  <c r="J108" i="9"/>
  <c r="J19" i="9"/>
  <c r="J77" i="9"/>
  <c r="U14" i="11"/>
  <c r="G31" i="17" s="1"/>
  <c r="S55" i="11"/>
  <c r="J88" i="9"/>
  <c r="J76" i="9"/>
  <c r="J105" i="9"/>
  <c r="J48" i="9"/>
  <c r="P13" i="11"/>
  <c r="G66" i="18" s="1"/>
  <c r="J62" i="9"/>
  <c r="J113" i="9"/>
  <c r="Q76" i="11"/>
  <c r="Q83" i="11"/>
  <c r="N56" i="11"/>
  <c r="J21" i="9"/>
  <c r="J64" i="9"/>
  <c r="N68" i="11"/>
  <c r="T68" i="11" s="1"/>
  <c r="J38" i="9"/>
  <c r="S14" i="11"/>
  <c r="E31" i="17" s="1"/>
  <c r="Q55" i="11"/>
  <c r="J112" i="9"/>
  <c r="J26" i="9"/>
  <c r="J23" i="9"/>
  <c r="J84" i="9"/>
  <c r="V13" i="11" l="1"/>
  <c r="F30" i="17"/>
  <c r="E30" i="17"/>
  <c r="E68" i="17" s="1"/>
  <c r="F43" i="11"/>
  <c r="E43" i="11"/>
  <c r="C30" i="17"/>
  <c r="G33" i="17"/>
  <c r="G30" i="17"/>
  <c r="G67" i="17" s="1"/>
  <c r="D30" i="17"/>
  <c r="D67" i="17" s="1"/>
  <c r="G48" i="11"/>
  <c r="G43" i="11"/>
  <c r="D43" i="11"/>
  <c r="V16" i="11"/>
  <c r="T152" i="11"/>
  <c r="H130" i="19"/>
  <c r="E17" i="17"/>
  <c r="D25" i="17" s="1"/>
  <c r="F132" i="19"/>
  <c r="H132" i="19" s="1"/>
  <c r="C38" i="11"/>
  <c r="H67" i="18"/>
  <c r="T164" i="11"/>
  <c r="P87" i="11"/>
  <c r="S87" i="11"/>
  <c r="E80" i="17"/>
  <c r="E79" i="17"/>
  <c r="E76" i="17"/>
  <c r="E77" i="17"/>
  <c r="E78" i="17"/>
  <c r="G77" i="17"/>
  <c r="G79" i="17"/>
  <c r="G76" i="17"/>
  <c r="G80" i="17"/>
  <c r="G78" i="17"/>
  <c r="F78" i="17"/>
  <c r="F80" i="17"/>
  <c r="F76" i="17"/>
  <c r="F77" i="17"/>
  <c r="F79" i="17"/>
  <c r="D76" i="17"/>
  <c r="D77" i="17"/>
  <c r="D80" i="17"/>
  <c r="D78" i="17"/>
  <c r="D79" i="17"/>
  <c r="H31" i="17"/>
  <c r="B80" i="17"/>
  <c r="B78" i="17"/>
  <c r="B77" i="17"/>
  <c r="B79" i="17"/>
  <c r="B76" i="17"/>
  <c r="C77" i="17"/>
  <c r="C78" i="17"/>
  <c r="C76" i="17"/>
  <c r="C79" i="17"/>
  <c r="C80" i="17"/>
  <c r="Q87" i="11"/>
  <c r="G114" i="17"/>
  <c r="D38" i="11"/>
  <c r="P14" i="9"/>
  <c r="D17" i="12" s="1"/>
  <c r="W15" i="9"/>
  <c r="V15" i="11"/>
  <c r="O50" i="11"/>
  <c r="M50" i="11" s="1"/>
  <c r="P50" i="11" s="1"/>
  <c r="R87" i="11"/>
  <c r="C32" i="17"/>
  <c r="C87" i="17" s="1"/>
  <c r="O15" i="9"/>
  <c r="E16" i="3" s="1"/>
  <c r="P15" i="9"/>
  <c r="E17" i="3" s="1"/>
  <c r="Q17" i="9"/>
  <c r="G18" i="3" s="1"/>
  <c r="O19" i="9"/>
  <c r="I16" i="3" s="1"/>
  <c r="O14" i="9"/>
  <c r="D16" i="12" s="1"/>
  <c r="P16" i="9"/>
  <c r="F17" i="3" s="1"/>
  <c r="T17" i="9"/>
  <c r="G21" i="3" s="1"/>
  <c r="R16" i="9"/>
  <c r="F19" i="3" s="1"/>
  <c r="R15" i="9"/>
  <c r="E19" i="3" s="1"/>
  <c r="N15" i="9"/>
  <c r="E15" i="3" s="1"/>
  <c r="M17" i="9"/>
  <c r="G14" i="3" s="1"/>
  <c r="O17" i="9"/>
  <c r="G16" i="3" s="1"/>
  <c r="W19" i="9"/>
  <c r="I24" i="3" s="1"/>
  <c r="U19" i="9"/>
  <c r="I22" i="3" s="1"/>
  <c r="O44" i="11"/>
  <c r="M44" i="11" s="1"/>
  <c r="P44" i="11" s="1"/>
  <c r="O16" i="9"/>
  <c r="F16" i="3" s="1"/>
  <c r="D32" i="17"/>
  <c r="D91" i="17" s="1"/>
  <c r="S19" i="9"/>
  <c r="I20" i="3" s="1"/>
  <c r="M16" i="9"/>
  <c r="F14" i="3" s="1"/>
  <c r="S15" i="9"/>
  <c r="E20" i="3" s="1"/>
  <c r="P17" i="9"/>
  <c r="G17" i="3" s="1"/>
  <c r="N19" i="9"/>
  <c r="I15" i="3" s="1"/>
  <c r="Q16" i="9"/>
  <c r="F18" i="3" s="1"/>
  <c r="O87" i="11"/>
  <c r="G32" i="17"/>
  <c r="G38" i="11"/>
  <c r="E100" i="17"/>
  <c r="E102" i="17"/>
  <c r="E101" i="17"/>
  <c r="E99" i="17"/>
  <c r="E98" i="17"/>
  <c r="Q141" i="11"/>
  <c r="Q136" i="11"/>
  <c r="Q145" i="11" s="1"/>
  <c r="K99" i="18"/>
  <c r="F35" i="17"/>
  <c r="S18" i="9"/>
  <c r="H20" i="3" s="1"/>
  <c r="T61" i="11"/>
  <c r="N134" i="11"/>
  <c r="N143" i="11" s="1"/>
  <c r="Y13" i="11"/>
  <c r="B30" i="17"/>
  <c r="D29" i="11"/>
  <c r="F29" i="11"/>
  <c r="E24" i="3"/>
  <c r="Y16" i="11"/>
  <c r="B33" i="17"/>
  <c r="G29" i="11"/>
  <c r="D114" i="17"/>
  <c r="E35" i="17"/>
  <c r="J99" i="18"/>
  <c r="J85" i="9"/>
  <c r="P17" i="11"/>
  <c r="E18" i="17"/>
  <c r="D26" i="17" s="1"/>
  <c r="W18" i="9"/>
  <c r="H24" i="3" s="1"/>
  <c r="P18" i="9"/>
  <c r="H17" i="3" s="1"/>
  <c r="O48" i="11"/>
  <c r="M48" i="11" s="1"/>
  <c r="P48" i="11" s="1"/>
  <c r="O49" i="11"/>
  <c r="M49" i="11" s="1"/>
  <c r="P49" i="11" s="1"/>
  <c r="Q14" i="9"/>
  <c r="D18" i="12" s="1"/>
  <c r="Y15" i="11"/>
  <c r="B32" i="17"/>
  <c r="C29" i="11"/>
  <c r="Q71" i="11"/>
  <c r="Q77" i="11"/>
  <c r="E31" i="11" s="1"/>
  <c r="E29" i="11"/>
  <c r="S71" i="11"/>
  <c r="S77" i="11"/>
  <c r="G31" i="11" s="1"/>
  <c r="V15" i="9"/>
  <c r="Q15" i="9"/>
  <c r="T15" i="9"/>
  <c r="C68" i="17"/>
  <c r="C69" i="17"/>
  <c r="C67" i="17"/>
  <c r="C66" i="17"/>
  <c r="C65" i="17"/>
  <c r="G62" i="18"/>
  <c r="Y14" i="11"/>
  <c r="N85" i="11"/>
  <c r="T63" i="11"/>
  <c r="T85" i="11" s="1"/>
  <c r="U17" i="9"/>
  <c r="G22" i="3" s="1"/>
  <c r="N17" i="9"/>
  <c r="G15" i="3" s="1"/>
  <c r="V17" i="9"/>
  <c r="G23" i="3" s="1"/>
  <c r="P136" i="11"/>
  <c r="P145" i="11" s="1"/>
  <c r="P141" i="11"/>
  <c r="D99" i="17"/>
  <c r="D100" i="17"/>
  <c r="D102" i="17"/>
  <c r="D98" i="17"/>
  <c r="D101" i="17"/>
  <c r="T19" i="9"/>
  <c r="I21" i="3" s="1"/>
  <c r="P19" i="9"/>
  <c r="I17" i="3" s="1"/>
  <c r="V19" i="9"/>
  <c r="I23" i="3" s="1"/>
  <c r="C18" i="17"/>
  <c r="E65" i="11"/>
  <c r="E34" i="17"/>
  <c r="J98" i="18"/>
  <c r="L99" i="18"/>
  <c r="G35" i="17"/>
  <c r="D65" i="11"/>
  <c r="D34" i="17"/>
  <c r="I98" i="18"/>
  <c r="U18" i="9"/>
  <c r="H22" i="3" s="1"/>
  <c r="M18" i="9"/>
  <c r="O45" i="11"/>
  <c r="M45" i="11" s="1"/>
  <c r="P45" i="11" s="1"/>
  <c r="O47" i="11"/>
  <c r="M47" i="11" s="1"/>
  <c r="P47" i="11" s="1"/>
  <c r="O46" i="11"/>
  <c r="M46" i="11" s="1"/>
  <c r="P46" i="11" s="1"/>
  <c r="W14" i="9"/>
  <c r="D24" i="12" s="1"/>
  <c r="R14" i="9"/>
  <c r="D19" i="12" s="1"/>
  <c r="U14" i="9"/>
  <c r="D22" i="12" s="1"/>
  <c r="P71" i="11"/>
  <c r="P77" i="11"/>
  <c r="D31" i="11" s="1"/>
  <c r="N16" i="9"/>
  <c r="F15" i="3" s="1"/>
  <c r="W16" i="9"/>
  <c r="F24" i="3" s="1"/>
  <c r="V16" i="9"/>
  <c r="F23" i="3" s="1"/>
  <c r="C102" i="17"/>
  <c r="C101" i="17"/>
  <c r="C100" i="17"/>
  <c r="C99" i="17"/>
  <c r="C98" i="17"/>
  <c r="T56" i="11"/>
  <c r="T78" i="11" s="1"/>
  <c r="N78" i="11"/>
  <c r="U78" i="11" s="1"/>
  <c r="F89" i="17"/>
  <c r="F90" i="17"/>
  <c r="F88" i="17"/>
  <c r="F91" i="17"/>
  <c r="F87" i="17"/>
  <c r="F67" i="17"/>
  <c r="F66" i="17"/>
  <c r="F69" i="17"/>
  <c r="F65" i="17"/>
  <c r="F68" i="17"/>
  <c r="F34" i="17"/>
  <c r="F65" i="11"/>
  <c r="K98" i="18"/>
  <c r="C114" i="17"/>
  <c r="B18" i="17"/>
  <c r="R18" i="9"/>
  <c r="H19" i="3" s="1"/>
  <c r="Q18" i="9"/>
  <c r="H18" i="3" s="1"/>
  <c r="R71" i="11"/>
  <c r="R77" i="11"/>
  <c r="F31" i="11" s="1"/>
  <c r="T57" i="11"/>
  <c r="N132" i="11"/>
  <c r="N79" i="11"/>
  <c r="U79" i="11" s="1"/>
  <c r="H62" i="18"/>
  <c r="V14" i="11"/>
  <c r="C17" i="11"/>
  <c r="C33" i="11"/>
  <c r="O141" i="11"/>
  <c r="O136" i="11"/>
  <c r="O145" i="11" s="1"/>
  <c r="N84" i="11"/>
  <c r="T59" i="11"/>
  <c r="T84" i="11" s="1"/>
  <c r="G65" i="11"/>
  <c r="G34" i="17"/>
  <c r="L98" i="18"/>
  <c r="C35" i="17"/>
  <c r="H99" i="18"/>
  <c r="V18" i="11"/>
  <c r="N18" i="9"/>
  <c r="H15" i="3" s="1"/>
  <c r="K62" i="18"/>
  <c r="F17" i="11"/>
  <c r="F33" i="11"/>
  <c r="O42" i="11"/>
  <c r="M42" i="11" s="1"/>
  <c r="P42" i="11" s="1"/>
  <c r="V14" i="9"/>
  <c r="D23" i="12" s="1"/>
  <c r="O77" i="11"/>
  <c r="C31" i="11" s="1"/>
  <c r="O71" i="11"/>
  <c r="J62" i="18"/>
  <c r="E17" i="11"/>
  <c r="E33" i="11"/>
  <c r="G33" i="11"/>
  <c r="L62" i="18"/>
  <c r="G17" i="11"/>
  <c r="E38" i="11"/>
  <c r="E32" i="17"/>
  <c r="M15" i="9"/>
  <c r="U15" i="9"/>
  <c r="R136" i="11"/>
  <c r="R145" i="11" s="1"/>
  <c r="R141" i="11"/>
  <c r="T55" i="11"/>
  <c r="N77" i="11"/>
  <c r="N71" i="11"/>
  <c r="F100" i="17"/>
  <c r="F99" i="17"/>
  <c r="F102" i="17"/>
  <c r="F101" i="17"/>
  <c r="F98" i="17"/>
  <c r="W17" i="9"/>
  <c r="G24" i="3" s="1"/>
  <c r="S17" i="9"/>
  <c r="G20" i="3" s="1"/>
  <c r="R17" i="9"/>
  <c r="G19" i="3" s="1"/>
  <c r="N86" i="11"/>
  <c r="T70" i="11"/>
  <c r="T86" i="11" s="1"/>
  <c r="M19" i="9"/>
  <c r="R19" i="9"/>
  <c r="I19" i="3" s="1"/>
  <c r="Q19" i="9"/>
  <c r="I18" i="3" s="1"/>
  <c r="J86" i="9"/>
  <c r="P18" i="11"/>
  <c r="E114" i="17"/>
  <c r="V17" i="11"/>
  <c r="C34" i="17"/>
  <c r="C65" i="11"/>
  <c r="H98" i="18"/>
  <c r="F114" i="17"/>
  <c r="I99" i="18"/>
  <c r="D35" i="17"/>
  <c r="T18" i="9"/>
  <c r="H21" i="3" s="1"/>
  <c r="O18" i="9"/>
  <c r="H16" i="3" s="1"/>
  <c r="V18" i="9"/>
  <c r="H23" i="3" s="1"/>
  <c r="O43" i="11"/>
  <c r="M43" i="11" s="1"/>
  <c r="P43" i="11" s="1"/>
  <c r="N14" i="9"/>
  <c r="D15" i="12" s="1"/>
  <c r="M14" i="9"/>
  <c r="T14" i="9"/>
  <c r="D21" i="12" s="1"/>
  <c r="O41" i="11"/>
  <c r="M41" i="11" s="1"/>
  <c r="P41" i="11" s="1"/>
  <c r="S14" i="9"/>
  <c r="D20" i="12" s="1"/>
  <c r="N83" i="11"/>
  <c r="N76" i="11"/>
  <c r="T58" i="11"/>
  <c r="I62" i="18"/>
  <c r="D33" i="11"/>
  <c r="D17" i="11"/>
  <c r="T60" i="11"/>
  <c r="N135" i="11"/>
  <c r="N144" i="11" s="1"/>
  <c r="S141" i="11"/>
  <c r="S136" i="11"/>
  <c r="S145" i="11" s="1"/>
  <c r="H32" i="11"/>
  <c r="T16" i="9"/>
  <c r="F21" i="3" s="1"/>
  <c r="S16" i="9"/>
  <c r="F20" i="3" s="1"/>
  <c r="U16" i="9"/>
  <c r="F22" i="3" s="1"/>
  <c r="H48" i="11"/>
  <c r="H17" i="17" l="1"/>
  <c r="E67" i="17"/>
  <c r="H43" i="11"/>
  <c r="G66" i="17"/>
  <c r="E65" i="17"/>
  <c r="G68" i="17"/>
  <c r="E66" i="17"/>
  <c r="E69" i="17"/>
  <c r="H33" i="17"/>
  <c r="D68" i="17"/>
  <c r="D66" i="17"/>
  <c r="G65" i="17"/>
  <c r="G69" i="17"/>
  <c r="H30" i="17"/>
  <c r="D69" i="17"/>
  <c r="D65" i="17"/>
  <c r="D89" i="17"/>
  <c r="D123" i="17"/>
  <c r="D124" i="17"/>
  <c r="D121" i="17"/>
  <c r="D120" i="17"/>
  <c r="D122" i="17"/>
  <c r="C123" i="17"/>
  <c r="C124" i="17"/>
  <c r="C120" i="17"/>
  <c r="C122" i="17"/>
  <c r="C121" i="17"/>
  <c r="G120" i="17"/>
  <c r="G122" i="17"/>
  <c r="G121" i="17"/>
  <c r="F123" i="17"/>
  <c r="F121" i="17"/>
  <c r="F124" i="17"/>
  <c r="F122" i="17"/>
  <c r="F120" i="17"/>
  <c r="E123" i="17"/>
  <c r="E124" i="17"/>
  <c r="E120" i="17"/>
  <c r="E122" i="17"/>
  <c r="E121" i="17"/>
  <c r="H77" i="17"/>
  <c r="H78" i="17"/>
  <c r="H76" i="17"/>
  <c r="H80" i="17"/>
  <c r="H79" i="17"/>
  <c r="E81" i="17"/>
  <c r="E83" i="17" s="1"/>
  <c r="D81" i="17"/>
  <c r="D83" i="17" s="1"/>
  <c r="G81" i="17"/>
  <c r="G83" i="17" s="1"/>
  <c r="H32" i="17"/>
  <c r="B81" i="17"/>
  <c r="C81" i="17"/>
  <c r="C83" i="17" s="1"/>
  <c r="F81" i="17"/>
  <c r="F83" i="17" s="1"/>
  <c r="G116" i="17"/>
  <c r="D87" i="17"/>
  <c r="D88" i="17"/>
  <c r="D90" i="17"/>
  <c r="C90" i="17"/>
  <c r="C88" i="17"/>
  <c r="C89" i="17"/>
  <c r="O22" i="11"/>
  <c r="H38" i="11"/>
  <c r="O29" i="11"/>
  <c r="M29" i="11" s="1"/>
  <c r="P29" i="11" s="1"/>
  <c r="O35" i="11"/>
  <c r="M35" i="11" s="1"/>
  <c r="P35" i="11" s="1"/>
  <c r="Q80" i="11"/>
  <c r="E116" i="17"/>
  <c r="O30" i="11"/>
  <c r="M30" i="11" s="1"/>
  <c r="P30" i="11" s="1"/>
  <c r="C91" i="17"/>
  <c r="H31" i="11"/>
  <c r="N21" i="9"/>
  <c r="K133" i="18"/>
  <c r="F72" i="11" s="1"/>
  <c r="I133" i="18"/>
  <c r="D72" i="11" s="1"/>
  <c r="O21" i="9"/>
  <c r="Q22" i="11"/>
  <c r="J16" i="3"/>
  <c r="F103" i="17"/>
  <c r="F105" i="17" s="1"/>
  <c r="F116" i="17"/>
  <c r="O34" i="11"/>
  <c r="M34" i="11" s="1"/>
  <c r="P34" i="11" s="1"/>
  <c r="F70" i="17"/>
  <c r="F72" i="17" s="1"/>
  <c r="F92" i="17"/>
  <c r="F94" i="17" s="1"/>
  <c r="X19" i="9"/>
  <c r="Z19" i="9" s="1"/>
  <c r="I14" i="3"/>
  <c r="I25" i="3" s="1"/>
  <c r="U21" i="9"/>
  <c r="E22" i="3"/>
  <c r="J22" i="3" s="1"/>
  <c r="H17" i="11"/>
  <c r="E18" i="3"/>
  <c r="J18" i="3" s="1"/>
  <c r="Q21" i="9"/>
  <c r="B66" i="17"/>
  <c r="B68" i="17"/>
  <c r="B69" i="17"/>
  <c r="B67" i="17"/>
  <c r="H67" i="17" s="1"/>
  <c r="B65" i="17"/>
  <c r="G91" i="17"/>
  <c r="G88" i="17"/>
  <c r="G90" i="17"/>
  <c r="G87" i="17"/>
  <c r="G89" i="17"/>
  <c r="T76" i="11"/>
  <c r="T83" i="11"/>
  <c r="T87" i="11" s="1"/>
  <c r="J19" i="3"/>
  <c r="O27" i="11"/>
  <c r="M27" i="11" s="1"/>
  <c r="P27" i="11" s="1"/>
  <c r="H18" i="17"/>
  <c r="B26" i="17"/>
  <c r="J133" i="18"/>
  <c r="E72" i="11" s="1"/>
  <c r="U76" i="11"/>
  <c r="N80" i="11"/>
  <c r="H133" i="18"/>
  <c r="C72" i="11" s="1"/>
  <c r="U77" i="11"/>
  <c r="E89" i="17"/>
  <c r="E88" i="17"/>
  <c r="E90" i="17"/>
  <c r="E87" i="17"/>
  <c r="E91" i="17"/>
  <c r="R21" i="9"/>
  <c r="O36" i="11"/>
  <c r="M36" i="11" s="1"/>
  <c r="P36" i="11" s="1"/>
  <c r="O31" i="11"/>
  <c r="M31" i="11" s="1"/>
  <c r="P31" i="11" s="1"/>
  <c r="N136" i="11"/>
  <c r="N145" i="11" s="1"/>
  <c r="N141" i="11"/>
  <c r="C116" i="17"/>
  <c r="J20" i="3"/>
  <c r="X18" i="9"/>
  <c r="Z18" i="9" s="1"/>
  <c r="H14" i="3"/>
  <c r="H25" i="3" s="1"/>
  <c r="C26" i="17"/>
  <c r="C70" i="17"/>
  <c r="C72" i="17" s="1"/>
  <c r="G25" i="17"/>
  <c r="D42" i="17" s="1"/>
  <c r="G100" i="17" s="1"/>
  <c r="H29" i="11"/>
  <c r="G98" i="18"/>
  <c r="B34" i="17"/>
  <c r="Y17" i="11"/>
  <c r="S80" i="11"/>
  <c r="J24" i="3"/>
  <c r="P80" i="11"/>
  <c r="P22" i="11"/>
  <c r="E103" i="17"/>
  <c r="E105" i="17" s="1"/>
  <c r="G25" i="3"/>
  <c r="J17" i="3"/>
  <c r="G99" i="18"/>
  <c r="Y18" i="11"/>
  <c r="B35" i="17"/>
  <c r="F25" i="3"/>
  <c r="R80" i="11"/>
  <c r="M21" i="9"/>
  <c r="E14" i="3"/>
  <c r="X15" i="9"/>
  <c r="O28" i="11"/>
  <c r="M28" i="11" s="1"/>
  <c r="P28" i="11" s="1"/>
  <c r="S21" i="9"/>
  <c r="C103" i="17"/>
  <c r="C105" i="17" s="1"/>
  <c r="V21" i="9"/>
  <c r="E23" i="3"/>
  <c r="J23" i="3" s="1"/>
  <c r="O80" i="11"/>
  <c r="B90" i="17"/>
  <c r="B91" i="17"/>
  <c r="B88" i="17"/>
  <c r="B87" i="17"/>
  <c r="B89" i="17"/>
  <c r="N87" i="11"/>
  <c r="X14" i="9"/>
  <c r="D14" i="12"/>
  <c r="D25" i="12" s="1"/>
  <c r="H65" i="11"/>
  <c r="T71" i="11"/>
  <c r="T77" i="11"/>
  <c r="L133" i="18"/>
  <c r="G72" i="11" s="1"/>
  <c r="J15" i="3"/>
  <c r="H33" i="11"/>
  <c r="O32" i="11"/>
  <c r="M32" i="11" s="1"/>
  <c r="P32" i="11" s="1"/>
  <c r="O33" i="11"/>
  <c r="M33" i="11" s="1"/>
  <c r="P33" i="11" s="1"/>
  <c r="T79" i="11"/>
  <c r="D103" i="17"/>
  <c r="D105" i="17" s="1"/>
  <c r="E21" i="3"/>
  <c r="J21" i="3" s="1"/>
  <c r="T21" i="9"/>
  <c r="X16" i="9"/>
  <c r="Z16" i="9" s="1"/>
  <c r="D116" i="17"/>
  <c r="B99" i="17"/>
  <c r="B100" i="17"/>
  <c r="B102" i="17"/>
  <c r="B101" i="17"/>
  <c r="B98" i="17"/>
  <c r="W21" i="9"/>
  <c r="X17" i="9"/>
  <c r="Z17" i="9" s="1"/>
  <c r="P21" i="9"/>
  <c r="K65" i="18" l="1"/>
  <c r="K92" i="18" s="1"/>
  <c r="F71" i="11" s="1"/>
  <c r="E70" i="17"/>
  <c r="E72" i="17" s="1"/>
  <c r="H66" i="17"/>
  <c r="D70" i="17"/>
  <c r="D72" i="17" s="1"/>
  <c r="H68" i="17"/>
  <c r="J65" i="18"/>
  <c r="J92" i="18" s="1"/>
  <c r="E71" i="11" s="1"/>
  <c r="H65" i="17"/>
  <c r="H69" i="17"/>
  <c r="G70" i="17"/>
  <c r="G72" i="17" s="1"/>
  <c r="D125" i="17"/>
  <c r="D127" i="17" s="1"/>
  <c r="F125" i="17"/>
  <c r="F127" i="17" s="1"/>
  <c r="E125" i="17"/>
  <c r="E127" i="17" s="1"/>
  <c r="I65" i="18"/>
  <c r="I92" i="18" s="1"/>
  <c r="D71" i="11" s="1"/>
  <c r="L65" i="18"/>
  <c r="L92" i="18" s="1"/>
  <c r="G71" i="11" s="1"/>
  <c r="H35" i="17"/>
  <c r="B123" i="17"/>
  <c r="B122" i="17"/>
  <c r="H122" i="17" s="1"/>
  <c r="B124" i="17"/>
  <c r="B120" i="17"/>
  <c r="B121" i="17"/>
  <c r="H121" i="17" s="1"/>
  <c r="J25" i="17"/>
  <c r="C125" i="17"/>
  <c r="C127" i="17" s="1"/>
  <c r="H100" i="17"/>
  <c r="H87" i="17"/>
  <c r="H88" i="17"/>
  <c r="H91" i="17"/>
  <c r="H89" i="17"/>
  <c r="H90" i="17"/>
  <c r="H81" i="17"/>
  <c r="J31" i="17" s="1"/>
  <c r="B83" i="17"/>
  <c r="B116" i="17"/>
  <c r="H34" i="17"/>
  <c r="J34" i="17" s="1"/>
  <c r="D92" i="17"/>
  <c r="D94" i="17" s="1"/>
  <c r="N22" i="3"/>
  <c r="C92" i="17"/>
  <c r="C94" i="17" s="1"/>
  <c r="N15" i="3"/>
  <c r="N18" i="3"/>
  <c r="N23" i="3"/>
  <c r="N16" i="3"/>
  <c r="T80" i="11"/>
  <c r="G51" i="17"/>
  <c r="G52" i="17" s="1"/>
  <c r="G19" i="11"/>
  <c r="B103" i="17"/>
  <c r="B105" i="17" s="1"/>
  <c r="N21" i="3"/>
  <c r="X21" i="9"/>
  <c r="Z21" i="9" s="1"/>
  <c r="Z15" i="9"/>
  <c r="D19" i="11"/>
  <c r="D51" i="17"/>
  <c r="D52" i="17" s="1"/>
  <c r="G133" i="18"/>
  <c r="G65" i="18" s="1"/>
  <c r="G92" i="18" s="1"/>
  <c r="F19" i="11"/>
  <c r="F51" i="17"/>
  <c r="F52" i="17" s="1"/>
  <c r="U80" i="11"/>
  <c r="N19" i="3"/>
  <c r="J14" i="3"/>
  <c r="N14" i="3" s="1"/>
  <c r="E25" i="3"/>
  <c r="H65" i="18" s="1"/>
  <c r="H92" i="18" s="1"/>
  <c r="C71" i="11" s="1"/>
  <c r="N17" i="3"/>
  <c r="G26" i="17"/>
  <c r="B43" i="17" s="1"/>
  <c r="G92" i="17"/>
  <c r="G94" i="17" s="1"/>
  <c r="B70" i="17"/>
  <c r="O21" i="11"/>
  <c r="Z14" i="9"/>
  <c r="D27" i="12"/>
  <c r="B51" i="17"/>
  <c r="B92" i="17"/>
  <c r="B94" i="17" s="1"/>
  <c r="E19" i="11"/>
  <c r="E51" i="17"/>
  <c r="E52" i="17" s="1"/>
  <c r="N24" i="3"/>
  <c r="C42" i="17"/>
  <c r="G99" i="17" s="1"/>
  <c r="H99" i="17" s="1"/>
  <c r="B42" i="17"/>
  <c r="E42" i="17"/>
  <c r="G101" i="17" s="1"/>
  <c r="H101" i="17" s="1"/>
  <c r="F42" i="17"/>
  <c r="G102" i="17" s="1"/>
  <c r="H102" i="17" s="1"/>
  <c r="N20" i="3"/>
  <c r="E92" i="17"/>
  <c r="E94" i="17" s="1"/>
  <c r="H70" i="17" l="1"/>
  <c r="J30" i="17" s="1"/>
  <c r="F18" i="11"/>
  <c r="F73" i="11"/>
  <c r="G18" i="11"/>
  <c r="G73" i="11"/>
  <c r="E18" i="11"/>
  <c r="E73" i="11"/>
  <c r="H120" i="17"/>
  <c r="B125" i="17"/>
  <c r="B127" i="17" s="1"/>
  <c r="D18" i="11"/>
  <c r="D73" i="11"/>
  <c r="C19" i="17"/>
  <c r="C27" i="17" s="1"/>
  <c r="E19" i="17"/>
  <c r="D27" i="17" s="1"/>
  <c r="H92" i="17"/>
  <c r="J32" i="17" s="1"/>
  <c r="B72" i="17"/>
  <c r="G42" i="17"/>
  <c r="G98" i="17"/>
  <c r="B19" i="17"/>
  <c r="C19" i="11"/>
  <c r="J25" i="3"/>
  <c r="N25" i="3" s="1"/>
  <c r="C51" i="17"/>
  <c r="C52" i="17" s="1"/>
  <c r="B52" i="17"/>
  <c r="O23" i="11"/>
  <c r="F43" i="17"/>
  <c r="E43" i="17"/>
  <c r="D43" i="17"/>
  <c r="C43" i="17"/>
  <c r="C18" i="11" l="1"/>
  <c r="H18" i="11" s="1"/>
  <c r="H19" i="11" s="1"/>
  <c r="Q21" i="11" s="1"/>
  <c r="Q23" i="11" s="1"/>
  <c r="C73" i="11"/>
  <c r="C46" i="17"/>
  <c r="D46" i="17"/>
  <c r="G103" i="17"/>
  <c r="G105" i="17" s="1"/>
  <c r="H98" i="17"/>
  <c r="H103" i="17" s="1"/>
  <c r="J33" i="17" s="1"/>
  <c r="G43" i="17"/>
  <c r="H52" i="17"/>
  <c r="H51" i="17"/>
  <c r="H19" i="17"/>
  <c r="B27" i="17"/>
  <c r="B46" i="17"/>
  <c r="P21" i="11" l="1"/>
  <c r="P23" i="11" s="1"/>
  <c r="K52" i="17"/>
  <c r="G46" i="17"/>
  <c r="B47" i="17" s="1"/>
  <c r="G27" i="17"/>
  <c r="J27" i="17" l="1"/>
  <c r="C55" i="17"/>
  <c r="D55" i="17"/>
  <c r="B55" i="17"/>
  <c r="E55" i="17"/>
  <c r="F55" i="17"/>
  <c r="G55" i="17"/>
  <c r="E44" i="17"/>
  <c r="G123" i="17" s="1"/>
  <c r="F44" i="17"/>
  <c r="G124" i="17" s="1"/>
  <c r="H124" i="17" s="1"/>
  <c r="F47" i="17"/>
  <c r="E47" i="17"/>
  <c r="D47" i="17"/>
  <c r="K46" i="17"/>
  <c r="C47" i="17"/>
  <c r="H123" i="17" l="1"/>
  <c r="H125" i="17" s="1"/>
  <c r="G125" i="17"/>
  <c r="G127" i="17" s="1"/>
  <c r="G44" i="17"/>
  <c r="D130" i="17"/>
  <c r="F130" i="17"/>
  <c r="C130" i="17"/>
  <c r="H55" i="17"/>
  <c r="B130" i="17"/>
  <c r="F57" i="17"/>
  <c r="F132" i="17" s="1"/>
  <c r="K142" i="18" s="1"/>
  <c r="B57" i="17"/>
  <c r="G57" i="17"/>
  <c r="G132" i="17" s="1"/>
  <c r="L142" i="18" s="1"/>
  <c r="D57" i="17"/>
  <c r="D132" i="17" s="1"/>
  <c r="I142" i="18" s="1"/>
  <c r="E57" i="17"/>
  <c r="E132" i="17" s="1"/>
  <c r="J142" i="18" s="1"/>
  <c r="C57" i="17"/>
  <c r="C132" i="17" s="1"/>
  <c r="H142" i="18" s="1"/>
  <c r="G130" i="17"/>
  <c r="C58" i="17"/>
  <c r="C133" i="17" s="1"/>
  <c r="H143" i="18" s="1"/>
  <c r="B58" i="17"/>
  <c r="G58" i="17"/>
  <c r="G133" i="17" s="1"/>
  <c r="L143" i="18" s="1"/>
  <c r="D58" i="17"/>
  <c r="D133" i="17" s="1"/>
  <c r="I143" i="18" s="1"/>
  <c r="E58" i="17"/>
  <c r="E133" i="17" s="1"/>
  <c r="J143" i="18" s="1"/>
  <c r="F58" i="17"/>
  <c r="F133" i="17" s="1"/>
  <c r="K143" i="18" s="1"/>
  <c r="B56" i="17"/>
  <c r="E56" i="17"/>
  <c r="E131" i="17" s="1"/>
  <c r="J141" i="18" s="1"/>
  <c r="F56" i="17"/>
  <c r="F131" i="17" s="1"/>
  <c r="K141" i="18" s="1"/>
  <c r="C56" i="17"/>
  <c r="C131" i="17" s="1"/>
  <c r="H141" i="18" s="1"/>
  <c r="G56" i="17"/>
  <c r="G131" i="17" s="1"/>
  <c r="L141" i="18" s="1"/>
  <c r="D56" i="17"/>
  <c r="D131" i="17" s="1"/>
  <c r="I141" i="18" s="1"/>
  <c r="B59" i="17"/>
  <c r="E59" i="17"/>
  <c r="E134" i="17" s="1"/>
  <c r="J144" i="18" s="1"/>
  <c r="D59" i="17"/>
  <c r="D134" i="17" s="1"/>
  <c r="I144" i="18" s="1"/>
  <c r="C59" i="17"/>
  <c r="C134" i="17" s="1"/>
  <c r="H144" i="18" s="1"/>
  <c r="G59" i="17"/>
  <c r="G134" i="17" s="1"/>
  <c r="L144" i="18" s="1"/>
  <c r="F59" i="17"/>
  <c r="F134" i="17" s="1"/>
  <c r="K144" i="18" s="1"/>
  <c r="E130" i="17"/>
  <c r="K47" i="17"/>
  <c r="J35" i="17" l="1"/>
  <c r="E60" i="17"/>
  <c r="H56" i="17"/>
  <c r="B131" i="17"/>
  <c r="F135" i="17"/>
  <c r="F137" i="17" s="1"/>
  <c r="K140" i="18"/>
  <c r="K145" i="18" s="1"/>
  <c r="C135" i="17"/>
  <c r="C137" i="17" s="1"/>
  <c r="H140" i="18"/>
  <c r="H145" i="18" s="1"/>
  <c r="D60" i="17"/>
  <c r="G60" i="17"/>
  <c r="G140" i="18"/>
  <c r="H58" i="17"/>
  <c r="B133" i="17"/>
  <c r="H57" i="17"/>
  <c r="B132" i="17"/>
  <c r="F60" i="17"/>
  <c r="H59" i="17"/>
  <c r="B134" i="17"/>
  <c r="J140" i="18"/>
  <c r="J145" i="18" s="1"/>
  <c r="E135" i="17"/>
  <c r="E137" i="17" s="1"/>
  <c r="L140" i="18"/>
  <c r="L145" i="18" s="1"/>
  <c r="G135" i="17"/>
  <c r="G137" i="17" s="1"/>
  <c r="B60" i="17"/>
  <c r="C60" i="17"/>
  <c r="D135" i="17"/>
  <c r="D137" i="17" s="1"/>
  <c r="I140" i="18"/>
  <c r="I145" i="18" s="1"/>
  <c r="G143" i="18" l="1"/>
  <c r="G141" i="18"/>
  <c r="G142" i="18"/>
  <c r="G144" i="18"/>
  <c r="H60" i="17"/>
  <c r="B135" i="17"/>
  <c r="G145" i="18" l="1"/>
  <c r="B137" i="17"/>
  <c r="H147" i="18" l="1"/>
  <c r="H148" i="18" s="1"/>
  <c r="L147" i="18"/>
  <c r="L148" i="18" s="1"/>
  <c r="J147" i="18"/>
  <c r="J148" i="18" s="1"/>
  <c r="I147" i="18"/>
  <c r="I148" i="18" s="1"/>
  <c r="K147" i="18"/>
  <c r="K148" i="18" s="1"/>
  <c r="G147" i="18"/>
  <c r="G148" i="18" s="1"/>
</calcChain>
</file>

<file path=xl/comments1.xml><?xml version="1.0" encoding="utf-8"?>
<comments xmlns="http://schemas.openxmlformats.org/spreadsheetml/2006/main">
  <authors>
    <author>Ward, Jennifer</author>
  </authors>
  <commentList>
    <comment ref="AC40" authorId="0">
      <text>
        <r>
          <rPr>
            <b/>
            <sz val="9"/>
            <color indexed="81"/>
            <rFont val="Tahoma"/>
            <family val="2"/>
          </rPr>
          <t>Ward, Jennifer:</t>
        </r>
        <r>
          <rPr>
            <sz val="9"/>
            <color indexed="81"/>
            <rFont val="Tahoma"/>
            <family val="2"/>
          </rPr>
          <t xml:space="preserve">
defer pigging for inclusion with RBP Looping - include small amount for preparation and potentially scraper trap modification FEED</t>
        </r>
      </text>
    </comment>
    <comment ref="V63" authorId="0">
      <text>
        <r>
          <rPr>
            <b/>
            <sz val="9"/>
            <color indexed="81"/>
            <rFont val="Tahoma"/>
            <family val="2"/>
          </rPr>
          <t>Ward, Jennifer:</t>
        </r>
        <r>
          <rPr>
            <sz val="9"/>
            <color indexed="81"/>
            <rFont val="Tahoma"/>
            <family val="2"/>
          </rPr>
          <t xml:space="preserve">
MEJ?</t>
        </r>
      </text>
    </comment>
  </commentList>
</comments>
</file>

<file path=xl/connections.xml><?xml version="1.0" encoding="utf-8"?>
<connections xmlns="http://schemas.openxmlformats.org/spreadsheetml/2006/main">
  <connection id="1" name="Portfolio Roadmap updated April 2016" type="6" refreshedVersion="4" background="1" saveData="1">
    <textPr codePage="850" sourceFile="\\redirectionSYD\redirection$\MARALL\Desktop\Portfolio Roadmap updated April 2016.txt" tab="0" delimiter="/">
      <textFields count="3">
        <textField/>
        <textField type="skip"/>
        <textField type="skip"/>
      </textFields>
    </textPr>
  </connection>
</connections>
</file>

<file path=xl/sharedStrings.xml><?xml version="1.0" encoding="utf-8"?>
<sst xmlns="http://schemas.openxmlformats.org/spreadsheetml/2006/main" count="2051" uniqueCount="680">
  <si>
    <t>RBP</t>
  </si>
  <si>
    <t>Asset</t>
  </si>
  <si>
    <t>DN250 INTEGRITY UPGRADE PROGRAM</t>
  </si>
  <si>
    <t>RBP CP UPGRADE PROGRAM</t>
  </si>
  <si>
    <t>QLD</t>
  </si>
  <si>
    <t>RBP METRO ILI - DN300</t>
  </si>
  <si>
    <t>ANODE BED EASEMENTS PROGRAM</t>
  </si>
  <si>
    <t>RBP STATION UPGRADES - HAZOP &amp; Other</t>
  </si>
  <si>
    <t>RBP HA RECTIFICATION</t>
  </si>
  <si>
    <t>RBP CP TELEMETRY UPGRADE</t>
  </si>
  <si>
    <t>RBP &amp; PEAT ISOLATION PLAN UPGRADES</t>
  </si>
  <si>
    <t>VEHICLE PURCHASES</t>
  </si>
  <si>
    <t>SWANBANK ISOLATION VALVE</t>
  </si>
  <si>
    <t xml:space="preserve">RBP - TYPE B GAS COMPLIANCE UPGRADES </t>
  </si>
  <si>
    <t>RBP CE Lateral ILI - DN400</t>
  </si>
  <si>
    <t>GIBSON ISLAND E/I REVIEW FEED</t>
  </si>
  <si>
    <t xml:space="preserve">RBP LYTTON LATERAL ILI - DN200 </t>
  </si>
  <si>
    <t>Turbine overhauls - Dalby</t>
  </si>
  <si>
    <t xml:space="preserve">PEAT LATERAL LIQUIDS REMOVAL </t>
  </si>
  <si>
    <t>PURCHASE 3D SCANNER TOOL</t>
  </si>
  <si>
    <t>TOOWOOMBA RANGE SLOPE MONITORING WORKS</t>
  </si>
  <si>
    <t>RBP- AS4853 ELECTRICAL HAZARD UPGRADES</t>
  </si>
  <si>
    <t>RBP STATION FIRE SUPRESSION UPGRADES - BELLBIRD PARK</t>
  </si>
  <si>
    <t>TOOWOOMBA STATION HEATER INSTALLATION</t>
  </si>
  <si>
    <t xml:space="preserve">Fire protection upgrades to RBP compressor stations (FM Global) </t>
  </si>
  <si>
    <t>Gas Measurement Upgrade - including shades</t>
  </si>
  <si>
    <t>TOOWOOMBA DN250 RAIL CROSSING</t>
  </si>
  <si>
    <t>WATER EASEMENT EMERGENCY PREPAREDNESS - FEED</t>
  </si>
  <si>
    <t>RBP DN400 Supply Offtakes</t>
  </si>
  <si>
    <t>RBP - Security fencing upgrade for vent stacks</t>
  </si>
  <si>
    <t>BELLBIRD PARK STATION UPGRADE</t>
  </si>
  <si>
    <t>SCOTIA / WOODROYD VENT EXTENSION</t>
  </si>
  <si>
    <t>Gibson Island Pressure Vessel platforms</t>
  </si>
  <si>
    <t>EMERGENCY STOPPLE FITTINGS FOR DN250 EMERGENCIES</t>
  </si>
  <si>
    <t>Condamine River Strain Excavation</t>
  </si>
  <si>
    <t>RBP MAINLINE ILI PROGRAM - DN250</t>
  </si>
  <si>
    <t>RBP LOOPING ILI - DN400</t>
  </si>
  <si>
    <t>RBP SCC EMAT ILI - DN300</t>
  </si>
  <si>
    <t xml:space="preserve">RBP METRO LOOP ILI - DN400 </t>
  </si>
  <si>
    <t>RBP METRO (ORIGINAL) ILI - DN200</t>
  </si>
  <si>
    <t xml:space="preserve">PEAT LATERAL ILI - DN250 </t>
  </si>
  <si>
    <t>RBP SCRAPER TRAP MODIFICATIONS</t>
  </si>
  <si>
    <t>CP INTERFERENCE TESTING AND MITIGATION</t>
  </si>
  <si>
    <t>RBP - Station painting program</t>
  </si>
  <si>
    <t>RBP Cleaning Program (DN400)</t>
  </si>
  <si>
    <t>PEAT lateral cleaning pigging</t>
  </si>
  <si>
    <t>RBP REPLACEMENT SPOOLS FOR DN250 CHECK VALVES</t>
  </si>
  <si>
    <t>SOLAR S20 Unit Control Panel Upgrade FEED</t>
  </si>
  <si>
    <t>DN250, DN300, DN200 Assessment of loss of cover and mitigation</t>
  </si>
  <si>
    <t>DN200 &amp; 300 METRO ANNUAL EXCAVATION PROGRAM</t>
  </si>
  <si>
    <t>MP14 MLV Removal - study and implementation</t>
  </si>
  <si>
    <t>Wallumbilla MS Upgrade</t>
  </si>
  <si>
    <t xml:space="preserve">ROW Erosion Repairs - </t>
  </si>
  <si>
    <t>COMMISSION LEGAL ADVICE FOR ENCROACHMENT MANAGEMENT</t>
  </si>
  <si>
    <t>Toowoomba Slope Management</t>
  </si>
  <si>
    <t>Station Remaining Life Review</t>
  </si>
  <si>
    <t>Compressors</t>
  </si>
  <si>
    <t>Easements</t>
  </si>
  <si>
    <t>Communications</t>
  </si>
  <si>
    <t>Capitalised AA costs</t>
  </si>
  <si>
    <t>SIB Capex</t>
  </si>
  <si>
    <t>Regulators and meters</t>
  </si>
  <si>
    <t>Total</t>
  </si>
  <si>
    <t>percent</t>
  </si>
  <si>
    <t>Type</t>
  </si>
  <si>
    <t>Check</t>
  </si>
  <si>
    <t>capex by asset type</t>
  </si>
  <si>
    <t>project name</t>
  </si>
  <si>
    <t>unit type</t>
  </si>
  <si>
    <t>funding type</t>
  </si>
  <si>
    <t>asset group</t>
  </si>
  <si>
    <t>business case #</t>
  </si>
  <si>
    <t>aa driver</t>
  </si>
  <si>
    <t>total value ($2015/16)</t>
  </si>
  <si>
    <t>sumif function ($ value covered by business cases)</t>
  </si>
  <si>
    <t>$2016/17</t>
  </si>
  <si>
    <t>$2015/16</t>
  </si>
  <si>
    <t>IT</t>
  </si>
  <si>
    <t>Percent of group assets allocated to RBP</t>
  </si>
  <si>
    <t>APA</t>
  </si>
  <si>
    <t>cpi values</t>
  </si>
  <si>
    <t>$2017/18</t>
  </si>
  <si>
    <t>$2018/19</t>
  </si>
  <si>
    <t>$2019/20</t>
  </si>
  <si>
    <t>$2020/21</t>
  </si>
  <si>
    <t>$2021/22</t>
  </si>
  <si>
    <t>expenditure ('000)</t>
  </si>
  <si>
    <t>Percent to RBP</t>
  </si>
  <si>
    <t>inflation</t>
  </si>
  <si>
    <t>asset</t>
  </si>
  <si>
    <t>real escalated expenditure ('000)</t>
  </si>
  <si>
    <t>currency</t>
  </si>
  <si>
    <t>Project</t>
  </si>
  <si>
    <t>Lytton lateral</t>
  </si>
  <si>
    <t>Expansion</t>
  </si>
  <si>
    <t>Financial Year</t>
  </si>
  <si>
    <t>Real year</t>
  </si>
  <si>
    <t>aa asset class</t>
  </si>
  <si>
    <t>ALARM RATIONALISATION</t>
  </si>
  <si>
    <t>Earthing and Lightning protection design review (Stations)</t>
  </si>
  <si>
    <t>Environmental Offset Strategy</t>
  </si>
  <si>
    <t>Files up to date on x-info</t>
  </si>
  <si>
    <t>Lands Property Database</t>
  </si>
  <si>
    <t>LOSS OF SUPPLY DESIGN REVIEW</t>
  </si>
  <si>
    <t>METER PERFORMANCE PROGRAM FEED</t>
  </si>
  <si>
    <t>Portable Slug Catcher - DN400</t>
  </si>
  <si>
    <t>QLD OPERATIONS SIB FUNDING</t>
  </si>
  <si>
    <t xml:space="preserve">QLD Tenure Audit </t>
  </si>
  <si>
    <t>SIS demand/test tracking system</t>
  </si>
  <si>
    <t>SIS improvement program FEED and Implementation</t>
  </si>
  <si>
    <t xml:space="preserve">SMS Reviews - QLD </t>
  </si>
  <si>
    <t>SMS, RLR, MEJ project review</t>
  </si>
  <si>
    <t>Applications and Renewals</t>
  </si>
  <si>
    <t>Infrastructure Renewals</t>
  </si>
  <si>
    <t>Software renewals</t>
  </si>
  <si>
    <t>Telecoms and IT infrastructure upgrades</t>
  </si>
  <si>
    <t>SIB</t>
  </si>
  <si>
    <t>RBP01</t>
  </si>
  <si>
    <t>RBP02</t>
  </si>
  <si>
    <t>Stay in Business</t>
  </si>
  <si>
    <t>AA</t>
  </si>
  <si>
    <t>check</t>
  </si>
  <si>
    <t>Replacement</t>
  </si>
  <si>
    <t>Total (18-22)</t>
  </si>
  <si>
    <t>asset type</t>
  </si>
  <si>
    <t>FY17 forecast for roll forward model</t>
  </si>
  <si>
    <t>PMA</t>
  </si>
  <si>
    <t>AA Costs</t>
  </si>
  <si>
    <t>Access Arrangement Reset costs</t>
  </si>
  <si>
    <t>Projects</t>
  </si>
  <si>
    <t>Dalby Turbine Overhaul</t>
  </si>
  <si>
    <t>Percent of capex in projects</t>
  </si>
  <si>
    <t>Pipelines</t>
  </si>
  <si>
    <t>Transmission</t>
  </si>
  <si>
    <t>Dollars</t>
  </si>
  <si>
    <t>Asset Classes</t>
  </si>
  <si>
    <t>Business case</t>
  </si>
  <si>
    <t>Regulated</t>
  </si>
  <si>
    <t>AA-03</t>
  </si>
  <si>
    <t>AA-02</t>
  </si>
  <si>
    <t>AA-06</t>
  </si>
  <si>
    <t>AA-08</t>
  </si>
  <si>
    <t>$m 2016/17</t>
  </si>
  <si>
    <t>Projects by size</t>
  </si>
  <si>
    <t>Value</t>
  </si>
  <si>
    <t>Business Case</t>
  </si>
  <si>
    <t>RBP RISK MITIGATION - FEED and IMPLEMENTATION</t>
  </si>
  <si>
    <t xml:space="preserve">RBP SCCMP EMAT ILI - DN250 </t>
  </si>
  <si>
    <t>Laser Scanner for Feature Assessment</t>
  </si>
  <si>
    <t>RBP S20 Decommissioned Compressor Removal</t>
  </si>
  <si>
    <t>PIPELINE REPAIR &amp; EXCAVATION PROGRAM (unplanned)</t>
  </si>
  <si>
    <t>17-22</t>
  </si>
  <si>
    <t>18-22</t>
  </si>
  <si>
    <t>Group IT</t>
  </si>
  <si>
    <t>Peat Lateral</t>
  </si>
  <si>
    <t>Other</t>
  </si>
  <si>
    <t>AA-01</t>
  </si>
  <si>
    <t>AA-04</t>
  </si>
  <si>
    <t>AA-05</t>
  </si>
  <si>
    <t>AA-07</t>
  </si>
  <si>
    <t>AA-09</t>
  </si>
  <si>
    <t>AA-10</t>
  </si>
  <si>
    <t>Pipeline Integrity Management</t>
  </si>
  <si>
    <t>Aquarium Passage</t>
  </si>
  <si>
    <t>Liquids Removal</t>
  </si>
  <si>
    <t>Bi-directional flow</t>
  </si>
  <si>
    <t>RBP Metro Looping FEED</t>
  </si>
  <si>
    <t>SCADA Upgrade</t>
  </si>
  <si>
    <t>Project code</t>
  </si>
  <si>
    <t>Project name</t>
  </si>
  <si>
    <t>Flooding Emergency Works</t>
  </si>
  <si>
    <t>Urban Risk Reduction</t>
  </si>
  <si>
    <t>Total Nominal expenditure</t>
  </si>
  <si>
    <t>Check nominal expenditure</t>
  </si>
  <si>
    <t>Number of Assets in Assets class</t>
  </si>
  <si>
    <t>Asset Class</t>
  </si>
  <si>
    <t>Number of mechanical assets</t>
  </si>
  <si>
    <t>Historic Capex</t>
  </si>
  <si>
    <t>Capex</t>
  </si>
  <si>
    <t>Inflation index</t>
  </si>
  <si>
    <t>index</t>
  </si>
  <si>
    <t>$m nominal</t>
  </si>
  <si>
    <t>Original Pipeline</t>
  </si>
  <si>
    <t>2017/18</t>
  </si>
  <si>
    <t>2018/19</t>
  </si>
  <si>
    <t>2019/20</t>
  </si>
  <si>
    <t>2020/21</t>
  </si>
  <si>
    <t>2021/22</t>
  </si>
  <si>
    <t>Projects for 2016/17 by size</t>
  </si>
  <si>
    <t>Toowoomba Crossing</t>
  </si>
  <si>
    <t>$2014/15</t>
  </si>
  <si>
    <t>Total (18 - 22)</t>
  </si>
  <si>
    <t>L</t>
  </si>
  <si>
    <t>M</t>
  </si>
  <si>
    <t>H</t>
  </si>
  <si>
    <t>Totals</t>
  </si>
  <si>
    <t>Enterprise Asset Management Upgrade FY21</t>
  </si>
  <si>
    <t>BizTalk System Upgrade FY20</t>
  </si>
  <si>
    <t>Supplier Qualification and Compliance</t>
  </si>
  <si>
    <t>Upgrade Enterprise OSI PI Historian 2017</t>
  </si>
  <si>
    <t>ID Procurement Data</t>
  </si>
  <si>
    <t>X-Info Aware Version 2</t>
  </si>
  <si>
    <t>CRM Upgrade</t>
  </si>
  <si>
    <t>Oracle eBS Upgrade to v12 2</t>
  </si>
  <si>
    <t>Automated Testing Tool</t>
  </si>
  <si>
    <t>BizTalk System Upgrade FY18</t>
  </si>
  <si>
    <t>PPM Refresh</t>
  </si>
  <si>
    <t>Enterprise Asset Management Upgrade FY18</t>
  </si>
  <si>
    <t>Form Digitisation Project</t>
  </si>
  <si>
    <t>Hazardous Area Platform</t>
  </si>
  <si>
    <t>Upgrade Enterprise OSI PI Historian</t>
  </si>
  <si>
    <t>SQL Server Upgrade</t>
  </si>
  <si>
    <t>SharePoint Upgrade</t>
  </si>
  <si>
    <t>HR Systems Refresh</t>
  </si>
  <si>
    <t>BI - Transmission Dashboard</t>
  </si>
  <si>
    <t>Forecast</t>
  </si>
  <si>
    <t>APA Grid Extend</t>
  </si>
  <si>
    <t>APA Grid Services Initiatives Program</t>
  </si>
  <si>
    <t>Hyperion Upgrade to v 11-1-2-4</t>
  </si>
  <si>
    <t>APA Grid - Energy Components Upgrade</t>
  </si>
  <si>
    <t>BI - Asset Datamart</t>
  </si>
  <si>
    <t>APA Website Project</t>
  </si>
  <si>
    <t>Enterprise Content Management</t>
  </si>
  <si>
    <t>Satellite Strategy</t>
  </si>
  <si>
    <t>Remote Vehicle Comms - Journey Management</t>
  </si>
  <si>
    <t>2016/17</t>
  </si>
  <si>
    <t>Total Cost (FY16+)</t>
  </si>
  <si>
    <t>FY21</t>
  </si>
  <si>
    <t>FY20</t>
  </si>
  <si>
    <t>FY19</t>
  </si>
  <si>
    <t>FY18</t>
  </si>
  <si>
    <t>FY17</t>
  </si>
  <si>
    <t>FY16</t>
  </si>
  <si>
    <t>Estimate Confidence*</t>
  </si>
  <si>
    <t>Cost</t>
  </si>
  <si>
    <t>Benefits provided to:</t>
  </si>
  <si>
    <t>Portfolio Roadmap as updated June 2016</t>
  </si>
  <si>
    <t>Mechanical</t>
  </si>
  <si>
    <t>Station</t>
  </si>
  <si>
    <t>Easement</t>
  </si>
  <si>
    <t>BAU</t>
  </si>
  <si>
    <t>MEJ</t>
  </si>
  <si>
    <t>No</t>
  </si>
  <si>
    <t>Environmental compliance works program in place - refer Brynn / PK</t>
  </si>
  <si>
    <t>JWo</t>
  </si>
  <si>
    <t>FEED+Deliver</t>
  </si>
  <si>
    <t>Lands</t>
  </si>
  <si>
    <t>Pipeline</t>
  </si>
  <si>
    <t>Understand legal obligations for APA notifications and development applications - CONFIRM OF MEJ or FEED study under internal opex in year 1 - placeholder for FY17</t>
  </si>
  <si>
    <t>Yes</t>
  </si>
  <si>
    <t>Manage under provision in operational budget (typ $100k per year)</t>
  </si>
  <si>
    <t>JS</t>
  </si>
  <si>
    <t>TBC with outcomes of FY15 works</t>
  </si>
  <si>
    <t>Erosion on ROW</t>
  </si>
  <si>
    <t>Operations</t>
  </si>
  <si>
    <t>BC</t>
  </si>
  <si>
    <t>General site deterioration as per site visit and email pre-Christmas - poor wiring, PSVs without tail etc</t>
  </si>
  <si>
    <t>Regulators&amp;Meters</t>
  </si>
  <si>
    <t>Low</t>
  </si>
  <si>
    <t>Andrew Adams</t>
  </si>
  <si>
    <t>Continuation?
3 years time consider turbine meter upgrades (should send away 3 yearly); national policy on meter maintenance? Improved accuracy and reliabilty</t>
  </si>
  <si>
    <t>FEED</t>
  </si>
  <si>
    <t>Metering</t>
  </si>
  <si>
    <t>Ongoing Program</t>
  </si>
  <si>
    <t>JW</t>
  </si>
  <si>
    <t>Scope being included in other line items as MEJ, but keep in here until recap completed</t>
  </si>
  <si>
    <t>Review compliance register and include in the MEJ plan</t>
  </si>
  <si>
    <t>Lifecycle Program</t>
  </si>
  <si>
    <t>Integrity</t>
  </si>
  <si>
    <t>leave in situ</t>
  </si>
  <si>
    <t>RG</t>
  </si>
  <si>
    <t>Raised from past issues list from MOP upgrade works</t>
  </si>
  <si>
    <t>High</t>
  </si>
  <si>
    <t>1 or 2 verification digs for Lytton Lateral</t>
  </si>
  <si>
    <t>Consider operations survey to be completed as part of normal maintenance works to identify areas and document (in GIS); Allow budget in FY18 for mitigation as required;</t>
  </si>
  <si>
    <t>Some sites identified as an issue - needs assessment on whether SIB budget required</t>
  </si>
  <si>
    <t>Electrical</t>
  </si>
  <si>
    <t>Reliability</t>
  </si>
  <si>
    <t xml:space="preserve">SATURN  20 Panels Upgrade - may be driven out of nationals ESD requirements and operating philosophy. </t>
  </si>
  <si>
    <t>SWQP: Incorporate scoping of HI sub-class near Wallumbilla and potential light wall pipe;
PEAT &amp; CGP also required in 2016</t>
  </si>
  <si>
    <t>5 yearly review required</t>
  </si>
  <si>
    <t>NL</t>
  </si>
  <si>
    <t>Consider purchase of spools for replacement in shutdowns as available</t>
  </si>
  <si>
    <t>Removal of the DN250 check valves and their latching modifications from the RBP MLV sites.  Replace with pipe spools.</t>
  </si>
  <si>
    <t>Deliver</t>
  </si>
  <si>
    <t>Undertake loss of supply review and provide recommendations - consider incorporating with HAZOP Assessment and SIS Review</t>
  </si>
  <si>
    <t>Critical sites for supply not fully understood</t>
  </si>
  <si>
    <t>$4k per run plus eng hrs data</t>
  </si>
  <si>
    <t>ND</t>
  </si>
  <si>
    <t>Cleaning run to be established intermittently until liquids removal project established - budget for 2 x 3 mth runs then 1 x 6 mth</t>
  </si>
  <si>
    <t>Liquids issue in Peat Lateral - also impacting CP isolation</t>
  </si>
  <si>
    <t>$8k per session (2 sections, 2 runs each)</t>
  </si>
  <si>
    <t>Liquids being captured in Wallumbilla in reverse flow</t>
  </si>
  <si>
    <t>FY16-17</t>
  </si>
  <si>
    <t>Update</t>
  </si>
  <si>
    <t xml:space="preserve">Currently underway for SWQP FY15 but expand;  </t>
  </si>
  <si>
    <t xml:space="preserve"> TBA </t>
  </si>
  <si>
    <t>Risk</t>
  </si>
  <si>
    <t>Medium</t>
  </si>
  <si>
    <t>Consider merging with HAZOP FEED and Loss of Supply FEED</t>
  </si>
  <si>
    <t>WWP</t>
  </si>
  <si>
    <t>1) Consolidate HAZOP/LOPA documentation for SIS across QLD sites.
2) Build master safety function and protective layer list. 
3) Determine key safety requirements for each SIF
4) Identify where proof testing is lacking
5) Develop proof test procedures and implement in EAM
6) Gather scope items for full compliance with APA's functional safety management framework.
Includes min two workshops</t>
  </si>
  <si>
    <t>moved to BAU</t>
  </si>
  <si>
    <t xml:space="preserve">FY16 - SEA, Caltex and BBP flagged for completion; </t>
  </si>
  <si>
    <t>Part of an overall QLD painting program - $80k per year across all assets - designated across 5 years</t>
  </si>
  <si>
    <t>Compliance</t>
  </si>
  <si>
    <t>Annual program to be established to address all registration requirements and ensure interference being adequately managed</t>
  </si>
  <si>
    <t xml:space="preserve">Upgrades of CPUs and re-registration of CPUs requires interference testing and mitigation of third party assets. </t>
  </si>
  <si>
    <t>Cathodic Protection</t>
  </si>
  <si>
    <t>OM</t>
  </si>
  <si>
    <t>DN400 Excavations as required - include direct assessment of unpiggable lines, DCVG outcome, ILI repairs / corrosion rate re-assessment</t>
  </si>
  <si>
    <t>deferred</t>
  </si>
  <si>
    <t>Obsolence</t>
  </si>
  <si>
    <t>PR</t>
  </si>
  <si>
    <t>Yuleba, Condamine, Dalby, Gatton</t>
  </si>
  <si>
    <t>Remove compressor, turbines, condensate tanks, lube oil, etc</t>
  </si>
  <si>
    <t>Continuation</t>
  </si>
  <si>
    <t>Efficiency</t>
  </si>
  <si>
    <t xml:space="preserve">Modify applicable Scraper Sites to reduce the runs in the DN250 and DN400 RBP:
- DN400: mods to stations at Yuleba, Kogan and Gatton; 
- DN250: mods to stations at Condamine, Dalby and Gatton;
- No DN400 mods at Condamine due to spec break in place;
- No mods for either line at Oakey due to the current configuration (but may be looked at in future as an option)
- No DN250 mods at Yuleba and Kogan due to inline filter preference to retain in place;
- Retain existing DN100 bypass pipeline (between two scrapers currently) for venting/blowdown purposes (ie for DN400 mods at Yuleba and DN250 mods at Condamine)
</t>
  </si>
  <si>
    <t>Savings anticipated from minimising the number of ILI runs in the RBP - based on latest commercial proposal.  Reduce to 4 sections per pipeline gives approx saving of $400-500k per pigging run.</t>
  </si>
  <si>
    <t>RBP ALL</t>
  </si>
  <si>
    <t>10 yrs</t>
  </si>
  <si>
    <t>ILI Pigging Strategy - National</t>
  </si>
  <si>
    <t>National Policy - non-strategic (10 yr target but extend if agreed) - subject to RLR and CP issues</t>
  </si>
  <si>
    <t>ILI SCHEDULE</t>
  </si>
  <si>
    <t>PEAT</t>
  </si>
  <si>
    <t>-</t>
  </si>
  <si>
    <t>7 yrs</t>
  </si>
  <si>
    <t>Age and metro</t>
  </si>
  <si>
    <t>DN200 “metro” from SEA block valve to Gibson Island - built 1970 - as per national pigging schedule</t>
  </si>
  <si>
    <t>Strategic (7 yr first run)</t>
  </si>
  <si>
    <t>MFL4 + Geometry + Mapping
XYZ</t>
  </si>
  <si>
    <t>As per national pigging strategy - commissioned 2013 - FY20 (strategic) or FY23 (non-strategic) TBC - $250k</t>
  </si>
  <si>
    <t>4.3.3</t>
  </si>
  <si>
    <t>SCC Management Plan</t>
  </si>
  <si>
    <t>SCC mitigation</t>
  </si>
  <si>
    <t>Consider EMAT tool for inspection of Metro</t>
  </si>
  <si>
    <t>frequency increased due to dents and feature numbers</t>
  </si>
  <si>
    <t>DN400 Wallumbilla to Swanbank (Roma to Brisbane – “Looping”) - as per national pigging schedule</t>
  </si>
  <si>
    <t>5 yrs</t>
  </si>
  <si>
    <t>ESD recommend 5 yr freq due to age, feature qty and dents</t>
  </si>
  <si>
    <t>MFL4 + Geometry + Mapping
for further Strain reports - Mapping module will be required - costs based on past work rather than vendor and incl verification</t>
  </si>
  <si>
    <t>Scope and plan excavation on the Condamine river</t>
  </si>
  <si>
    <t>&gt;0.3 % magnitude strain event at Condamine river; prioritised on FY15 dig program but requires river diversion and major works;</t>
  </si>
  <si>
    <t>Include status of pipe - include pre-test</t>
  </si>
  <si>
    <t>DN250 emergency preparedness needs review - implement outcome of FEED works in FY15</t>
  </si>
  <si>
    <t>CC</t>
  </si>
  <si>
    <t>past vessel defect, but defect assessment no concern; raised HSE issue of need for platform upgrade</t>
  </si>
  <si>
    <t xml:space="preserve"> * </t>
  </si>
  <si>
    <t>HSE</t>
  </si>
  <si>
    <t>SI</t>
  </si>
  <si>
    <t>Carryover from FY16 works</t>
  </si>
  <si>
    <t>Extend vent lines above roof</t>
  </si>
  <si>
    <t>PT</t>
  </si>
  <si>
    <t>Include subsidence and other upgrade</t>
  </si>
  <si>
    <t>Upgrade station to include storage for emergency response and upgrade admin facilities to improve ops efficiency</t>
  </si>
  <si>
    <t>Civil</t>
  </si>
  <si>
    <t>AR</t>
  </si>
  <si>
    <t>May be HA related, but limited background - discussion with Operations required to scope</t>
  </si>
  <si>
    <t>past works underground $400k - reduce for mostly above ground offtakes ($100k AG, $250k below ground)</t>
  </si>
  <si>
    <t>FC</t>
  </si>
  <si>
    <t>Only potential points are Dably biorefinery, Oakey Sales station, Sandy Creek and Ellengrove sales station (if not already being done by ALARP works) - and Riverview most likely underground site</t>
  </si>
  <si>
    <t>4.3.1</t>
  </si>
  <si>
    <t>HOLD</t>
  </si>
  <si>
    <t>9 CP sites for $200k; similar approvals required but for extra land and longer lead - allow for $100k per annum for 2 years</t>
  </si>
  <si>
    <t>CB</t>
  </si>
  <si>
    <t>Outcomes of FEED to be implemented</t>
  </si>
  <si>
    <t>Price and plan a FEED for water easement emergency preparedness, including risk based selection of water crossings - cost estimate of easement widening and other lands / licence costs; include additional purchases if required ie stopple fittings</t>
  </si>
  <si>
    <t>May be resolved by Nexus through TRSC project</t>
  </si>
  <si>
    <t xml:space="preserve">Design Life finish in 2017; Requires pigging to be re-run by 2019. </t>
  </si>
  <si>
    <t>total software implementation cost - dependent on IT drivers; RBP proportion only</t>
  </si>
  <si>
    <t>Manual paper based systems are a starting poing, but they are prone to duplication and cost more in the long run due to double handling, lack of analysis capabilities and resultant loss of opportunity to improve safety/availability,.</t>
  </si>
  <si>
    <t>1) instigate manual paper based processes
2) build something in Maximo</t>
  </si>
  <si>
    <t>1) purchase software licence
2) configure key sites and test procedures, and Maximo interface (if applicable)
3) train people in use</t>
  </si>
  <si>
    <t>RC</t>
  </si>
  <si>
    <t xml:space="preserve">Should be evaluated as part of Meter performance FEED works in FY16. </t>
  </si>
  <si>
    <t>4.3.4</t>
  </si>
  <si>
    <t>n/a</t>
  </si>
  <si>
    <t>QLD FM Global FEED</t>
  </si>
  <si>
    <t>Fire</t>
  </si>
  <si>
    <t>RB</t>
  </si>
  <si>
    <t>Oakey and Kogan Water Mist System</t>
  </si>
  <si>
    <t>OAKEY, KOGAN</t>
  </si>
  <si>
    <t>$98k estimate for 130kW Heater and control panel (DN200) - plus additional for civils and pipework;</t>
  </si>
  <si>
    <t>Toowoomba Range Station upgrade</t>
  </si>
  <si>
    <t>Outcome of FY16 FEED works to understand requirements and priority for a Heater at Toowoomba</t>
  </si>
  <si>
    <t>TOOWOOMBA</t>
  </si>
  <si>
    <t>FEED report</t>
  </si>
  <si>
    <t xml:space="preserve"> $            -  </t>
  </si>
  <si>
    <t>QLD Fire Suppression FEED</t>
  </si>
  <si>
    <t>Risk of fire escalation to full control room outage, leading to prolonged station control outage.</t>
  </si>
  <si>
    <t>Deferral or no upgrade</t>
  </si>
  <si>
    <t>AB</t>
  </si>
  <si>
    <t>Bellbird Park and Ellengrove nominated for potential fire suppression - Ellengrove first priority - BBP in FY17 but likely to cost more than Ellengrove</t>
  </si>
  <si>
    <t>Follow up from FEED works in FY15; Upgrade station control rooms that are identified as requiring fire suppression; Followup from FM Global FY15 recommendations to review adequacy.</t>
  </si>
  <si>
    <t>BELLBIRD PARK</t>
  </si>
  <si>
    <t>3.3.4</t>
  </si>
  <si>
    <t>$900 per unit quote, approx 90 units - plus install  across metro</t>
  </si>
  <si>
    <t>nil</t>
  </si>
  <si>
    <t xml:space="preserve">consider allocating spend / yr or address in full by priority </t>
  </si>
  <si>
    <t>RBP FEED Report</t>
  </si>
  <si>
    <t>Low risk - however metro area exposure to test points will increase and is a safety &amp; compliance risk</t>
  </si>
  <si>
    <t>Deferral only</t>
  </si>
  <si>
    <t>Implement RBP FEED report recommendations - test points in metro area, update procedures</t>
  </si>
  <si>
    <t>Review AS4853 Requirements for QLD assets;</t>
  </si>
  <si>
    <t>15k per LIDAR; 
$400k Coffeys quote; $250k strain guage install and monitoring;</t>
  </si>
  <si>
    <t>Slope Management Plan</t>
  </si>
  <si>
    <t>Slope Management Plan outcomes to be implemented. Consider LIDAR surveys, Coffey stress state assessment, and strain guage install &amp; measurement</t>
  </si>
  <si>
    <t>quotation</t>
  </si>
  <si>
    <t>EV</t>
  </si>
  <si>
    <t>Justification</t>
  </si>
  <si>
    <t>Tools</t>
  </si>
  <si>
    <t>4.3.5</t>
  </si>
  <si>
    <t>Liquids vessel at Scotia and Woodroyd? 100k vessel plus pipework</t>
  </si>
  <si>
    <t xml:space="preserve"> xx </t>
  </si>
  <si>
    <t>mid 2014</t>
  </si>
  <si>
    <t>Outcome of FY16 FEED</t>
  </si>
  <si>
    <t xml:space="preserve"> $2M per 3 sections </t>
  </si>
  <si>
    <t>Dependent on tool availability for EMAT versus Hydro</t>
  </si>
  <si>
    <t>SCC Managemennt Plan recommendations - timing within 4 years of identification - either hydrotesting or crack detection; Target FY17 start - FY18 complete</t>
  </si>
  <si>
    <t>RBP DN250</t>
  </si>
  <si>
    <t>2016 Solar Schedule</t>
  </si>
  <si>
    <t>XL</t>
  </si>
  <si>
    <t>Confirm EAM regimes - nothing identified over next 5 years for other assets;
Dalby estimate $1.3M based on 2016 pricing, which includes the overhaul of gas producer, power turbine and auxiliary gear box</t>
  </si>
  <si>
    <t>50,000hrs major overhaul as per EAM regime - intermittent usage up to 4000 hrs per year - currently at approx 20000hrs</t>
  </si>
  <si>
    <t>Rotating</t>
  </si>
  <si>
    <t>DALBY</t>
  </si>
  <si>
    <t>DN200 Lytton Lateral from SEA block valve to Caltex Refinery - as per national pigging schedule - COMMISSIONED 2010</t>
  </si>
  <si>
    <t>Driven by Electrical, but with Mechanical components - undertake FEED to address compliance and flow computer performance - to present to Incitec</t>
  </si>
  <si>
    <t>Pig run calculator for GE - plus minor for internal costs</t>
  </si>
  <si>
    <t>Metro, AC risks</t>
  </si>
  <si>
    <t>DN400 Collinwood Park take off–Ellengrove - as per national pigging schedule</t>
  </si>
  <si>
    <t>RBP CE Lateral</t>
  </si>
  <si>
    <t>followon from past works</t>
  </si>
  <si>
    <t>Non compliance - regulatory &amp; reputation</t>
  </si>
  <si>
    <t>Oakey and Kogan Remaining Works</t>
  </si>
  <si>
    <t>Ongoing program</t>
  </si>
  <si>
    <t>estimated carryover</t>
  </si>
  <si>
    <t>Supply Reliability &amp; Availability</t>
  </si>
  <si>
    <t>Isolation Plan outcome; manages risk of coal fire on swanbank lateral by enabling islation and maintaining brisbane supply through Ellengrove;</t>
  </si>
  <si>
    <t>Access Arrangement</t>
  </si>
  <si>
    <t>Carryover from FY16 to FY17 for construction - Procurement in FY16</t>
  </si>
  <si>
    <t>COLLINGWOOD</t>
  </si>
  <si>
    <t>based on FY16 AFE</t>
  </si>
  <si>
    <t>Pool</t>
  </si>
  <si>
    <t>Many vehicles over due for renewal / replacement;
Heavily modified or high spec vehicles on replacement program rather than lease. 5 outstanding vehicles up for renewal;</t>
  </si>
  <si>
    <t>LB</t>
  </si>
  <si>
    <t>2 vehicles required for FY17 on CGP, providing for one purchase but preference to lease if possible on RBP - based on previous spend in FY16. Longterm vehicle plan still to be confirmed</t>
  </si>
  <si>
    <t>FACILITIES ALL</t>
  </si>
  <si>
    <t>4.3.2</t>
  </si>
  <si>
    <t>100k each for MLV actuation, additional blowdown</t>
  </si>
  <si>
    <t>Isolation Plan</t>
  </si>
  <si>
    <t>Isolation Plan outcomes</t>
  </si>
  <si>
    <t>4 metro sites redesign vent stack; actuate key MLVs in metro; consider new offtake for blowdown, consider vent stack at Scotia and actuating Welsh MLV</t>
  </si>
  <si>
    <t>FEED in progress - Metro Vent stack redesign; consider actuating MLVs and new offtake for blowdown (include Peat Lateral)</t>
  </si>
  <si>
    <t>RBP METRO</t>
  </si>
  <si>
    <t>Delivery being managed through Electrical</t>
  </si>
  <si>
    <t>10 units per year - supply and install, dependent on outcomes of FY15 works - refer to CP plan - purchases in blocks of 10.</t>
  </si>
  <si>
    <t>Increased risk of station outage due to degraded equipment;  elevated risk of ignition in case of gas release.</t>
  </si>
  <si>
    <t>Updated in AMP or separate plan for 5 years; in past 2 years scope focus on fire and gas and aftercooler equipment; Oakey and Kogan sites require valve skid, fuel gas skid , aftecooler fan motor and compressor shed lights into 2017/18</t>
  </si>
  <si>
    <t>Implementation of HA inspections to address compliance - ongoing program - Kogan and Oakey completion first up - $100k insufficient for full completion of station package, hence increase based on typical actuals</t>
  </si>
  <si>
    <t>potentially 550k in FY18 for MLV vents and Actuation - consider program spread to FY19 as well</t>
  </si>
  <si>
    <t xml:space="preserve"> 7k </t>
  </si>
  <si>
    <t>MP20, MP106, MP143 - Investigate Fire break adequacy /Fencing/Signage; 
SS Upgrade (Gat / Con); MS Design review (Wall and Red);
-Dalby and Yuleba upgrades (100k)
- include earthing of vent points while still isolating CP ($40k)
- include DN250 MLV Station upgrade 14 sites for venting ($350k);
- include DN250 MLV Actuation at key sites ($250k);
Continue to include RBP Wallumbilla</t>
  </si>
  <si>
    <t>Address all required HAZOP Actions - incorporating FEED in FY16 and implementation across FY17, 18, 19;
Include some upgrade items associated with S20 decommissioning (pipe supports upgrade etc); 
- Redesign vent stacks at MLVs and Compressor Stations for safe pipeline blowdown (FY18);
- Actuate key MLV's for remote operation from IOC (FY19)
- Scraper Station Upgrades (FY19)</t>
  </si>
  <si>
    <t>cost estimate per year at 9.6 sites per annum over 6 years with escalation</t>
  </si>
  <si>
    <t>Reference easement plan?</t>
  </si>
  <si>
    <t>Jwo</t>
  </si>
  <si>
    <t>Tool</t>
  </si>
  <si>
    <t>Basis for funding to be scoped to confirm estimate - notional breakdown $70k per 3 systems; reduced from FY16 by $40k;</t>
  </si>
  <si>
    <t>Facility</t>
  </si>
  <si>
    <t>ESD and RLR recommendation - metro (target CY16)</t>
  </si>
  <si>
    <t>MFL4 + Geometry + Mapping
for further Strain reports - Mapping module will be required</t>
  </si>
  <si>
    <t>DN300 “metro” from Bellbird Park to SEA block valve  via Ellengrove and Mount Gravatt - built 1970 - as per national pigging schedule</t>
  </si>
  <si>
    <t>rough quotation from QPS</t>
  </si>
  <si>
    <t>Design transportable liquids drop out facility for DN400 (max) capability - similar to VIC design - Confirm CL rating (900 or 1500)</t>
  </si>
  <si>
    <t>Liquids issues in Peat Lateral and Wallumbilla from RBP reverse flow and BWP - more frequent cleaning pigging required. Need more efficient means of capturing liquids</t>
  </si>
  <si>
    <t>CP Plan</t>
  </si>
  <si>
    <t>CP 5 year upgrade plan</t>
  </si>
  <si>
    <t>Include Peat Lateral CP Bed upgrades;
Scope includes:
- upgrade units to 80A;
- re-shuffle of 40 A units to 25A sites;
- 1 x infill site assumed ($150k)
- bed upgrades and other misc items</t>
  </si>
  <si>
    <t>Ref CP upgrade 5 year plan</t>
  </si>
  <si>
    <t>$4M / year as a starting point -- dependent on outcome of Major Project</t>
  </si>
  <si>
    <t>Target 100 digs per year for budgeting</t>
  </si>
  <si>
    <t xml:space="preserve">Progressing integrity upgrade program based on ILI growth assessment and dent criticality; </t>
  </si>
  <si>
    <t>$2M per station (x 4), plus $500k / km - up to 12km makes total $14M - allow for some carryover into FY18</t>
  </si>
  <si>
    <t>Mt Gravatt minor modifications; 
consider future compression in metro to meet capacity and address ALARP outcomes;
Regulation on DN250 and DN400;
Significant slabbing (10km)</t>
  </si>
  <si>
    <t>real year</t>
  </si>
  <si>
    <t>AA Asset Class</t>
  </si>
  <si>
    <t>Asset Group</t>
  </si>
  <si>
    <t>Value ($2015/16)</t>
  </si>
  <si>
    <t>AA Commentary - Follow up</t>
  </si>
  <si>
    <t>AMP Ref</t>
  </si>
  <si>
    <t>Business Case No.</t>
  </si>
  <si>
    <t>FY22</t>
  </si>
  <si>
    <t>FUNDING TYPE</t>
  </si>
  <si>
    <t>PROGRAM FREQUENCY</t>
  </si>
  <si>
    <t>In 5 Year Plan?</t>
  </si>
  <si>
    <t>Total Estimate</t>
  </si>
  <si>
    <t>Estimate Basis</t>
  </si>
  <si>
    <t xml:space="preserve"> Estimate Confidence 
1 (best),2,3 (worst)</t>
  </si>
  <si>
    <t>Contingency?</t>
  </si>
  <si>
    <t>Delivery Estimate</t>
  </si>
  <si>
    <t>FEED Estimate</t>
  </si>
  <si>
    <t>REF DOCUMENT / WORK ORDER</t>
  </si>
  <si>
    <t>DRIVER CATEGORY</t>
  </si>
  <si>
    <t>PRIORITY LEVEL</t>
  </si>
  <si>
    <t>JUSTIFICATION / RISK IF DEFERRED</t>
  </si>
  <si>
    <t>ALTERNATIVE OPTIONS</t>
  </si>
  <si>
    <t>DATE RAISED</t>
  </si>
  <si>
    <t>FR BY</t>
  </si>
  <si>
    <t>ISSUE RAISED BY</t>
  </si>
  <si>
    <t>SCOPE SPECIFICS</t>
  </si>
  <si>
    <t>ISSUE DESCRIPTION</t>
  </si>
  <si>
    <t>PROJECT TYPE</t>
  </si>
  <si>
    <t>PROJECT NAME</t>
  </si>
  <si>
    <t>Function</t>
  </si>
  <si>
    <t>SITE NAME</t>
  </si>
  <si>
    <t>AMP ACCEPTANCE</t>
  </si>
  <si>
    <t>FUNDING REQUEST DETAILS</t>
  </si>
  <si>
    <t>PROJECT SUMMARY</t>
  </si>
  <si>
    <t>600k per section, target 3 sections as first priority, followup with 2 sections</t>
  </si>
  <si>
    <t>Pig run calculator for GE - plus $400k total for other based on past project 32565</t>
  </si>
  <si>
    <t>Replacement of Laser Scanner for feature assessment;</t>
  </si>
  <si>
    <t>Anticipate replacement / upgrade of laser scanner for feature assessment</t>
  </si>
  <si>
    <t>based on 2016 purchase cost</t>
  </si>
  <si>
    <t>maybe up to 4 digs per year managed adhoc by operations</t>
  </si>
  <si>
    <t>Forecast number of dig ups</t>
  </si>
  <si>
    <t>Metro</t>
  </si>
  <si>
    <t>Non Metro</t>
  </si>
  <si>
    <t>#</t>
  </si>
  <si>
    <t>Integrity Digs</t>
  </si>
  <si>
    <t>Row</t>
  </si>
  <si>
    <t>ILI</t>
  </si>
  <si>
    <t>CP upgrade</t>
  </si>
  <si>
    <t>Average</t>
  </si>
  <si>
    <t>ILI breakdown</t>
  </si>
  <si>
    <t>Original</t>
  </si>
  <si>
    <t>Looping</t>
  </si>
  <si>
    <t>Laterals</t>
  </si>
  <si>
    <t>Total ILI</t>
  </si>
  <si>
    <t>Breakdown of Integrity digs by element ($m 2016/17)</t>
  </si>
  <si>
    <t>Breakdown of Integrity digs by project ($m 2016/17)</t>
  </si>
  <si>
    <t>Percent</t>
  </si>
  <si>
    <t>Breakdown of Integrity digs by project ($m nominal)</t>
  </si>
  <si>
    <t>Total Forecast Capex</t>
  </si>
  <si>
    <t>Difference</t>
  </si>
  <si>
    <t>Inline Inspection of Pipelines</t>
  </si>
  <si>
    <t>Coating Refurbishment and Life Extension</t>
  </si>
  <si>
    <t xml:space="preserve"> $            -   </t>
  </si>
  <si>
    <t xml:space="preserve"> $              -   </t>
  </si>
  <si>
    <t>Easement Acquisition for CP</t>
  </si>
  <si>
    <t>CP Upgrade Programme</t>
  </si>
  <si>
    <t>CP Telemetry Installation</t>
  </si>
  <si>
    <t>Forecast capex organised in same way as BC</t>
  </si>
  <si>
    <t>Comparison with numbers in business case</t>
  </si>
  <si>
    <t>Table 4.10: Capital expenditure by driver over the forecast access arrangement period ($2016/17)</t>
  </si>
  <si>
    <t>Table 4.14: Forecast Capital expenditure on Toowoomba Range ($m 2016/17)</t>
  </si>
  <si>
    <t>Table 4.16: Forecast Capital Expenditure Dalby turbine overhaul</t>
  </si>
  <si>
    <t>Integrity Management Upgrade</t>
  </si>
  <si>
    <t>Integrity upgrade digups</t>
  </si>
  <si>
    <t>Table 4.12: Forecast number of integrity upgrade digups</t>
  </si>
  <si>
    <t>Table 4.13: Forecast capital expenditure Pipeline integrity management upgrade ($m 2016/17)</t>
  </si>
  <si>
    <t>Towoomba Range</t>
  </si>
  <si>
    <t>Table 4.15: Forecast capital expenditure urban risk reduction ($m 2016/17)</t>
  </si>
  <si>
    <t>Urban risk reduction</t>
  </si>
  <si>
    <t>Upgrade Projects</t>
  </si>
  <si>
    <t>Energy Components</t>
  </si>
  <si>
    <t>X</t>
  </si>
  <si>
    <t>Historian</t>
  </si>
  <si>
    <t>SCADA</t>
  </si>
  <si>
    <t>Middleware</t>
  </si>
  <si>
    <t>DBYD</t>
  </si>
  <si>
    <t>Field Data / Mobility</t>
  </si>
  <si>
    <t>GIS</t>
  </si>
  <si>
    <t>EAM</t>
  </si>
  <si>
    <t>Application Upgrade Plan</t>
  </si>
  <si>
    <t>Table 4.17: Integration update plan</t>
  </si>
  <si>
    <t>Table 4.18: RBP capital expenditure on applications upgrade</t>
  </si>
  <si>
    <t>Applications renewal</t>
  </si>
  <si>
    <t>Urban Risk Mitigation</t>
  </si>
  <si>
    <t>Description</t>
  </si>
  <si>
    <t xml:space="preserve">Labour </t>
  </si>
  <si>
    <t xml:space="preserve"> Material </t>
  </si>
  <si>
    <t xml:space="preserve"> Plant </t>
  </si>
  <si>
    <t xml:space="preserve"> Subcontract </t>
  </si>
  <si>
    <t xml:space="preserve"> Other </t>
  </si>
  <si>
    <t xml:space="preserve"> Cost Total </t>
  </si>
  <si>
    <t>Project Management</t>
  </si>
  <si>
    <t>Land &amp; Approvals</t>
  </si>
  <si>
    <t>Design</t>
  </si>
  <si>
    <t>Procurement</t>
  </si>
  <si>
    <t>Construction</t>
  </si>
  <si>
    <t>Commissioning &amp; Handover</t>
  </si>
  <si>
    <t>Total =</t>
  </si>
  <si>
    <t>Toowoomba Range</t>
  </si>
  <si>
    <t>Design Development</t>
  </si>
  <si>
    <t>10"</t>
  </si>
  <si>
    <t>16"</t>
  </si>
  <si>
    <t>Inputs</t>
  </si>
  <si>
    <t>Percent of forecast capex</t>
  </si>
  <si>
    <t>Forecast Capex</t>
  </si>
  <si>
    <t>Direct labour expenditure</t>
  </si>
  <si>
    <t>Direct materials expenditure</t>
  </si>
  <si>
    <t>Direct contractor expenditure</t>
  </si>
  <si>
    <t>Other direct expenditure</t>
  </si>
  <si>
    <t>Overheads</t>
  </si>
  <si>
    <t>Percentage</t>
  </si>
  <si>
    <t>Application to forecast</t>
  </si>
  <si>
    <t>total forecast capex</t>
  </si>
  <si>
    <t>4.1.1 - EXPANSION (by Project)</t>
  </si>
  <si>
    <t>EXPENDITURE
Actual ($0's)</t>
  </si>
  <si>
    <t>4.1.2 - REPLACEMENT (by Project)</t>
  </si>
  <si>
    <t>4.1.3 - NON SYSTEM CAPEX</t>
  </si>
  <si>
    <t>4.3 - FORECAST CAPEX</t>
  </si>
  <si>
    <t>Nil</t>
  </si>
  <si>
    <t>Residual Capex</t>
  </si>
  <si>
    <t>Capex per year</t>
  </si>
  <si>
    <t>Residual capex forecast</t>
  </si>
  <si>
    <t>Business Cases</t>
  </si>
  <si>
    <t>Total Capex</t>
  </si>
  <si>
    <t>Cost Type</t>
  </si>
  <si>
    <t>Internal Labour</t>
  </si>
  <si>
    <t>External Labour</t>
  </si>
  <si>
    <t>Materials</t>
  </si>
  <si>
    <t>SCADA System</t>
  </si>
  <si>
    <t>Middleware - Biztalk</t>
  </si>
  <si>
    <t>Dial Before You Dig</t>
  </si>
  <si>
    <t>Field Data – Mobility Systems</t>
  </si>
  <si>
    <t>Geospatial Information System</t>
  </si>
  <si>
    <t>Enterprise Asset Management</t>
  </si>
  <si>
    <t>Infrastructure Renewal</t>
  </si>
  <si>
    <t>Figure 4.3: Capital expenditure by asset class over the forecast AA period ($2015/16)</t>
  </si>
  <si>
    <t>CPI</t>
  </si>
  <si>
    <t>Dalby Turrbine overhaul</t>
  </si>
  <si>
    <t>Nominal cost estimates for checking business cases</t>
  </si>
  <si>
    <t>Excavations</t>
  </si>
  <si>
    <t>Laser Scanner</t>
  </si>
  <si>
    <t>CP Easement</t>
  </si>
  <si>
    <t>CP Upgrades</t>
  </si>
  <si>
    <t>CP Telemetry</t>
  </si>
  <si>
    <t>TOTALS</t>
  </si>
  <si>
    <t>Labour</t>
  </si>
  <si>
    <t>Contractors</t>
  </si>
  <si>
    <t>TOTAL</t>
  </si>
  <si>
    <t>Daldy Turbine Overhaul</t>
  </si>
  <si>
    <t>IMU real</t>
  </si>
  <si>
    <t>2012-13</t>
  </si>
  <si>
    <t>2013-14</t>
  </si>
  <si>
    <t>2014-15</t>
  </si>
  <si>
    <t>2015-16</t>
  </si>
  <si>
    <t>2016-17</t>
  </si>
  <si>
    <t>EXPENDITURE
Forecast ($0's real, June 2017)</t>
  </si>
  <si>
    <t>2017-18</t>
  </si>
  <si>
    <t>2018-19</t>
  </si>
  <si>
    <t>2019-20</t>
  </si>
  <si>
    <t>2021-22</t>
  </si>
  <si>
    <t>2020-21</t>
  </si>
  <si>
    <t>AAI Table 3.3:  Forecast conforming capital expenditure by category over the Access Arrangement Period</t>
  </si>
  <si>
    <t>Non System</t>
  </si>
  <si>
    <t>FEED completed in FY15 flagged these sites for potential water mist system</t>
  </si>
  <si>
    <t>regular tools funding</t>
  </si>
  <si>
    <t>APA's process safety risks across QLD assets, as well as the safety instrumented system (SIS) installed to mitigate those risks can be refined. This means we have difficulty managing those safety functions, to ensure they are effective.</t>
  </si>
  <si>
    <t>plan with shutdown works - bring procurement forward. Moved to Fy16 P4 item. FEED and procurement FY16.</t>
  </si>
  <si>
    <t>First year include status of existing beds - provide plan for long-term including status of existing bed easements</t>
  </si>
  <si>
    <t>Forecast increase post FY18 ILI - include Lytton Road defect</t>
  </si>
  <si>
    <t xml:space="preserve">Some areas on RBP flagged as shallow depth of cover. Identified need to survey, assess and mitigate as required. Was $50k FY16 - but not used. </t>
  </si>
  <si>
    <t>Incorporated in RTU upgrade works in FY16. this review is required to address Haz area, Flow computer and other component review.</t>
  </si>
  <si>
    <t xml:space="preserve">Review status of existing meters and maintenance costs / process and assess for upgrading/replacing meters.   - audits conducted on meter performance; </t>
  </si>
  <si>
    <t xml:space="preserve">Moved to Fy16 - P4 item. </t>
  </si>
  <si>
    <t>Outcomes of FY14 works to be used - Implementation of liquids removal upgrade at Arubial, may need commercial input</t>
  </si>
  <si>
    <t>Isolation plan, hazardous area and security</t>
  </si>
  <si>
    <t>New offtakes at existing stations off DN400 for supply reliability</t>
  </si>
  <si>
    <t>FY19 for DN250 ILI &amp; Verification digs; [Verification digs carryover from remaining 2015 ILI]</t>
  </si>
  <si>
    <t>ALARP study outcomes to be scoped and implemented</t>
  </si>
  <si>
    <t xml:space="preserve">System and process for capturing trip tests and real system demands on the safety instrumented systems (SIS) across the sites. RBP will only pay a proportion of software costs. </t>
  </si>
  <si>
    <t>Linked to road project and ongoing survey data; being investigated in 2015 (NL). Further monitoring measures to be implemented. .</t>
  </si>
  <si>
    <t>Include analysis on hazardous area</t>
  </si>
  <si>
    <t>Heater installation at Toowoomba MS. Recent upgrade project on Toowoomba Station</t>
  </si>
  <si>
    <t>Status of existing vehicles and purchase dates</t>
  </si>
  <si>
    <t>outside 5 years, subject to 50,000hrs run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</si>
</sst>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0.0"/>
    <numFmt numFmtId="166" formatCode="0.0%"/>
    <numFmt numFmtId="167" formatCode="&quot;$&quot;#,##0"/>
    <numFmt numFmtId="168" formatCode="_-* #,##0_-;\-* #,##0_-;_-* &quot;-&quot;??_-;_-@_-"/>
    <numFmt numFmtId="169" formatCode="_-* #,##0.0_-;[Red]\(#,##0.0\)_-;_-* &quot;-&quot;??_-;_-@_-"/>
    <numFmt numFmtId="170" formatCode="_-* #,##0.00000_-;\-* #,##0.00000_-;_-* &quot;-&quot;??_-;_-@_-"/>
    <numFmt numFmtId="171" formatCode="_-* #,##0.0_-;\-* #,##0.0_-;_-* &quot;-&quot;??????_-;_-@_-"/>
  </numFmts>
  <fonts count="40" x14ac:knownFonts="1">
    <font>
      <sz val="11"/>
      <color theme="1"/>
      <name val="Century Gothic"/>
      <family val="2"/>
    </font>
    <font>
      <sz val="10"/>
      <color theme="1"/>
      <name val="Arial"/>
      <family val="2"/>
    </font>
    <font>
      <sz val="10"/>
      <color theme="1"/>
      <name val="Arial"/>
      <family val="2"/>
    </font>
    <font>
      <b/>
      <sz val="10"/>
      <color theme="0"/>
      <name val="Arial"/>
      <family val="2"/>
    </font>
    <font>
      <sz val="10"/>
      <color theme="1"/>
      <name val="Century Gothic"/>
      <family val="2"/>
    </font>
    <font>
      <b/>
      <sz val="10"/>
      <color theme="1"/>
      <name val="Century Gothic"/>
      <family val="2"/>
    </font>
    <font>
      <sz val="10"/>
      <color rgb="FF006100"/>
      <name val="Arial"/>
      <family val="2"/>
    </font>
    <font>
      <sz val="10"/>
      <color rgb="FF9C0006"/>
      <name val="Arial"/>
      <family val="2"/>
    </font>
    <font>
      <sz val="10"/>
      <color rgb="FF9C6500"/>
      <name val="Arial"/>
      <family val="2"/>
    </font>
    <font>
      <i/>
      <sz val="10"/>
      <color rgb="FF7F7F7F"/>
      <name val="Arial"/>
      <family val="2"/>
    </font>
    <font>
      <sz val="10"/>
      <color theme="0"/>
      <name val="Arial"/>
      <family val="2"/>
    </font>
    <font>
      <sz val="9"/>
      <name val="Century Gothic"/>
      <family val="2"/>
    </font>
    <font>
      <sz val="9"/>
      <color theme="0"/>
      <name val="Century Gothic"/>
      <family val="2"/>
    </font>
    <font>
      <sz val="10"/>
      <color rgb="FFFF0000"/>
      <name val="Arial"/>
      <family val="2"/>
    </font>
    <font>
      <b/>
      <sz val="10"/>
      <color theme="1"/>
      <name val="Arial"/>
      <family val="2"/>
    </font>
    <font>
      <b/>
      <sz val="16"/>
      <color rgb="FFC8102E"/>
      <name val="Century Gothic"/>
      <family val="2"/>
    </font>
    <font>
      <b/>
      <sz val="11"/>
      <color rgb="FF25282A"/>
      <name val="Century Gothic"/>
      <family val="2"/>
    </font>
    <font>
      <sz val="10"/>
      <color rgb="FFFA7D00"/>
      <name val="Arial"/>
      <family val="2"/>
    </font>
    <font>
      <b/>
      <sz val="9"/>
      <color rgb="FFFFFFFF"/>
      <name val="Arial Narrow"/>
      <family val="2"/>
    </font>
    <font>
      <sz val="9"/>
      <color rgb="FF25282A"/>
      <name val="Century Gothic"/>
      <family val="2"/>
    </font>
    <font>
      <b/>
      <sz val="9"/>
      <color rgb="FF25282A"/>
      <name val="Century Gothic"/>
      <family val="2"/>
    </font>
    <font>
      <sz val="11"/>
      <name val="Century Gothic"/>
      <family val="2"/>
    </font>
    <font>
      <b/>
      <sz val="11"/>
      <color rgb="FFC8102E"/>
      <name val="Century Gothic"/>
      <family val="2"/>
    </font>
    <font>
      <b/>
      <sz val="11"/>
      <name val="Century Gothic"/>
      <family val="2"/>
    </font>
    <font>
      <sz val="10"/>
      <name val="Arial"/>
      <family val="2"/>
    </font>
    <font>
      <b/>
      <sz val="9"/>
      <color indexed="81"/>
      <name val="Tahoma"/>
      <family val="2"/>
    </font>
    <font>
      <sz val="9"/>
      <color indexed="81"/>
      <name val="Tahoma"/>
      <family val="2"/>
    </font>
    <font>
      <b/>
      <sz val="11"/>
      <color rgb="FFBEAFA8"/>
      <name val="Century Gothic"/>
      <family val="2"/>
    </font>
    <font>
      <b/>
      <sz val="14"/>
      <name val="Calibri"/>
      <family val="2"/>
      <scheme val="minor"/>
    </font>
    <font>
      <sz val="12"/>
      <name val="Calibri"/>
      <family val="2"/>
      <scheme val="minor"/>
    </font>
    <font>
      <b/>
      <sz val="11"/>
      <name val="Calibri"/>
      <family val="2"/>
    </font>
    <font>
      <b/>
      <sz val="10"/>
      <name val="Arial"/>
      <family val="2"/>
    </font>
    <font>
      <b/>
      <sz val="10"/>
      <color indexed="9"/>
      <name val="Arial"/>
      <family val="2"/>
    </font>
    <font>
      <sz val="10"/>
      <color indexed="9"/>
      <name val="Arial"/>
      <family val="2"/>
    </font>
    <font>
      <b/>
      <sz val="12"/>
      <name val="Arial"/>
      <family val="2"/>
    </font>
    <font>
      <b/>
      <sz val="14"/>
      <color theme="0"/>
      <name val="Calibri"/>
      <family val="2"/>
      <scheme val="minor"/>
    </font>
    <font>
      <sz val="11"/>
      <name val="Arial"/>
      <family val="2"/>
    </font>
    <font>
      <b/>
      <sz val="11"/>
      <color theme="1"/>
      <name val="Century Gothic"/>
      <family val="2"/>
    </font>
    <font>
      <b/>
      <sz val="11"/>
      <color rgb="FFFFFFFF"/>
      <name val="Arial Narrow"/>
      <family val="2"/>
    </font>
    <font>
      <sz val="11"/>
      <color rgb="FF25282A"/>
      <name val="Century Gothic"/>
      <family val="2"/>
    </font>
  </fonts>
  <fills count="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FC8D7"/>
        <bgColor indexed="64"/>
      </patternFill>
    </fill>
    <fill>
      <patternFill patternType="solid">
        <fgColor rgb="FFBEAFA8"/>
        <bgColor indexed="64"/>
      </patternFill>
    </fill>
    <fill>
      <patternFill patternType="solid">
        <fgColor rgb="FF1C4483"/>
        <bgColor indexed="64"/>
      </patternFill>
    </fill>
    <fill>
      <patternFill patternType="solid">
        <fgColor rgb="FFFFD100"/>
        <bgColor indexed="64"/>
      </patternFill>
    </fill>
    <fill>
      <patternFill patternType="solid">
        <fgColor rgb="FF333333"/>
        <bgColor indexed="64"/>
      </patternFill>
    </fill>
    <fill>
      <patternFill patternType="solid">
        <fgColor rgb="FF92D050"/>
        <bgColor indexed="64"/>
      </patternFill>
    </fill>
    <fill>
      <patternFill patternType="solid">
        <fgColor rgb="FF98102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34998626667073579"/>
        <bgColor indexed="64"/>
      </patternFill>
    </fill>
    <fill>
      <patternFill patternType="solid">
        <fgColor theme="1"/>
        <bgColor indexed="64"/>
      </patternFill>
    </fill>
  </fills>
  <borders count="63">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style="medium">
        <color rgb="FF000000"/>
      </top>
      <bottom style="medium">
        <color rgb="FF000000"/>
      </bottom>
      <diagonal/>
    </border>
    <border>
      <left/>
      <right/>
      <top/>
      <bottom style="medium">
        <color rgb="FF000000"/>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indexed="64"/>
      </right>
      <top style="thin">
        <color theme="0" tint="-0.24994659260841701"/>
      </top>
      <bottom style="thin">
        <color auto="1"/>
      </bottom>
      <diagonal/>
    </border>
  </borders>
  <cellStyleXfs count="5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34" borderId="1" applyNumberFormat="0" applyAlignment="0" applyProtection="0"/>
    <xf numFmtId="41" fontId="2" fillId="0" borderId="0" applyFont="0" applyFill="0" applyBorder="0" applyAlignment="0" applyProtection="0"/>
    <xf numFmtId="42" fontId="2" fillId="0" borderId="0" applyFont="0" applyFill="0" applyBorder="0" applyAlignment="0" applyProtection="0"/>
    <xf numFmtId="0" fontId="15" fillId="0" borderId="0" applyNumberFormat="0" applyFill="0" applyBorder="0" applyAlignment="0" applyProtection="0"/>
    <xf numFmtId="0" fontId="22" fillId="2" borderId="0" applyNumberFormat="0" applyAlignment="0" applyProtection="0"/>
    <xf numFmtId="0" fontId="16" fillId="0" borderId="0" applyNumberFormat="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11" fillId="31" borderId="2" applyNumberFormat="0" applyAlignment="0" applyProtection="0"/>
    <xf numFmtId="0" fontId="12" fillId="33" borderId="3" applyNumberFormat="0" applyAlignment="0" applyProtection="0"/>
    <xf numFmtId="0" fontId="11" fillId="32" borderId="2" applyNumberFormat="0" applyAlignment="0" applyProtection="0"/>
    <xf numFmtId="0" fontId="3" fillId="6" borderId="4" applyNumberFormat="0" applyAlignment="0" applyProtection="0"/>
    <xf numFmtId="0" fontId="9" fillId="0" borderId="0" applyNumberFormat="0" applyFill="0" applyBorder="0" applyAlignment="0" applyProtection="0"/>
    <xf numFmtId="0" fontId="10"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 fillId="30"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7" fillId="0" borderId="6" applyNumberFormat="0" applyFill="0" applyAlignment="0" applyProtection="0"/>
    <xf numFmtId="0" fontId="38" fillId="35" borderId="7">
      <alignment horizontal="left" vertical="center" wrapText="1"/>
    </xf>
    <xf numFmtId="0" fontId="39" fillId="2" borderId="8">
      <alignment horizontal="left" vertical="center" wrapText="1"/>
    </xf>
    <xf numFmtId="43" fontId="39" fillId="2" borderId="8">
      <alignment horizontal="center" vertical="center" wrapText="1"/>
    </xf>
    <xf numFmtId="166" fontId="19" fillId="2" borderId="8">
      <alignment horizontal="right" vertical="center" wrapText="1"/>
    </xf>
    <xf numFmtId="9" fontId="1" fillId="0" borderId="0" applyFont="0" applyFill="0" applyBorder="0" applyAlignment="0" applyProtection="0"/>
    <xf numFmtId="44" fontId="1" fillId="0" borderId="0" applyFont="0" applyFill="0" applyBorder="0" applyAlignment="0" applyProtection="0"/>
    <xf numFmtId="0" fontId="27" fillId="0" borderId="0" applyNumberFormat="0" applyFill="0" applyAlignment="0" applyProtection="0"/>
    <xf numFmtId="49" fontId="30" fillId="39" borderId="10">
      <alignment horizontal="center" vertical="center" wrapText="1"/>
    </xf>
    <xf numFmtId="0" fontId="24" fillId="0" borderId="0"/>
  </cellStyleXfs>
  <cellXfs count="287">
    <xf numFmtId="0" fontId="0" fillId="0" borderId="0" xfId="0"/>
    <xf numFmtId="0" fontId="4" fillId="0" borderId="0" xfId="0" applyFont="1"/>
    <xf numFmtId="0" fontId="4" fillId="2" borderId="0" xfId="0" applyFont="1" applyFill="1"/>
    <xf numFmtId="0" fontId="4" fillId="2" borderId="0" xfId="0" applyFont="1" applyFill="1" applyAlignment="1">
      <alignment horizontal="left"/>
    </xf>
    <xf numFmtId="0" fontId="4" fillId="0" borderId="0" xfId="0" applyFont="1" applyFill="1"/>
    <xf numFmtId="164" fontId="4" fillId="0" borderId="0" xfId="0" applyNumberFormat="1" applyFont="1"/>
    <xf numFmtId="0" fontId="11" fillId="31" borderId="2" xfId="13"/>
    <xf numFmtId="164" fontId="11" fillId="32" borderId="2" xfId="15" applyNumberFormat="1" applyAlignment="1">
      <alignment horizontal="center"/>
    </xf>
    <xf numFmtId="0" fontId="11" fillId="32" borderId="2" xfId="15"/>
    <xf numFmtId="10" fontId="11" fillId="31" borderId="2" xfId="13" applyNumberFormat="1"/>
    <xf numFmtId="164" fontId="11" fillId="32" borderId="2" xfId="15" applyNumberFormat="1"/>
    <xf numFmtId="0" fontId="11" fillId="32" borderId="2" xfId="15" applyNumberFormat="1"/>
    <xf numFmtId="0" fontId="15" fillId="0" borderId="0" xfId="7" applyFill="1"/>
    <xf numFmtId="0" fontId="22" fillId="2" borderId="0" xfId="8"/>
    <xf numFmtId="0" fontId="16" fillId="0" borderId="0" xfId="9"/>
    <xf numFmtId="0" fontId="22" fillId="2" borderId="0" xfId="8" applyAlignment="1"/>
    <xf numFmtId="0" fontId="0" fillId="0" borderId="0" xfId="0"/>
    <xf numFmtId="164" fontId="11" fillId="31" borderId="2" xfId="13" applyNumberFormat="1"/>
    <xf numFmtId="0" fontId="16" fillId="0" borderId="0" xfId="9" applyAlignment="1"/>
    <xf numFmtId="164" fontId="16" fillId="0" borderId="0" xfId="9" applyNumberFormat="1" applyAlignment="1">
      <alignment horizontal="center"/>
    </xf>
    <xf numFmtId="165" fontId="4" fillId="0" borderId="0" xfId="0" applyNumberFormat="1" applyFont="1"/>
    <xf numFmtId="2" fontId="4" fillId="0" borderId="0" xfId="0" applyNumberFormat="1" applyFont="1"/>
    <xf numFmtId="2" fontId="11" fillId="31" borderId="2" xfId="13" applyNumberFormat="1"/>
    <xf numFmtId="44" fontId="11" fillId="32" borderId="2" xfId="15" applyNumberFormat="1"/>
    <xf numFmtId="9" fontId="11" fillId="31" borderId="2" xfId="13" applyNumberFormat="1"/>
    <xf numFmtId="0" fontId="5" fillId="0" borderId="0" xfId="0" applyFont="1" applyAlignment="1"/>
    <xf numFmtId="9" fontId="11" fillId="32" borderId="2" xfId="15" applyNumberFormat="1"/>
    <xf numFmtId="164" fontId="0" fillId="0" borderId="0" xfId="0" applyNumberFormat="1"/>
    <xf numFmtId="0" fontId="0" fillId="0" borderId="0" xfId="0" applyFill="1" applyBorder="1"/>
    <xf numFmtId="0" fontId="4" fillId="0" borderId="0" xfId="0" applyFont="1" applyFill="1" applyBorder="1"/>
    <xf numFmtId="44" fontId="0" fillId="0" borderId="0" xfId="0" applyNumberFormat="1"/>
    <xf numFmtId="0" fontId="4" fillId="34" borderId="1" xfId="4" applyFont="1"/>
    <xf numFmtId="44" fontId="0" fillId="34" borderId="1" xfId="4" applyNumberFormat="1" applyFont="1"/>
    <xf numFmtId="0" fontId="11" fillId="34" borderId="1" xfId="4" applyFont="1"/>
    <xf numFmtId="0" fontId="11" fillId="34" borderId="1" xfId="4"/>
    <xf numFmtId="44" fontId="11" fillId="34" borderId="1" xfId="4" applyNumberFormat="1"/>
    <xf numFmtId="164" fontId="11" fillId="34" borderId="1" xfId="4" applyNumberFormat="1"/>
    <xf numFmtId="10" fontId="0" fillId="0" borderId="0" xfId="0" applyNumberFormat="1"/>
    <xf numFmtId="0" fontId="16" fillId="0" borderId="0" xfId="9" applyNumberFormat="1" applyAlignment="1">
      <alignment horizontal="center"/>
    </xf>
    <xf numFmtId="0" fontId="16" fillId="0" borderId="0" xfId="0" applyFont="1" applyFill="1" applyBorder="1"/>
    <xf numFmtId="0" fontId="11" fillId="31" borderId="2" xfId="13" applyNumberFormat="1"/>
    <xf numFmtId="166" fontId="11" fillId="31" borderId="2" xfId="13" applyNumberFormat="1"/>
    <xf numFmtId="4" fontId="11" fillId="31" borderId="2" xfId="13" applyNumberFormat="1"/>
    <xf numFmtId="0" fontId="18" fillId="35" borderId="7" xfId="0" applyFont="1" applyFill="1" applyBorder="1" applyAlignment="1">
      <alignment horizontal="left" vertical="center" wrapText="1"/>
    </xf>
    <xf numFmtId="0" fontId="18" fillId="35" borderId="7" xfId="0" applyFont="1" applyFill="1" applyBorder="1" applyAlignment="1">
      <alignment horizontal="center" vertical="center" wrapText="1"/>
    </xf>
    <xf numFmtId="0" fontId="15" fillId="2" borderId="0" xfId="7" applyFill="1"/>
    <xf numFmtId="0" fontId="0" fillId="2" borderId="0" xfId="0" applyFill="1"/>
    <xf numFmtId="0" fontId="22" fillId="2" borderId="0" xfId="8" applyFill="1"/>
    <xf numFmtId="43" fontId="19" fillId="0" borderId="8" xfId="0" applyNumberFormat="1" applyFont="1" applyBorder="1" applyAlignment="1">
      <alignment horizontal="center" vertical="center" wrapText="1"/>
    </xf>
    <xf numFmtId="43" fontId="20" fillId="0" borderId="8" xfId="0" applyNumberFormat="1" applyFont="1" applyBorder="1" applyAlignment="1">
      <alignment horizontal="left" vertical="center" wrapText="1"/>
    </xf>
    <xf numFmtId="0" fontId="39" fillId="2" borderId="8" xfId="46">
      <alignment horizontal="left" vertical="center" wrapText="1"/>
    </xf>
    <xf numFmtId="0" fontId="38" fillId="35" borderId="7" xfId="45">
      <alignment horizontal="left" vertical="center" wrapText="1"/>
    </xf>
    <xf numFmtId="43" fontId="39" fillId="2" borderId="8" xfId="47">
      <alignment horizontal="center" vertical="center" wrapText="1"/>
    </xf>
    <xf numFmtId="0" fontId="38" fillId="35" borderId="7" xfId="45" applyAlignment="1">
      <alignment horizontal="right" vertical="center" wrapText="1"/>
    </xf>
    <xf numFmtId="0" fontId="22" fillId="2" borderId="0" xfId="8" applyAlignment="1">
      <alignment horizontal="left" wrapText="1"/>
    </xf>
    <xf numFmtId="164" fontId="16" fillId="0" borderId="0" xfId="9" applyNumberFormat="1" applyAlignment="1">
      <alignment horizontal="center" wrapText="1"/>
    </xf>
    <xf numFmtId="0" fontId="0" fillId="0" borderId="0" xfId="0" applyAlignment="1">
      <alignment horizontal="center"/>
    </xf>
    <xf numFmtId="0" fontId="21" fillId="0" borderId="0" xfId="0" applyFont="1" applyFill="1"/>
    <xf numFmtId="0" fontId="21" fillId="0" borderId="0" xfId="0" applyFont="1" applyFill="1" applyAlignment="1">
      <alignment horizontal="center"/>
    </xf>
    <xf numFmtId="167" fontId="23" fillId="0" borderId="0" xfId="0" applyNumberFormat="1" applyFont="1" applyFill="1"/>
    <xf numFmtId="0" fontId="23" fillId="0" borderId="0" xfId="0" applyFont="1" applyFill="1" applyAlignment="1">
      <alignment horizontal="center"/>
    </xf>
    <xf numFmtId="167" fontId="21" fillId="0" borderId="0" xfId="0" applyNumberFormat="1" applyFont="1" applyFill="1"/>
    <xf numFmtId="0" fontId="4" fillId="0" borderId="0" xfId="0" applyFont="1" applyAlignment="1">
      <alignment horizontal="left"/>
    </xf>
    <xf numFmtId="0" fontId="23" fillId="0" borderId="0" xfId="9" applyFont="1" applyFill="1"/>
    <xf numFmtId="0" fontId="0" fillId="0" borderId="0" xfId="0" applyFill="1"/>
    <xf numFmtId="0" fontId="22" fillId="0" borderId="0" xfId="0" applyFont="1" applyAlignment="1">
      <alignment horizontal="center" wrapText="1"/>
    </xf>
    <xf numFmtId="0" fontId="22" fillId="0" borderId="0" xfId="0" applyFont="1" applyAlignment="1">
      <alignment horizontal="center"/>
    </xf>
    <xf numFmtId="0" fontId="22" fillId="0" borderId="0" xfId="8" applyFill="1"/>
    <xf numFmtId="0" fontId="22" fillId="0" borderId="0" xfId="8" applyFill="1" applyAlignment="1">
      <alignment horizontal="center"/>
    </xf>
    <xf numFmtId="0" fontId="0" fillId="0" borderId="0" xfId="0" applyFill="1" applyAlignment="1">
      <alignment horizontal="center"/>
    </xf>
    <xf numFmtId="0" fontId="4" fillId="2" borderId="0" xfId="0" applyFont="1" applyFill="1" applyAlignment="1">
      <alignment horizontal="center"/>
    </xf>
    <xf numFmtId="0" fontId="0" fillId="0" borderId="0" xfId="0"/>
    <xf numFmtId="0" fontId="0" fillId="0" borderId="0" xfId="0" applyAlignment="1">
      <alignment wrapText="1"/>
    </xf>
    <xf numFmtId="0" fontId="0" fillId="0" borderId="0" xfId="0" applyNumberFormat="1" applyAlignment="1">
      <alignment horizontal="center"/>
    </xf>
    <xf numFmtId="0" fontId="0" fillId="0" borderId="0" xfId="0" applyAlignment="1">
      <alignment horizontal="center"/>
    </xf>
    <xf numFmtId="1" fontId="0" fillId="0" borderId="0" xfId="0" applyNumberFormat="1"/>
    <xf numFmtId="0" fontId="0" fillId="0" borderId="0" xfId="50" applyNumberFormat="1" applyFont="1" applyFill="1" applyBorder="1" applyAlignment="1">
      <alignment horizontal="center"/>
    </xf>
    <xf numFmtId="164" fontId="0" fillId="0" borderId="0" xfId="50" applyNumberFormat="1" applyFont="1" applyFill="1" applyBorder="1" applyAlignment="1">
      <alignment horizontal="center"/>
    </xf>
    <xf numFmtId="164" fontId="0" fillId="36" borderId="0" xfId="50" applyNumberFormat="1" applyFont="1" applyFill="1" applyBorder="1" applyAlignment="1">
      <alignment horizontal="center"/>
    </xf>
    <xf numFmtId="164" fontId="3" fillId="36" borderId="9" xfId="50" applyNumberFormat="1" applyFont="1" applyFill="1" applyBorder="1" applyAlignment="1">
      <alignment horizontal="center" vertical="center" wrapText="1"/>
    </xf>
    <xf numFmtId="164" fontId="3" fillId="37" borderId="9" xfId="50" applyNumberFormat="1" applyFont="1" applyFill="1" applyBorder="1" applyAlignment="1">
      <alignment horizontal="center" wrapText="1"/>
    </xf>
    <xf numFmtId="0" fontId="3" fillId="37" borderId="9" xfId="50" applyNumberFormat="1" applyFont="1" applyFill="1" applyBorder="1" applyAlignment="1">
      <alignment horizontal="center" wrapText="1"/>
    </xf>
    <xf numFmtId="164" fontId="3" fillId="37" borderId="13" xfId="50" applyNumberFormat="1" applyFont="1" applyFill="1" applyBorder="1" applyAlignment="1">
      <alignment horizontal="center" wrapText="1"/>
    </xf>
    <xf numFmtId="0" fontId="3" fillId="37" borderId="13" xfId="0" applyFont="1" applyFill="1" applyBorder="1" applyAlignment="1">
      <alignment wrapText="1"/>
    </xf>
    <xf numFmtId="0" fontId="3" fillId="37" borderId="9" xfId="0" applyFont="1" applyFill="1" applyBorder="1" applyAlignment="1">
      <alignment wrapText="1"/>
    </xf>
    <xf numFmtId="0" fontId="3" fillId="37" borderId="9" xfId="0" applyFont="1" applyFill="1" applyBorder="1" applyAlignment="1"/>
    <xf numFmtId="0" fontId="3" fillId="37" borderId="9" xfId="49" applyNumberFormat="1" applyFont="1" applyFill="1" applyBorder="1" applyAlignment="1">
      <alignment horizontal="center" wrapText="1"/>
    </xf>
    <xf numFmtId="164" fontId="3" fillId="37" borderId="9" xfId="50" applyNumberFormat="1" applyFont="1" applyFill="1" applyBorder="1" applyAlignment="1">
      <alignment wrapText="1"/>
    </xf>
    <xf numFmtId="0" fontId="3" fillId="37" borderId="9" xfId="0" applyFont="1" applyFill="1" applyBorder="1" applyAlignment="1">
      <alignment horizontal="left" wrapText="1"/>
    </xf>
    <xf numFmtId="0" fontId="3" fillId="37" borderId="11" xfId="0" applyFont="1" applyFill="1" applyBorder="1" applyAlignment="1">
      <alignment horizontal="left" wrapText="1"/>
    </xf>
    <xf numFmtId="0" fontId="3" fillId="37" borderId="12" xfId="0" applyFont="1" applyFill="1" applyBorder="1" applyAlignment="1">
      <alignment wrapText="1"/>
    </xf>
    <xf numFmtId="0" fontId="3" fillId="37" borderId="9" xfId="0" applyFont="1" applyFill="1" applyBorder="1"/>
    <xf numFmtId="164" fontId="0" fillId="0" borderId="10" xfId="50" applyNumberFormat="1" applyFont="1" applyBorder="1"/>
    <xf numFmtId="0" fontId="0" fillId="0" borderId="10" xfId="0" applyBorder="1"/>
    <xf numFmtId="164" fontId="11" fillId="32" borderId="2" xfId="15" applyNumberFormat="1" applyAlignment="1">
      <alignment horizontal="left"/>
    </xf>
    <xf numFmtId="43" fontId="0" fillId="0" borderId="0" xfId="0" applyNumberFormat="1"/>
    <xf numFmtId="43" fontId="11" fillId="32" borderId="2" xfId="15" applyNumberFormat="1" applyAlignment="1">
      <alignment horizontal="left" vertical="center" wrapText="1"/>
    </xf>
    <xf numFmtId="0" fontId="11" fillId="32" borderId="2" xfId="15" applyAlignment="1">
      <alignment horizontal="left"/>
    </xf>
    <xf numFmtId="0" fontId="11" fillId="32" borderId="1" xfId="15" applyBorder="1" applyAlignment="1">
      <alignment horizontal="left"/>
    </xf>
    <xf numFmtId="0" fontId="11" fillId="32" borderId="1" xfId="15" applyBorder="1"/>
    <xf numFmtId="164" fontId="11" fillId="32" borderId="1" xfId="15" applyNumberFormat="1" applyBorder="1"/>
    <xf numFmtId="43" fontId="0" fillId="2" borderId="0" xfId="0" applyNumberFormat="1" applyFill="1"/>
    <xf numFmtId="0" fontId="39" fillId="2" borderId="8" xfId="46" applyFill="1">
      <alignment horizontal="left" vertical="center" wrapText="1"/>
    </xf>
    <xf numFmtId="43" fontId="39" fillId="2" borderId="8" xfId="47" applyFill="1">
      <alignment horizontal="center" vertical="center" wrapText="1"/>
    </xf>
    <xf numFmtId="43" fontId="20" fillId="2" borderId="8" xfId="47" applyFont="1">
      <alignment horizontal="center" vertical="center" wrapText="1"/>
    </xf>
    <xf numFmtId="0" fontId="20" fillId="2" borderId="8" xfId="46" applyFont="1">
      <alignment horizontal="left" vertical="center" wrapText="1"/>
    </xf>
    <xf numFmtId="0" fontId="20" fillId="2" borderId="8" xfId="46" applyFont="1" applyFill="1">
      <alignment horizontal="left" vertical="center" wrapText="1"/>
    </xf>
    <xf numFmtId="43" fontId="20" fillId="2" borderId="8" xfId="47" applyFont="1" applyFill="1">
      <alignment horizontal="center" vertical="center" wrapText="1"/>
    </xf>
    <xf numFmtId="43" fontId="20" fillId="2" borderId="8" xfId="47" applyNumberFormat="1" applyFont="1">
      <alignment horizontal="center" vertical="center" wrapText="1"/>
    </xf>
    <xf numFmtId="168" fontId="20" fillId="2" borderId="8" xfId="47" applyNumberFormat="1" applyFont="1">
      <alignment horizontal="center" vertical="center" wrapText="1"/>
    </xf>
    <xf numFmtId="9" fontId="19" fillId="2" borderId="8" xfId="48" applyNumberFormat="1">
      <alignment horizontal="right" vertical="center" wrapText="1"/>
    </xf>
    <xf numFmtId="0" fontId="38" fillId="35" borderId="7" xfId="45" applyAlignment="1">
      <alignment horizontal="center" vertical="center" wrapText="1"/>
    </xf>
    <xf numFmtId="0" fontId="19" fillId="0" borderId="7" xfId="0" applyFont="1" applyBorder="1" applyAlignment="1">
      <alignment vertical="center" wrapText="1"/>
    </xf>
    <xf numFmtId="0" fontId="20" fillId="0" borderId="7" xfId="0" applyFont="1" applyBorder="1" applyAlignment="1">
      <alignment vertical="center" wrapText="1"/>
    </xf>
    <xf numFmtId="43" fontId="20" fillId="2" borderId="8" xfId="47" applyNumberFormat="1" applyFont="1" applyFill="1">
      <alignment horizontal="center" vertical="center" wrapText="1"/>
    </xf>
    <xf numFmtId="164" fontId="0" fillId="0" borderId="14" xfId="50" applyNumberFormat="1" applyFont="1" applyFill="1" applyBorder="1" applyAlignment="1">
      <alignment horizontal="center"/>
    </xf>
    <xf numFmtId="164" fontId="3" fillId="37" borderId="15" xfId="50" applyNumberFormat="1" applyFont="1" applyFill="1" applyBorder="1" applyAlignment="1">
      <alignment horizontal="center" vertical="center" wrapText="1"/>
    </xf>
    <xf numFmtId="0" fontId="3" fillId="37" borderId="15" xfId="50" applyNumberFormat="1" applyFont="1" applyFill="1" applyBorder="1" applyAlignment="1">
      <alignment horizontal="center" vertical="center" wrapText="1"/>
    </xf>
    <xf numFmtId="164" fontId="0" fillId="0" borderId="10" xfId="50" applyNumberFormat="1" applyFont="1" applyFill="1" applyBorder="1" applyAlignment="1">
      <alignment horizontal="center"/>
    </xf>
    <xf numFmtId="164" fontId="0" fillId="0" borderId="10" xfId="50" applyNumberFormat="1" applyFont="1" applyFill="1" applyBorder="1" applyAlignment="1">
      <alignment horizontal="center" wrapText="1"/>
    </xf>
    <xf numFmtId="0" fontId="0" fillId="0" borderId="10" xfId="50" applyNumberFormat="1" applyFont="1" applyFill="1" applyBorder="1" applyAlignment="1">
      <alignment horizontal="center"/>
    </xf>
    <xf numFmtId="0" fontId="0" fillId="0" borderId="10" xfId="0" applyFill="1" applyBorder="1" applyAlignment="1">
      <alignment horizontal="center"/>
    </xf>
    <xf numFmtId="0" fontId="0" fillId="0" borderId="10" xfId="0" applyFill="1" applyBorder="1"/>
    <xf numFmtId="0" fontId="0" fillId="0" borderId="10" xfId="0" applyNumberFormat="1" applyFill="1" applyBorder="1" applyAlignment="1">
      <alignment horizontal="center"/>
    </xf>
    <xf numFmtId="0" fontId="0" fillId="0" borderId="10" xfId="0" applyFill="1" applyBorder="1" applyAlignment="1">
      <alignment wrapText="1"/>
    </xf>
    <xf numFmtId="164" fontId="24" fillId="0" borderId="10" xfId="50" applyNumberFormat="1" applyFont="1" applyFill="1" applyBorder="1" applyAlignment="1">
      <alignment horizontal="center"/>
    </xf>
    <xf numFmtId="164" fontId="13" fillId="0" borderId="10" xfId="50" applyNumberFormat="1" applyFont="1" applyFill="1" applyBorder="1" applyAlignment="1">
      <alignment horizontal="center"/>
    </xf>
    <xf numFmtId="0" fontId="3" fillId="37" borderId="15" xfId="0" applyFont="1" applyFill="1" applyBorder="1" applyAlignment="1">
      <alignment vertical="center"/>
    </xf>
    <xf numFmtId="0" fontId="3" fillId="37" borderId="16" xfId="0" applyFont="1" applyFill="1" applyBorder="1" applyAlignment="1">
      <alignment vertical="center" wrapText="1"/>
    </xf>
    <xf numFmtId="0" fontId="3" fillId="37" borderId="17" xfId="0" applyFont="1" applyFill="1" applyBorder="1" applyAlignment="1">
      <alignment horizontal="center" vertical="center" wrapText="1"/>
    </xf>
    <xf numFmtId="0" fontId="3" fillId="37" borderId="15" xfId="0" applyFont="1" applyFill="1" applyBorder="1" applyAlignment="1">
      <alignment horizontal="left" vertical="center" wrapText="1"/>
    </xf>
    <xf numFmtId="0" fontId="3" fillId="37" borderId="15" xfId="0" applyFont="1" applyFill="1" applyBorder="1" applyAlignment="1">
      <alignment vertical="center" wrapText="1"/>
    </xf>
    <xf numFmtId="164" fontId="3" fillId="37" borderId="15" xfId="50" applyNumberFormat="1" applyFont="1" applyFill="1" applyBorder="1" applyAlignment="1">
      <alignment vertical="center" wrapText="1"/>
    </xf>
    <xf numFmtId="0" fontId="3" fillId="37" borderId="15" xfId="49" applyNumberFormat="1" applyFont="1" applyFill="1" applyBorder="1" applyAlignment="1">
      <alignment horizontal="center" vertical="center" wrapText="1"/>
    </xf>
    <xf numFmtId="0" fontId="24" fillId="0" borderId="10" xfId="0" applyFont="1" applyFill="1" applyBorder="1" applyAlignment="1">
      <alignment horizontal="left" wrapText="1"/>
    </xf>
    <xf numFmtId="0" fontId="0" fillId="0" borderId="10" xfId="0" applyFill="1" applyBorder="1" applyAlignment="1">
      <alignment horizontal="center" wrapText="1"/>
    </xf>
    <xf numFmtId="0" fontId="24" fillId="0" borderId="10" xfId="0" applyFont="1" applyFill="1" applyBorder="1" applyAlignment="1">
      <alignment horizontal="center" wrapText="1"/>
    </xf>
    <xf numFmtId="0" fontId="24" fillId="0" borderId="10" xfId="0" applyFont="1" applyFill="1" applyBorder="1"/>
    <xf numFmtId="0" fontId="13" fillId="0" borderId="10" xfId="0" applyFont="1" applyFill="1" applyBorder="1" applyAlignment="1">
      <alignment wrapText="1"/>
    </xf>
    <xf numFmtId="164" fontId="0" fillId="0" borderId="10" xfId="50" applyNumberFormat="1" applyFont="1" applyFill="1" applyBorder="1"/>
    <xf numFmtId="0" fontId="0" fillId="0" borderId="10" xfId="48" applyNumberFormat="1" applyFont="1" applyFill="1" applyBorder="1" applyAlignment="1"/>
    <xf numFmtId="0" fontId="0" fillId="0" borderId="10" xfId="0" applyFill="1" applyBorder="1" applyAlignment="1">
      <alignment horizontal="left" wrapText="1"/>
    </xf>
    <xf numFmtId="14" fontId="0" fillId="0" borderId="10" xfId="0" applyNumberFormat="1" applyFill="1" applyBorder="1"/>
    <xf numFmtId="17" fontId="0" fillId="0" borderId="10" xfId="0" applyNumberFormat="1" applyFill="1" applyBorder="1"/>
    <xf numFmtId="164" fontId="13" fillId="0" borderId="10" xfId="50" applyNumberFormat="1" applyFont="1" applyFill="1" applyBorder="1"/>
    <xf numFmtId="0" fontId="24" fillId="0" borderId="10" xfId="0" applyFont="1" applyFill="1" applyBorder="1" applyAlignment="1">
      <alignment wrapText="1"/>
    </xf>
    <xf numFmtId="0" fontId="24" fillId="0" borderId="10" xfId="0" applyFont="1" applyFill="1" applyBorder="1" applyAlignment="1">
      <alignment horizontal="center"/>
    </xf>
    <xf numFmtId="164" fontId="0" fillId="0" borderId="10" xfId="50" applyNumberFormat="1" applyFont="1" applyFill="1" applyBorder="1" applyAlignment="1">
      <alignment wrapText="1"/>
    </xf>
    <xf numFmtId="9" fontId="0" fillId="0" borderId="10" xfId="0" applyNumberFormat="1" applyFill="1" applyBorder="1"/>
    <xf numFmtId="0" fontId="24" fillId="0" borderId="10" xfId="0" applyFont="1" applyFill="1" applyBorder="1" applyAlignment="1">
      <alignment horizontal="left"/>
    </xf>
    <xf numFmtId="164" fontId="24" fillId="0" borderId="10" xfId="50" applyNumberFormat="1" applyFont="1" applyFill="1" applyBorder="1"/>
    <xf numFmtId="0" fontId="13" fillId="0" borderId="10" xfId="0" applyFont="1" applyFill="1" applyBorder="1"/>
    <xf numFmtId="0" fontId="0" fillId="0" borderId="10" xfId="0" applyFont="1" applyFill="1" applyBorder="1" applyAlignment="1">
      <alignment wrapText="1"/>
    </xf>
    <xf numFmtId="43" fontId="39" fillId="2" borderId="8" xfId="47" applyAlignment="1">
      <alignment horizontal="center" vertical="center" wrapText="1"/>
    </xf>
    <xf numFmtId="0" fontId="27" fillId="0" borderId="0" xfId="51" applyAlignment="1">
      <alignment vertical="center"/>
    </xf>
    <xf numFmtId="0" fontId="11" fillId="31" borderId="2" xfId="13" applyAlignment="1">
      <alignment vertical="center"/>
    </xf>
    <xf numFmtId="0" fontId="11" fillId="32" borderId="2" xfId="15" applyAlignment="1">
      <alignment horizontal="right" vertical="center"/>
    </xf>
    <xf numFmtId="0" fontId="16" fillId="0" borderId="0" xfId="9" applyAlignment="1">
      <alignment vertical="center"/>
    </xf>
    <xf numFmtId="168" fontId="11" fillId="31" borderId="2" xfId="13" applyNumberFormat="1" applyAlignment="1"/>
    <xf numFmtId="168" fontId="11" fillId="32" borderId="2" xfId="15" applyNumberFormat="1" applyAlignment="1"/>
    <xf numFmtId="0" fontId="11" fillId="31" borderId="2" xfId="13" applyAlignment="1">
      <alignment horizontal="left" vertical="center" wrapText="1"/>
    </xf>
    <xf numFmtId="0" fontId="11" fillId="32" borderId="2" xfId="15" applyAlignment="1">
      <alignment horizontal="left" vertical="center" wrapText="1"/>
    </xf>
    <xf numFmtId="0" fontId="11" fillId="31" borderId="2" xfId="13" applyAlignment="1">
      <alignment horizontal="left" vertical="center" wrapText="1" indent="3"/>
    </xf>
    <xf numFmtId="0" fontId="11" fillId="31" borderId="2" xfId="13" applyAlignment="1">
      <alignment horizontal="center" vertical="center" wrapText="1"/>
    </xf>
    <xf numFmtId="0" fontId="16" fillId="0" borderId="0" xfId="9" applyAlignment="1">
      <alignment vertical="center" wrapText="1"/>
    </xf>
    <xf numFmtId="0" fontId="16" fillId="0" borderId="0" xfId="9" applyAlignment="1">
      <alignment horizontal="center" vertical="center" wrapText="1"/>
    </xf>
    <xf numFmtId="4" fontId="11" fillId="32" borderId="2" xfId="15" applyNumberFormat="1"/>
    <xf numFmtId="166" fontId="11" fillId="32" borderId="2" xfId="15" applyNumberFormat="1" applyAlignment="1">
      <alignment horizontal="right" vertical="center" wrapText="1"/>
    </xf>
    <xf numFmtId="0" fontId="16" fillId="0" borderId="0" xfId="9" applyAlignment="1">
      <alignment wrapText="1"/>
    </xf>
    <xf numFmtId="43" fontId="11" fillId="32" borderId="2" xfId="15" applyNumberFormat="1"/>
    <xf numFmtId="166" fontId="11" fillId="34" borderId="1" xfId="4" applyNumberFormat="1" applyAlignment="1">
      <alignment horizontal="right" vertical="center" wrapText="1"/>
    </xf>
    <xf numFmtId="0" fontId="28" fillId="38" borderId="18" xfId="0" applyFont="1" applyFill="1" applyBorder="1"/>
    <xf numFmtId="0" fontId="29" fillId="38" borderId="19" xfId="0" applyFont="1" applyFill="1" applyBorder="1"/>
    <xf numFmtId="0" fontId="29" fillId="38" borderId="20" xfId="0" applyFont="1" applyFill="1" applyBorder="1"/>
    <xf numFmtId="49" fontId="30" fillId="40" borderId="27" xfId="52" applyFill="1" applyBorder="1">
      <alignment horizontal="center" vertical="center" wrapText="1"/>
    </xf>
    <xf numFmtId="49" fontId="30" fillId="40" borderId="10" xfId="52" applyFill="1">
      <alignment horizontal="center" vertical="center" wrapText="1"/>
    </xf>
    <xf numFmtId="49" fontId="30" fillId="39" borderId="10" xfId="52" applyFill="1">
      <alignment horizontal="center" vertical="center" wrapText="1"/>
    </xf>
    <xf numFmtId="49" fontId="30" fillId="39" borderId="10" xfId="52">
      <alignment horizontal="center" vertical="center" wrapText="1"/>
    </xf>
    <xf numFmtId="0" fontId="24" fillId="41" borderId="28" xfId="0" applyFont="1" applyFill="1" applyBorder="1" applyAlignment="1" applyProtection="1">
      <alignment horizontal="left" vertical="center" indent="1"/>
      <protection locked="0"/>
    </xf>
    <xf numFmtId="0" fontId="0" fillId="41" borderId="29" xfId="0" applyFill="1" applyBorder="1" applyProtection="1">
      <protection locked="0"/>
    </xf>
    <xf numFmtId="0" fontId="0" fillId="41" borderId="30" xfId="0" applyFill="1" applyBorder="1" applyProtection="1">
      <protection locked="0"/>
    </xf>
    <xf numFmtId="0" fontId="0" fillId="41" borderId="31" xfId="0" applyFill="1" applyBorder="1" applyProtection="1">
      <protection locked="0"/>
    </xf>
    <xf numFmtId="0" fontId="24" fillId="41" borderId="32" xfId="0" applyFont="1" applyFill="1" applyBorder="1" applyAlignment="1" applyProtection="1">
      <alignment horizontal="right" vertical="center" wrapText="1"/>
      <protection locked="0"/>
    </xf>
    <xf numFmtId="0" fontId="24" fillId="41" borderId="30" xfId="0" applyFont="1" applyFill="1" applyBorder="1" applyAlignment="1" applyProtection="1">
      <alignment horizontal="right" vertical="center" wrapText="1"/>
      <protection locked="0"/>
    </xf>
    <xf numFmtId="0" fontId="24" fillId="41" borderId="31" xfId="0" applyFont="1" applyFill="1" applyBorder="1" applyAlignment="1" applyProtection="1">
      <alignment horizontal="right" vertical="center" wrapText="1"/>
      <protection locked="0"/>
    </xf>
    <xf numFmtId="0" fontId="24" fillId="41" borderId="33" xfId="0" applyFont="1" applyFill="1" applyBorder="1" applyAlignment="1" applyProtection="1">
      <alignment horizontal="left" vertical="center" indent="1"/>
      <protection locked="0"/>
    </xf>
    <xf numFmtId="0" fontId="0" fillId="41" borderId="34" xfId="0" applyFill="1" applyBorder="1" applyProtection="1">
      <protection locked="0"/>
    </xf>
    <xf numFmtId="0" fontId="0" fillId="41" borderId="35" xfId="0" applyFill="1" applyBorder="1" applyProtection="1">
      <protection locked="0"/>
    </xf>
    <xf numFmtId="0" fontId="0" fillId="41" borderId="36" xfId="0" applyFill="1" applyBorder="1" applyProtection="1">
      <protection locked="0"/>
    </xf>
    <xf numFmtId="0" fontId="0" fillId="41" borderId="37" xfId="0" applyFill="1" applyBorder="1" applyProtection="1">
      <protection locked="0"/>
    </xf>
    <xf numFmtId="0" fontId="24" fillId="41" borderId="38" xfId="0" applyFont="1" applyFill="1" applyBorder="1" applyAlignment="1" applyProtection="1">
      <alignment horizontal="left" vertical="center" indent="1"/>
      <protection locked="0"/>
    </xf>
    <xf numFmtId="0" fontId="0" fillId="41" borderId="39" xfId="0" applyFill="1" applyBorder="1" applyProtection="1">
      <protection locked="0"/>
    </xf>
    <xf numFmtId="0" fontId="0" fillId="41" borderId="40" xfId="0" applyFill="1" applyBorder="1" applyProtection="1">
      <protection locked="0"/>
    </xf>
    <xf numFmtId="0" fontId="0" fillId="41" borderId="41" xfId="0" applyFill="1" applyBorder="1" applyProtection="1">
      <protection locked="0"/>
    </xf>
    <xf numFmtId="0" fontId="0" fillId="41" borderId="42" xfId="0" applyFill="1" applyBorder="1" applyProtection="1">
      <protection locked="0"/>
    </xf>
    <xf numFmtId="0" fontId="31" fillId="42" borderId="43" xfId="0" applyFont="1" applyFill="1" applyBorder="1" applyAlignment="1">
      <alignment horizontal="left" vertical="center" wrapText="1"/>
    </xf>
    <xf numFmtId="0" fontId="0" fillId="42" borderId="44" xfId="0" applyFill="1" applyBorder="1" applyProtection="1"/>
    <xf numFmtId="0" fontId="0" fillId="42" borderId="45" xfId="0" applyFill="1" applyBorder="1" applyProtection="1"/>
    <xf numFmtId="0" fontId="0" fillId="42" borderId="46" xfId="0" applyFill="1" applyBorder="1" applyProtection="1"/>
    <xf numFmtId="0" fontId="0" fillId="42" borderId="47" xfId="0" applyFill="1" applyBorder="1" applyProtection="1"/>
    <xf numFmtId="0" fontId="0" fillId="41" borderId="34" xfId="0" applyFill="1" applyBorder="1"/>
    <xf numFmtId="0" fontId="0" fillId="41" borderId="35" xfId="0" applyFill="1" applyBorder="1"/>
    <xf numFmtId="0" fontId="0" fillId="41" borderId="36" xfId="0" applyFill="1" applyBorder="1"/>
    <xf numFmtId="0" fontId="0" fillId="41" borderId="37" xfId="0" applyFill="1" applyBorder="1"/>
    <xf numFmtId="0" fontId="0" fillId="41" borderId="39" xfId="0" applyFill="1" applyBorder="1"/>
    <xf numFmtId="0" fontId="0" fillId="41" borderId="40" xfId="0" applyFill="1" applyBorder="1"/>
    <xf numFmtId="0" fontId="0" fillId="41" borderId="41" xfId="0" applyFill="1" applyBorder="1"/>
    <xf numFmtId="0" fontId="0" fillId="41" borderId="42" xfId="0" applyFill="1" applyBorder="1"/>
    <xf numFmtId="0" fontId="32" fillId="0" borderId="0" xfId="0" applyFont="1" applyFill="1" applyBorder="1" applyAlignment="1">
      <alignment horizontal="left" vertical="center" wrapText="1"/>
    </xf>
    <xf numFmtId="0" fontId="33" fillId="0" borderId="0" xfId="0" applyFont="1" applyFill="1" applyBorder="1" applyAlignment="1" applyProtection="1">
      <alignment horizontal="right" vertical="center" wrapText="1"/>
    </xf>
    <xf numFmtId="0" fontId="34" fillId="0" borderId="0" xfId="0" applyFont="1"/>
    <xf numFmtId="0" fontId="24" fillId="0" borderId="0" xfId="0" applyFont="1" applyFill="1" applyBorder="1" applyAlignment="1" applyProtection="1">
      <alignment horizontal="right" vertical="center" wrapText="1"/>
      <protection locked="0"/>
    </xf>
    <xf numFmtId="0" fontId="35" fillId="43" borderId="0" xfId="53" applyFont="1" applyFill="1" applyAlignment="1">
      <alignment vertical="center"/>
    </xf>
    <xf numFmtId="49" fontId="31" fillId="39" borderId="52" xfId="0" applyNumberFormat="1" applyFont="1" applyFill="1" applyBorder="1" applyAlignment="1">
      <alignment horizontal="center" vertical="center" wrapText="1"/>
    </xf>
    <xf numFmtId="49" fontId="31" fillId="39" borderId="53" xfId="0" applyNumberFormat="1" applyFont="1" applyFill="1" applyBorder="1" applyAlignment="1">
      <alignment horizontal="center" vertical="center" wrapText="1"/>
    </xf>
    <xf numFmtId="49" fontId="31" fillId="39" borderId="54" xfId="0" applyNumberFormat="1" applyFont="1" applyFill="1" applyBorder="1" applyAlignment="1">
      <alignment horizontal="center" vertical="center" wrapText="1"/>
    </xf>
    <xf numFmtId="0" fontId="36" fillId="0" borderId="28" xfId="0" applyFont="1" applyFill="1" applyBorder="1" applyAlignment="1">
      <alignment horizontal="left" vertical="center" indent="1"/>
    </xf>
    <xf numFmtId="0" fontId="36" fillId="0" borderId="55" xfId="0" applyFont="1" applyFill="1" applyBorder="1" applyAlignment="1">
      <alignment horizontal="left" vertical="center" indent="1"/>
    </xf>
    <xf numFmtId="0" fontId="36" fillId="0" borderId="33" xfId="0" applyFont="1" applyFill="1" applyBorder="1" applyAlignment="1">
      <alignment horizontal="left" vertical="center" indent="1"/>
    </xf>
    <xf numFmtId="0" fontId="36" fillId="0" borderId="56" xfId="0" applyFont="1" applyFill="1" applyBorder="1" applyAlignment="1">
      <alignment horizontal="left" vertical="center" indent="1"/>
    </xf>
    <xf numFmtId="0" fontId="31" fillId="42" borderId="57" xfId="0" applyFont="1" applyFill="1" applyBorder="1" applyAlignment="1">
      <alignment horizontal="left" vertical="center" wrapText="1"/>
    </xf>
    <xf numFmtId="169" fontId="0" fillId="41" borderId="35" xfId="0" applyNumberFormat="1" applyFill="1" applyBorder="1"/>
    <xf numFmtId="165" fontId="0" fillId="41" borderId="36" xfId="0" applyNumberFormat="1" applyFill="1" applyBorder="1"/>
    <xf numFmtId="2" fontId="11" fillId="32" borderId="2" xfId="15" applyNumberFormat="1"/>
    <xf numFmtId="0" fontId="16" fillId="0" borderId="0" xfId="9" applyAlignment="1">
      <alignment horizontal="right"/>
    </xf>
    <xf numFmtId="0" fontId="11" fillId="32" borderId="2" xfId="15" applyAlignment="1">
      <alignment wrapText="1"/>
    </xf>
    <xf numFmtId="166" fontId="11" fillId="32" borderId="2" xfId="15" applyNumberFormat="1" applyAlignment="1">
      <alignment wrapText="1"/>
    </xf>
    <xf numFmtId="0" fontId="37" fillId="0" borderId="0" xfId="0" applyFont="1"/>
    <xf numFmtId="0" fontId="35" fillId="43" borderId="58" xfId="53" applyFont="1" applyFill="1" applyBorder="1" applyAlignment="1">
      <alignment vertical="center"/>
    </xf>
    <xf numFmtId="0" fontId="35" fillId="43" borderId="59" xfId="53" applyFont="1" applyFill="1" applyBorder="1" applyAlignment="1">
      <alignment vertical="center"/>
    </xf>
    <xf numFmtId="0" fontId="35" fillId="43" borderId="53" xfId="53" applyFont="1" applyFill="1" applyBorder="1" applyAlignment="1">
      <alignment vertical="center"/>
    </xf>
    <xf numFmtId="0" fontId="24" fillId="41" borderId="60" xfId="0" applyFont="1" applyFill="1" applyBorder="1" applyAlignment="1" applyProtection="1">
      <alignment horizontal="right" vertical="center" wrapText="1"/>
      <protection locked="0"/>
    </xf>
    <xf numFmtId="0" fontId="0" fillId="42" borderId="61" xfId="0" applyFill="1" applyBorder="1" applyProtection="1"/>
    <xf numFmtId="0" fontId="0" fillId="41" borderId="60" xfId="0" applyFill="1" applyBorder="1" applyAlignment="1">
      <alignment horizontal="right" vertical="center"/>
    </xf>
    <xf numFmtId="168" fontId="11" fillId="32" borderId="2" xfId="15" applyNumberFormat="1"/>
    <xf numFmtId="44" fontId="4" fillId="0" borderId="0" xfId="0" applyNumberFormat="1" applyFont="1"/>
    <xf numFmtId="170" fontId="0" fillId="0" borderId="0" xfId="0" applyNumberFormat="1"/>
    <xf numFmtId="0" fontId="11" fillId="31" borderId="2" xfId="13" applyAlignment="1">
      <alignment vertical="center" wrapText="1"/>
    </xf>
    <xf numFmtId="0" fontId="11" fillId="31" borderId="2" xfId="13" applyAlignment="1">
      <alignment horizontal="right" vertical="center" wrapText="1"/>
    </xf>
    <xf numFmtId="3" fontId="11" fillId="31" borderId="2" xfId="13" applyNumberFormat="1" applyAlignment="1">
      <alignment horizontal="right" vertical="center" wrapText="1"/>
    </xf>
    <xf numFmtId="3" fontId="11" fillId="31" borderId="2" xfId="13" applyNumberFormat="1" applyAlignment="1">
      <alignment horizontal="center" vertical="center" wrapText="1"/>
    </xf>
    <xf numFmtId="41" fontId="0" fillId="41" borderId="37" xfId="0" applyNumberFormat="1" applyFill="1" applyBorder="1"/>
    <xf numFmtId="41" fontId="0" fillId="41" borderId="35" xfId="0" applyNumberFormat="1" applyFill="1" applyBorder="1"/>
    <xf numFmtId="41" fontId="0" fillId="41" borderId="36" xfId="0" applyNumberFormat="1" applyFill="1" applyBorder="1"/>
    <xf numFmtId="171" fontId="39" fillId="2" borderId="8" xfId="47" applyNumberFormat="1">
      <alignment horizontal="center" vertical="center" wrapText="1"/>
    </xf>
    <xf numFmtId="10" fontId="11" fillId="31" borderId="2" xfId="13" applyNumberFormat="1" applyAlignment="1">
      <alignment horizontal="right" vertical="center" wrapText="1"/>
    </xf>
    <xf numFmtId="0" fontId="22" fillId="2" borderId="0" xfId="8" applyAlignment="1">
      <alignment vertical="center"/>
    </xf>
    <xf numFmtId="0" fontId="16" fillId="0" borderId="0" xfId="9" applyAlignment="1">
      <alignment vertical="top"/>
    </xf>
    <xf numFmtId="0" fontId="16" fillId="0" borderId="0" xfId="9" applyAlignment="1">
      <alignment horizontal="justify" vertical="center"/>
    </xf>
    <xf numFmtId="0" fontId="16" fillId="0" borderId="0" xfId="9" applyAlignment="1">
      <alignment horizontal="left" vertical="center"/>
    </xf>
    <xf numFmtId="0" fontId="11" fillId="31" borderId="2" xfId="13" applyAlignment="1">
      <alignment horizontal="justify" vertical="center"/>
    </xf>
    <xf numFmtId="0" fontId="22" fillId="2" borderId="0" xfId="8" applyAlignment="1">
      <alignment horizontal="justify" vertical="center"/>
    </xf>
    <xf numFmtId="1" fontId="4" fillId="41" borderId="37" xfId="0" applyNumberFormat="1" applyFont="1" applyFill="1" applyBorder="1"/>
    <xf numFmtId="1" fontId="4" fillId="41" borderId="36" xfId="0" applyNumberFormat="1" applyFont="1" applyFill="1" applyBorder="1"/>
    <xf numFmtId="1" fontId="4" fillId="41" borderId="35" xfId="0" applyNumberFormat="1" applyFont="1" applyFill="1" applyBorder="1"/>
    <xf numFmtId="1" fontId="0" fillId="42" borderId="44" xfId="0" applyNumberFormat="1" applyFill="1" applyBorder="1" applyProtection="1"/>
    <xf numFmtId="1" fontId="0" fillId="42" borderId="45" xfId="0" applyNumberFormat="1" applyFill="1" applyBorder="1" applyProtection="1"/>
    <xf numFmtId="1" fontId="0" fillId="42" borderId="47" xfId="0" applyNumberFormat="1" applyFill="1" applyBorder="1" applyProtection="1"/>
    <xf numFmtId="41" fontId="0" fillId="0" borderId="0" xfId="0" applyNumberFormat="1"/>
    <xf numFmtId="1" fontId="4" fillId="42" borderId="62" xfId="0" applyNumberFormat="1" applyFont="1" applyFill="1" applyBorder="1" applyProtection="1"/>
    <xf numFmtId="1" fontId="4" fillId="42" borderId="44" xfId="0" applyNumberFormat="1" applyFont="1" applyFill="1" applyBorder="1" applyProtection="1"/>
    <xf numFmtId="1" fontId="4" fillId="42" borderId="45" xfId="0" applyNumberFormat="1" applyFont="1" applyFill="1" applyBorder="1" applyProtection="1"/>
    <xf numFmtId="1" fontId="4" fillId="42" borderId="47" xfId="0" applyNumberFormat="1" applyFont="1" applyFill="1" applyBorder="1" applyProtection="1"/>
    <xf numFmtId="41" fontId="0" fillId="42" borderId="46" xfId="0" applyNumberFormat="1" applyFill="1" applyBorder="1" applyProtection="1"/>
    <xf numFmtId="0" fontId="24" fillId="41" borderId="33" xfId="0" applyFont="1" applyFill="1" applyBorder="1" applyAlignment="1" applyProtection="1">
      <alignment horizontal="left" vertical="center" indent="1"/>
    </xf>
    <xf numFmtId="1" fontId="24" fillId="41" borderId="36" xfId="0" applyNumberFormat="1" applyFont="1" applyFill="1" applyBorder="1" applyAlignment="1" applyProtection="1">
      <alignment horizontal="right" vertical="center" wrapText="1"/>
    </xf>
    <xf numFmtId="43" fontId="16" fillId="2" borderId="8" xfId="47" applyFont="1">
      <alignment horizontal="center" vertical="center" wrapText="1"/>
    </xf>
    <xf numFmtId="0" fontId="16" fillId="2" borderId="8" xfId="46" applyFont="1">
      <alignment horizontal="left" vertical="center" wrapText="1"/>
    </xf>
    <xf numFmtId="0" fontId="22" fillId="0" borderId="0" xfId="8" applyFill="1" applyAlignment="1">
      <alignment horizontal="center"/>
    </xf>
    <xf numFmtId="0" fontId="22" fillId="2" borderId="0" xfId="8" applyAlignment="1">
      <alignment horizontal="left" wrapText="1"/>
    </xf>
    <xf numFmtId="164" fontId="16" fillId="0" borderId="0" xfId="9" applyNumberFormat="1" applyAlignment="1">
      <alignment horizontal="center" wrapText="1"/>
    </xf>
    <xf numFmtId="0" fontId="5" fillId="0" borderId="0" xfId="0" applyFont="1" applyAlignment="1">
      <alignment horizontal="center"/>
    </xf>
    <xf numFmtId="0" fontId="0" fillId="0" borderId="21" xfId="0" applyBorder="1" applyAlignment="1">
      <alignment horizontal="center"/>
    </xf>
    <xf numFmtId="0" fontId="0" fillId="0" borderId="26" xfId="0" applyBorder="1" applyAlignment="1">
      <alignment horizontal="center"/>
    </xf>
    <xf numFmtId="49" fontId="30" fillId="40" borderId="22" xfId="52" applyFill="1" applyBorder="1" applyAlignment="1">
      <alignment horizontal="center" vertical="center" wrapText="1"/>
    </xf>
    <xf numFmtId="49" fontId="30" fillId="40" borderId="23" xfId="52" applyFill="1" applyBorder="1" applyAlignment="1">
      <alignment horizontal="center" vertical="center" wrapText="1"/>
    </xf>
    <xf numFmtId="49" fontId="30" fillId="40" borderId="24" xfId="52" applyFill="1" applyBorder="1" applyAlignment="1">
      <alignment horizontal="center" vertical="center" wrapText="1"/>
    </xf>
    <xf numFmtId="49" fontId="30" fillId="39" borderId="25" xfId="52" applyBorder="1" applyAlignment="1">
      <alignment horizontal="center" vertical="center" wrapText="1"/>
    </xf>
    <xf numFmtId="49" fontId="30" fillId="39" borderId="23" xfId="52" applyBorder="1" applyAlignment="1">
      <alignment horizontal="center" vertical="center" wrapText="1"/>
    </xf>
    <xf numFmtId="49" fontId="30" fillId="39" borderId="24" xfId="52" applyBorder="1" applyAlignment="1">
      <alignment horizontal="center" vertical="center" wrapText="1"/>
    </xf>
    <xf numFmtId="0" fontId="0" fillId="0" borderId="48" xfId="0"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51" xfId="0" applyBorder="1" applyAlignment="1">
      <alignment horizontal="center"/>
    </xf>
    <xf numFmtId="0" fontId="31" fillId="39" borderId="25" xfId="0" applyFont="1" applyFill="1" applyBorder="1" applyAlignment="1">
      <alignment horizontal="center" vertical="center" wrapText="1"/>
    </xf>
    <xf numFmtId="0" fontId="31" fillId="39" borderId="23" xfId="0" applyFont="1" applyFill="1" applyBorder="1" applyAlignment="1">
      <alignment horizontal="center" vertical="center" wrapText="1"/>
    </xf>
    <xf numFmtId="0" fontId="31" fillId="39" borderId="24" xfId="0" applyFont="1" applyFill="1" applyBorder="1" applyAlignment="1">
      <alignment horizontal="center" vertical="center" wrapText="1"/>
    </xf>
  </cellXfs>
  <cellStyles count="54">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11" builtinId="27" hidden="1"/>
    <cellStyle name="Calculation" xfId="15" builtinId="22" customBuiltin="1"/>
    <cellStyle name="Check Cell" xfId="16" builtinId="23" hidden="1"/>
    <cellStyle name="Comma" xfId="1" builtinId="3" hidden="1"/>
    <cellStyle name="Comma [0]" xfId="5" builtinId="6" hidden="1"/>
    <cellStyle name="Currency" xfId="2" builtinId="4" hidden="1"/>
    <cellStyle name="Currency" xfId="50" builtinId="4"/>
    <cellStyle name="Currency [0]" xfId="6" builtinId="7" hidden="1"/>
    <cellStyle name="dms_Blue_HDR" xfId="52"/>
    <cellStyle name="Explanatory Text" xfId="17" builtinId="53" hidden="1"/>
    <cellStyle name="Good" xfId="10" builtinId="26" hidden="1"/>
    <cellStyle name="Heading 1" xfId="8" builtinId="16" customBuiltin="1"/>
    <cellStyle name="Heading 2" xfId="9" builtinId="17" customBuiltin="1"/>
    <cellStyle name="Heading 3" xfId="51" builtinId="18" customBuiltin="1"/>
    <cellStyle name="Input" xfId="13" builtinId="20" customBuiltin="1"/>
    <cellStyle name="Linked Cell" xfId="44" builtinId="24" hidden="1"/>
    <cellStyle name="Neutral" xfId="12" builtinId="28" hidden="1"/>
    <cellStyle name="Normal" xfId="0" builtinId="0" customBuiltin="1"/>
    <cellStyle name="Normal 13" xfId="53"/>
    <cellStyle name="Note" xfId="4" builtinId="10" customBuiltin="1"/>
    <cellStyle name="Output" xfId="14" builtinId="21" hidden="1" customBuiltin="1"/>
    <cellStyle name="Percent" xfId="3" builtinId="5" hidden="1"/>
    <cellStyle name="Percent" xfId="48" builtinId="5"/>
    <cellStyle name="Percent 2" xfId="49"/>
    <cellStyle name="Table body number" xfId="47"/>
    <cellStyle name="Table body Text" xfId="46"/>
    <cellStyle name="Table Heading 1" xfId="45"/>
    <cellStyle name="Title" xfId="7" builtinId="15" customBuiltin="1"/>
    <cellStyle name="Total" xfId="43" builtinId="25" hidden="1"/>
    <cellStyle name="Warning Text" xfId="42" builtinId="11" hidden="1"/>
  </cellStyles>
  <dxfs count="1">
    <dxf>
      <font>
        <color rgb="FFC8102E"/>
      </font>
    </dxf>
  </dxfs>
  <tableStyles count="0" defaultTableStyle="TableStyleMedium2" defaultPivotStyle="PivotStyleLight16"/>
  <colors>
    <mruColors>
      <color rgb="FF5FC8D7"/>
      <color rgb="FF00A67F"/>
      <color rgb="FF845AA2"/>
      <color rgb="FF1C4483"/>
      <color rgb="FFBEAFA8"/>
      <color rgb="FFC8102E"/>
      <color rgb="FF25282A"/>
      <color rgb="FFFFD1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Outputs│PTRM!$A$15</c:f>
              <c:strCache>
                <c:ptCount val="1"/>
                <c:pt idx="0">
                  <c:v>Pipelines</c:v>
                </c:pt>
              </c:strCache>
            </c:strRef>
          </c:tx>
          <c:spPr>
            <a:solidFill>
              <a:srgbClr val="C8102E"/>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Outputs│PTRM!$E$15:$I$15</c:f>
              <c:numCache>
                <c:formatCode>_-* #,##0.0_-;\-* #,##0.0_-;_-* "-"??????_-;_-@_-</c:formatCode>
                <c:ptCount val="5"/>
                <c:pt idx="0">
                  <c:v>7.0264754999999992</c:v>
                </c:pt>
                <c:pt idx="1">
                  <c:v>2.5462469999999993</c:v>
                </c:pt>
                <c:pt idx="2">
                  <c:v>0.86085449999999997</c:v>
                </c:pt>
                <c:pt idx="3">
                  <c:v>2.4439469999999996</c:v>
                </c:pt>
                <c:pt idx="4">
                  <c:v>0.4516544999999999</c:v>
                </c:pt>
              </c:numCache>
            </c:numRef>
          </c:val>
        </c:ser>
        <c:ser>
          <c:idx val="1"/>
          <c:order val="1"/>
          <c:tx>
            <c:strRef>
              <c:f>Outputs│PTRM!$A$14</c:f>
              <c:strCache>
                <c:ptCount val="1"/>
                <c:pt idx="0">
                  <c:v>Original Pipeline</c:v>
                </c:pt>
              </c:strCache>
            </c:strRef>
          </c:tx>
          <c:spPr>
            <a:solidFill>
              <a:srgbClr val="25282A"/>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Outputs│PTRM!$E$14:$I$14</c:f>
              <c:numCache>
                <c:formatCode>_-* #,##0.0_-;\-* #,##0.0_-;_-* "-"??????_-;_-@_-</c:formatCode>
                <c:ptCount val="5"/>
                <c:pt idx="0">
                  <c:v>15.817114499999997</c:v>
                </c:pt>
                <c:pt idx="1">
                  <c:v>11.589566999999999</c:v>
                </c:pt>
                <c:pt idx="2">
                  <c:v>4.9017045000000001</c:v>
                </c:pt>
                <c:pt idx="3">
                  <c:v>4.6740869999999983</c:v>
                </c:pt>
                <c:pt idx="4">
                  <c:v>6.2326274999999995</c:v>
                </c:pt>
              </c:numCache>
            </c:numRef>
          </c:val>
        </c:ser>
        <c:ser>
          <c:idx val="2"/>
          <c:order val="2"/>
          <c:tx>
            <c:strRef>
              <c:f>Outputs│PTRM!$A$22</c:f>
              <c:strCache>
                <c:ptCount val="1"/>
                <c:pt idx="0">
                  <c:v>Group IT</c:v>
                </c:pt>
              </c:strCache>
            </c:strRef>
          </c:tx>
          <c:spPr>
            <a:solidFill>
              <a:srgbClr val="BEAFA8"/>
            </a:solidFill>
            <a:ln w="3175">
              <a:noFill/>
            </a:ln>
          </c:spPr>
          <c:invertIfNegative val="0"/>
          <c:cat>
            <c:numRef>
              <c:f>Outputs│PTRM!$E$13:$I$13</c:f>
              <c:numCache>
                <c:formatCode>General</c:formatCode>
                <c:ptCount val="5"/>
                <c:pt idx="0">
                  <c:v>18</c:v>
                </c:pt>
                <c:pt idx="1">
                  <c:v>19</c:v>
                </c:pt>
                <c:pt idx="2">
                  <c:v>20</c:v>
                </c:pt>
                <c:pt idx="3">
                  <c:v>21</c:v>
                </c:pt>
                <c:pt idx="4">
                  <c:v>22</c:v>
                </c:pt>
              </c:numCache>
            </c:numRef>
          </c:cat>
          <c:val>
            <c:numRef>
              <c:f>Outputs│PTRM!$E$22:$I$22</c:f>
              <c:numCache>
                <c:formatCode>_-* #,##0.0_-;\-* #,##0.0_-;_-* "-"??????_-;_-@_-</c:formatCode>
                <c:ptCount val="5"/>
                <c:pt idx="0">
                  <c:v>1.6142712126730265</c:v>
                </c:pt>
                <c:pt idx="1">
                  <c:v>0.59018528133882375</c:v>
                </c:pt>
                <c:pt idx="2">
                  <c:v>0.47200371060451574</c:v>
                </c:pt>
                <c:pt idx="3">
                  <c:v>0.57812742070121725</c:v>
                </c:pt>
                <c:pt idx="4">
                  <c:v>0.42572883701583769</c:v>
                </c:pt>
              </c:numCache>
            </c:numRef>
          </c:val>
        </c:ser>
        <c:ser>
          <c:idx val="3"/>
          <c:order val="3"/>
          <c:tx>
            <c:strRef>
              <c:f>Outputs│PTRM!$A$23</c:f>
              <c:strCache>
                <c:ptCount val="1"/>
                <c:pt idx="0">
                  <c:v>SIB Capex</c:v>
                </c:pt>
              </c:strCache>
            </c:strRef>
          </c:tx>
          <c:spPr>
            <a:solidFill>
              <a:srgbClr val="1C4483"/>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Outputs│PTRM!$E$23:$I$23</c:f>
              <c:numCache>
                <c:formatCode>_-* #,##0.0_-;\-* #,##0.0_-;_-* "-"??????_-;_-@_-</c:formatCode>
                <c:ptCount val="5"/>
                <c:pt idx="0">
                  <c:v>1.0276237281369265</c:v>
                </c:pt>
                <c:pt idx="1">
                  <c:v>1.0809179825095412</c:v>
                </c:pt>
                <c:pt idx="2">
                  <c:v>0.52849798250954116</c:v>
                </c:pt>
                <c:pt idx="3">
                  <c:v>0.55407298250954129</c:v>
                </c:pt>
                <c:pt idx="4">
                  <c:v>0.29832298250954126</c:v>
                </c:pt>
              </c:numCache>
            </c:numRef>
          </c:val>
        </c:ser>
        <c:ser>
          <c:idx val="5"/>
          <c:order val="4"/>
          <c:tx>
            <c:strRef>
              <c:f>Outputs│PTRM!$A$16</c:f>
              <c:strCache>
                <c:ptCount val="1"/>
                <c:pt idx="0">
                  <c:v>Compressors</c:v>
                </c:pt>
              </c:strCache>
            </c:strRef>
          </c:tx>
          <c:spPr>
            <a:solidFill>
              <a:srgbClr val="5FC8D7"/>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Outputs│PTRM!$E$16:$I$16</c:f>
              <c:numCache>
                <c:formatCode>_-* #,##0.0_-;\-* #,##0.0_-;_-* "-"??????_-;_-@_-</c:formatCode>
                <c:ptCount val="5"/>
                <c:pt idx="0">
                  <c:v>0.10229999999999999</c:v>
                </c:pt>
                <c:pt idx="1">
                  <c:v>0.10229999999999999</c:v>
                </c:pt>
                <c:pt idx="2">
                  <c:v>0</c:v>
                </c:pt>
                <c:pt idx="3">
                  <c:v>0</c:v>
                </c:pt>
                <c:pt idx="4">
                  <c:v>1.3298999999999999</c:v>
                </c:pt>
              </c:numCache>
            </c:numRef>
          </c:val>
        </c:ser>
        <c:ser>
          <c:idx val="8"/>
          <c:order val="5"/>
          <c:tx>
            <c:strRef>
              <c:f>Outputs│PTRM!$A$21</c:f>
              <c:strCache>
                <c:ptCount val="1"/>
                <c:pt idx="0">
                  <c:v>Capitalised AA costs</c:v>
                </c:pt>
              </c:strCache>
            </c:strRef>
          </c:tx>
          <c:spPr>
            <a:solidFill>
              <a:srgbClr val="00A67F"/>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Outputs│PTRM!$E$21:$I$21</c:f>
              <c:numCache>
                <c:formatCode>_-* #,##0.0_-;\-* #,##0.0_-;_-* "-"??????_-;_-@_-</c:formatCode>
                <c:ptCount val="5"/>
                <c:pt idx="0">
                  <c:v>7.250548305E-2</c:v>
                </c:pt>
                <c:pt idx="1">
                  <c:v>0</c:v>
                </c:pt>
                <c:pt idx="2">
                  <c:v>0</c:v>
                </c:pt>
                <c:pt idx="3">
                  <c:v>5.9342265839999991E-2</c:v>
                </c:pt>
                <c:pt idx="4">
                  <c:v>0.91185669695999994</c:v>
                </c:pt>
              </c:numCache>
            </c:numRef>
          </c:val>
        </c:ser>
        <c:ser>
          <c:idx val="4"/>
          <c:order val="6"/>
          <c:tx>
            <c:strRef>
              <c:f>Outputs│PTRM!$A$17</c:f>
              <c:strCache>
                <c:ptCount val="1"/>
                <c:pt idx="0">
                  <c:v>Regulators and meters</c:v>
                </c:pt>
              </c:strCache>
            </c:strRef>
          </c:tx>
          <c:spPr>
            <a:solidFill>
              <a:srgbClr val="845AA2"/>
            </a:solidFill>
          </c:spPr>
          <c:invertIfNegative val="0"/>
          <c:cat>
            <c:numRef>
              <c:f>Outputs│PTRM!$E$13:$I$13</c:f>
              <c:numCache>
                <c:formatCode>General</c:formatCode>
                <c:ptCount val="5"/>
                <c:pt idx="0">
                  <c:v>18</c:v>
                </c:pt>
                <c:pt idx="1">
                  <c:v>19</c:v>
                </c:pt>
                <c:pt idx="2">
                  <c:v>20</c:v>
                </c:pt>
                <c:pt idx="3">
                  <c:v>21</c:v>
                </c:pt>
                <c:pt idx="4">
                  <c:v>22</c:v>
                </c:pt>
              </c:numCache>
            </c:numRef>
          </c:cat>
          <c:val>
            <c:numRef>
              <c:f>Outputs│PTRM!$E$17:$I$17</c:f>
              <c:numCache>
                <c:formatCode>_-* #,##0.0_-;\-* #,##0.0_-;_-* "-"??????_-;_-@_-</c:formatCode>
                <c:ptCount val="5"/>
                <c:pt idx="0">
                  <c:v>0.26145914912547702</c:v>
                </c:pt>
                <c:pt idx="1">
                  <c:v>0</c:v>
                </c:pt>
                <c:pt idx="2">
                  <c:v>8.1839999999999996E-2</c:v>
                </c:pt>
                <c:pt idx="3">
                  <c:v>0</c:v>
                </c:pt>
                <c:pt idx="4">
                  <c:v>0</c:v>
                </c:pt>
              </c:numCache>
            </c:numRef>
          </c:val>
        </c:ser>
        <c:dLbls>
          <c:showLegendKey val="0"/>
          <c:showVal val="0"/>
          <c:showCatName val="0"/>
          <c:showSerName val="0"/>
          <c:showPercent val="0"/>
          <c:showBubbleSize val="0"/>
        </c:dLbls>
        <c:gapWidth val="150"/>
        <c:overlap val="100"/>
        <c:axId val="186830208"/>
        <c:axId val="187110528"/>
      </c:barChart>
      <c:catAx>
        <c:axId val="186830208"/>
        <c:scaling>
          <c:orientation val="minMax"/>
        </c:scaling>
        <c:delete val="0"/>
        <c:axPos val="b"/>
        <c:numFmt formatCode="General" sourceLinked="1"/>
        <c:majorTickMark val="out"/>
        <c:minorTickMark val="none"/>
        <c:tickLblPos val="nextTo"/>
        <c:crossAx val="187110528"/>
        <c:crosses val="autoZero"/>
        <c:auto val="1"/>
        <c:lblAlgn val="ctr"/>
        <c:lblOffset val="100"/>
        <c:noMultiLvlLbl val="0"/>
      </c:catAx>
      <c:valAx>
        <c:axId val="187110528"/>
        <c:scaling>
          <c:orientation val="minMax"/>
        </c:scaling>
        <c:delete val="0"/>
        <c:axPos val="l"/>
        <c:majorGridlines/>
        <c:numFmt formatCode="_-* #,##0.0_-;\-* #,##0.0_-;_-* &quot;-&quot;??????_-;_-@_-" sourceLinked="1"/>
        <c:majorTickMark val="out"/>
        <c:minorTickMark val="none"/>
        <c:tickLblPos val="nextTo"/>
        <c:crossAx val="186830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522817</xdr:colOff>
      <xdr:row>2</xdr:row>
      <xdr:rowOff>166158</xdr:rowOff>
    </xdr:from>
    <xdr:ext cx="1891593" cy="746690"/>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2817" y="585258"/>
          <a:ext cx="1891593" cy="7466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2</xdr:row>
      <xdr:rowOff>57150</xdr:rowOff>
    </xdr:from>
    <xdr:to>
      <xdr:col>1</xdr:col>
      <xdr:colOff>530879</xdr:colOff>
      <xdr:row>6</xdr:row>
      <xdr:rowOff>121064</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476250" y="381000"/>
          <a:ext cx="1883429" cy="74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464204</xdr:colOff>
      <xdr:row>6</xdr:row>
      <xdr:rowOff>63914</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685800" y="342900"/>
          <a:ext cx="1883429" cy="749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84364</xdr:rowOff>
    </xdr:from>
    <xdr:to>
      <xdr:col>0</xdr:col>
      <xdr:colOff>1883589</xdr:colOff>
      <xdr:row>6</xdr:row>
      <xdr:rowOff>131950</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0679" y="427264"/>
          <a:ext cx="1883589" cy="7333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638735</xdr:colOff>
      <xdr:row>3</xdr:row>
      <xdr:rowOff>146799</xdr:rowOff>
    </xdr:from>
    <xdr:to>
      <xdr:col>0</xdr:col>
      <xdr:colOff>2522164</xdr:colOff>
      <xdr:row>8</xdr:row>
      <xdr:rowOff>56072</xdr:rowOff>
    </xdr:to>
    <xdr:pic>
      <xdr:nvPicPr>
        <xdr:cNvPr id="4" name="Picture 3"/>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638735" y="651064"/>
          <a:ext cx="1883429" cy="749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495300</xdr:colOff>
      <xdr:row>2</xdr:row>
      <xdr:rowOff>114300</xdr:rowOff>
    </xdr:from>
    <xdr:to>
      <xdr:col>1</xdr:col>
      <xdr:colOff>292754</xdr:colOff>
      <xdr:row>7</xdr:row>
      <xdr:rowOff>6764</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495300" y="457200"/>
          <a:ext cx="1883429" cy="749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552450</xdr:colOff>
      <xdr:row>3</xdr:row>
      <xdr:rowOff>19050</xdr:rowOff>
    </xdr:from>
    <xdr:to>
      <xdr:col>1</xdr:col>
      <xdr:colOff>102870</xdr:colOff>
      <xdr:row>7</xdr:row>
      <xdr:rowOff>160020</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52450" y="533400"/>
          <a:ext cx="2074545" cy="8267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523875</xdr:colOff>
      <xdr:row>2</xdr:row>
      <xdr:rowOff>57150</xdr:rowOff>
    </xdr:from>
    <xdr:to>
      <xdr:col>0</xdr:col>
      <xdr:colOff>2598420</xdr:colOff>
      <xdr:row>7</xdr:row>
      <xdr:rowOff>26670</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5" y="381000"/>
          <a:ext cx="2074545" cy="8267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552450</xdr:colOff>
      <xdr:row>3</xdr:row>
      <xdr:rowOff>19050</xdr:rowOff>
    </xdr:from>
    <xdr:to>
      <xdr:col>2</xdr:col>
      <xdr:colOff>588645</xdr:colOff>
      <xdr:row>7</xdr:row>
      <xdr:rowOff>160020</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52450" y="533400"/>
          <a:ext cx="2074545" cy="8267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552450</xdr:colOff>
      <xdr:row>3</xdr:row>
      <xdr:rowOff>19050</xdr:rowOff>
    </xdr:from>
    <xdr:to>
      <xdr:col>1</xdr:col>
      <xdr:colOff>1274445</xdr:colOff>
      <xdr:row>7</xdr:row>
      <xdr:rowOff>160020</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52450" y="533400"/>
          <a:ext cx="2074545" cy="826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447675</xdr:colOff>
      <xdr:row>2</xdr:row>
      <xdr:rowOff>76200</xdr:rowOff>
    </xdr:from>
    <xdr:to>
      <xdr:col>1</xdr:col>
      <xdr:colOff>1805057</xdr:colOff>
      <xdr:row>7</xdr:row>
      <xdr:rowOff>45720</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447675" y="419100"/>
          <a:ext cx="2074545" cy="8267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552450</xdr:colOff>
      <xdr:row>3</xdr:row>
      <xdr:rowOff>19050</xdr:rowOff>
    </xdr:from>
    <xdr:to>
      <xdr:col>2</xdr:col>
      <xdr:colOff>588645</xdr:colOff>
      <xdr:row>7</xdr:row>
      <xdr:rowOff>160020</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52450" y="533400"/>
          <a:ext cx="2074545" cy="826770"/>
        </a:xfrm>
        <a:prstGeom prst="rect">
          <a:avLst/>
        </a:prstGeom>
      </xdr:spPr>
    </xdr:pic>
    <xdr:clientData/>
  </xdr:twoCellAnchor>
  <xdr:twoCellAnchor>
    <xdr:from>
      <xdr:col>1</xdr:col>
      <xdr:colOff>38100</xdr:colOff>
      <xdr:row>14</xdr:row>
      <xdr:rowOff>19050</xdr:rowOff>
    </xdr:from>
    <xdr:to>
      <xdr:col>8</xdr:col>
      <xdr:colOff>637500</xdr:colOff>
      <xdr:row>31</xdr:row>
      <xdr:rowOff>56700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APT%20Assets/RBP/RBP%20AA%202017-22/RIN/Final%20RIN/Final%20RIN%20-%20RBP%20response%20-%20version%20201607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hehub.apa.com.au/workareap/AME/Documents/ISE%20QLD/Asset%20Management%20Plan/QLD%20Master%20Budget_5%20Year_For%20Revi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hehub.apa.com.au/workareap/AME/Documents/ISE%20QLD/Asset%20Management%20Plan/QLD%20Master%20Budget_5%20Year_Electri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1. Inflation"/>
      <sheetName val="3. Opex"/>
      <sheetName val="3.2 Provisions"/>
      <sheetName val="4. Capex"/>
      <sheetName val="7. Capital Base"/>
      <sheetName val="8. Revenue"/>
      <sheetName val="12. Demand"/>
      <sheetName val="13. Pipeline capacity"/>
      <sheetName val="14. Bill impacts"/>
      <sheetName val="Unlocked"/>
    </sheetNames>
    <sheetDataSet>
      <sheetData sheetId="0"/>
      <sheetData sheetId="1"/>
      <sheetData sheetId="2"/>
      <sheetData sheetId="3">
        <row r="35">
          <cell r="C35" t="str">
            <v>2017-18</v>
          </cell>
          <cell r="D35" t="str">
            <v>2018-19</v>
          </cell>
          <cell r="E35" t="str">
            <v>2019-20</v>
          </cell>
          <cell r="F35" t="str">
            <v>2020-21</v>
          </cell>
          <cell r="G35" t="str">
            <v>2021-22</v>
          </cell>
        </row>
        <row r="38">
          <cell r="C38" t="str">
            <v>2012-13</v>
          </cell>
          <cell r="D38" t="str">
            <v>2013-14</v>
          </cell>
          <cell r="E38" t="str">
            <v>2014-15</v>
          </cell>
          <cell r="F38" t="str">
            <v>2015-16</v>
          </cell>
          <cell r="G38" t="str">
            <v>2016-17</v>
          </cell>
        </row>
        <row r="63">
          <cell r="C63" t="str">
            <v>June 2017</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PIVOT"/>
      <sheetName val="FY16-20_OLD"/>
      <sheetName val="Definitions"/>
      <sheetName val="ILI SCHEDULE"/>
      <sheetName val="PIVOT_FY17-21"/>
      <sheetName val="FY17-FY21_AMP"/>
      <sheetName val="ISSUES"/>
      <sheetName val="Lookups"/>
      <sheetName val="FY15"/>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6-20 MASTER"/>
      <sheetName val="Definitions"/>
      <sheetName val="FundingRequests"/>
      <sheetName val="ISSUES"/>
      <sheetName val="Lookups"/>
      <sheetName val="ELECTRICAL"/>
    </sheetNames>
    <sheetDataSet>
      <sheetData sheetId="0"/>
      <sheetData sheetId="1"/>
      <sheetData sheetId="2"/>
      <sheetData sheetId="3"/>
      <sheetData sheetId="4"/>
      <sheetData sheetId="5"/>
    </sheetDataSet>
  </externalBook>
</externalLink>
</file>

<file path=xl/queryTables/queryTable1.xml><?xml version="1.0" encoding="utf-8"?>
<queryTable xmlns="http://schemas.openxmlformats.org/spreadsheetml/2006/main" name="Portfolio Roadmap updated April 2016"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C8D7"/>
  </sheetPr>
  <dimension ref="A1:O43"/>
  <sheetViews>
    <sheetView zoomScale="85" zoomScaleNormal="85" workbookViewId="0">
      <selection activeCell="O17" sqref="O17"/>
    </sheetView>
  </sheetViews>
  <sheetFormatPr defaultRowHeight="16.5" x14ac:dyDescent="0.3"/>
  <cols>
    <col min="1" max="1" width="48.875" style="16" bestFit="1" customWidth="1"/>
    <col min="2" max="2" width="29.625" style="16" customWidth="1"/>
    <col min="3" max="3" width="13.125" style="56" customWidth="1"/>
    <col min="4" max="4" width="10.75" style="16" customWidth="1"/>
    <col min="5" max="6" width="10.875" style="16" bestFit="1" customWidth="1"/>
    <col min="7" max="9" width="8.375" style="16" bestFit="1" customWidth="1"/>
    <col min="10" max="10" width="8.375" style="16" customWidth="1"/>
    <col min="11" max="11" width="12.625" style="16" customWidth="1"/>
    <col min="12" max="16384" width="9" style="16"/>
  </cols>
  <sheetData>
    <row r="1" spans="1:15" s="2" customFormat="1" ht="13.5" x14ac:dyDescent="0.25">
      <c r="C1" s="70"/>
      <c r="O1" s="3"/>
    </row>
    <row r="2" spans="1:15" s="2" customFormat="1" ht="13.5" x14ac:dyDescent="0.25">
      <c r="C2" s="70"/>
      <c r="O2" s="3"/>
    </row>
    <row r="3" spans="1:15" s="2" customFormat="1" ht="13.5" x14ac:dyDescent="0.25">
      <c r="C3" s="70"/>
      <c r="O3" s="3"/>
    </row>
    <row r="4" spans="1:15" s="2" customFormat="1" ht="13.5" x14ac:dyDescent="0.25">
      <c r="C4" s="70"/>
      <c r="O4" s="3"/>
    </row>
    <row r="5" spans="1:15" s="2" customFormat="1" ht="13.5" x14ac:dyDescent="0.25">
      <c r="C5" s="70"/>
      <c r="O5" s="3"/>
    </row>
    <row r="6" spans="1:15" s="2" customFormat="1" ht="13.5" x14ac:dyDescent="0.25">
      <c r="C6" s="70"/>
      <c r="O6" s="3"/>
    </row>
    <row r="7" spans="1:15" s="2" customFormat="1" ht="13.5" x14ac:dyDescent="0.25">
      <c r="C7" s="70"/>
      <c r="O7" s="3"/>
    </row>
    <row r="8" spans="1:15" s="2" customFormat="1" ht="13.5" x14ac:dyDescent="0.25">
      <c r="C8" s="70"/>
      <c r="O8" s="3"/>
    </row>
    <row r="9" spans="1:15" s="2" customFormat="1" ht="13.5" x14ac:dyDescent="0.25">
      <c r="C9" s="70"/>
      <c r="O9" s="3"/>
    </row>
    <row r="10" spans="1:15" x14ac:dyDescent="0.3">
      <c r="A10" s="64"/>
      <c r="B10" s="64"/>
      <c r="C10" s="69"/>
      <c r="D10" s="64"/>
      <c r="E10" s="64"/>
      <c r="F10" s="64"/>
      <c r="G10" s="64"/>
      <c r="H10" s="64"/>
      <c r="I10" s="64"/>
      <c r="J10" s="64"/>
      <c r="K10" s="64"/>
      <c r="L10" s="64"/>
      <c r="M10" s="64"/>
    </row>
    <row r="11" spans="1:15" x14ac:dyDescent="0.3">
      <c r="A11" s="67" t="s">
        <v>236</v>
      </c>
      <c r="B11" s="67" t="s">
        <v>235</v>
      </c>
      <c r="C11" s="68"/>
      <c r="D11" s="67"/>
      <c r="E11" s="268" t="s">
        <v>234</v>
      </c>
      <c r="F11" s="268"/>
      <c r="G11" s="268"/>
      <c r="H11" s="268"/>
      <c r="I11" s="268"/>
      <c r="J11" s="68"/>
      <c r="K11" s="68"/>
    </row>
    <row r="12" spans="1:15" ht="30" x14ac:dyDescent="0.3">
      <c r="A12" s="14" t="s">
        <v>92</v>
      </c>
      <c r="C12" s="65" t="s">
        <v>233</v>
      </c>
      <c r="D12" s="66" t="s">
        <v>232</v>
      </c>
      <c r="E12" s="66" t="s">
        <v>231</v>
      </c>
      <c r="F12" s="66" t="s">
        <v>230</v>
      </c>
      <c r="G12" s="66" t="s">
        <v>229</v>
      </c>
      <c r="H12" s="66" t="s">
        <v>228</v>
      </c>
      <c r="I12" s="66" t="s">
        <v>227</v>
      </c>
      <c r="J12" s="66"/>
      <c r="K12" s="65" t="s">
        <v>226</v>
      </c>
    </row>
    <row r="13" spans="1:15" x14ac:dyDescent="0.3">
      <c r="A13" s="63" t="s">
        <v>225</v>
      </c>
      <c r="B13" s="57"/>
      <c r="C13" s="58"/>
      <c r="D13" s="61"/>
      <c r="E13" s="61"/>
      <c r="F13" s="61"/>
      <c r="G13" s="61"/>
      <c r="H13" s="61"/>
      <c r="I13" s="61"/>
      <c r="J13" s="61"/>
      <c r="K13" s="59"/>
    </row>
    <row r="14" spans="1:15" x14ac:dyDescent="0.3">
      <c r="A14" s="57" t="s">
        <v>224</v>
      </c>
      <c r="B14" s="57" t="s">
        <v>133</v>
      </c>
      <c r="C14" s="58" t="s">
        <v>194</v>
      </c>
      <c r="D14" s="61">
        <v>1701664.9550609998</v>
      </c>
      <c r="E14" s="61">
        <v>26315</v>
      </c>
      <c r="F14" s="61">
        <v>0</v>
      </c>
      <c r="G14" s="61">
        <v>0</v>
      </c>
      <c r="H14" s="61">
        <v>0</v>
      </c>
      <c r="I14" s="61">
        <v>0</v>
      </c>
      <c r="J14" s="61"/>
      <c r="K14" s="59">
        <f t="shared" ref="K14:K22" si="0">SUM(D14:I14)</f>
        <v>1727979.9550609998</v>
      </c>
    </row>
    <row r="15" spans="1:15" x14ac:dyDescent="0.3">
      <c r="A15" s="57" t="s">
        <v>223</v>
      </c>
      <c r="B15" s="57" t="s">
        <v>79</v>
      </c>
      <c r="C15" s="58" t="s">
        <v>194</v>
      </c>
      <c r="D15" s="61">
        <v>1127479.5000640005</v>
      </c>
      <c r="E15" s="61">
        <v>1592834</v>
      </c>
      <c r="F15" s="61">
        <v>0</v>
      </c>
      <c r="G15" s="61">
        <v>0</v>
      </c>
      <c r="H15" s="61">
        <v>0</v>
      </c>
      <c r="I15" s="61">
        <v>0</v>
      </c>
      <c r="J15" s="61"/>
      <c r="K15" s="59">
        <f t="shared" si="0"/>
        <v>2720313.5000640005</v>
      </c>
    </row>
    <row r="16" spans="1:15" x14ac:dyDescent="0.3">
      <c r="A16" s="57" t="s">
        <v>222</v>
      </c>
      <c r="B16" s="57" t="s">
        <v>79</v>
      </c>
      <c r="C16" s="58" t="s">
        <v>193</v>
      </c>
      <c r="D16" s="61">
        <v>1616634.8356989971</v>
      </c>
      <c r="E16" s="61">
        <v>4766127.9321800116</v>
      </c>
      <c r="F16" s="61">
        <v>0</v>
      </c>
      <c r="G16" s="61">
        <v>0</v>
      </c>
      <c r="H16" s="61">
        <v>0</v>
      </c>
      <c r="I16" s="61">
        <v>0</v>
      </c>
      <c r="J16" s="61"/>
      <c r="K16" s="59">
        <f t="shared" si="0"/>
        <v>6382762.7678790092</v>
      </c>
    </row>
    <row r="17" spans="1:11" x14ac:dyDescent="0.3">
      <c r="A17" s="57" t="s">
        <v>221</v>
      </c>
      <c r="B17" s="57" t="s">
        <v>79</v>
      </c>
      <c r="C17" s="58" t="s">
        <v>194</v>
      </c>
      <c r="D17" s="61">
        <v>977996.85728400096</v>
      </c>
      <c r="E17" s="61">
        <v>0</v>
      </c>
      <c r="F17" s="61">
        <v>0</v>
      </c>
      <c r="G17" s="61">
        <v>0</v>
      </c>
      <c r="H17" s="61">
        <v>0</v>
      </c>
      <c r="I17" s="61">
        <v>0</v>
      </c>
      <c r="J17" s="61"/>
      <c r="K17" s="59">
        <f t="shared" si="0"/>
        <v>977996.85728400096</v>
      </c>
    </row>
    <row r="18" spans="1:11" x14ac:dyDescent="0.3">
      <c r="A18" s="57" t="s">
        <v>220</v>
      </c>
      <c r="B18" s="57" t="s">
        <v>79</v>
      </c>
      <c r="C18" s="58" t="s">
        <v>194</v>
      </c>
      <c r="D18" s="61">
        <v>99999.994483000002</v>
      </c>
      <c r="E18" s="61">
        <v>0</v>
      </c>
      <c r="F18" s="61">
        <v>0</v>
      </c>
      <c r="G18" s="61">
        <v>0</v>
      </c>
      <c r="H18" s="61">
        <v>0</v>
      </c>
      <c r="I18" s="61">
        <v>0</v>
      </c>
      <c r="J18" s="61"/>
      <c r="K18" s="59">
        <f t="shared" si="0"/>
        <v>99999.994483000002</v>
      </c>
    </row>
    <row r="19" spans="1:11" x14ac:dyDescent="0.3">
      <c r="A19" s="57" t="s">
        <v>219</v>
      </c>
      <c r="B19" s="57" t="s">
        <v>79</v>
      </c>
      <c r="C19" s="58" t="s">
        <v>193</v>
      </c>
      <c r="D19" s="61">
        <v>615933.79567300051</v>
      </c>
      <c r="E19" s="61">
        <v>2548065</v>
      </c>
      <c r="F19" s="61">
        <v>0</v>
      </c>
      <c r="G19" s="61">
        <v>0</v>
      </c>
      <c r="H19" s="61">
        <v>0</v>
      </c>
      <c r="I19" s="61">
        <v>0</v>
      </c>
      <c r="J19" s="61"/>
      <c r="K19" s="59">
        <f t="shared" si="0"/>
        <v>3163998.7956730006</v>
      </c>
    </row>
    <row r="20" spans="1:11" x14ac:dyDescent="0.3">
      <c r="A20" s="57" t="s">
        <v>218</v>
      </c>
      <c r="B20" s="57" t="s">
        <v>79</v>
      </c>
      <c r="C20" s="58" t="s">
        <v>193</v>
      </c>
      <c r="D20" s="61">
        <v>136624</v>
      </c>
      <c r="E20" s="61">
        <v>700397</v>
      </c>
      <c r="F20" s="61">
        <v>0</v>
      </c>
      <c r="G20" s="61">
        <v>0</v>
      </c>
      <c r="H20" s="61">
        <v>0</v>
      </c>
      <c r="I20" s="61">
        <v>0</v>
      </c>
      <c r="J20" s="61"/>
      <c r="K20" s="59">
        <f t="shared" si="0"/>
        <v>837021</v>
      </c>
    </row>
    <row r="21" spans="1:11" x14ac:dyDescent="0.3">
      <c r="A21" s="57" t="s">
        <v>217</v>
      </c>
      <c r="B21" s="57" t="s">
        <v>133</v>
      </c>
      <c r="C21" s="58" t="s">
        <v>192</v>
      </c>
      <c r="D21" s="61">
        <v>201477.36179199998</v>
      </c>
      <c r="E21" s="61">
        <v>738522.71651200054</v>
      </c>
      <c r="F21" s="61">
        <v>0</v>
      </c>
      <c r="G21" s="61">
        <v>0</v>
      </c>
      <c r="H21" s="61">
        <v>0</v>
      </c>
      <c r="I21" s="61">
        <v>0</v>
      </c>
      <c r="J21" s="61"/>
      <c r="K21" s="59">
        <f t="shared" si="0"/>
        <v>940000.07830400055</v>
      </c>
    </row>
    <row r="22" spans="1:11" x14ac:dyDescent="0.3">
      <c r="A22" s="57" t="s">
        <v>216</v>
      </c>
      <c r="B22" s="57" t="s">
        <v>133</v>
      </c>
      <c r="C22" s="58" t="s">
        <v>192</v>
      </c>
      <c r="D22" s="61">
        <v>90000</v>
      </c>
      <c r="E22" s="61">
        <v>7080567</v>
      </c>
      <c r="F22" s="61">
        <v>1571587</v>
      </c>
      <c r="G22" s="61">
        <v>0</v>
      </c>
      <c r="H22" s="61">
        <v>0</v>
      </c>
      <c r="I22" s="61">
        <v>0</v>
      </c>
      <c r="J22" s="61"/>
      <c r="K22" s="59">
        <f t="shared" si="0"/>
        <v>8742154</v>
      </c>
    </row>
    <row r="23" spans="1:11" x14ac:dyDescent="0.3">
      <c r="A23" s="63" t="s">
        <v>215</v>
      </c>
      <c r="B23" s="57"/>
      <c r="C23" s="58"/>
      <c r="D23" s="61"/>
      <c r="E23" s="61"/>
      <c r="F23" s="61"/>
      <c r="G23" s="61"/>
      <c r="H23" s="61"/>
      <c r="I23" s="61"/>
      <c r="J23" s="61"/>
      <c r="K23" s="59"/>
    </row>
    <row r="24" spans="1:11" x14ac:dyDescent="0.3">
      <c r="A24" s="62" t="s">
        <v>214</v>
      </c>
      <c r="B24" s="57" t="s">
        <v>79</v>
      </c>
      <c r="C24" s="58" t="s">
        <v>192</v>
      </c>
      <c r="D24" s="61">
        <v>79975.763999999966</v>
      </c>
      <c r="E24" s="61">
        <v>977526.446</v>
      </c>
      <c r="F24" s="61">
        <v>0</v>
      </c>
      <c r="G24" s="61">
        <v>0</v>
      </c>
      <c r="H24" s="61">
        <v>0</v>
      </c>
      <c r="I24" s="61">
        <v>0</v>
      </c>
      <c r="J24" s="61"/>
      <c r="K24" s="59">
        <f t="shared" ref="K24:K42" si="1">SUM(D24:I24)</f>
        <v>1057502.21</v>
      </c>
    </row>
    <row r="25" spans="1:11" x14ac:dyDescent="0.3">
      <c r="A25" s="57" t="s">
        <v>213</v>
      </c>
      <c r="B25" s="57" t="s">
        <v>79</v>
      </c>
      <c r="C25" s="58" t="s">
        <v>192</v>
      </c>
      <c r="D25" s="61">
        <v>0</v>
      </c>
      <c r="E25" s="61">
        <v>880580.00005999941</v>
      </c>
      <c r="F25" s="61">
        <v>4659928.7999600014</v>
      </c>
      <c r="G25" s="61">
        <v>58565.599999999999</v>
      </c>
      <c r="H25" s="61">
        <v>0</v>
      </c>
      <c r="I25" s="61">
        <v>0</v>
      </c>
      <c r="J25" s="61"/>
      <c r="K25" s="59">
        <f t="shared" si="1"/>
        <v>5599074.4000200005</v>
      </c>
    </row>
    <row r="26" spans="1:11" x14ac:dyDescent="0.3">
      <c r="A26" s="62" t="s">
        <v>212</v>
      </c>
      <c r="B26" s="57" t="s">
        <v>79</v>
      </c>
      <c r="C26" s="58" t="s">
        <v>192</v>
      </c>
      <c r="D26" s="61">
        <v>0</v>
      </c>
      <c r="E26" s="61">
        <v>1046427.4362179998</v>
      </c>
      <c r="F26" s="61">
        <v>697320.56377499807</v>
      </c>
      <c r="G26" s="61">
        <v>0</v>
      </c>
      <c r="H26" s="61">
        <v>0</v>
      </c>
      <c r="I26" s="61">
        <v>0</v>
      </c>
      <c r="J26" s="61"/>
      <c r="K26" s="59">
        <f t="shared" si="1"/>
        <v>1743747.9999929979</v>
      </c>
    </row>
    <row r="27" spans="1:11" x14ac:dyDescent="0.3">
      <c r="A27" s="57" t="s">
        <v>211</v>
      </c>
      <c r="B27" s="57" t="s">
        <v>79</v>
      </c>
      <c r="C27" s="58" t="s">
        <v>192</v>
      </c>
      <c r="D27" s="61">
        <v>0</v>
      </c>
      <c r="E27" s="61">
        <v>930084.53334699967</v>
      </c>
      <c r="F27" s="61">
        <v>60930.466673000046</v>
      </c>
      <c r="G27" s="61">
        <v>0</v>
      </c>
      <c r="H27" s="61">
        <v>0</v>
      </c>
      <c r="I27" s="61">
        <v>0</v>
      </c>
      <c r="J27" s="61"/>
      <c r="K27" s="59">
        <f t="shared" si="1"/>
        <v>991015.00001999969</v>
      </c>
    </row>
    <row r="28" spans="1:11" x14ac:dyDescent="0.3">
      <c r="A28" s="62" t="s">
        <v>210</v>
      </c>
      <c r="B28" s="57" t="s">
        <v>132</v>
      </c>
      <c r="C28" s="58" t="s">
        <v>192</v>
      </c>
      <c r="D28" s="61">
        <v>0</v>
      </c>
      <c r="E28" s="61">
        <v>242399.20000000054</v>
      </c>
      <c r="F28" s="61">
        <v>3290.8000000000006</v>
      </c>
      <c r="G28" s="61">
        <v>0</v>
      </c>
      <c r="H28" s="61">
        <v>0</v>
      </c>
      <c r="I28" s="61">
        <v>0</v>
      </c>
      <c r="J28" s="61"/>
      <c r="K28" s="59">
        <f t="shared" si="1"/>
        <v>245690.00000000052</v>
      </c>
    </row>
    <row r="29" spans="1:11" x14ac:dyDescent="0.3">
      <c r="A29" s="57" t="s">
        <v>209</v>
      </c>
      <c r="B29" s="57" t="s">
        <v>132</v>
      </c>
      <c r="C29" s="58" t="s">
        <v>192</v>
      </c>
      <c r="D29" s="61">
        <v>0</v>
      </c>
      <c r="E29" s="61">
        <v>269310.80000000005</v>
      </c>
      <c r="F29" s="61">
        <v>1557287.1999780005</v>
      </c>
      <c r="G29" s="61">
        <v>0</v>
      </c>
      <c r="H29" s="61">
        <v>0</v>
      </c>
      <c r="I29" s="61">
        <v>0</v>
      </c>
      <c r="J29" s="61"/>
      <c r="K29" s="59">
        <f t="shared" si="1"/>
        <v>1826597.9999780005</v>
      </c>
    </row>
    <row r="30" spans="1:11" x14ac:dyDescent="0.3">
      <c r="A30" s="62" t="s">
        <v>208</v>
      </c>
      <c r="B30" s="57" t="s">
        <v>79</v>
      </c>
      <c r="C30" s="58" t="s">
        <v>192</v>
      </c>
      <c r="D30" s="61">
        <v>0</v>
      </c>
      <c r="E30" s="61">
        <v>168732.0000000002</v>
      </c>
      <c r="F30" s="61">
        <v>1276736.0000400003</v>
      </c>
      <c r="G30" s="61">
        <v>0</v>
      </c>
      <c r="H30" s="61">
        <v>0</v>
      </c>
      <c r="I30" s="61">
        <v>0</v>
      </c>
      <c r="J30" s="61"/>
      <c r="K30" s="59">
        <f t="shared" si="1"/>
        <v>1445468.0000400005</v>
      </c>
    </row>
    <row r="31" spans="1:11" x14ac:dyDescent="0.3">
      <c r="A31" s="62" t="s">
        <v>207</v>
      </c>
      <c r="B31" s="57" t="s">
        <v>132</v>
      </c>
      <c r="C31" s="58" t="s">
        <v>192</v>
      </c>
      <c r="D31" s="61">
        <v>0</v>
      </c>
      <c r="E31" s="61">
        <v>133163.88889</v>
      </c>
      <c r="F31" s="61">
        <v>2728842.6985899941</v>
      </c>
      <c r="G31" s="61">
        <v>0</v>
      </c>
      <c r="H31" s="61">
        <v>0</v>
      </c>
      <c r="I31" s="61">
        <v>0</v>
      </c>
      <c r="J31" s="61"/>
      <c r="K31" s="59">
        <f t="shared" si="1"/>
        <v>2862006.5874799942</v>
      </c>
    </row>
    <row r="32" spans="1:11" x14ac:dyDescent="0.3">
      <c r="A32" s="57" t="s">
        <v>206</v>
      </c>
      <c r="B32" s="57" t="s">
        <v>79</v>
      </c>
      <c r="C32" s="58" t="s">
        <v>192</v>
      </c>
      <c r="D32" s="61">
        <v>0</v>
      </c>
      <c r="E32" s="61">
        <v>23940</v>
      </c>
      <c r="F32" s="61">
        <v>839189.50001999945</v>
      </c>
      <c r="G32" s="61">
        <v>0</v>
      </c>
      <c r="H32" s="61">
        <v>0</v>
      </c>
      <c r="I32" s="61">
        <v>0</v>
      </c>
      <c r="J32" s="61"/>
      <c r="K32" s="59">
        <f t="shared" si="1"/>
        <v>863129.50001999945</v>
      </c>
    </row>
    <row r="33" spans="1:11" x14ac:dyDescent="0.3">
      <c r="A33" s="62" t="s">
        <v>205</v>
      </c>
      <c r="B33" s="57" t="s">
        <v>79</v>
      </c>
      <c r="C33" s="58" t="s">
        <v>192</v>
      </c>
      <c r="D33" s="61">
        <v>0</v>
      </c>
      <c r="E33" s="61">
        <v>0</v>
      </c>
      <c r="F33" s="61">
        <v>791311.20000000193</v>
      </c>
      <c r="G33" s="61">
        <v>0</v>
      </c>
      <c r="H33" s="61">
        <v>0</v>
      </c>
      <c r="I33" s="61">
        <v>0</v>
      </c>
      <c r="J33" s="61"/>
      <c r="K33" s="59">
        <f t="shared" si="1"/>
        <v>791311.20000000193</v>
      </c>
    </row>
    <row r="34" spans="1:11" x14ac:dyDescent="0.3">
      <c r="A34" s="57" t="s">
        <v>204</v>
      </c>
      <c r="B34" s="57" t="s">
        <v>79</v>
      </c>
      <c r="C34" s="58" t="s">
        <v>192</v>
      </c>
      <c r="D34" s="61">
        <v>0</v>
      </c>
      <c r="E34" s="61">
        <v>0</v>
      </c>
      <c r="F34" s="61">
        <v>421469.99995999981</v>
      </c>
      <c r="G34" s="61">
        <v>0</v>
      </c>
      <c r="H34" s="61">
        <v>0</v>
      </c>
      <c r="I34" s="61">
        <v>0</v>
      </c>
      <c r="J34" s="61"/>
      <c r="K34" s="59">
        <f t="shared" si="1"/>
        <v>421469.99995999981</v>
      </c>
    </row>
    <row r="35" spans="1:11" x14ac:dyDescent="0.3">
      <c r="A35" s="62" t="s">
        <v>203</v>
      </c>
      <c r="B35" s="57" t="s">
        <v>79</v>
      </c>
      <c r="C35" s="58" t="s">
        <v>192</v>
      </c>
      <c r="D35" s="61">
        <v>0</v>
      </c>
      <c r="E35" s="61">
        <v>0</v>
      </c>
      <c r="F35" s="61">
        <v>916998.77638899942</v>
      </c>
      <c r="G35" s="61">
        <v>0</v>
      </c>
      <c r="H35" s="61">
        <v>0</v>
      </c>
      <c r="I35" s="61">
        <v>0</v>
      </c>
      <c r="J35" s="61"/>
      <c r="K35" s="59">
        <f t="shared" si="1"/>
        <v>916998.77638899942</v>
      </c>
    </row>
    <row r="36" spans="1:11" x14ac:dyDescent="0.3">
      <c r="A36" s="57" t="s">
        <v>202</v>
      </c>
      <c r="B36" s="57" t="s">
        <v>133</v>
      </c>
      <c r="C36" s="58" t="s">
        <v>192</v>
      </c>
      <c r="D36" s="61">
        <v>0</v>
      </c>
      <c r="E36" s="61">
        <v>0</v>
      </c>
      <c r="F36" s="61">
        <v>594865.89998000045</v>
      </c>
      <c r="G36" s="61">
        <v>0</v>
      </c>
      <c r="H36" s="61">
        <v>0</v>
      </c>
      <c r="I36" s="61">
        <v>0</v>
      </c>
      <c r="J36" s="61"/>
      <c r="K36" s="59">
        <f t="shared" si="1"/>
        <v>594865.89998000045</v>
      </c>
    </row>
    <row r="37" spans="1:11" x14ac:dyDescent="0.3">
      <c r="A37" s="57" t="s">
        <v>201</v>
      </c>
      <c r="B37" s="57" t="s">
        <v>133</v>
      </c>
      <c r="C37" s="58" t="s">
        <v>192</v>
      </c>
      <c r="D37" s="61">
        <v>0</v>
      </c>
      <c r="E37" s="61">
        <v>0</v>
      </c>
      <c r="F37" s="61">
        <v>270771</v>
      </c>
      <c r="G37" s="61">
        <v>0</v>
      </c>
      <c r="H37" s="61">
        <v>0</v>
      </c>
      <c r="I37" s="61">
        <v>0</v>
      </c>
      <c r="J37" s="61"/>
      <c r="K37" s="59">
        <f t="shared" si="1"/>
        <v>270771</v>
      </c>
    </row>
    <row r="38" spans="1:11" x14ac:dyDescent="0.3">
      <c r="A38" s="62" t="s">
        <v>200</v>
      </c>
      <c r="B38" s="57" t="s">
        <v>132</v>
      </c>
      <c r="C38" s="58" t="s">
        <v>192</v>
      </c>
      <c r="D38" s="61">
        <v>0</v>
      </c>
      <c r="E38" s="61">
        <v>0</v>
      </c>
      <c r="F38" s="61">
        <v>289761.99997999985</v>
      </c>
      <c r="G38" s="61">
        <v>15720.599999999995</v>
      </c>
      <c r="H38" s="61">
        <v>0</v>
      </c>
      <c r="I38" s="61">
        <v>0</v>
      </c>
      <c r="J38" s="61"/>
      <c r="K38" s="59">
        <f t="shared" si="1"/>
        <v>305482.59997999982</v>
      </c>
    </row>
    <row r="39" spans="1:11" x14ac:dyDescent="0.3">
      <c r="A39" s="62" t="s">
        <v>199</v>
      </c>
      <c r="B39" s="57" t="s">
        <v>132</v>
      </c>
      <c r="C39" s="58" t="s">
        <v>192</v>
      </c>
      <c r="D39" s="61">
        <v>0</v>
      </c>
      <c r="E39" s="61">
        <v>17723.199999999997</v>
      </c>
      <c r="F39" s="61">
        <v>128386.80000000006</v>
      </c>
      <c r="G39" s="61">
        <v>0</v>
      </c>
      <c r="H39" s="61">
        <v>0</v>
      </c>
      <c r="I39" s="61">
        <v>0</v>
      </c>
      <c r="J39" s="61"/>
      <c r="K39" s="59">
        <f t="shared" si="1"/>
        <v>146110.00000000006</v>
      </c>
    </row>
    <row r="40" spans="1:11" x14ac:dyDescent="0.3">
      <c r="A40" s="57" t="s">
        <v>198</v>
      </c>
      <c r="B40" s="57" t="s">
        <v>79</v>
      </c>
      <c r="C40" s="58" t="s">
        <v>192</v>
      </c>
      <c r="D40" s="61">
        <v>0</v>
      </c>
      <c r="E40" s="61">
        <v>0</v>
      </c>
      <c r="F40" s="61">
        <v>112070.80000000016</v>
      </c>
      <c r="G40" s="61">
        <v>123703.36000000012</v>
      </c>
      <c r="H40" s="61">
        <v>0</v>
      </c>
      <c r="I40" s="61">
        <v>0</v>
      </c>
      <c r="J40" s="61"/>
      <c r="K40" s="59">
        <f t="shared" si="1"/>
        <v>235774.16000000027</v>
      </c>
    </row>
    <row r="41" spans="1:11" x14ac:dyDescent="0.3">
      <c r="A41" s="62" t="s">
        <v>197</v>
      </c>
      <c r="B41" s="57" t="s">
        <v>79</v>
      </c>
      <c r="C41" s="58" t="s">
        <v>192</v>
      </c>
      <c r="D41" s="61">
        <v>0</v>
      </c>
      <c r="E41" s="61">
        <v>0</v>
      </c>
      <c r="F41" s="61">
        <v>0</v>
      </c>
      <c r="G41" s="61">
        <v>0</v>
      </c>
      <c r="H41" s="61">
        <v>201049.3360850015</v>
      </c>
      <c r="I41" s="61">
        <v>0</v>
      </c>
      <c r="J41" s="61"/>
      <c r="K41" s="59">
        <f t="shared" si="1"/>
        <v>201049.3360850015</v>
      </c>
    </row>
    <row r="42" spans="1:11" x14ac:dyDescent="0.3">
      <c r="A42" s="62" t="s">
        <v>196</v>
      </c>
      <c r="B42" s="57" t="s">
        <v>132</v>
      </c>
      <c r="C42" s="58" t="s">
        <v>192</v>
      </c>
      <c r="D42" s="61">
        <v>0</v>
      </c>
      <c r="E42" s="61">
        <v>0</v>
      </c>
      <c r="F42" s="61">
        <v>0</v>
      </c>
      <c r="G42" s="61">
        <v>0</v>
      </c>
      <c r="H42" s="61">
        <v>117290.33333400001</v>
      </c>
      <c r="I42" s="61">
        <v>939791.69166300003</v>
      </c>
      <c r="J42" s="61"/>
      <c r="K42" s="59">
        <f t="shared" si="1"/>
        <v>1057082.0249970001</v>
      </c>
    </row>
    <row r="43" spans="1:11" x14ac:dyDescent="0.3">
      <c r="C43" s="60" t="s">
        <v>195</v>
      </c>
      <c r="D43" s="59">
        <f t="shared" ref="D43:I43" si="2">SUM(D14:D42)</f>
        <v>6647787.0640559997</v>
      </c>
      <c r="E43" s="59">
        <f t="shared" si="2"/>
        <v>22142716.153207008</v>
      </c>
      <c r="F43" s="59">
        <f t="shared" si="2"/>
        <v>16920749.505344994</v>
      </c>
      <c r="G43" s="59">
        <f t="shared" si="2"/>
        <v>197989.56000000011</v>
      </c>
      <c r="H43" s="59">
        <f t="shared" si="2"/>
        <v>318339.6694190015</v>
      </c>
      <c r="I43" s="59">
        <f t="shared" si="2"/>
        <v>939791.69166300003</v>
      </c>
      <c r="J43" s="59"/>
      <c r="K43" s="59">
        <f>SUM(K14:K42)</f>
        <v>47167373.643690005</v>
      </c>
    </row>
  </sheetData>
  <mergeCells count="1">
    <mergeCell ref="E11:I11"/>
  </mergeCell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FC8D7"/>
    <pageSetUpPr fitToPage="1"/>
  </sheetPr>
  <dimension ref="A1:AN78"/>
  <sheetViews>
    <sheetView zoomScale="70" zoomScaleNormal="70" workbookViewId="0">
      <pane xSplit="5" ySplit="4" topLeftCell="F8" activePane="bottomRight" state="frozen"/>
      <selection pane="topRight" activeCell="F1" sqref="F1"/>
      <selection pane="bottomLeft" activeCell="A3" sqref="A3"/>
      <selection pane="bottomRight" activeCell="H5" sqref="H5"/>
    </sheetView>
  </sheetViews>
  <sheetFormatPr defaultRowHeight="16.5" outlineLevelCol="1" x14ac:dyDescent="0.3"/>
  <cols>
    <col min="1" max="1" width="7.75" style="71" customWidth="1"/>
    <col min="2" max="2" width="11.875" style="71" customWidth="1"/>
    <col min="3" max="3" width="22" style="71" hidden="1" customWidth="1"/>
    <col min="4" max="4" width="13.75" style="71" customWidth="1"/>
    <col min="5" max="5" width="32.125" style="71" customWidth="1"/>
    <col min="6" max="6" width="20.75" style="71" customWidth="1"/>
    <col min="7" max="7" width="37.625" style="71" customWidth="1"/>
    <col min="8" max="8" width="66.75" style="71" customWidth="1"/>
    <col min="9" max="9" width="9.375" style="71" customWidth="1"/>
    <col min="10" max="10" width="10" style="71" customWidth="1"/>
    <col min="11" max="11" width="13.875" style="71" hidden="1" customWidth="1"/>
    <col min="12" max="12" width="23.125" style="71" hidden="1" customWidth="1"/>
    <col min="13" max="13" width="23.625" style="71" hidden="1" customWidth="1"/>
    <col min="14" max="14" width="9.875" style="71" customWidth="1"/>
    <col min="15" max="15" width="12.875" style="71" customWidth="1"/>
    <col min="16" max="16" width="19" style="71" hidden="1" customWidth="1" outlineLevel="1"/>
    <col min="17" max="17" width="9.875" style="71" hidden="1" customWidth="1" outlineLevel="1"/>
    <col min="18" max="18" width="12.5" style="71" hidden="1" customWidth="1" outlineLevel="1"/>
    <col min="19" max="19" width="12" style="71" hidden="1" customWidth="1" outlineLevel="1"/>
    <col min="20" max="20" width="11.5" style="71" hidden="1" customWidth="1" outlineLevel="1"/>
    <col min="21" max="21" width="16.125" style="71" hidden="1" customWidth="1" outlineLevel="1"/>
    <col min="22" max="22" width="11.25" style="71" hidden="1" customWidth="1" outlineLevel="1"/>
    <col min="23" max="23" width="11.125" style="71" customWidth="1" collapsed="1"/>
    <col min="24" max="24" width="11.125" style="71" customWidth="1"/>
    <col min="25" max="25" width="9.5" style="71" customWidth="1"/>
    <col min="26" max="26" width="12.625" style="71" bestFit="1" customWidth="1"/>
    <col min="27" max="28" width="12.625" style="71" customWidth="1"/>
    <col min="29" max="29" width="14.375" style="71" bestFit="1" customWidth="1"/>
    <col min="30" max="32" width="13.5" style="71" bestFit="1" customWidth="1"/>
    <col min="33" max="33" width="10" style="74" bestFit="1" customWidth="1"/>
    <col min="34" max="34" width="10" style="73" customWidth="1"/>
    <col min="35" max="35" width="26.375" style="72" customWidth="1"/>
    <col min="36" max="36" width="12.5" style="71" bestFit="1" customWidth="1"/>
    <col min="37" max="40" width="12.5" style="71" customWidth="1"/>
    <col min="41" max="16384" width="9" style="71"/>
  </cols>
  <sheetData>
    <row r="1" spans="1:40" ht="16.899999999999999" customHeight="1" x14ac:dyDescent="0.3">
      <c r="Y1" s="93" t="s">
        <v>241</v>
      </c>
      <c r="Z1" s="92"/>
      <c r="AA1" s="92">
        <f t="shared" ref="AA1:AF1" si="0">SUMIF($Y$5:$Y$98,"=MEJ",AA5:AA98)</f>
        <v>0</v>
      </c>
      <c r="AB1" s="92">
        <f t="shared" si="0"/>
        <v>150000</v>
      </c>
      <c r="AC1" s="92">
        <f t="shared" si="0"/>
        <v>230000</v>
      </c>
      <c r="AD1" s="92">
        <f t="shared" si="0"/>
        <v>50000</v>
      </c>
      <c r="AE1" s="92">
        <f t="shared" si="0"/>
        <v>0</v>
      </c>
      <c r="AF1" s="92">
        <f t="shared" si="0"/>
        <v>80000</v>
      </c>
    </row>
    <row r="2" spans="1:40" ht="19.149999999999999" customHeight="1" x14ac:dyDescent="0.3">
      <c r="Y2" s="93" t="s">
        <v>116</v>
      </c>
      <c r="Z2" s="92"/>
      <c r="AA2" s="92">
        <f t="shared" ref="AA2:AF2" si="1">SUMIF($Y$5:$Y$98,"=SIB",AA$5:AA$98)</f>
        <v>15619000</v>
      </c>
      <c r="AB2" s="92">
        <f t="shared" si="1"/>
        <v>23725000</v>
      </c>
      <c r="AC2" s="92">
        <f t="shared" si="1"/>
        <v>14983000</v>
      </c>
      <c r="AD2" s="92">
        <f t="shared" si="1"/>
        <v>6338000</v>
      </c>
      <c r="AE2" s="92">
        <f t="shared" si="1"/>
        <v>7608000</v>
      </c>
      <c r="AF2" s="92">
        <f t="shared" si="1"/>
        <v>8134000</v>
      </c>
    </row>
    <row r="3" spans="1:40" ht="27" x14ac:dyDescent="0.3">
      <c r="A3" s="91" t="s">
        <v>519</v>
      </c>
      <c r="B3" s="91"/>
      <c r="C3" s="91"/>
      <c r="D3" s="91"/>
      <c r="E3" s="90"/>
      <c r="F3" s="89" t="s">
        <v>518</v>
      </c>
      <c r="G3" s="88"/>
      <c r="H3" s="84"/>
      <c r="I3" s="84"/>
      <c r="J3" s="84"/>
      <c r="K3" s="84"/>
      <c r="L3" s="84"/>
      <c r="M3" s="84"/>
      <c r="N3" s="84"/>
      <c r="O3" s="84"/>
      <c r="P3" s="84"/>
      <c r="Q3" s="87"/>
      <c r="R3" s="87"/>
      <c r="S3" s="84"/>
      <c r="T3" s="86"/>
      <c r="U3" s="84"/>
      <c r="V3" s="84"/>
      <c r="W3" s="85" t="s">
        <v>517</v>
      </c>
      <c r="X3" s="84"/>
      <c r="Y3" s="83"/>
      <c r="Z3" s="82"/>
      <c r="AA3" s="82"/>
      <c r="AB3" s="82"/>
      <c r="AC3" s="82"/>
      <c r="AD3" s="82"/>
      <c r="AE3" s="82"/>
      <c r="AF3" s="82"/>
      <c r="AG3" s="80"/>
      <c r="AH3" s="81"/>
      <c r="AI3" s="80"/>
    </row>
    <row r="4" spans="1:40" ht="51" x14ac:dyDescent="0.3">
      <c r="A4" s="127" t="s">
        <v>1</v>
      </c>
      <c r="B4" s="127" t="s">
        <v>488</v>
      </c>
      <c r="C4" s="127" t="s">
        <v>516</v>
      </c>
      <c r="D4" s="127" t="s">
        <v>515</v>
      </c>
      <c r="E4" s="128" t="s">
        <v>514</v>
      </c>
      <c r="F4" s="129" t="s">
        <v>513</v>
      </c>
      <c r="G4" s="130" t="s">
        <v>512</v>
      </c>
      <c r="H4" s="131" t="s">
        <v>511</v>
      </c>
      <c r="I4" s="131" t="s">
        <v>510</v>
      </c>
      <c r="J4" s="131" t="s">
        <v>509</v>
      </c>
      <c r="K4" s="131" t="s">
        <v>508</v>
      </c>
      <c r="L4" s="131" t="s">
        <v>507</v>
      </c>
      <c r="M4" s="131" t="s">
        <v>506</v>
      </c>
      <c r="N4" s="131" t="s">
        <v>505</v>
      </c>
      <c r="O4" s="131" t="s">
        <v>504</v>
      </c>
      <c r="P4" s="131" t="s">
        <v>503</v>
      </c>
      <c r="Q4" s="132" t="s">
        <v>502</v>
      </c>
      <c r="R4" s="132" t="s">
        <v>501</v>
      </c>
      <c r="S4" s="131" t="s">
        <v>500</v>
      </c>
      <c r="T4" s="133" t="s">
        <v>499</v>
      </c>
      <c r="U4" s="131" t="s">
        <v>498</v>
      </c>
      <c r="V4" s="131" t="s">
        <v>497</v>
      </c>
      <c r="W4" s="131" t="s">
        <v>496</v>
      </c>
      <c r="X4" s="131" t="s">
        <v>495</v>
      </c>
      <c r="Y4" s="131" t="s">
        <v>494</v>
      </c>
      <c r="Z4" s="116" t="s">
        <v>232</v>
      </c>
      <c r="AA4" s="116" t="s">
        <v>231</v>
      </c>
      <c r="AB4" s="116" t="s">
        <v>230</v>
      </c>
      <c r="AC4" s="116" t="s">
        <v>229</v>
      </c>
      <c r="AD4" s="116" t="s">
        <v>228</v>
      </c>
      <c r="AE4" s="116" t="s">
        <v>227</v>
      </c>
      <c r="AF4" s="116" t="s">
        <v>493</v>
      </c>
      <c r="AG4" s="116" t="s">
        <v>492</v>
      </c>
      <c r="AH4" s="117" t="s">
        <v>491</v>
      </c>
      <c r="AI4" s="116" t="s">
        <v>490</v>
      </c>
      <c r="AJ4" s="79" t="s">
        <v>489</v>
      </c>
      <c r="AK4" s="79" t="s">
        <v>488</v>
      </c>
      <c r="AL4" s="79" t="s">
        <v>1</v>
      </c>
      <c r="AM4" s="79" t="s">
        <v>487</v>
      </c>
      <c r="AN4" s="79" t="s">
        <v>486</v>
      </c>
    </row>
    <row r="5" spans="1:40" x14ac:dyDescent="0.3">
      <c r="A5" s="137" t="s">
        <v>4</v>
      </c>
      <c r="B5" s="122" t="s">
        <v>155</v>
      </c>
      <c r="C5" s="122"/>
      <c r="D5" s="122" t="s">
        <v>276</v>
      </c>
      <c r="E5" s="136" t="s">
        <v>98</v>
      </c>
      <c r="F5" s="135" t="s">
        <v>261</v>
      </c>
      <c r="G5" s="134" t="s">
        <v>295</v>
      </c>
      <c r="H5" s="138"/>
      <c r="I5" s="122"/>
      <c r="J5" s="122"/>
      <c r="K5" s="122"/>
      <c r="L5" s="124"/>
      <c r="M5" s="124"/>
      <c r="N5" s="121"/>
      <c r="O5" s="122"/>
      <c r="P5" s="122" t="s">
        <v>294</v>
      </c>
      <c r="Q5" s="139"/>
      <c r="R5" s="139"/>
      <c r="S5" s="122"/>
      <c r="T5" s="140"/>
      <c r="U5" s="124"/>
      <c r="V5" s="139"/>
      <c r="W5" s="122"/>
      <c r="X5" s="122"/>
      <c r="Y5" s="122" t="s">
        <v>240</v>
      </c>
      <c r="Z5" s="118" t="s">
        <v>293</v>
      </c>
      <c r="AA5" s="118">
        <v>50000</v>
      </c>
      <c r="AB5" s="118"/>
      <c r="AC5" s="118"/>
      <c r="AD5" s="118"/>
      <c r="AE5" s="118"/>
      <c r="AF5" s="118"/>
      <c r="AG5" s="118"/>
      <c r="AH5" s="118"/>
      <c r="AI5" s="119"/>
      <c r="AJ5" s="115">
        <f t="shared" ref="AJ5:AJ39" si="2">SUM(AA5:AF5)</f>
        <v>50000</v>
      </c>
      <c r="AK5" s="77" t="str">
        <f t="shared" ref="AK5:AK36" si="3">B5</f>
        <v>Other</v>
      </c>
      <c r="AL5" s="77" t="str">
        <f t="shared" ref="AL5:AL36" si="4">A5</f>
        <v>QLD</v>
      </c>
      <c r="AM5" s="77"/>
      <c r="AN5" s="76" t="s">
        <v>76</v>
      </c>
    </row>
    <row r="6" spans="1:40" ht="82.5" x14ac:dyDescent="0.3">
      <c r="A6" s="122" t="s">
        <v>0</v>
      </c>
      <c r="B6" s="122" t="s">
        <v>247</v>
      </c>
      <c r="C6" s="122" t="s">
        <v>320</v>
      </c>
      <c r="D6" s="122" t="s">
        <v>246</v>
      </c>
      <c r="E6" s="124" t="s">
        <v>6</v>
      </c>
      <c r="F6" s="135" t="s">
        <v>267</v>
      </c>
      <c r="G6" s="141" t="s">
        <v>663</v>
      </c>
      <c r="H6" s="124" t="s">
        <v>252</v>
      </c>
      <c r="I6" s="122"/>
      <c r="J6" s="122" t="s">
        <v>467</v>
      </c>
      <c r="K6" s="122" t="s">
        <v>263</v>
      </c>
      <c r="L6" s="124"/>
      <c r="M6" s="124" t="s">
        <v>466</v>
      </c>
      <c r="N6" s="122" t="s">
        <v>272</v>
      </c>
      <c r="O6" s="124" t="s">
        <v>305</v>
      </c>
      <c r="P6" s="122"/>
      <c r="Q6" s="139"/>
      <c r="R6" s="139"/>
      <c r="S6" s="122"/>
      <c r="T6" s="140"/>
      <c r="U6" s="124" t="s">
        <v>465</v>
      </c>
      <c r="V6" s="139">
        <v>1394000</v>
      </c>
      <c r="W6" s="122"/>
      <c r="X6" s="122"/>
      <c r="Y6" s="122" t="s">
        <v>116</v>
      </c>
      <c r="Z6" s="118" t="s">
        <v>231</v>
      </c>
      <c r="AA6" s="118">
        <v>210000</v>
      </c>
      <c r="AB6" s="118">
        <v>215000</v>
      </c>
      <c r="AC6" s="118">
        <v>220000</v>
      </c>
      <c r="AD6" s="118">
        <v>225000</v>
      </c>
      <c r="AE6" s="118">
        <v>230000</v>
      </c>
      <c r="AF6" s="118">
        <v>235000</v>
      </c>
      <c r="AG6" s="118" t="s">
        <v>138</v>
      </c>
      <c r="AH6" s="120">
        <v>5.6</v>
      </c>
      <c r="AI6" s="119"/>
      <c r="AJ6" s="115">
        <f t="shared" si="2"/>
        <v>1335000</v>
      </c>
      <c r="AK6" s="77" t="str">
        <f t="shared" si="3"/>
        <v>Pipeline</v>
      </c>
      <c r="AL6" s="77" t="str">
        <f t="shared" si="4"/>
        <v>RBP</v>
      </c>
      <c r="AM6" s="77" t="s">
        <v>247</v>
      </c>
      <c r="AN6" s="76" t="s">
        <v>76</v>
      </c>
    </row>
    <row r="7" spans="1:40" ht="66" x14ac:dyDescent="0.3">
      <c r="A7" s="122" t="s">
        <v>0</v>
      </c>
      <c r="B7" s="122" t="s">
        <v>238</v>
      </c>
      <c r="C7" s="122"/>
      <c r="D7" s="122" t="s">
        <v>356</v>
      </c>
      <c r="E7" s="124" t="s">
        <v>30</v>
      </c>
      <c r="F7" s="135" t="s">
        <v>284</v>
      </c>
      <c r="G7" s="141" t="s">
        <v>355</v>
      </c>
      <c r="H7" s="124" t="s">
        <v>354</v>
      </c>
      <c r="I7" s="122" t="s">
        <v>353</v>
      </c>
      <c r="J7" s="122"/>
      <c r="K7" s="142">
        <v>42375</v>
      </c>
      <c r="L7" s="124"/>
      <c r="M7" s="122"/>
      <c r="N7" s="122"/>
      <c r="O7" s="122"/>
      <c r="P7" s="122"/>
      <c r="Q7" s="139"/>
      <c r="R7" s="139"/>
      <c r="S7" s="122"/>
      <c r="T7" s="140"/>
      <c r="U7" s="124"/>
      <c r="V7" s="139"/>
      <c r="W7" s="122" t="s">
        <v>242</v>
      </c>
      <c r="X7" s="122"/>
      <c r="Y7" s="122" t="s">
        <v>116</v>
      </c>
      <c r="Z7" s="118"/>
      <c r="AA7" s="118"/>
      <c r="AB7" s="118">
        <v>0</v>
      </c>
      <c r="AC7" s="118"/>
      <c r="AD7" s="118"/>
      <c r="AE7" s="118"/>
      <c r="AF7" s="118"/>
      <c r="AG7" s="118"/>
      <c r="AH7" s="120"/>
      <c r="AI7" s="119"/>
      <c r="AJ7" s="115">
        <f t="shared" si="2"/>
        <v>0</v>
      </c>
      <c r="AK7" s="77" t="str">
        <f t="shared" si="3"/>
        <v>Station</v>
      </c>
      <c r="AL7" s="77" t="str">
        <f t="shared" si="4"/>
        <v>RBP</v>
      </c>
      <c r="AM7" s="77"/>
      <c r="AN7" s="76" t="s">
        <v>76</v>
      </c>
    </row>
    <row r="8" spans="1:40" ht="82.5" x14ac:dyDescent="0.3">
      <c r="A8" s="122" t="s">
        <v>0</v>
      </c>
      <c r="B8" s="122" t="s">
        <v>247</v>
      </c>
      <c r="C8" s="122"/>
      <c r="D8" s="122" t="s">
        <v>246</v>
      </c>
      <c r="E8" s="124" t="s">
        <v>53</v>
      </c>
      <c r="F8" s="135" t="s">
        <v>245</v>
      </c>
      <c r="G8" s="141" t="s">
        <v>248</v>
      </c>
      <c r="H8" s="124"/>
      <c r="I8" s="122"/>
      <c r="J8" s="122"/>
      <c r="K8" s="122"/>
      <c r="L8" s="124"/>
      <c r="M8" s="122"/>
      <c r="N8" s="122"/>
      <c r="O8" s="122"/>
      <c r="P8" s="122"/>
      <c r="Q8" s="139"/>
      <c r="R8" s="139"/>
      <c r="S8" s="122"/>
      <c r="T8" s="140"/>
      <c r="U8" s="124"/>
      <c r="V8" s="139"/>
      <c r="W8" s="122" t="s">
        <v>242</v>
      </c>
      <c r="X8" s="122"/>
      <c r="Y8" s="122" t="s">
        <v>241</v>
      </c>
      <c r="Z8" s="118"/>
      <c r="AA8" s="118"/>
      <c r="AB8" s="118"/>
      <c r="AC8" s="118"/>
      <c r="AD8" s="118"/>
      <c r="AE8" s="118"/>
      <c r="AF8" s="118"/>
      <c r="AG8" s="118"/>
      <c r="AH8" s="120"/>
      <c r="AI8" s="119"/>
      <c r="AJ8" s="115">
        <f t="shared" si="2"/>
        <v>0</v>
      </c>
      <c r="AK8" s="77" t="str">
        <f t="shared" si="3"/>
        <v>Pipeline</v>
      </c>
      <c r="AL8" s="77" t="str">
        <f t="shared" si="4"/>
        <v>RBP</v>
      </c>
      <c r="AM8" s="77"/>
      <c r="AN8" s="76" t="s">
        <v>76</v>
      </c>
    </row>
    <row r="9" spans="1:40" ht="66" x14ac:dyDescent="0.3">
      <c r="A9" s="122" t="s">
        <v>0</v>
      </c>
      <c r="B9" s="122" t="s">
        <v>247</v>
      </c>
      <c r="C9" s="122"/>
      <c r="D9" s="122" t="s">
        <v>268</v>
      </c>
      <c r="E9" s="124" t="s">
        <v>34</v>
      </c>
      <c r="F9" s="135" t="s">
        <v>245</v>
      </c>
      <c r="G9" s="141" t="s">
        <v>343</v>
      </c>
      <c r="H9" s="124" t="s">
        <v>342</v>
      </c>
      <c r="I9" s="122" t="s">
        <v>309</v>
      </c>
      <c r="J9" s="122"/>
      <c r="K9" s="143">
        <v>41974</v>
      </c>
      <c r="L9" s="124"/>
      <c r="M9" s="122"/>
      <c r="N9" s="122" t="s">
        <v>298</v>
      </c>
      <c r="O9" s="122" t="s">
        <v>268</v>
      </c>
      <c r="P9" s="122"/>
      <c r="Q9" s="139"/>
      <c r="R9" s="139"/>
      <c r="S9" s="122"/>
      <c r="T9" s="140"/>
      <c r="U9" s="124"/>
      <c r="V9" s="139"/>
      <c r="W9" s="122"/>
      <c r="X9" s="122"/>
      <c r="Y9" s="122" t="s">
        <v>116</v>
      </c>
      <c r="Z9" s="118" t="s">
        <v>230</v>
      </c>
      <c r="AA9" s="118"/>
      <c r="AB9" s="118">
        <v>200000</v>
      </c>
      <c r="AC9" s="118"/>
      <c r="AD9" s="118"/>
      <c r="AE9" s="118"/>
      <c r="AF9" s="118"/>
      <c r="AG9" s="118"/>
      <c r="AH9" s="120" t="s">
        <v>333</v>
      </c>
      <c r="AI9" s="119"/>
      <c r="AJ9" s="115">
        <f t="shared" si="2"/>
        <v>200000</v>
      </c>
      <c r="AK9" s="77" t="str">
        <f t="shared" si="3"/>
        <v>Pipeline</v>
      </c>
      <c r="AL9" s="77" t="str">
        <f t="shared" si="4"/>
        <v>RBP</v>
      </c>
      <c r="AM9" s="77" t="s">
        <v>247</v>
      </c>
      <c r="AN9" s="76" t="s">
        <v>76</v>
      </c>
    </row>
    <row r="10" spans="1:40" ht="49.5" x14ac:dyDescent="0.3">
      <c r="A10" s="122" t="s">
        <v>0</v>
      </c>
      <c r="B10" s="122" t="s">
        <v>247</v>
      </c>
      <c r="C10" s="122"/>
      <c r="D10" s="122" t="s">
        <v>308</v>
      </c>
      <c r="E10" s="124" t="s">
        <v>42</v>
      </c>
      <c r="F10" s="135" t="s">
        <v>267</v>
      </c>
      <c r="G10" s="141" t="s">
        <v>307</v>
      </c>
      <c r="H10" s="124" t="s">
        <v>306</v>
      </c>
      <c r="I10" s="122"/>
      <c r="J10" s="122"/>
      <c r="K10" s="122"/>
      <c r="L10" s="124"/>
      <c r="M10" s="124"/>
      <c r="N10" s="122"/>
      <c r="O10" s="124" t="s">
        <v>305</v>
      </c>
      <c r="P10" s="122"/>
      <c r="Q10" s="139"/>
      <c r="R10" s="139"/>
      <c r="S10" s="122"/>
      <c r="T10" s="140"/>
      <c r="U10" s="124"/>
      <c r="V10" s="139"/>
      <c r="W10" s="122"/>
      <c r="X10" s="122"/>
      <c r="Y10" s="122" t="s">
        <v>241</v>
      </c>
      <c r="Z10" s="118"/>
      <c r="AA10" s="118"/>
      <c r="AB10" s="118">
        <v>100000</v>
      </c>
      <c r="AC10" s="118">
        <v>100000</v>
      </c>
      <c r="AD10" s="118">
        <v>50000</v>
      </c>
      <c r="AE10" s="118"/>
      <c r="AF10" s="118"/>
      <c r="AG10" s="118"/>
      <c r="AH10" s="120">
        <v>5.3</v>
      </c>
      <c r="AI10" s="119"/>
      <c r="AJ10" s="115">
        <f t="shared" si="2"/>
        <v>250000</v>
      </c>
      <c r="AK10" s="77" t="str">
        <f t="shared" si="3"/>
        <v>Pipeline</v>
      </c>
      <c r="AL10" s="77" t="str">
        <f t="shared" si="4"/>
        <v>RBP</v>
      </c>
      <c r="AM10" s="77" t="s">
        <v>247</v>
      </c>
      <c r="AN10" s="76" t="s">
        <v>76</v>
      </c>
    </row>
    <row r="11" spans="1:40" ht="33" x14ac:dyDescent="0.3">
      <c r="A11" s="122" t="s">
        <v>0</v>
      </c>
      <c r="B11" s="122" t="s">
        <v>247</v>
      </c>
      <c r="C11" s="122"/>
      <c r="D11" s="122" t="s">
        <v>268</v>
      </c>
      <c r="E11" s="124" t="s">
        <v>49</v>
      </c>
      <c r="F11" s="135" t="s">
        <v>267</v>
      </c>
      <c r="G11" s="141" t="s">
        <v>664</v>
      </c>
      <c r="H11" s="124" t="s">
        <v>273</v>
      </c>
      <c r="I11" s="122"/>
      <c r="J11" s="122"/>
      <c r="K11" s="143"/>
      <c r="L11" s="124"/>
      <c r="M11" s="122"/>
      <c r="N11" s="122" t="s">
        <v>272</v>
      </c>
      <c r="O11" s="122" t="s">
        <v>268</v>
      </c>
      <c r="P11" s="122"/>
      <c r="Q11" s="139"/>
      <c r="R11" s="139"/>
      <c r="S11" s="122"/>
      <c r="T11" s="140"/>
      <c r="U11" s="124"/>
      <c r="V11" s="139"/>
      <c r="W11" s="122" t="s">
        <v>242</v>
      </c>
      <c r="X11" s="122"/>
      <c r="Y11" s="122" t="s">
        <v>241</v>
      </c>
      <c r="Z11" s="118"/>
      <c r="AA11" s="118"/>
      <c r="AB11" s="118"/>
      <c r="AC11" s="118"/>
      <c r="AD11" s="118"/>
      <c r="AE11" s="118"/>
      <c r="AF11" s="118"/>
      <c r="AG11" s="118"/>
      <c r="AH11" s="120"/>
      <c r="AI11" s="119"/>
      <c r="AJ11" s="115">
        <f t="shared" si="2"/>
        <v>0</v>
      </c>
      <c r="AK11" s="77" t="str">
        <f t="shared" si="3"/>
        <v>Pipeline</v>
      </c>
      <c r="AL11" s="77" t="str">
        <f t="shared" si="4"/>
        <v>RBP</v>
      </c>
      <c r="AM11" s="77"/>
      <c r="AN11" s="76" t="s">
        <v>76</v>
      </c>
    </row>
    <row r="12" spans="1:40" ht="82.5" x14ac:dyDescent="0.3">
      <c r="A12" s="122" t="s">
        <v>0</v>
      </c>
      <c r="B12" s="122" t="s">
        <v>247</v>
      </c>
      <c r="C12" s="122" t="s">
        <v>420</v>
      </c>
      <c r="D12" s="122" t="s">
        <v>268</v>
      </c>
      <c r="E12" s="124" t="s">
        <v>2</v>
      </c>
      <c r="F12" s="135" t="s">
        <v>267</v>
      </c>
      <c r="G12" s="141" t="s">
        <v>483</v>
      </c>
      <c r="H12" s="124" t="s">
        <v>482</v>
      </c>
      <c r="I12" s="122"/>
      <c r="J12" s="122"/>
      <c r="K12" s="122" t="s">
        <v>263</v>
      </c>
      <c r="L12" s="124"/>
      <c r="M12" s="124"/>
      <c r="N12" s="122" t="s">
        <v>272</v>
      </c>
      <c r="O12" s="124" t="s">
        <v>268</v>
      </c>
      <c r="P12" s="122"/>
      <c r="Q12" s="139"/>
      <c r="R12" s="139">
        <v>4000000</v>
      </c>
      <c r="S12" s="122"/>
      <c r="T12" s="140"/>
      <c r="U12" s="124" t="s">
        <v>481</v>
      </c>
      <c r="V12" s="144">
        <v>4000000</v>
      </c>
      <c r="W12" s="122"/>
      <c r="X12" s="122"/>
      <c r="Y12" s="122" t="s">
        <v>116</v>
      </c>
      <c r="Z12" s="118">
        <v>3800000</v>
      </c>
      <c r="AA12" s="118">
        <v>4900000</v>
      </c>
      <c r="AB12" s="118">
        <v>5293000</v>
      </c>
      <c r="AC12" s="118">
        <v>5970000</v>
      </c>
      <c r="AD12" s="118">
        <v>3980000</v>
      </c>
      <c r="AE12" s="118">
        <v>3680000</v>
      </c>
      <c r="AF12" s="118">
        <v>4231000</v>
      </c>
      <c r="AG12" s="118" t="s">
        <v>138</v>
      </c>
      <c r="AH12" s="120">
        <v>5.0999999999999996</v>
      </c>
      <c r="AI12" s="119"/>
      <c r="AJ12" s="115">
        <f t="shared" si="2"/>
        <v>28054000</v>
      </c>
      <c r="AK12" s="77" t="str">
        <f t="shared" si="3"/>
        <v>Pipeline</v>
      </c>
      <c r="AL12" s="77" t="str">
        <f t="shared" si="4"/>
        <v>RBP</v>
      </c>
      <c r="AM12" s="77" t="s">
        <v>247</v>
      </c>
      <c r="AN12" s="76" t="s">
        <v>76</v>
      </c>
    </row>
    <row r="13" spans="1:40" ht="66" x14ac:dyDescent="0.3">
      <c r="A13" s="122" t="s">
        <v>0</v>
      </c>
      <c r="B13" s="122" t="s">
        <v>247</v>
      </c>
      <c r="C13" s="122"/>
      <c r="D13" s="122" t="s">
        <v>254</v>
      </c>
      <c r="E13" s="124" t="s">
        <v>48</v>
      </c>
      <c r="F13" s="135" t="s">
        <v>245</v>
      </c>
      <c r="G13" s="141" t="s">
        <v>665</v>
      </c>
      <c r="H13" s="124" t="s">
        <v>274</v>
      </c>
      <c r="I13" s="122" t="s">
        <v>251</v>
      </c>
      <c r="J13" s="122"/>
      <c r="K13" s="122"/>
      <c r="L13" s="124"/>
      <c r="M13" s="122"/>
      <c r="N13" s="122" t="s">
        <v>258</v>
      </c>
      <c r="O13" s="122" t="s">
        <v>268</v>
      </c>
      <c r="P13" s="122"/>
      <c r="Q13" s="139"/>
      <c r="R13" s="139"/>
      <c r="S13" s="122"/>
      <c r="T13" s="140"/>
      <c r="U13" s="124"/>
      <c r="V13" s="139">
        <v>50000</v>
      </c>
      <c r="W13" s="122"/>
      <c r="X13" s="122"/>
      <c r="Y13" s="122" t="s">
        <v>241</v>
      </c>
      <c r="Z13" s="118">
        <v>50000</v>
      </c>
      <c r="AA13" s="118"/>
      <c r="AB13" s="118">
        <v>50000</v>
      </c>
      <c r="AC13" s="118">
        <v>50000</v>
      </c>
      <c r="AD13" s="118"/>
      <c r="AE13" s="118"/>
      <c r="AF13" s="118"/>
      <c r="AG13" s="118"/>
      <c r="AH13" s="120">
        <v>4.2</v>
      </c>
      <c r="AI13" s="119"/>
      <c r="AJ13" s="115">
        <f t="shared" si="2"/>
        <v>100000</v>
      </c>
      <c r="AK13" s="77" t="str">
        <f t="shared" si="3"/>
        <v>Pipeline</v>
      </c>
      <c r="AL13" s="77" t="str">
        <f t="shared" si="4"/>
        <v>RBP</v>
      </c>
      <c r="AM13" s="77" t="s">
        <v>247</v>
      </c>
      <c r="AN13" s="76" t="s">
        <v>76</v>
      </c>
    </row>
    <row r="14" spans="1:40" ht="27" x14ac:dyDescent="0.3">
      <c r="A14" s="137" t="s">
        <v>4</v>
      </c>
      <c r="B14" s="122" t="s">
        <v>238</v>
      </c>
      <c r="C14" s="122"/>
      <c r="D14" s="122" t="s">
        <v>276</v>
      </c>
      <c r="E14" s="136" t="s">
        <v>99</v>
      </c>
      <c r="F14" s="135" t="s">
        <v>261</v>
      </c>
      <c r="G14" s="134" t="s">
        <v>275</v>
      </c>
      <c r="H14" s="124"/>
      <c r="I14" s="122"/>
      <c r="J14" s="122"/>
      <c r="K14" s="122"/>
      <c r="L14" s="124"/>
      <c r="M14" s="122"/>
      <c r="N14" s="121"/>
      <c r="O14" s="122"/>
      <c r="P14" s="122"/>
      <c r="Q14" s="139"/>
      <c r="R14" s="139"/>
      <c r="S14" s="122"/>
      <c r="T14" s="140"/>
      <c r="U14" s="124"/>
      <c r="V14" s="139"/>
      <c r="W14" s="122" t="s">
        <v>242</v>
      </c>
      <c r="X14" s="122"/>
      <c r="Y14" s="122" t="s">
        <v>240</v>
      </c>
      <c r="Z14" s="118"/>
      <c r="AA14" s="118"/>
      <c r="AB14" s="118"/>
      <c r="AC14" s="118"/>
      <c r="AD14" s="118"/>
      <c r="AE14" s="118"/>
      <c r="AF14" s="118"/>
      <c r="AG14" s="118"/>
      <c r="AH14" s="118"/>
      <c r="AI14" s="119"/>
      <c r="AJ14" s="115">
        <f t="shared" si="2"/>
        <v>0</v>
      </c>
      <c r="AK14" s="77" t="str">
        <f t="shared" si="3"/>
        <v>Station</v>
      </c>
      <c r="AL14" s="77" t="str">
        <f t="shared" si="4"/>
        <v>QLD</v>
      </c>
      <c r="AM14" s="77"/>
      <c r="AN14" s="76" t="s">
        <v>76</v>
      </c>
    </row>
    <row r="15" spans="1:40" ht="49.5" x14ac:dyDescent="0.3">
      <c r="A15" s="122" t="s">
        <v>0</v>
      </c>
      <c r="B15" s="122" t="s">
        <v>247</v>
      </c>
      <c r="C15" s="122"/>
      <c r="D15" s="122" t="s">
        <v>254</v>
      </c>
      <c r="E15" s="124" t="s">
        <v>33</v>
      </c>
      <c r="F15" s="135" t="s">
        <v>245</v>
      </c>
      <c r="G15" s="141" t="s">
        <v>345</v>
      </c>
      <c r="H15" s="124" t="s">
        <v>344</v>
      </c>
      <c r="I15" s="122"/>
      <c r="J15" s="122"/>
      <c r="K15" s="122"/>
      <c r="L15" s="124"/>
      <c r="M15" s="122"/>
      <c r="N15" s="122"/>
      <c r="O15" s="122"/>
      <c r="P15" s="122"/>
      <c r="Q15" s="139"/>
      <c r="R15" s="139"/>
      <c r="S15" s="122"/>
      <c r="T15" s="140"/>
      <c r="U15" s="124"/>
      <c r="V15" s="139"/>
      <c r="W15" s="122" t="s">
        <v>242</v>
      </c>
      <c r="X15" s="122"/>
      <c r="Y15" s="122" t="s">
        <v>116</v>
      </c>
      <c r="Z15" s="118"/>
      <c r="AA15" s="118"/>
      <c r="AB15" s="118">
        <v>0</v>
      </c>
      <c r="AC15" s="118"/>
      <c r="AD15" s="118"/>
      <c r="AE15" s="118"/>
      <c r="AF15" s="118"/>
      <c r="AG15" s="118"/>
      <c r="AH15" s="120"/>
      <c r="AI15" s="119"/>
      <c r="AJ15" s="115">
        <f t="shared" si="2"/>
        <v>0</v>
      </c>
      <c r="AK15" s="77" t="str">
        <f t="shared" si="3"/>
        <v>Pipeline</v>
      </c>
      <c r="AL15" s="77" t="str">
        <f t="shared" si="4"/>
        <v>RBP</v>
      </c>
      <c r="AM15" s="77"/>
      <c r="AN15" s="76" t="s">
        <v>76</v>
      </c>
    </row>
    <row r="16" spans="1:40" ht="66" x14ac:dyDescent="0.3">
      <c r="A16" s="122" t="s">
        <v>4</v>
      </c>
      <c r="B16" s="122" t="s">
        <v>239</v>
      </c>
      <c r="C16" s="122"/>
      <c r="D16" s="122" t="s">
        <v>246</v>
      </c>
      <c r="E16" s="124" t="s">
        <v>100</v>
      </c>
      <c r="F16" s="135" t="s">
        <v>245</v>
      </c>
      <c r="G16" s="141"/>
      <c r="H16" s="124"/>
      <c r="I16" s="122" t="s">
        <v>244</v>
      </c>
      <c r="J16" s="122"/>
      <c r="K16" s="122">
        <v>42005</v>
      </c>
      <c r="L16" s="124"/>
      <c r="M16" s="124" t="s">
        <v>243</v>
      </c>
      <c r="N16" s="122"/>
      <c r="O16" s="122"/>
      <c r="P16" s="122"/>
      <c r="Q16" s="139"/>
      <c r="R16" s="139"/>
      <c r="S16" s="122"/>
      <c r="T16" s="140"/>
      <c r="U16" s="124"/>
      <c r="V16" s="139"/>
      <c r="W16" s="122" t="s">
        <v>242</v>
      </c>
      <c r="X16" s="122"/>
      <c r="Y16" s="122" t="s">
        <v>241</v>
      </c>
      <c r="Z16" s="118"/>
      <c r="AA16" s="118"/>
      <c r="AB16" s="118"/>
      <c r="AC16" s="118"/>
      <c r="AD16" s="118"/>
      <c r="AE16" s="118"/>
      <c r="AF16" s="118"/>
      <c r="AG16" s="118"/>
      <c r="AH16" s="120"/>
      <c r="AI16" s="119"/>
      <c r="AJ16" s="115">
        <f t="shared" si="2"/>
        <v>0</v>
      </c>
      <c r="AK16" s="77" t="str">
        <f t="shared" si="3"/>
        <v>Easement</v>
      </c>
      <c r="AL16" s="77" t="str">
        <f t="shared" si="4"/>
        <v>QLD</v>
      </c>
      <c r="AM16" s="77"/>
      <c r="AN16" s="76" t="s">
        <v>76</v>
      </c>
    </row>
    <row r="17" spans="1:40" x14ac:dyDescent="0.3">
      <c r="A17" s="122" t="s">
        <v>4</v>
      </c>
      <c r="B17" s="122" t="s">
        <v>247</v>
      </c>
      <c r="C17" s="122"/>
      <c r="D17" s="122" t="s">
        <v>246</v>
      </c>
      <c r="E17" s="124" t="s">
        <v>101</v>
      </c>
      <c r="F17" s="135" t="s">
        <v>245</v>
      </c>
      <c r="G17" s="141"/>
      <c r="H17" s="124"/>
      <c r="I17" s="122" t="s">
        <v>244</v>
      </c>
      <c r="J17" s="122"/>
      <c r="K17" s="122">
        <v>42005</v>
      </c>
      <c r="L17" s="124"/>
      <c r="M17" s="122"/>
      <c r="N17" s="122"/>
      <c r="O17" s="122"/>
      <c r="P17" s="122"/>
      <c r="Q17" s="139"/>
      <c r="R17" s="139"/>
      <c r="S17" s="122"/>
      <c r="T17" s="140"/>
      <c r="U17" s="124"/>
      <c r="V17" s="139"/>
      <c r="W17" s="122" t="s">
        <v>242</v>
      </c>
      <c r="X17" s="122"/>
      <c r="Y17" s="122" t="s">
        <v>241</v>
      </c>
      <c r="Z17" s="118"/>
      <c r="AA17" s="118"/>
      <c r="AB17" s="118"/>
      <c r="AC17" s="118"/>
      <c r="AD17" s="118"/>
      <c r="AE17" s="118"/>
      <c r="AF17" s="118"/>
      <c r="AG17" s="118"/>
      <c r="AH17" s="120"/>
      <c r="AI17" s="119"/>
      <c r="AJ17" s="115">
        <f t="shared" si="2"/>
        <v>0</v>
      </c>
      <c r="AK17" s="77" t="str">
        <f t="shared" si="3"/>
        <v>Pipeline</v>
      </c>
      <c r="AL17" s="77" t="str">
        <f t="shared" si="4"/>
        <v>QLD</v>
      </c>
      <c r="AM17" s="77"/>
      <c r="AN17" s="76" t="s">
        <v>76</v>
      </c>
    </row>
    <row r="18" spans="1:40" ht="33" x14ac:dyDescent="0.3">
      <c r="A18" s="122" t="s">
        <v>0</v>
      </c>
      <c r="B18" s="122" t="s">
        <v>238</v>
      </c>
      <c r="C18" s="122" t="s">
        <v>382</v>
      </c>
      <c r="D18" s="122" t="s">
        <v>276</v>
      </c>
      <c r="E18" s="124" t="s">
        <v>24</v>
      </c>
      <c r="F18" s="135" t="s">
        <v>245</v>
      </c>
      <c r="G18" s="141" t="s">
        <v>659</v>
      </c>
      <c r="H18" s="145" t="s">
        <v>381</v>
      </c>
      <c r="I18" s="122" t="s">
        <v>380</v>
      </c>
      <c r="J18" s="122"/>
      <c r="K18" s="122"/>
      <c r="L18" s="124"/>
      <c r="M18" s="122"/>
      <c r="N18" s="122" t="s">
        <v>258</v>
      </c>
      <c r="O18" s="122" t="s">
        <v>379</v>
      </c>
      <c r="P18" s="137" t="s">
        <v>378</v>
      </c>
      <c r="Q18" s="139"/>
      <c r="R18" s="139"/>
      <c r="S18" s="122"/>
      <c r="T18" s="140"/>
      <c r="U18" s="124"/>
      <c r="V18" s="139" t="s">
        <v>377</v>
      </c>
      <c r="W18" s="122" t="s">
        <v>242</v>
      </c>
      <c r="X18" s="122"/>
      <c r="Y18" s="122" t="s">
        <v>116</v>
      </c>
      <c r="Z18" s="118"/>
      <c r="AA18" s="118"/>
      <c r="AB18" s="118">
        <v>0</v>
      </c>
      <c r="AC18" s="118"/>
      <c r="AD18" s="118"/>
      <c r="AE18" s="118"/>
      <c r="AF18" s="118"/>
      <c r="AG18" s="118"/>
      <c r="AH18" s="120" t="s">
        <v>376</v>
      </c>
      <c r="AI18" s="119"/>
      <c r="AJ18" s="115">
        <f t="shared" si="2"/>
        <v>0</v>
      </c>
      <c r="AK18" s="77" t="str">
        <f t="shared" si="3"/>
        <v>Station</v>
      </c>
      <c r="AL18" s="77" t="str">
        <f t="shared" si="4"/>
        <v>RBP</v>
      </c>
      <c r="AM18" s="77"/>
      <c r="AN18" s="76" t="s">
        <v>76</v>
      </c>
    </row>
    <row r="19" spans="1:40" ht="33" x14ac:dyDescent="0.3">
      <c r="A19" s="122" t="s">
        <v>0</v>
      </c>
      <c r="B19" s="122" t="s">
        <v>238</v>
      </c>
      <c r="C19" s="122"/>
      <c r="D19" s="122" t="s">
        <v>262</v>
      </c>
      <c r="E19" s="124" t="s">
        <v>25</v>
      </c>
      <c r="F19" s="135" t="s">
        <v>261</v>
      </c>
      <c r="G19" s="141"/>
      <c r="H19" s="124" t="s">
        <v>375</v>
      </c>
      <c r="I19" s="122" t="s">
        <v>374</v>
      </c>
      <c r="J19" s="122"/>
      <c r="K19" s="122"/>
      <c r="L19" s="124"/>
      <c r="M19" s="122"/>
      <c r="N19" s="122"/>
      <c r="O19" s="122"/>
      <c r="P19" s="122"/>
      <c r="Q19" s="139"/>
      <c r="R19" s="139"/>
      <c r="S19" s="122"/>
      <c r="T19" s="140"/>
      <c r="U19" s="124"/>
      <c r="V19" s="139"/>
      <c r="W19" s="122"/>
      <c r="X19" s="122"/>
      <c r="Y19" s="122" t="s">
        <v>116</v>
      </c>
      <c r="Z19" s="118" t="s">
        <v>230</v>
      </c>
      <c r="AA19" s="118"/>
      <c r="AB19" s="118"/>
      <c r="AC19" s="118"/>
      <c r="AD19" s="118">
        <v>50000</v>
      </c>
      <c r="AE19" s="118">
        <v>50000</v>
      </c>
      <c r="AF19" s="118"/>
      <c r="AG19" s="118"/>
      <c r="AH19" s="120">
        <v>5.2</v>
      </c>
      <c r="AI19" s="119"/>
      <c r="AJ19" s="115">
        <f t="shared" si="2"/>
        <v>100000</v>
      </c>
      <c r="AK19" s="77" t="str">
        <f t="shared" si="3"/>
        <v>Station</v>
      </c>
      <c r="AL19" s="77" t="str">
        <f t="shared" si="4"/>
        <v>RBP</v>
      </c>
      <c r="AM19" s="77" t="s">
        <v>257</v>
      </c>
      <c r="AN19" s="76" t="s">
        <v>76</v>
      </c>
    </row>
    <row r="20" spans="1:40" ht="66" x14ac:dyDescent="0.3">
      <c r="A20" s="122" t="s">
        <v>0</v>
      </c>
      <c r="B20" s="122" t="s">
        <v>238</v>
      </c>
      <c r="C20" s="122"/>
      <c r="D20" s="122" t="s">
        <v>276</v>
      </c>
      <c r="E20" s="124" t="s">
        <v>15</v>
      </c>
      <c r="F20" s="135" t="s">
        <v>245</v>
      </c>
      <c r="G20" s="141" t="s">
        <v>666</v>
      </c>
      <c r="H20" s="124" t="s">
        <v>428</v>
      </c>
      <c r="I20" s="122" t="s">
        <v>380</v>
      </c>
      <c r="J20" s="122"/>
      <c r="K20" s="122"/>
      <c r="L20" s="124"/>
      <c r="M20" s="124"/>
      <c r="N20" s="122" t="s">
        <v>258</v>
      </c>
      <c r="O20" s="124" t="s">
        <v>277</v>
      </c>
      <c r="P20" s="122"/>
      <c r="Q20" s="139">
        <v>10000</v>
      </c>
      <c r="R20" s="139" t="s">
        <v>296</v>
      </c>
      <c r="S20" s="122"/>
      <c r="T20" s="140"/>
      <c r="U20" s="124"/>
      <c r="V20" s="139">
        <v>10000</v>
      </c>
      <c r="W20" s="122"/>
      <c r="X20" s="122"/>
      <c r="Y20" s="122" t="s">
        <v>116</v>
      </c>
      <c r="Z20" s="118"/>
      <c r="AA20" s="118">
        <v>10000</v>
      </c>
      <c r="AB20" s="118"/>
      <c r="AC20" s="118"/>
      <c r="AD20" s="118"/>
      <c r="AE20" s="118"/>
      <c r="AF20" s="118"/>
      <c r="AG20" s="118"/>
      <c r="AH20" s="120">
        <v>7</v>
      </c>
      <c r="AI20" s="119"/>
      <c r="AJ20" s="115">
        <f t="shared" si="2"/>
        <v>10000</v>
      </c>
      <c r="AK20" s="77" t="str">
        <f t="shared" si="3"/>
        <v>Station</v>
      </c>
      <c r="AL20" s="77" t="str">
        <f t="shared" si="4"/>
        <v>RBP</v>
      </c>
      <c r="AM20" s="77" t="s">
        <v>257</v>
      </c>
      <c r="AN20" s="76" t="s">
        <v>76</v>
      </c>
    </row>
    <row r="21" spans="1:40" ht="33" x14ac:dyDescent="0.3">
      <c r="A21" s="122" t="s">
        <v>0</v>
      </c>
      <c r="B21" s="122" t="s">
        <v>238</v>
      </c>
      <c r="C21" s="122"/>
      <c r="D21" s="122" t="s">
        <v>237</v>
      </c>
      <c r="E21" s="124" t="s">
        <v>32</v>
      </c>
      <c r="F21" s="135" t="s">
        <v>245</v>
      </c>
      <c r="G21" s="141"/>
      <c r="H21" s="124" t="s">
        <v>347</v>
      </c>
      <c r="I21" s="122" t="s">
        <v>346</v>
      </c>
      <c r="J21" s="122" t="s">
        <v>346</v>
      </c>
      <c r="K21" s="143">
        <v>42339</v>
      </c>
      <c r="L21" s="124"/>
      <c r="M21" s="122"/>
      <c r="N21" s="122" t="s">
        <v>258</v>
      </c>
      <c r="O21" s="122" t="s">
        <v>268</v>
      </c>
      <c r="P21" s="122"/>
      <c r="Q21" s="139"/>
      <c r="R21" s="139"/>
      <c r="S21" s="122"/>
      <c r="T21" s="140"/>
      <c r="U21" s="124"/>
      <c r="V21" s="139"/>
      <c r="W21" s="122"/>
      <c r="X21" s="122"/>
      <c r="Y21" s="122" t="s">
        <v>116</v>
      </c>
      <c r="Z21" s="118"/>
      <c r="AA21" s="118"/>
      <c r="AB21" s="118"/>
      <c r="AC21" s="118"/>
      <c r="AD21" s="118">
        <v>80000</v>
      </c>
      <c r="AE21" s="118"/>
      <c r="AF21" s="118"/>
      <c r="AG21" s="118"/>
      <c r="AH21" s="120">
        <v>7.1</v>
      </c>
      <c r="AI21" s="119"/>
      <c r="AJ21" s="115">
        <f t="shared" si="2"/>
        <v>80000</v>
      </c>
      <c r="AK21" s="77" t="str">
        <f t="shared" si="3"/>
        <v>Station</v>
      </c>
      <c r="AL21" s="77" t="str">
        <f t="shared" si="4"/>
        <v>RBP</v>
      </c>
      <c r="AM21" s="77" t="s">
        <v>257</v>
      </c>
      <c r="AN21" s="76" t="s">
        <v>76</v>
      </c>
    </row>
    <row r="22" spans="1:40" x14ac:dyDescent="0.3">
      <c r="A22" s="122" t="s">
        <v>4</v>
      </c>
      <c r="B22" s="122" t="s">
        <v>239</v>
      </c>
      <c r="C22" s="122"/>
      <c r="D22" s="122" t="s">
        <v>246</v>
      </c>
      <c r="E22" s="124" t="s">
        <v>102</v>
      </c>
      <c r="F22" s="135" t="s">
        <v>245</v>
      </c>
      <c r="G22" s="141"/>
      <c r="H22" s="124"/>
      <c r="I22" s="122" t="s">
        <v>244</v>
      </c>
      <c r="J22" s="122"/>
      <c r="K22" s="122">
        <v>42005</v>
      </c>
      <c r="L22" s="124"/>
      <c r="M22" s="122"/>
      <c r="N22" s="122"/>
      <c r="O22" s="122"/>
      <c r="P22" s="122"/>
      <c r="Q22" s="139"/>
      <c r="R22" s="139"/>
      <c r="S22" s="122"/>
      <c r="T22" s="140"/>
      <c r="U22" s="124"/>
      <c r="V22" s="139"/>
      <c r="W22" s="122" t="s">
        <v>242</v>
      </c>
      <c r="X22" s="122"/>
      <c r="Y22" s="122" t="s">
        <v>241</v>
      </c>
      <c r="Z22" s="118"/>
      <c r="AA22" s="118"/>
      <c r="AB22" s="118"/>
      <c r="AC22" s="118"/>
      <c r="AD22" s="118"/>
      <c r="AE22" s="118"/>
      <c r="AF22" s="118"/>
      <c r="AG22" s="118"/>
      <c r="AH22" s="120"/>
      <c r="AI22" s="119"/>
      <c r="AJ22" s="115">
        <f t="shared" si="2"/>
        <v>0</v>
      </c>
      <c r="AK22" s="77" t="str">
        <f t="shared" si="3"/>
        <v>Easement</v>
      </c>
      <c r="AL22" s="77" t="str">
        <f t="shared" si="4"/>
        <v>QLD</v>
      </c>
      <c r="AM22" s="77"/>
      <c r="AN22" s="76" t="s">
        <v>76</v>
      </c>
    </row>
    <row r="23" spans="1:40" ht="33" x14ac:dyDescent="0.3">
      <c r="A23" s="122" t="s">
        <v>0</v>
      </c>
      <c r="B23" s="122" t="s">
        <v>247</v>
      </c>
      <c r="C23" s="122" t="s">
        <v>320</v>
      </c>
      <c r="D23" s="122" t="s">
        <v>268</v>
      </c>
      <c r="E23" s="124" t="s">
        <v>148</v>
      </c>
      <c r="F23" s="135" t="s">
        <v>245</v>
      </c>
      <c r="G23" s="141" t="s">
        <v>522</v>
      </c>
      <c r="H23" s="124" t="s">
        <v>523</v>
      </c>
      <c r="I23" s="122"/>
      <c r="J23" s="122"/>
      <c r="K23" s="122"/>
      <c r="L23" s="124"/>
      <c r="M23" s="124"/>
      <c r="N23" s="122" t="s">
        <v>258</v>
      </c>
      <c r="O23" s="124" t="s">
        <v>317</v>
      </c>
      <c r="P23" s="122"/>
      <c r="Q23" s="139"/>
      <c r="R23" s="139">
        <v>150000</v>
      </c>
      <c r="S23" s="122"/>
      <c r="T23" s="140">
        <v>2</v>
      </c>
      <c r="U23" s="124" t="s">
        <v>524</v>
      </c>
      <c r="V23" s="139">
        <v>150000</v>
      </c>
      <c r="W23" s="122"/>
      <c r="X23" s="122"/>
      <c r="Y23" s="122" t="s">
        <v>116</v>
      </c>
      <c r="Z23" s="118"/>
      <c r="AA23" s="118"/>
      <c r="AB23" s="118"/>
      <c r="AC23" s="118"/>
      <c r="AD23" s="118"/>
      <c r="AE23" s="118">
        <v>150000</v>
      </c>
      <c r="AF23" s="118"/>
      <c r="AG23" s="121" t="s">
        <v>138</v>
      </c>
      <c r="AH23" s="120"/>
      <c r="AI23" s="119"/>
      <c r="AJ23" s="115">
        <f t="shared" si="2"/>
        <v>150000</v>
      </c>
      <c r="AK23" s="77" t="str">
        <f t="shared" si="3"/>
        <v>Pipeline</v>
      </c>
      <c r="AL23" s="77" t="str">
        <f t="shared" si="4"/>
        <v>RBP</v>
      </c>
      <c r="AM23" s="77" t="s">
        <v>247</v>
      </c>
      <c r="AN23" s="76" t="s">
        <v>76</v>
      </c>
    </row>
    <row r="24" spans="1:40" ht="33" x14ac:dyDescent="0.3">
      <c r="A24" s="122" t="s">
        <v>4</v>
      </c>
      <c r="B24" s="122" t="s">
        <v>238</v>
      </c>
      <c r="C24" s="122"/>
      <c r="D24" s="122" t="s">
        <v>254</v>
      </c>
      <c r="E24" s="124" t="s">
        <v>103</v>
      </c>
      <c r="F24" s="135" t="s">
        <v>245</v>
      </c>
      <c r="G24" s="141" t="s">
        <v>286</v>
      </c>
      <c r="H24" s="124" t="s">
        <v>285</v>
      </c>
      <c r="I24" s="122"/>
      <c r="J24" s="122"/>
      <c r="K24" s="122"/>
      <c r="L24" s="124"/>
      <c r="M24" s="124"/>
      <c r="N24" s="122"/>
      <c r="O24" s="124"/>
      <c r="P24" s="122"/>
      <c r="Q24" s="139"/>
      <c r="R24" s="139"/>
      <c r="S24" s="122"/>
      <c r="T24" s="140"/>
      <c r="U24" s="124"/>
      <c r="V24" s="139">
        <v>15000</v>
      </c>
      <c r="W24" s="122"/>
      <c r="X24" s="122"/>
      <c r="Y24" s="122" t="s">
        <v>240</v>
      </c>
      <c r="Z24" s="118" t="s">
        <v>231</v>
      </c>
      <c r="AA24" s="118">
        <v>15000</v>
      </c>
      <c r="AB24" s="118"/>
      <c r="AC24" s="118"/>
      <c r="AD24" s="118"/>
      <c r="AE24" s="118"/>
      <c r="AF24" s="118"/>
      <c r="AG24" s="118"/>
      <c r="AH24" s="118"/>
      <c r="AI24" s="119"/>
      <c r="AJ24" s="115">
        <f t="shared" si="2"/>
        <v>15000</v>
      </c>
      <c r="AK24" s="77" t="str">
        <f t="shared" si="3"/>
        <v>Station</v>
      </c>
      <c r="AL24" s="77" t="str">
        <f t="shared" si="4"/>
        <v>QLD</v>
      </c>
      <c r="AM24" s="77"/>
      <c r="AN24" s="76" t="s">
        <v>76</v>
      </c>
    </row>
    <row r="25" spans="1:40" ht="66" x14ac:dyDescent="0.3">
      <c r="A25" s="137" t="s">
        <v>4</v>
      </c>
      <c r="B25" s="122" t="s">
        <v>238</v>
      </c>
      <c r="C25" s="122"/>
      <c r="D25" s="122" t="s">
        <v>262</v>
      </c>
      <c r="E25" s="145" t="s">
        <v>104</v>
      </c>
      <c r="F25" s="135" t="s">
        <v>261</v>
      </c>
      <c r="G25" s="134" t="s">
        <v>667</v>
      </c>
      <c r="H25" s="124" t="s">
        <v>260</v>
      </c>
      <c r="I25" s="122" t="s">
        <v>259</v>
      </c>
      <c r="J25" s="122"/>
      <c r="K25" s="122"/>
      <c r="L25" s="124"/>
      <c r="M25" s="122"/>
      <c r="N25" s="146" t="s">
        <v>258</v>
      </c>
      <c r="O25" s="122"/>
      <c r="P25" s="122"/>
      <c r="Q25" s="139"/>
      <c r="R25" s="144"/>
      <c r="S25" s="122"/>
      <c r="T25" s="140"/>
      <c r="U25" s="124"/>
      <c r="V25" s="139"/>
      <c r="W25" s="122"/>
      <c r="X25" s="122"/>
      <c r="Y25" s="122" t="s">
        <v>240</v>
      </c>
      <c r="Z25" s="118" t="s">
        <v>230</v>
      </c>
      <c r="AA25" s="118"/>
      <c r="AB25" s="118">
        <v>10000</v>
      </c>
      <c r="AC25" s="118"/>
      <c r="AD25" s="118"/>
      <c r="AE25" s="118"/>
      <c r="AF25" s="118"/>
      <c r="AG25" s="118"/>
      <c r="AH25" s="120">
        <v>5.2</v>
      </c>
      <c r="AI25" s="119"/>
      <c r="AJ25" s="115">
        <f t="shared" si="2"/>
        <v>10000</v>
      </c>
      <c r="AK25" s="77" t="str">
        <f t="shared" si="3"/>
        <v>Station</v>
      </c>
      <c r="AL25" s="77" t="str">
        <f t="shared" si="4"/>
        <v>QLD</v>
      </c>
      <c r="AM25" s="77" t="s">
        <v>257</v>
      </c>
      <c r="AN25" s="76" t="s">
        <v>76</v>
      </c>
    </row>
    <row r="26" spans="1:40" ht="33" x14ac:dyDescent="0.3">
      <c r="A26" s="122" t="s">
        <v>0</v>
      </c>
      <c r="B26" s="122" t="s">
        <v>247</v>
      </c>
      <c r="C26" s="122"/>
      <c r="D26" s="122" t="s">
        <v>268</v>
      </c>
      <c r="E26" s="124" t="s">
        <v>50</v>
      </c>
      <c r="F26" s="135" t="s">
        <v>245</v>
      </c>
      <c r="G26" s="141" t="s">
        <v>668</v>
      </c>
      <c r="H26" s="124" t="s">
        <v>271</v>
      </c>
      <c r="I26" s="122" t="s">
        <v>270</v>
      </c>
      <c r="J26" s="122"/>
      <c r="K26" s="143">
        <v>41244</v>
      </c>
      <c r="L26" s="124" t="s">
        <v>269</v>
      </c>
      <c r="M26" s="122"/>
      <c r="N26" s="122"/>
      <c r="O26" s="122"/>
      <c r="P26" s="122"/>
      <c r="Q26" s="139"/>
      <c r="R26" s="139"/>
      <c r="S26" s="122"/>
      <c r="T26" s="140"/>
      <c r="U26" s="124"/>
      <c r="V26" s="139"/>
      <c r="W26" s="122" t="s">
        <v>242</v>
      </c>
      <c r="X26" s="122"/>
      <c r="Y26" s="122" t="s">
        <v>240</v>
      </c>
      <c r="Z26" s="118"/>
      <c r="AA26" s="118"/>
      <c r="AB26" s="118"/>
      <c r="AC26" s="118"/>
      <c r="AD26" s="118"/>
      <c r="AE26" s="118"/>
      <c r="AF26" s="118"/>
      <c r="AG26" s="118"/>
      <c r="AH26" s="118"/>
      <c r="AI26" s="119"/>
      <c r="AJ26" s="115">
        <f t="shared" si="2"/>
        <v>0</v>
      </c>
      <c r="AK26" s="77" t="str">
        <f t="shared" si="3"/>
        <v>Pipeline</v>
      </c>
      <c r="AL26" s="77" t="str">
        <f t="shared" si="4"/>
        <v>RBP</v>
      </c>
      <c r="AM26" s="77"/>
      <c r="AN26" s="76" t="s">
        <v>76</v>
      </c>
    </row>
    <row r="27" spans="1:40" ht="33" x14ac:dyDescent="0.3">
      <c r="A27" s="122" t="s">
        <v>0</v>
      </c>
      <c r="B27" s="122" t="s">
        <v>247</v>
      </c>
      <c r="C27" s="122"/>
      <c r="D27" s="122" t="s">
        <v>254</v>
      </c>
      <c r="E27" s="124" t="s">
        <v>45</v>
      </c>
      <c r="F27" s="135" t="s">
        <v>267</v>
      </c>
      <c r="G27" s="141" t="s">
        <v>290</v>
      </c>
      <c r="H27" s="124" t="s">
        <v>289</v>
      </c>
      <c r="I27" s="122" t="s">
        <v>288</v>
      </c>
      <c r="J27" s="122"/>
      <c r="K27" s="143">
        <v>41944</v>
      </c>
      <c r="L27" s="124"/>
      <c r="M27" s="124"/>
      <c r="N27" s="122"/>
      <c r="O27" s="122"/>
      <c r="P27" s="122"/>
      <c r="Q27" s="139"/>
      <c r="R27" s="139"/>
      <c r="S27" s="122"/>
      <c r="T27" s="140"/>
      <c r="U27" s="124" t="s">
        <v>287</v>
      </c>
      <c r="V27" s="139">
        <v>15000</v>
      </c>
      <c r="W27" s="122"/>
      <c r="X27" s="122"/>
      <c r="Y27" s="122" t="s">
        <v>240</v>
      </c>
      <c r="Z27" s="118" t="s">
        <v>231</v>
      </c>
      <c r="AA27" s="118">
        <v>15000</v>
      </c>
      <c r="AB27" s="118"/>
      <c r="AC27" s="118"/>
      <c r="AD27" s="118"/>
      <c r="AE27" s="118"/>
      <c r="AF27" s="118"/>
      <c r="AG27" s="118"/>
      <c r="AH27" s="118"/>
      <c r="AI27" s="119"/>
      <c r="AJ27" s="115">
        <f t="shared" si="2"/>
        <v>15000</v>
      </c>
      <c r="AK27" s="77" t="str">
        <f t="shared" si="3"/>
        <v>Pipeline</v>
      </c>
      <c r="AL27" s="77" t="str">
        <f t="shared" si="4"/>
        <v>RBP</v>
      </c>
      <c r="AM27" s="77"/>
      <c r="AN27" s="76" t="s">
        <v>76</v>
      </c>
    </row>
    <row r="28" spans="1:40" x14ac:dyDescent="0.3">
      <c r="A28" s="122" t="s">
        <v>0</v>
      </c>
      <c r="B28" s="122" t="s">
        <v>247</v>
      </c>
      <c r="C28" s="122" t="s">
        <v>325</v>
      </c>
      <c r="D28" s="124" t="s">
        <v>268</v>
      </c>
      <c r="E28" s="135" t="s">
        <v>40</v>
      </c>
      <c r="F28" s="135" t="s">
        <v>324</v>
      </c>
      <c r="G28" s="124"/>
      <c r="H28" s="122"/>
      <c r="I28" s="122"/>
      <c r="J28" s="122" t="s">
        <v>309</v>
      </c>
      <c r="K28" s="124"/>
      <c r="L28" s="122"/>
      <c r="M28" s="122" t="s">
        <v>323</v>
      </c>
      <c r="N28" s="122" t="s">
        <v>258</v>
      </c>
      <c r="O28" s="122" t="s">
        <v>268</v>
      </c>
      <c r="P28" s="139" t="s">
        <v>322</v>
      </c>
      <c r="Q28" s="139"/>
      <c r="R28" s="122"/>
      <c r="S28" s="140"/>
      <c r="T28" s="124"/>
      <c r="U28" s="139"/>
      <c r="V28" s="122"/>
      <c r="W28" s="122"/>
      <c r="X28" s="118" t="s">
        <v>321</v>
      </c>
      <c r="Y28" s="124" t="s">
        <v>116</v>
      </c>
      <c r="Z28" s="118">
        <v>0</v>
      </c>
      <c r="AA28" s="118"/>
      <c r="AB28" s="118"/>
      <c r="AC28" s="118"/>
      <c r="AD28" s="118">
        <v>140000</v>
      </c>
      <c r="AE28" s="122"/>
      <c r="AF28" s="122"/>
      <c r="AG28" s="121" t="s">
        <v>138</v>
      </c>
      <c r="AH28" s="123">
        <v>5.0999999999999996</v>
      </c>
      <c r="AI28" s="124"/>
      <c r="AJ28" s="115">
        <f t="shared" si="2"/>
        <v>140000</v>
      </c>
      <c r="AK28" s="77" t="str">
        <f t="shared" si="3"/>
        <v>Pipeline</v>
      </c>
      <c r="AL28" s="77" t="str">
        <f t="shared" si="4"/>
        <v>RBP</v>
      </c>
      <c r="AM28" s="77" t="s">
        <v>247</v>
      </c>
      <c r="AN28" s="76" t="s">
        <v>76</v>
      </c>
    </row>
    <row r="29" spans="1:40" ht="82.5" x14ac:dyDescent="0.3">
      <c r="A29" s="122" t="s">
        <v>0</v>
      </c>
      <c r="B29" s="122" t="s">
        <v>238</v>
      </c>
      <c r="C29" s="122" t="s">
        <v>325</v>
      </c>
      <c r="D29" s="122" t="s">
        <v>237</v>
      </c>
      <c r="E29" s="124" t="s">
        <v>18</v>
      </c>
      <c r="F29" s="135" t="s">
        <v>245</v>
      </c>
      <c r="G29" s="141" t="s">
        <v>669</v>
      </c>
      <c r="H29" s="124" t="s">
        <v>416</v>
      </c>
      <c r="I29" s="122" t="s">
        <v>288</v>
      </c>
      <c r="J29" s="122"/>
      <c r="K29" s="122" t="s">
        <v>415</v>
      </c>
      <c r="L29" s="124"/>
      <c r="M29" s="124"/>
      <c r="N29" s="122" t="s">
        <v>298</v>
      </c>
      <c r="O29" s="122" t="s">
        <v>277</v>
      </c>
      <c r="P29" s="122"/>
      <c r="Q29" s="139"/>
      <c r="R29" s="139" t="s">
        <v>414</v>
      </c>
      <c r="S29" s="122"/>
      <c r="T29" s="140"/>
      <c r="U29" s="124" t="s">
        <v>413</v>
      </c>
      <c r="V29" s="139">
        <v>300000</v>
      </c>
      <c r="W29" s="122"/>
      <c r="X29" s="122"/>
      <c r="Y29" s="122" t="s">
        <v>116</v>
      </c>
      <c r="Z29" s="118"/>
      <c r="AA29" s="118"/>
      <c r="AB29" s="118">
        <v>300000</v>
      </c>
      <c r="AC29" s="118"/>
      <c r="AD29" s="118"/>
      <c r="AE29" s="118"/>
      <c r="AF29" s="118"/>
      <c r="AG29" s="118" t="s">
        <v>158</v>
      </c>
      <c r="AH29" s="120" t="s">
        <v>412</v>
      </c>
      <c r="AI29" s="119"/>
      <c r="AJ29" s="115">
        <f t="shared" si="2"/>
        <v>300000</v>
      </c>
      <c r="AK29" s="77" t="str">
        <f t="shared" si="3"/>
        <v>Station</v>
      </c>
      <c r="AL29" s="77" t="str">
        <f t="shared" si="4"/>
        <v>RBP</v>
      </c>
      <c r="AM29" s="77" t="s">
        <v>247</v>
      </c>
      <c r="AN29" s="76" t="s">
        <v>76</v>
      </c>
    </row>
    <row r="30" spans="1:40" ht="66" x14ac:dyDescent="0.3">
      <c r="A30" s="122" t="s">
        <v>0</v>
      </c>
      <c r="B30" s="122" t="s">
        <v>247</v>
      </c>
      <c r="C30" s="122" t="s">
        <v>0</v>
      </c>
      <c r="D30" s="122" t="s">
        <v>268</v>
      </c>
      <c r="E30" s="124" t="s">
        <v>150</v>
      </c>
      <c r="F30" s="135" t="s">
        <v>267</v>
      </c>
      <c r="G30" s="141" t="s">
        <v>310</v>
      </c>
      <c r="H30" s="124" t="s">
        <v>525</v>
      </c>
      <c r="I30" s="122" t="s">
        <v>309</v>
      </c>
      <c r="J30" s="122"/>
      <c r="K30" s="143"/>
      <c r="L30" s="124"/>
      <c r="M30" s="124"/>
      <c r="N30" s="122" t="s">
        <v>298</v>
      </c>
      <c r="O30" s="122" t="s">
        <v>268</v>
      </c>
      <c r="P30" s="122"/>
      <c r="Q30" s="139"/>
      <c r="R30" s="139"/>
      <c r="S30" s="122"/>
      <c r="T30" s="140"/>
      <c r="U30" s="124"/>
      <c r="V30" s="139">
        <v>100000</v>
      </c>
      <c r="W30" s="122"/>
      <c r="X30" s="122"/>
      <c r="Y30" s="122" t="s">
        <v>116</v>
      </c>
      <c r="Z30" s="118"/>
      <c r="AA30" s="118">
        <v>100000</v>
      </c>
      <c r="AB30" s="118">
        <v>100000</v>
      </c>
      <c r="AC30" s="118">
        <v>100000</v>
      </c>
      <c r="AD30" s="118">
        <v>100000</v>
      </c>
      <c r="AE30" s="118">
        <v>100000</v>
      </c>
      <c r="AF30" s="118"/>
      <c r="AG30" s="118"/>
      <c r="AH30" s="120">
        <v>5.0999999999999996</v>
      </c>
      <c r="AI30" s="119"/>
      <c r="AJ30" s="115">
        <f t="shared" si="2"/>
        <v>500000</v>
      </c>
      <c r="AK30" s="77" t="str">
        <f t="shared" si="3"/>
        <v>Pipeline</v>
      </c>
      <c r="AL30" s="77" t="str">
        <f t="shared" si="4"/>
        <v>RBP</v>
      </c>
      <c r="AM30" s="77" t="s">
        <v>247</v>
      </c>
      <c r="AN30" s="76" t="s">
        <v>76</v>
      </c>
    </row>
    <row r="31" spans="1:40" ht="82.5" x14ac:dyDescent="0.3">
      <c r="A31" s="122" t="s">
        <v>4</v>
      </c>
      <c r="B31" s="122" t="s">
        <v>238</v>
      </c>
      <c r="C31" s="122" t="s">
        <v>448</v>
      </c>
      <c r="D31" s="122" t="s">
        <v>237</v>
      </c>
      <c r="E31" s="124" t="s">
        <v>105</v>
      </c>
      <c r="F31" s="135" t="s">
        <v>245</v>
      </c>
      <c r="G31" s="141" t="s">
        <v>476</v>
      </c>
      <c r="H31" s="124" t="s">
        <v>475</v>
      </c>
      <c r="I31" s="122" t="s">
        <v>446</v>
      </c>
      <c r="J31" s="122"/>
      <c r="K31" s="143">
        <v>42339</v>
      </c>
      <c r="L31" s="124"/>
      <c r="M31" s="124"/>
      <c r="N31" s="122" t="s">
        <v>298</v>
      </c>
      <c r="O31" s="124" t="s">
        <v>317</v>
      </c>
      <c r="P31" s="122"/>
      <c r="Q31" s="139"/>
      <c r="R31" s="139"/>
      <c r="S31" s="122"/>
      <c r="T31" s="140">
        <v>2</v>
      </c>
      <c r="U31" s="124" t="s">
        <v>474</v>
      </c>
      <c r="V31" s="139">
        <v>250000</v>
      </c>
      <c r="W31" s="122"/>
      <c r="X31" s="122"/>
      <c r="Y31" s="122" t="s">
        <v>116</v>
      </c>
      <c r="Z31" s="118"/>
      <c r="AA31" s="118">
        <v>400000</v>
      </c>
      <c r="AB31" s="118"/>
      <c r="AC31" s="118"/>
      <c r="AD31" s="118"/>
      <c r="AE31" s="118"/>
      <c r="AF31" s="118"/>
      <c r="AG31" s="118" t="s">
        <v>158</v>
      </c>
      <c r="AH31" s="120" t="s">
        <v>412</v>
      </c>
      <c r="AI31" s="119"/>
      <c r="AJ31" s="115">
        <f t="shared" si="2"/>
        <v>400000</v>
      </c>
      <c r="AK31" s="77" t="str">
        <f t="shared" si="3"/>
        <v>Station</v>
      </c>
      <c r="AL31" s="77" t="str">
        <f t="shared" si="4"/>
        <v>QLD</v>
      </c>
      <c r="AM31" s="77" t="s">
        <v>247</v>
      </c>
      <c r="AN31" s="76" t="s">
        <v>76</v>
      </c>
    </row>
    <row r="32" spans="1:40" x14ac:dyDescent="0.3">
      <c r="A32" s="122" t="s">
        <v>0</v>
      </c>
      <c r="B32" s="122" t="s">
        <v>411</v>
      </c>
      <c r="C32" s="122"/>
      <c r="D32" s="122" t="s">
        <v>268</v>
      </c>
      <c r="E32" s="124" t="s">
        <v>19</v>
      </c>
      <c r="F32" s="135" t="s">
        <v>284</v>
      </c>
      <c r="G32" s="141"/>
      <c r="H32" s="124" t="s">
        <v>410</v>
      </c>
      <c r="I32" s="122" t="s">
        <v>309</v>
      </c>
      <c r="J32" s="122" t="s">
        <v>409</v>
      </c>
      <c r="K32" s="122"/>
      <c r="L32" s="124"/>
      <c r="M32" s="122"/>
      <c r="N32" s="122"/>
      <c r="O32" s="122"/>
      <c r="P32" s="122"/>
      <c r="Q32" s="139"/>
      <c r="R32" s="139"/>
      <c r="S32" s="122"/>
      <c r="T32" s="140">
        <v>2</v>
      </c>
      <c r="U32" s="124" t="s">
        <v>408</v>
      </c>
      <c r="V32" s="139">
        <v>180000</v>
      </c>
      <c r="W32" s="122"/>
      <c r="X32" s="122"/>
      <c r="Y32" s="122" t="s">
        <v>116</v>
      </c>
      <c r="Z32" s="118">
        <v>150000</v>
      </c>
      <c r="AA32" s="118"/>
      <c r="AB32" s="118"/>
      <c r="AC32" s="118"/>
      <c r="AD32" s="118"/>
      <c r="AE32" s="118"/>
      <c r="AF32" s="118"/>
      <c r="AG32" s="118"/>
      <c r="AH32" s="120"/>
      <c r="AI32" s="119"/>
      <c r="AJ32" s="115">
        <f t="shared" si="2"/>
        <v>0</v>
      </c>
      <c r="AK32" s="77" t="str">
        <f t="shared" si="3"/>
        <v>Tools</v>
      </c>
      <c r="AL32" s="77" t="str">
        <f t="shared" si="4"/>
        <v>RBP</v>
      </c>
      <c r="AM32" s="77"/>
      <c r="AN32" s="76" t="s">
        <v>76</v>
      </c>
    </row>
    <row r="33" spans="1:40" ht="33" x14ac:dyDescent="0.3">
      <c r="A33" s="122" t="s">
        <v>4</v>
      </c>
      <c r="B33" s="122" t="s">
        <v>470</v>
      </c>
      <c r="C33" s="122" t="s">
        <v>448</v>
      </c>
      <c r="D33" s="122" t="s">
        <v>254</v>
      </c>
      <c r="E33" s="124" t="s">
        <v>106</v>
      </c>
      <c r="F33" s="135" t="s">
        <v>267</v>
      </c>
      <c r="G33" s="141" t="s">
        <v>660</v>
      </c>
      <c r="H33" s="124" t="s">
        <v>469</v>
      </c>
      <c r="I33" s="122"/>
      <c r="J33" s="122" t="s">
        <v>251</v>
      </c>
      <c r="K33" s="122" t="s">
        <v>263</v>
      </c>
      <c r="L33" s="124"/>
      <c r="M33" s="124"/>
      <c r="N33" s="122" t="s">
        <v>298</v>
      </c>
      <c r="O33" s="124" t="s">
        <v>468</v>
      </c>
      <c r="P33" s="122"/>
      <c r="Q33" s="139"/>
      <c r="R33" s="139"/>
      <c r="S33" s="122"/>
      <c r="T33" s="140"/>
      <c r="U33" s="124"/>
      <c r="V33" s="139">
        <v>70000</v>
      </c>
      <c r="W33" s="122"/>
      <c r="X33" s="122"/>
      <c r="Y33" s="122" t="s">
        <v>116</v>
      </c>
      <c r="Z33" s="118">
        <v>250000</v>
      </c>
      <c r="AA33" s="118">
        <v>210000</v>
      </c>
      <c r="AB33" s="118">
        <v>200000</v>
      </c>
      <c r="AC33" s="118">
        <v>200000</v>
      </c>
      <c r="AD33" s="118">
        <v>200000</v>
      </c>
      <c r="AE33" s="118">
        <v>200000</v>
      </c>
      <c r="AF33" s="118">
        <v>200000</v>
      </c>
      <c r="AG33" s="118"/>
      <c r="AH33" s="120">
        <v>7.1</v>
      </c>
      <c r="AI33" s="119"/>
      <c r="AJ33" s="115">
        <f t="shared" si="2"/>
        <v>1210000</v>
      </c>
      <c r="AK33" s="77" t="str">
        <f t="shared" si="3"/>
        <v>Facility</v>
      </c>
      <c r="AL33" s="77" t="str">
        <f t="shared" si="4"/>
        <v>QLD</v>
      </c>
      <c r="AM33" s="77" t="s">
        <v>155</v>
      </c>
      <c r="AN33" s="76" t="s">
        <v>76</v>
      </c>
    </row>
    <row r="34" spans="1:40" x14ac:dyDescent="0.3">
      <c r="A34" s="122" t="s">
        <v>4</v>
      </c>
      <c r="B34" s="122" t="s">
        <v>239</v>
      </c>
      <c r="C34" s="122"/>
      <c r="D34" s="122" t="s">
        <v>246</v>
      </c>
      <c r="E34" s="124" t="s">
        <v>107</v>
      </c>
      <c r="F34" s="135" t="s">
        <v>245</v>
      </c>
      <c r="G34" s="141"/>
      <c r="H34" s="124"/>
      <c r="I34" s="122" t="s">
        <v>244</v>
      </c>
      <c r="J34" s="122"/>
      <c r="K34" s="122">
        <v>42005</v>
      </c>
      <c r="L34" s="124"/>
      <c r="M34" s="122"/>
      <c r="N34" s="122"/>
      <c r="O34" s="122"/>
      <c r="P34" s="122"/>
      <c r="Q34" s="139"/>
      <c r="R34" s="139"/>
      <c r="S34" s="122"/>
      <c r="T34" s="140"/>
      <c r="U34" s="124"/>
      <c r="V34" s="139"/>
      <c r="W34" s="122" t="s">
        <v>242</v>
      </c>
      <c r="X34" s="122"/>
      <c r="Y34" s="122" t="s">
        <v>241</v>
      </c>
      <c r="Z34" s="118"/>
      <c r="AA34" s="118"/>
      <c r="AB34" s="118"/>
      <c r="AC34" s="118"/>
      <c r="AD34" s="118"/>
      <c r="AE34" s="118"/>
      <c r="AF34" s="118"/>
      <c r="AG34" s="118"/>
      <c r="AH34" s="120"/>
      <c r="AI34" s="119"/>
      <c r="AJ34" s="115">
        <f t="shared" si="2"/>
        <v>0</v>
      </c>
      <c r="AK34" s="77" t="str">
        <f t="shared" si="3"/>
        <v>Easement</v>
      </c>
      <c r="AL34" s="77" t="str">
        <f t="shared" si="4"/>
        <v>QLD</v>
      </c>
      <c r="AM34" s="77"/>
      <c r="AN34" s="76" t="s">
        <v>76</v>
      </c>
    </row>
    <row r="35" spans="1:40" ht="33" x14ac:dyDescent="0.3">
      <c r="A35" s="122" t="s">
        <v>0</v>
      </c>
      <c r="B35" s="122" t="s">
        <v>238</v>
      </c>
      <c r="C35" s="122"/>
      <c r="D35" s="122" t="s">
        <v>254</v>
      </c>
      <c r="E35" s="124" t="s">
        <v>29</v>
      </c>
      <c r="F35" s="135" t="s">
        <v>245</v>
      </c>
      <c r="G35" s="141" t="s">
        <v>670</v>
      </c>
      <c r="H35" s="141" t="s">
        <v>358</v>
      </c>
      <c r="I35" s="122" t="s">
        <v>357</v>
      </c>
      <c r="J35" s="122"/>
      <c r="K35" s="142">
        <v>41944</v>
      </c>
      <c r="L35" s="124"/>
      <c r="M35" s="124"/>
      <c r="N35" s="122"/>
      <c r="O35" s="122"/>
      <c r="P35" s="122"/>
      <c r="Q35" s="139"/>
      <c r="R35" s="139"/>
      <c r="S35" s="122"/>
      <c r="T35" s="140"/>
      <c r="U35" s="124"/>
      <c r="V35" s="139"/>
      <c r="W35" s="122" t="s">
        <v>242</v>
      </c>
      <c r="X35" s="122"/>
      <c r="Y35" s="122" t="s">
        <v>116</v>
      </c>
      <c r="Z35" s="118"/>
      <c r="AA35" s="118"/>
      <c r="AB35" s="118"/>
      <c r="AC35" s="118"/>
      <c r="AD35" s="118"/>
      <c r="AE35" s="118"/>
      <c r="AF35" s="118"/>
      <c r="AG35" s="118"/>
      <c r="AH35" s="120"/>
      <c r="AI35" s="119"/>
      <c r="AJ35" s="115">
        <f t="shared" si="2"/>
        <v>0</v>
      </c>
      <c r="AK35" s="77" t="str">
        <f t="shared" si="3"/>
        <v>Station</v>
      </c>
      <c r="AL35" s="77" t="str">
        <f t="shared" si="4"/>
        <v>RBP</v>
      </c>
      <c r="AM35" s="77"/>
      <c r="AN35" s="76" t="s">
        <v>76</v>
      </c>
    </row>
    <row r="36" spans="1:40" ht="49.5" x14ac:dyDescent="0.3">
      <c r="A36" s="122" t="s">
        <v>0</v>
      </c>
      <c r="B36" s="122" t="s">
        <v>238</v>
      </c>
      <c r="C36" s="122"/>
      <c r="D36" s="122" t="s">
        <v>254</v>
      </c>
      <c r="E36" s="124" t="s">
        <v>43</v>
      </c>
      <c r="F36" s="135" t="s">
        <v>267</v>
      </c>
      <c r="G36" s="141" t="s">
        <v>304</v>
      </c>
      <c r="H36" s="124" t="s">
        <v>303</v>
      </c>
      <c r="I36" s="122" t="s">
        <v>251</v>
      </c>
      <c r="J36" s="122"/>
      <c r="K36" s="122"/>
      <c r="L36" s="124"/>
      <c r="M36" s="122"/>
      <c r="N36" s="122"/>
      <c r="O36" s="122"/>
      <c r="P36" s="122"/>
      <c r="Q36" s="139"/>
      <c r="R36" s="139"/>
      <c r="S36" s="122"/>
      <c r="T36" s="140"/>
      <c r="U36" s="124"/>
      <c r="V36" s="139">
        <v>80000</v>
      </c>
      <c r="W36" s="122" t="s">
        <v>302</v>
      </c>
      <c r="X36" s="122"/>
      <c r="Y36" s="122" t="s">
        <v>240</v>
      </c>
      <c r="Z36" s="118" t="s">
        <v>231</v>
      </c>
      <c r="AA36" s="118">
        <v>80000</v>
      </c>
      <c r="AB36" s="118">
        <v>80000</v>
      </c>
      <c r="AC36" s="118">
        <v>80000</v>
      </c>
      <c r="AD36" s="118">
        <v>80000</v>
      </c>
      <c r="AE36" s="118">
        <v>80000</v>
      </c>
      <c r="AF36" s="118">
        <v>80000</v>
      </c>
      <c r="AG36" s="118"/>
      <c r="AH36" s="118"/>
      <c r="AI36" s="119"/>
      <c r="AJ36" s="115">
        <f t="shared" si="2"/>
        <v>480000</v>
      </c>
      <c r="AK36" s="77" t="str">
        <f t="shared" si="3"/>
        <v>Station</v>
      </c>
      <c r="AL36" s="77" t="str">
        <f t="shared" si="4"/>
        <v>RBP</v>
      </c>
      <c r="AM36" s="77"/>
      <c r="AN36" s="76" t="s">
        <v>76</v>
      </c>
    </row>
    <row r="37" spans="1:40" ht="66" x14ac:dyDescent="0.3">
      <c r="A37" s="122" t="s">
        <v>0</v>
      </c>
      <c r="B37" s="122" t="s">
        <v>238</v>
      </c>
      <c r="C37" s="122" t="s">
        <v>420</v>
      </c>
      <c r="D37" s="122" t="s">
        <v>237</v>
      </c>
      <c r="E37" s="124" t="s">
        <v>13</v>
      </c>
      <c r="F37" s="135" t="s">
        <v>267</v>
      </c>
      <c r="G37" s="141" t="s">
        <v>436</v>
      </c>
      <c r="H37" s="124" t="s">
        <v>435</v>
      </c>
      <c r="I37" s="122"/>
      <c r="J37" s="122" t="s">
        <v>346</v>
      </c>
      <c r="K37" s="122"/>
      <c r="L37" s="124"/>
      <c r="M37" s="124"/>
      <c r="N37" s="122" t="s">
        <v>298</v>
      </c>
      <c r="O37" s="124" t="s">
        <v>434</v>
      </c>
      <c r="P37" s="122"/>
      <c r="Q37" s="139"/>
      <c r="R37" s="139"/>
      <c r="S37" s="122"/>
      <c r="T37" s="140">
        <v>1</v>
      </c>
      <c r="U37" s="124" t="s">
        <v>433</v>
      </c>
      <c r="V37" s="139">
        <v>25000</v>
      </c>
      <c r="W37" s="122"/>
      <c r="X37" s="122"/>
      <c r="Y37" s="122" t="s">
        <v>116</v>
      </c>
      <c r="Z37" s="118">
        <v>50000</v>
      </c>
      <c r="AA37" s="118">
        <v>25000</v>
      </c>
      <c r="AB37" s="118">
        <v>110000</v>
      </c>
      <c r="AC37" s="118">
        <v>110000</v>
      </c>
      <c r="AD37" s="118"/>
      <c r="AE37" s="118"/>
      <c r="AF37" s="118"/>
      <c r="AG37" s="118"/>
      <c r="AH37" s="120" t="s">
        <v>396</v>
      </c>
      <c r="AI37" s="119"/>
      <c r="AJ37" s="115">
        <f t="shared" si="2"/>
        <v>245000</v>
      </c>
      <c r="AK37" s="77" t="str">
        <f t="shared" ref="AK37:AK59" si="5">B37</f>
        <v>Station</v>
      </c>
      <c r="AL37" s="77" t="str">
        <f t="shared" ref="AL37:AL68" si="6">A37</f>
        <v>RBP</v>
      </c>
      <c r="AM37" s="77" t="s">
        <v>56</v>
      </c>
      <c r="AN37" s="76" t="s">
        <v>76</v>
      </c>
    </row>
    <row r="38" spans="1:40" ht="66" x14ac:dyDescent="0.3">
      <c r="A38" s="122" t="s">
        <v>0</v>
      </c>
      <c r="B38" s="122" t="s">
        <v>238</v>
      </c>
      <c r="C38" s="122" t="s">
        <v>455</v>
      </c>
      <c r="D38" s="122" t="s">
        <v>237</v>
      </c>
      <c r="E38" s="124" t="s">
        <v>10</v>
      </c>
      <c r="F38" s="135" t="s">
        <v>245</v>
      </c>
      <c r="G38" s="141" t="s">
        <v>454</v>
      </c>
      <c r="H38" s="124" t="s">
        <v>453</v>
      </c>
      <c r="I38" s="122" t="s">
        <v>313</v>
      </c>
      <c r="J38" s="122" t="s">
        <v>313</v>
      </c>
      <c r="K38" s="143">
        <v>42339</v>
      </c>
      <c r="L38" s="124"/>
      <c r="M38" s="124" t="s">
        <v>452</v>
      </c>
      <c r="N38" s="122" t="s">
        <v>272</v>
      </c>
      <c r="O38" s="124" t="s">
        <v>305</v>
      </c>
      <c r="P38" s="122" t="s">
        <v>451</v>
      </c>
      <c r="Q38" s="139">
        <v>10000</v>
      </c>
      <c r="R38" s="139">
        <v>100000</v>
      </c>
      <c r="S38" s="122"/>
      <c r="T38" s="140">
        <v>3</v>
      </c>
      <c r="U38" s="124" t="s">
        <v>450</v>
      </c>
      <c r="V38" s="139">
        <v>100000</v>
      </c>
      <c r="W38" s="122" t="s">
        <v>249</v>
      </c>
      <c r="X38" s="122"/>
      <c r="Y38" s="122" t="s">
        <v>116</v>
      </c>
      <c r="Z38" s="118">
        <v>15000</v>
      </c>
      <c r="AA38" s="118">
        <v>100000</v>
      </c>
      <c r="AB38" s="118">
        <v>100000</v>
      </c>
      <c r="AC38" s="118">
        <v>100000</v>
      </c>
      <c r="AD38" s="118"/>
      <c r="AE38" s="118"/>
      <c r="AF38" s="118"/>
      <c r="AG38" s="118"/>
      <c r="AH38" s="120" t="s">
        <v>449</v>
      </c>
      <c r="AI38" s="119"/>
      <c r="AJ38" s="115">
        <f t="shared" si="2"/>
        <v>300000</v>
      </c>
      <c r="AK38" s="77" t="str">
        <f t="shared" si="5"/>
        <v>Station</v>
      </c>
      <c r="AL38" s="77" t="str">
        <f t="shared" si="6"/>
        <v>RBP</v>
      </c>
      <c r="AM38" s="77" t="s">
        <v>247</v>
      </c>
      <c r="AN38" s="76" t="s">
        <v>76</v>
      </c>
    </row>
    <row r="39" spans="1:40" ht="99" x14ac:dyDescent="0.3">
      <c r="A39" s="137" t="s">
        <v>0</v>
      </c>
      <c r="B39" s="122" t="s">
        <v>247</v>
      </c>
      <c r="C39" s="122" t="s">
        <v>320</v>
      </c>
      <c r="D39" s="122" t="s">
        <v>276</v>
      </c>
      <c r="E39" s="135" t="s">
        <v>21</v>
      </c>
      <c r="F39" s="135" t="s">
        <v>316</v>
      </c>
      <c r="G39" s="141" t="s">
        <v>404</v>
      </c>
      <c r="H39" s="124" t="s">
        <v>403</v>
      </c>
      <c r="I39" s="122" t="s">
        <v>392</v>
      </c>
      <c r="J39" s="122"/>
      <c r="K39" s="143">
        <v>42095</v>
      </c>
      <c r="L39" s="124" t="s">
        <v>402</v>
      </c>
      <c r="M39" s="124" t="s">
        <v>401</v>
      </c>
      <c r="N39" s="121" t="s">
        <v>258</v>
      </c>
      <c r="O39" s="122" t="s">
        <v>305</v>
      </c>
      <c r="P39" s="122" t="s">
        <v>400</v>
      </c>
      <c r="Q39" s="139" t="s">
        <v>388</v>
      </c>
      <c r="R39" s="147" t="s">
        <v>399</v>
      </c>
      <c r="S39" s="148" t="s">
        <v>398</v>
      </c>
      <c r="T39" s="140">
        <v>2</v>
      </c>
      <c r="U39" s="124" t="s">
        <v>397</v>
      </c>
      <c r="V39" s="139">
        <v>120000</v>
      </c>
      <c r="W39" s="122"/>
      <c r="X39" s="122"/>
      <c r="Y39" s="122" t="s">
        <v>116</v>
      </c>
      <c r="Z39" s="118"/>
      <c r="AA39" s="118"/>
      <c r="AB39" s="118">
        <v>120000</v>
      </c>
      <c r="AC39" s="118"/>
      <c r="AD39" s="118"/>
      <c r="AE39" s="118"/>
      <c r="AF39" s="118"/>
      <c r="AG39" s="118"/>
      <c r="AH39" s="120" t="s">
        <v>396</v>
      </c>
      <c r="AI39" s="119"/>
      <c r="AJ39" s="115">
        <f t="shared" si="2"/>
        <v>120000</v>
      </c>
      <c r="AK39" s="77" t="str">
        <f t="shared" si="5"/>
        <v>Pipeline</v>
      </c>
      <c r="AL39" s="77" t="str">
        <f t="shared" si="6"/>
        <v>RBP</v>
      </c>
      <c r="AM39" s="77" t="s">
        <v>247</v>
      </c>
      <c r="AN39" s="76" t="s">
        <v>76</v>
      </c>
    </row>
    <row r="40" spans="1:40" ht="66" x14ac:dyDescent="0.3">
      <c r="A40" s="122" t="s">
        <v>0</v>
      </c>
      <c r="B40" s="122" t="s">
        <v>247</v>
      </c>
      <c r="C40" s="122" t="s">
        <v>432</v>
      </c>
      <c r="D40" s="124" t="s">
        <v>268</v>
      </c>
      <c r="E40" s="135" t="s">
        <v>14</v>
      </c>
      <c r="F40" s="135" t="s">
        <v>324</v>
      </c>
      <c r="G40" s="124" t="s">
        <v>431</v>
      </c>
      <c r="H40" s="122" t="s">
        <v>331</v>
      </c>
      <c r="I40" s="122"/>
      <c r="J40" s="122" t="s">
        <v>309</v>
      </c>
      <c r="K40" s="124"/>
      <c r="L40" s="122"/>
      <c r="M40" s="122" t="s">
        <v>430</v>
      </c>
      <c r="N40" s="122" t="s">
        <v>298</v>
      </c>
      <c r="O40" s="122" t="s">
        <v>268</v>
      </c>
      <c r="P40" s="139" t="s">
        <v>322</v>
      </c>
      <c r="Q40" s="139"/>
      <c r="R40" s="122"/>
      <c r="S40" s="140"/>
      <c r="T40" s="124"/>
      <c r="U40" s="147" t="s">
        <v>429</v>
      </c>
      <c r="V40" s="122"/>
      <c r="W40" s="122"/>
      <c r="X40" s="118" t="s">
        <v>327</v>
      </c>
      <c r="Y40" s="124" t="s">
        <v>116</v>
      </c>
      <c r="Z40" s="118" t="s">
        <v>326</v>
      </c>
      <c r="AA40" s="122"/>
      <c r="AB40" s="122"/>
      <c r="AC40" s="118">
        <v>10000</v>
      </c>
      <c r="AD40" s="118">
        <v>190000</v>
      </c>
      <c r="AE40" s="122"/>
      <c r="AF40" s="122"/>
      <c r="AG40" s="121" t="s">
        <v>138</v>
      </c>
      <c r="AH40" s="123">
        <v>5.2</v>
      </c>
      <c r="AI40" s="124"/>
      <c r="AJ40" s="115">
        <f>SUM(AC40:AF40)</f>
        <v>200000</v>
      </c>
      <c r="AK40" s="77" t="str">
        <f t="shared" si="5"/>
        <v>Pipeline</v>
      </c>
      <c r="AL40" s="77" t="str">
        <f t="shared" si="6"/>
        <v>RBP</v>
      </c>
      <c r="AM40" s="77" t="s">
        <v>247</v>
      </c>
      <c r="AN40" s="76" t="s">
        <v>76</v>
      </c>
    </row>
    <row r="41" spans="1:40" ht="49.5" x14ac:dyDescent="0.3">
      <c r="A41" s="122" t="s">
        <v>0</v>
      </c>
      <c r="B41" s="122" t="s">
        <v>247</v>
      </c>
      <c r="C41" s="122"/>
      <c r="D41" s="122" t="s">
        <v>268</v>
      </c>
      <c r="E41" s="124" t="s">
        <v>44</v>
      </c>
      <c r="F41" s="135" t="s">
        <v>267</v>
      </c>
      <c r="G41" s="141" t="s">
        <v>292</v>
      </c>
      <c r="H41" s="124"/>
      <c r="I41" s="122"/>
      <c r="J41" s="122"/>
      <c r="K41" s="122"/>
      <c r="L41" s="124"/>
      <c r="M41" s="124"/>
      <c r="N41" s="122"/>
      <c r="O41" s="122"/>
      <c r="P41" s="122"/>
      <c r="Q41" s="139"/>
      <c r="R41" s="139"/>
      <c r="S41" s="122"/>
      <c r="T41" s="140"/>
      <c r="U41" s="124" t="s">
        <v>291</v>
      </c>
      <c r="V41" s="139">
        <v>16000</v>
      </c>
      <c r="W41" s="122"/>
      <c r="X41" s="122"/>
      <c r="Y41" s="122" t="s">
        <v>240</v>
      </c>
      <c r="Z41" s="118" t="s">
        <v>231</v>
      </c>
      <c r="AA41" s="118">
        <v>16000</v>
      </c>
      <c r="AB41" s="118"/>
      <c r="AC41" s="118"/>
      <c r="AD41" s="118"/>
      <c r="AE41" s="118"/>
      <c r="AF41" s="118"/>
      <c r="AG41" s="118"/>
      <c r="AH41" s="118"/>
      <c r="AI41" s="119"/>
      <c r="AJ41" s="115">
        <f t="shared" ref="AJ41:AJ76" si="7">SUM(AA41:AF41)</f>
        <v>16000</v>
      </c>
      <c r="AK41" s="77" t="str">
        <f t="shared" si="5"/>
        <v>Pipeline</v>
      </c>
      <c r="AL41" s="77" t="str">
        <f t="shared" si="6"/>
        <v>RBP</v>
      </c>
      <c r="AM41" s="77"/>
      <c r="AN41" s="76" t="s">
        <v>76</v>
      </c>
    </row>
    <row r="42" spans="1:40" ht="66" x14ac:dyDescent="0.3">
      <c r="A42" s="122" t="s">
        <v>0</v>
      </c>
      <c r="B42" s="122" t="s">
        <v>247</v>
      </c>
      <c r="C42" s="122" t="s">
        <v>320</v>
      </c>
      <c r="D42" s="122" t="s">
        <v>276</v>
      </c>
      <c r="E42" s="124" t="s">
        <v>9</v>
      </c>
      <c r="F42" s="135" t="s">
        <v>267</v>
      </c>
      <c r="G42" s="141" t="s">
        <v>457</v>
      </c>
      <c r="H42" s="124" t="s">
        <v>456</v>
      </c>
      <c r="I42" s="122"/>
      <c r="J42" s="122"/>
      <c r="K42" s="122" t="s">
        <v>263</v>
      </c>
      <c r="L42" s="124"/>
      <c r="M42" s="122"/>
      <c r="N42" s="122" t="s">
        <v>298</v>
      </c>
      <c r="O42" s="124" t="s">
        <v>277</v>
      </c>
      <c r="P42" s="122"/>
      <c r="Q42" s="139"/>
      <c r="R42" s="139"/>
      <c r="S42" s="122"/>
      <c r="T42" s="140"/>
      <c r="U42" s="124"/>
      <c r="V42" s="139">
        <v>150000</v>
      </c>
      <c r="W42" s="122"/>
      <c r="X42" s="122"/>
      <c r="Y42" s="122" t="s">
        <v>116</v>
      </c>
      <c r="Z42" s="118">
        <v>150000</v>
      </c>
      <c r="AA42" s="118">
        <v>150000</v>
      </c>
      <c r="AB42" s="118">
        <v>150000</v>
      </c>
      <c r="AC42" s="118">
        <v>150000</v>
      </c>
      <c r="AD42" s="118">
        <v>150000</v>
      </c>
      <c r="AE42" s="118">
        <v>150000</v>
      </c>
      <c r="AF42" s="118"/>
      <c r="AG42" s="118" t="s">
        <v>138</v>
      </c>
      <c r="AH42" s="120">
        <v>5.3</v>
      </c>
      <c r="AI42" s="119"/>
      <c r="AJ42" s="115">
        <f t="shared" si="7"/>
        <v>750000</v>
      </c>
      <c r="AK42" s="77" t="str">
        <f t="shared" si="5"/>
        <v>Pipeline</v>
      </c>
      <c r="AL42" s="77" t="str">
        <f t="shared" si="6"/>
        <v>RBP</v>
      </c>
      <c r="AM42" s="77" t="s">
        <v>247</v>
      </c>
      <c r="AN42" s="76" t="s">
        <v>76</v>
      </c>
    </row>
    <row r="43" spans="1:40" ht="99" x14ac:dyDescent="0.3">
      <c r="A43" s="122" t="s">
        <v>0</v>
      </c>
      <c r="B43" s="122" t="s">
        <v>247</v>
      </c>
      <c r="C43" s="122" t="s">
        <v>320</v>
      </c>
      <c r="D43" s="122" t="s">
        <v>308</v>
      </c>
      <c r="E43" s="124" t="s">
        <v>3</v>
      </c>
      <c r="F43" s="135" t="s">
        <v>267</v>
      </c>
      <c r="G43" s="141" t="s">
        <v>480</v>
      </c>
      <c r="H43" s="124" t="s">
        <v>479</v>
      </c>
      <c r="I43" s="122" t="s">
        <v>288</v>
      </c>
      <c r="J43" s="122" t="s">
        <v>288</v>
      </c>
      <c r="K43" s="122" t="s">
        <v>263</v>
      </c>
      <c r="L43" s="124"/>
      <c r="M43" s="124"/>
      <c r="N43" s="122" t="s">
        <v>272</v>
      </c>
      <c r="O43" s="124" t="s">
        <v>268</v>
      </c>
      <c r="P43" s="122" t="s">
        <v>478</v>
      </c>
      <c r="Q43" s="139"/>
      <c r="R43" s="139"/>
      <c r="S43" s="122"/>
      <c r="T43" s="140"/>
      <c r="U43" s="124" t="s">
        <v>477</v>
      </c>
      <c r="V43" s="144">
        <v>629000</v>
      </c>
      <c r="W43" s="122"/>
      <c r="X43" s="122"/>
      <c r="Y43" s="122" t="s">
        <v>116</v>
      </c>
      <c r="Z43" s="118">
        <v>500000</v>
      </c>
      <c r="AA43" s="125">
        <v>629000</v>
      </c>
      <c r="AB43" s="118">
        <v>642000</v>
      </c>
      <c r="AC43" s="118">
        <v>648000</v>
      </c>
      <c r="AD43" s="118">
        <v>648000</v>
      </c>
      <c r="AE43" s="118">
        <v>648000</v>
      </c>
      <c r="AF43" s="118">
        <v>648000</v>
      </c>
      <c r="AG43" s="118" t="s">
        <v>138</v>
      </c>
      <c r="AH43" s="120">
        <v>5.3</v>
      </c>
      <c r="AI43" s="119"/>
      <c r="AJ43" s="115">
        <f t="shared" si="7"/>
        <v>3863000</v>
      </c>
      <c r="AK43" s="77" t="str">
        <f t="shared" si="5"/>
        <v>Pipeline</v>
      </c>
      <c r="AL43" s="77" t="str">
        <f t="shared" si="6"/>
        <v>RBP</v>
      </c>
      <c r="AM43" s="77" t="s">
        <v>247</v>
      </c>
      <c r="AN43" s="76" t="s">
        <v>76</v>
      </c>
    </row>
    <row r="44" spans="1:40" ht="132" x14ac:dyDescent="0.3">
      <c r="A44" s="122" t="s">
        <v>0</v>
      </c>
      <c r="B44" s="122" t="s">
        <v>247</v>
      </c>
      <c r="C44" s="122"/>
      <c r="D44" s="122" t="s">
        <v>268</v>
      </c>
      <c r="E44" s="124" t="s">
        <v>28</v>
      </c>
      <c r="F44" s="135" t="s">
        <v>261</v>
      </c>
      <c r="G44" s="141" t="s">
        <v>671</v>
      </c>
      <c r="H44" s="124" t="s">
        <v>361</v>
      </c>
      <c r="I44" s="122" t="s">
        <v>360</v>
      </c>
      <c r="J44" s="122"/>
      <c r="K44" s="122"/>
      <c r="L44" s="124"/>
      <c r="M44" s="122"/>
      <c r="N44" s="122"/>
      <c r="O44" s="122"/>
      <c r="P44" s="122"/>
      <c r="Q44" s="139"/>
      <c r="R44" s="139"/>
      <c r="S44" s="122"/>
      <c r="T44" s="140"/>
      <c r="U44" s="124" t="s">
        <v>359</v>
      </c>
      <c r="V44" s="139"/>
      <c r="W44" s="122"/>
      <c r="X44" s="122"/>
      <c r="Y44" s="122" t="s">
        <v>116</v>
      </c>
      <c r="Z44" s="118"/>
      <c r="AA44" s="118"/>
      <c r="AB44" s="118"/>
      <c r="AC44" s="118">
        <v>250000</v>
      </c>
      <c r="AD44" s="118"/>
      <c r="AE44" s="118">
        <v>100000</v>
      </c>
      <c r="AF44" s="118"/>
      <c r="AG44" s="118"/>
      <c r="AH44" s="120">
        <v>4.4000000000000004</v>
      </c>
      <c r="AI44" s="119"/>
      <c r="AJ44" s="115">
        <f t="shared" si="7"/>
        <v>350000</v>
      </c>
      <c r="AK44" s="77" t="str">
        <f t="shared" si="5"/>
        <v>Pipeline</v>
      </c>
      <c r="AL44" s="77" t="str">
        <f t="shared" si="6"/>
        <v>RBP</v>
      </c>
      <c r="AM44" s="77" t="s">
        <v>247</v>
      </c>
      <c r="AN44" s="76" t="s">
        <v>76</v>
      </c>
    </row>
    <row r="45" spans="1:40" ht="82.5" x14ac:dyDescent="0.3">
      <c r="A45" s="122" t="s">
        <v>0</v>
      </c>
      <c r="B45" s="122" t="s">
        <v>238</v>
      </c>
      <c r="C45" s="122" t="s">
        <v>420</v>
      </c>
      <c r="D45" s="122" t="s">
        <v>276</v>
      </c>
      <c r="E45" s="141" t="s">
        <v>8</v>
      </c>
      <c r="F45" s="135" t="s">
        <v>267</v>
      </c>
      <c r="G45" s="134" t="s">
        <v>460</v>
      </c>
      <c r="H45" s="124" t="s">
        <v>459</v>
      </c>
      <c r="I45" s="122"/>
      <c r="J45" s="122" t="s">
        <v>380</v>
      </c>
      <c r="K45" s="122" t="s">
        <v>263</v>
      </c>
      <c r="L45" s="124" t="s">
        <v>391</v>
      </c>
      <c r="M45" s="124" t="s">
        <v>458</v>
      </c>
      <c r="N45" s="149" t="s">
        <v>298</v>
      </c>
      <c r="O45" s="124" t="s">
        <v>305</v>
      </c>
      <c r="P45" s="122"/>
      <c r="Q45" s="139"/>
      <c r="R45" s="139">
        <v>50000</v>
      </c>
      <c r="S45" s="122"/>
      <c r="T45" s="140"/>
      <c r="U45" s="124"/>
      <c r="V45" s="150">
        <v>150000</v>
      </c>
      <c r="W45" s="122"/>
      <c r="X45" s="122"/>
      <c r="Y45" s="122" t="s">
        <v>116</v>
      </c>
      <c r="Z45" s="118">
        <v>150000</v>
      </c>
      <c r="AA45" s="118">
        <v>150000</v>
      </c>
      <c r="AB45" s="118">
        <v>50000</v>
      </c>
      <c r="AC45" s="118"/>
      <c r="AD45" s="118"/>
      <c r="AE45" s="118"/>
      <c r="AF45" s="118">
        <v>100000</v>
      </c>
      <c r="AG45" s="118"/>
      <c r="AH45" s="120">
        <v>3.3</v>
      </c>
      <c r="AI45" s="119"/>
      <c r="AJ45" s="115">
        <f t="shared" si="7"/>
        <v>300000</v>
      </c>
      <c r="AK45" s="77" t="str">
        <f t="shared" si="5"/>
        <v>Station</v>
      </c>
      <c r="AL45" s="77" t="str">
        <f t="shared" si="6"/>
        <v>RBP</v>
      </c>
      <c r="AM45" s="77" t="s">
        <v>56</v>
      </c>
      <c r="AN45" s="76" t="s">
        <v>76</v>
      </c>
    </row>
    <row r="46" spans="1:40" ht="49.5" x14ac:dyDescent="0.3">
      <c r="A46" s="122" t="s">
        <v>0</v>
      </c>
      <c r="B46" s="122" t="s">
        <v>247</v>
      </c>
      <c r="C46" s="122"/>
      <c r="D46" s="124" t="s">
        <v>268</v>
      </c>
      <c r="E46" s="135" t="s">
        <v>36</v>
      </c>
      <c r="F46" s="135" t="s">
        <v>324</v>
      </c>
      <c r="G46" s="124" t="s">
        <v>338</v>
      </c>
      <c r="H46" s="122"/>
      <c r="I46" s="122"/>
      <c r="J46" s="122" t="s">
        <v>309</v>
      </c>
      <c r="K46" s="124"/>
      <c r="L46" s="122"/>
      <c r="M46" s="122" t="s">
        <v>337</v>
      </c>
      <c r="N46" s="122"/>
      <c r="O46" s="122" t="s">
        <v>268</v>
      </c>
      <c r="P46" s="139" t="s">
        <v>322</v>
      </c>
      <c r="Q46" s="139"/>
      <c r="R46" s="122"/>
      <c r="S46" s="140"/>
      <c r="T46" s="124"/>
      <c r="U46" s="139"/>
      <c r="V46" s="122"/>
      <c r="W46" s="122"/>
      <c r="X46" s="118" t="s">
        <v>327</v>
      </c>
      <c r="Y46" s="124" t="s">
        <v>116</v>
      </c>
      <c r="Z46" s="118" t="s">
        <v>326</v>
      </c>
      <c r="AA46" s="118"/>
      <c r="AB46" s="122"/>
      <c r="AC46" s="118"/>
      <c r="AD46" s="118"/>
      <c r="AE46" s="118">
        <v>1800000</v>
      </c>
      <c r="AF46" s="122"/>
      <c r="AG46" s="121" t="s">
        <v>138</v>
      </c>
      <c r="AH46" s="123">
        <v>5.0999999999999996</v>
      </c>
      <c r="AI46" s="124"/>
      <c r="AJ46" s="115">
        <f t="shared" si="7"/>
        <v>1800000</v>
      </c>
      <c r="AK46" s="77" t="str">
        <f t="shared" si="5"/>
        <v>Pipeline</v>
      </c>
      <c r="AL46" s="77" t="str">
        <f t="shared" si="6"/>
        <v>RBP</v>
      </c>
      <c r="AM46" s="77" t="s">
        <v>247</v>
      </c>
      <c r="AN46" s="76" t="s">
        <v>76</v>
      </c>
    </row>
    <row r="47" spans="1:40" ht="66" x14ac:dyDescent="0.3">
      <c r="A47" s="122" t="s">
        <v>0</v>
      </c>
      <c r="B47" s="122" t="s">
        <v>247</v>
      </c>
      <c r="C47" s="122"/>
      <c r="D47" s="124" t="s">
        <v>268</v>
      </c>
      <c r="E47" s="135" t="s">
        <v>16</v>
      </c>
      <c r="F47" s="135" t="s">
        <v>324</v>
      </c>
      <c r="G47" s="124" t="s">
        <v>427</v>
      </c>
      <c r="H47" s="122"/>
      <c r="I47" s="122"/>
      <c r="J47" s="122" t="s">
        <v>309</v>
      </c>
      <c r="K47" s="124"/>
      <c r="L47" s="122"/>
      <c r="M47" s="122" t="s">
        <v>330</v>
      </c>
      <c r="N47" s="122" t="s">
        <v>298</v>
      </c>
      <c r="O47" s="122" t="s">
        <v>305</v>
      </c>
      <c r="P47" s="139" t="s">
        <v>322</v>
      </c>
      <c r="Q47" s="139"/>
      <c r="R47" s="122"/>
      <c r="S47" s="140"/>
      <c r="T47" s="124"/>
      <c r="U47" s="139"/>
      <c r="V47" s="122"/>
      <c r="W47" s="122"/>
      <c r="X47" s="118" t="s">
        <v>327</v>
      </c>
      <c r="Y47" s="124" t="s">
        <v>116</v>
      </c>
      <c r="Z47" s="118" t="s">
        <v>326</v>
      </c>
      <c r="AA47" s="118">
        <v>5000</v>
      </c>
      <c r="AB47" s="118">
        <v>140000</v>
      </c>
      <c r="AC47" s="118"/>
      <c r="AD47" s="118"/>
      <c r="AE47" s="122"/>
      <c r="AF47" s="122"/>
      <c r="AG47" s="121" t="s">
        <v>138</v>
      </c>
      <c r="AH47" s="123">
        <v>5.2</v>
      </c>
      <c r="AI47" s="124"/>
      <c r="AJ47" s="115">
        <f t="shared" si="7"/>
        <v>145000</v>
      </c>
      <c r="AK47" s="77" t="str">
        <f t="shared" si="5"/>
        <v>Pipeline</v>
      </c>
      <c r="AL47" s="77" t="str">
        <f t="shared" si="6"/>
        <v>RBP</v>
      </c>
      <c r="AM47" s="77" t="s">
        <v>247</v>
      </c>
      <c r="AN47" s="76" t="s">
        <v>76</v>
      </c>
    </row>
    <row r="48" spans="1:40" ht="99" x14ac:dyDescent="0.3">
      <c r="A48" s="122" t="s">
        <v>0</v>
      </c>
      <c r="B48" s="122" t="s">
        <v>247</v>
      </c>
      <c r="C48" s="122"/>
      <c r="D48" s="124" t="s">
        <v>268</v>
      </c>
      <c r="E48" s="135" t="s">
        <v>35</v>
      </c>
      <c r="F48" s="135" t="s">
        <v>324</v>
      </c>
      <c r="G48" s="124" t="s">
        <v>672</v>
      </c>
      <c r="H48" s="124" t="s">
        <v>341</v>
      </c>
      <c r="I48" s="122"/>
      <c r="J48" s="122" t="s">
        <v>309</v>
      </c>
      <c r="K48" s="124"/>
      <c r="L48" s="122"/>
      <c r="M48" s="122" t="s">
        <v>340</v>
      </c>
      <c r="N48" s="122"/>
      <c r="O48" s="122" t="s">
        <v>268</v>
      </c>
      <c r="P48" s="139" t="s">
        <v>322</v>
      </c>
      <c r="Q48" s="139"/>
      <c r="R48" s="122"/>
      <c r="S48" s="140"/>
      <c r="T48" s="124"/>
      <c r="U48" s="147" t="s">
        <v>521</v>
      </c>
      <c r="V48" s="122"/>
      <c r="W48" s="122"/>
      <c r="X48" s="118" t="s">
        <v>339</v>
      </c>
      <c r="Y48" s="124" t="s">
        <v>116</v>
      </c>
      <c r="Z48" s="118">
        <v>100000</v>
      </c>
      <c r="AA48" s="118"/>
      <c r="AB48" s="118"/>
      <c r="AC48" s="118">
        <v>1500000</v>
      </c>
      <c r="AD48" s="118"/>
      <c r="AE48" s="122"/>
      <c r="AF48" s="122"/>
      <c r="AG48" s="121" t="s">
        <v>138</v>
      </c>
      <c r="AH48" s="123">
        <v>5.0999999999999996</v>
      </c>
      <c r="AI48" s="124"/>
      <c r="AJ48" s="115">
        <f t="shared" si="7"/>
        <v>1500000</v>
      </c>
      <c r="AK48" s="77" t="str">
        <f t="shared" si="5"/>
        <v>Pipeline</v>
      </c>
      <c r="AL48" s="77" t="str">
        <f t="shared" si="6"/>
        <v>RBP</v>
      </c>
      <c r="AM48" s="77" t="s">
        <v>247</v>
      </c>
      <c r="AN48" s="76" t="s">
        <v>76</v>
      </c>
    </row>
    <row r="49" spans="1:40" ht="49.5" x14ac:dyDescent="0.3">
      <c r="A49" s="122" t="s">
        <v>0</v>
      </c>
      <c r="B49" s="122" t="s">
        <v>247</v>
      </c>
      <c r="C49" s="122"/>
      <c r="D49" s="124" t="s">
        <v>268</v>
      </c>
      <c r="E49" s="135" t="s">
        <v>39</v>
      </c>
      <c r="F49" s="135" t="s">
        <v>324</v>
      </c>
      <c r="G49" s="124" t="s">
        <v>329</v>
      </c>
      <c r="H49" s="122"/>
      <c r="I49" s="122"/>
      <c r="J49" s="122" t="s">
        <v>309</v>
      </c>
      <c r="K49" s="124"/>
      <c r="L49" s="122"/>
      <c r="M49" s="122" t="s">
        <v>328</v>
      </c>
      <c r="N49" s="122" t="s">
        <v>258</v>
      </c>
      <c r="O49" s="122" t="s">
        <v>268</v>
      </c>
      <c r="P49" s="139" t="s">
        <v>322</v>
      </c>
      <c r="Q49" s="139"/>
      <c r="R49" s="122"/>
      <c r="S49" s="140"/>
      <c r="T49" s="124"/>
      <c r="U49" s="139"/>
      <c r="V49" s="122"/>
      <c r="W49" s="122"/>
      <c r="X49" s="118" t="s">
        <v>327</v>
      </c>
      <c r="Y49" s="124" t="s">
        <v>116</v>
      </c>
      <c r="Z49" s="118" t="s">
        <v>326</v>
      </c>
      <c r="AA49" s="118"/>
      <c r="AB49" s="118">
        <v>60000</v>
      </c>
      <c r="AC49" s="118"/>
      <c r="AD49" s="118"/>
      <c r="AE49" s="122"/>
      <c r="AF49" s="122"/>
      <c r="AG49" s="121" t="s">
        <v>138</v>
      </c>
      <c r="AH49" s="123">
        <v>5.0999999999999996</v>
      </c>
      <c r="AI49" s="124"/>
      <c r="AJ49" s="115">
        <f t="shared" si="7"/>
        <v>60000</v>
      </c>
      <c r="AK49" s="77" t="str">
        <f t="shared" si="5"/>
        <v>Pipeline</v>
      </c>
      <c r="AL49" s="77" t="str">
        <f t="shared" si="6"/>
        <v>RBP</v>
      </c>
      <c r="AM49" s="77" t="s">
        <v>247</v>
      </c>
      <c r="AN49" s="76" t="s">
        <v>76</v>
      </c>
    </row>
    <row r="50" spans="1:40" ht="66" x14ac:dyDescent="0.3">
      <c r="A50" s="122" t="s">
        <v>0</v>
      </c>
      <c r="B50" s="122" t="s">
        <v>247</v>
      </c>
      <c r="C50" s="122" t="s">
        <v>455</v>
      </c>
      <c r="D50" s="124" t="s">
        <v>268</v>
      </c>
      <c r="E50" s="135" t="s">
        <v>5</v>
      </c>
      <c r="F50" s="135" t="s">
        <v>324</v>
      </c>
      <c r="G50" s="124" t="s">
        <v>473</v>
      </c>
      <c r="H50" s="124" t="s">
        <v>472</v>
      </c>
      <c r="I50" s="122"/>
      <c r="J50" s="122" t="s">
        <v>309</v>
      </c>
      <c r="K50" s="124"/>
      <c r="L50" s="122"/>
      <c r="M50" s="122" t="s">
        <v>471</v>
      </c>
      <c r="N50" s="122" t="s">
        <v>298</v>
      </c>
      <c r="O50" s="122" t="s">
        <v>268</v>
      </c>
      <c r="P50" s="139" t="s">
        <v>322</v>
      </c>
      <c r="Q50" s="139"/>
      <c r="R50" s="122"/>
      <c r="S50" s="140"/>
      <c r="T50" s="124"/>
      <c r="U50" s="147" t="s">
        <v>429</v>
      </c>
      <c r="V50" s="122"/>
      <c r="W50" s="122"/>
      <c r="X50" s="118" t="s">
        <v>339</v>
      </c>
      <c r="Y50" s="124" t="s">
        <v>116</v>
      </c>
      <c r="Z50" s="118"/>
      <c r="AA50" s="118">
        <v>220000</v>
      </c>
      <c r="AB50" s="118"/>
      <c r="AC50" s="118"/>
      <c r="AD50" s="118"/>
      <c r="AE50" s="122"/>
      <c r="AF50" s="118">
        <v>220000</v>
      </c>
      <c r="AG50" s="121" t="s">
        <v>138</v>
      </c>
      <c r="AH50" s="123">
        <v>5.0999999999999996</v>
      </c>
      <c r="AI50" s="124"/>
      <c r="AJ50" s="115">
        <f t="shared" si="7"/>
        <v>440000</v>
      </c>
      <c r="AK50" s="77" t="str">
        <f t="shared" si="5"/>
        <v>Pipeline</v>
      </c>
      <c r="AL50" s="77" t="str">
        <f t="shared" si="6"/>
        <v>RBP</v>
      </c>
      <c r="AM50" s="77" t="s">
        <v>247</v>
      </c>
      <c r="AN50" s="76" t="s">
        <v>76</v>
      </c>
    </row>
    <row r="51" spans="1:40" ht="49.5" x14ac:dyDescent="0.3">
      <c r="A51" s="122" t="s">
        <v>0</v>
      </c>
      <c r="B51" s="122" t="s">
        <v>247</v>
      </c>
      <c r="C51" s="122"/>
      <c r="D51" s="124" t="s">
        <v>268</v>
      </c>
      <c r="E51" s="135" t="s">
        <v>38</v>
      </c>
      <c r="F51" s="135" t="s">
        <v>324</v>
      </c>
      <c r="G51" s="124" t="s">
        <v>332</v>
      </c>
      <c r="H51" s="122" t="s">
        <v>331</v>
      </c>
      <c r="I51" s="122"/>
      <c r="J51" s="122" t="s">
        <v>309</v>
      </c>
      <c r="K51" s="124"/>
      <c r="L51" s="122"/>
      <c r="M51" s="122" t="s">
        <v>330</v>
      </c>
      <c r="N51" s="122" t="s">
        <v>258</v>
      </c>
      <c r="O51" s="122" t="s">
        <v>305</v>
      </c>
      <c r="P51" s="139" t="s">
        <v>322</v>
      </c>
      <c r="Q51" s="139"/>
      <c r="R51" s="122"/>
      <c r="S51" s="140"/>
      <c r="T51" s="124"/>
      <c r="U51" s="139"/>
      <c r="V51" s="122"/>
      <c r="W51" s="122"/>
      <c r="X51" s="118" t="s">
        <v>327</v>
      </c>
      <c r="Y51" s="124" t="s">
        <v>116</v>
      </c>
      <c r="Z51" s="118">
        <v>0</v>
      </c>
      <c r="AA51" s="118"/>
      <c r="AB51" s="118"/>
      <c r="AC51" s="118">
        <v>120000</v>
      </c>
      <c r="AD51" s="118"/>
      <c r="AE51" s="122"/>
      <c r="AF51" s="122"/>
      <c r="AG51" s="121" t="s">
        <v>138</v>
      </c>
      <c r="AH51" s="123">
        <v>5.0999999999999996</v>
      </c>
      <c r="AI51" s="124"/>
      <c r="AJ51" s="115">
        <f t="shared" si="7"/>
        <v>120000</v>
      </c>
      <c r="AK51" s="77" t="str">
        <f t="shared" si="5"/>
        <v>Pipeline</v>
      </c>
      <c r="AL51" s="77" t="str">
        <f t="shared" si="6"/>
        <v>RBP</v>
      </c>
      <c r="AM51" s="77" t="s">
        <v>247</v>
      </c>
      <c r="AN51" s="76" t="s">
        <v>76</v>
      </c>
    </row>
    <row r="52" spans="1:40" ht="66" x14ac:dyDescent="0.3">
      <c r="A52" s="122" t="s">
        <v>0</v>
      </c>
      <c r="B52" s="122" t="s">
        <v>247</v>
      </c>
      <c r="C52" s="122"/>
      <c r="D52" s="122" t="s">
        <v>268</v>
      </c>
      <c r="E52" s="124" t="s">
        <v>46</v>
      </c>
      <c r="F52" s="135" t="s">
        <v>284</v>
      </c>
      <c r="G52" s="141" t="s">
        <v>283</v>
      </c>
      <c r="H52" s="124" t="s">
        <v>282</v>
      </c>
      <c r="I52" s="122" t="s">
        <v>281</v>
      </c>
      <c r="J52" s="122" t="s">
        <v>281</v>
      </c>
      <c r="K52" s="143">
        <v>41974</v>
      </c>
      <c r="L52" s="124"/>
      <c r="M52" s="124"/>
      <c r="N52" s="122"/>
      <c r="O52" s="122"/>
      <c r="P52" s="122"/>
      <c r="Q52" s="139"/>
      <c r="R52" s="139"/>
      <c r="S52" s="122"/>
      <c r="T52" s="140"/>
      <c r="U52" s="124"/>
      <c r="V52" s="139">
        <v>10000</v>
      </c>
      <c r="W52" s="122"/>
      <c r="X52" s="122"/>
      <c r="Y52" s="122" t="s">
        <v>240</v>
      </c>
      <c r="Z52" s="118" t="s">
        <v>231</v>
      </c>
      <c r="AA52" s="118">
        <v>10000</v>
      </c>
      <c r="AB52" s="118"/>
      <c r="AC52" s="118"/>
      <c r="AD52" s="118"/>
      <c r="AE52" s="118"/>
      <c r="AF52" s="118"/>
      <c r="AG52" s="118"/>
      <c r="AH52" s="118"/>
      <c r="AI52" s="119"/>
      <c r="AJ52" s="115">
        <f t="shared" si="7"/>
        <v>10000</v>
      </c>
      <c r="AK52" s="77" t="str">
        <f t="shared" si="5"/>
        <v>Pipeline</v>
      </c>
      <c r="AL52" s="77" t="str">
        <f t="shared" si="6"/>
        <v>RBP</v>
      </c>
      <c r="AM52" s="77"/>
      <c r="AN52" s="76" t="s">
        <v>76</v>
      </c>
    </row>
    <row r="53" spans="1:40" ht="115.5" x14ac:dyDescent="0.3">
      <c r="A53" s="122" t="s">
        <v>0</v>
      </c>
      <c r="B53" s="122" t="s">
        <v>247</v>
      </c>
      <c r="C53" s="122" t="s">
        <v>320</v>
      </c>
      <c r="D53" s="122" t="s">
        <v>268</v>
      </c>
      <c r="E53" s="124" t="s">
        <v>146</v>
      </c>
      <c r="F53" s="135" t="s">
        <v>245</v>
      </c>
      <c r="G53" s="141" t="s">
        <v>673</v>
      </c>
      <c r="H53" s="124" t="s">
        <v>485</v>
      </c>
      <c r="I53" s="122"/>
      <c r="J53" s="122"/>
      <c r="K53" s="143">
        <v>42339</v>
      </c>
      <c r="L53" s="124"/>
      <c r="M53" s="124"/>
      <c r="N53" s="122" t="s">
        <v>272</v>
      </c>
      <c r="O53" s="124" t="s">
        <v>297</v>
      </c>
      <c r="P53" s="122"/>
      <c r="Q53" s="139">
        <v>15000</v>
      </c>
      <c r="R53" s="139"/>
      <c r="S53" s="122"/>
      <c r="T53" s="140"/>
      <c r="U53" s="124" t="s">
        <v>484</v>
      </c>
      <c r="V53" s="144">
        <v>14000000</v>
      </c>
      <c r="W53" s="122"/>
      <c r="X53" s="122"/>
      <c r="Y53" s="122" t="s">
        <v>116</v>
      </c>
      <c r="Z53" s="118">
        <v>120000</v>
      </c>
      <c r="AA53" s="118">
        <v>8000000</v>
      </c>
      <c r="AB53" s="118">
        <v>1650000</v>
      </c>
      <c r="AC53" s="118">
        <v>300000</v>
      </c>
      <c r="AD53" s="118">
        <v>300000</v>
      </c>
      <c r="AE53" s="118">
        <v>300000</v>
      </c>
      <c r="AF53" s="118">
        <v>300000</v>
      </c>
      <c r="AG53" s="118" t="s">
        <v>139</v>
      </c>
      <c r="AH53" s="120">
        <v>4.3</v>
      </c>
      <c r="AI53" s="119"/>
      <c r="AJ53" s="115">
        <f t="shared" si="7"/>
        <v>10850000</v>
      </c>
      <c r="AK53" s="77" t="str">
        <f t="shared" si="5"/>
        <v>Pipeline</v>
      </c>
      <c r="AL53" s="77" t="str">
        <f t="shared" si="6"/>
        <v>RBP</v>
      </c>
      <c r="AM53" s="77" t="s">
        <v>247</v>
      </c>
      <c r="AN53" s="76" t="s">
        <v>76</v>
      </c>
    </row>
    <row r="54" spans="1:40" ht="33" x14ac:dyDescent="0.3">
      <c r="A54" s="122" t="s">
        <v>0</v>
      </c>
      <c r="B54" s="122" t="s">
        <v>238</v>
      </c>
      <c r="C54" s="122"/>
      <c r="D54" s="122" t="s">
        <v>237</v>
      </c>
      <c r="E54" s="124" t="s">
        <v>149</v>
      </c>
      <c r="F54" s="135" t="s">
        <v>316</v>
      </c>
      <c r="G54" s="141" t="s">
        <v>315</v>
      </c>
      <c r="H54" s="124" t="s">
        <v>314</v>
      </c>
      <c r="I54" s="122" t="s">
        <v>313</v>
      </c>
      <c r="J54" s="122" t="s">
        <v>313</v>
      </c>
      <c r="K54" s="143">
        <v>42309</v>
      </c>
      <c r="L54" s="124"/>
      <c r="M54" s="124"/>
      <c r="N54" s="122" t="s">
        <v>258</v>
      </c>
      <c r="O54" s="122" t="s">
        <v>312</v>
      </c>
      <c r="P54" s="122"/>
      <c r="Q54" s="139"/>
      <c r="R54" s="139"/>
      <c r="S54" s="122"/>
      <c r="T54" s="140">
        <v>3</v>
      </c>
      <c r="U54" s="124"/>
      <c r="V54" s="139">
        <v>200000</v>
      </c>
      <c r="W54" s="122" t="s">
        <v>311</v>
      </c>
      <c r="X54" s="122"/>
      <c r="Y54" s="122" t="s">
        <v>116</v>
      </c>
      <c r="Z54" s="118"/>
      <c r="AA54" s="118"/>
      <c r="AB54" s="118">
        <v>100000</v>
      </c>
      <c r="AC54" s="118">
        <v>100000</v>
      </c>
      <c r="AD54" s="118"/>
      <c r="AE54" s="118"/>
      <c r="AF54" s="118"/>
      <c r="AG54" s="118"/>
      <c r="AH54" s="120">
        <v>5.5</v>
      </c>
      <c r="AI54" s="119"/>
      <c r="AJ54" s="115">
        <f t="shared" si="7"/>
        <v>200000</v>
      </c>
      <c r="AK54" s="77" t="str">
        <f t="shared" si="5"/>
        <v>Station</v>
      </c>
      <c r="AL54" s="77" t="str">
        <f t="shared" si="6"/>
        <v>RBP</v>
      </c>
      <c r="AM54" s="77" t="s">
        <v>56</v>
      </c>
      <c r="AN54" s="76" t="s">
        <v>76</v>
      </c>
    </row>
    <row r="55" spans="1:40" ht="33" x14ac:dyDescent="0.3">
      <c r="A55" s="122" t="s">
        <v>0</v>
      </c>
      <c r="B55" s="122" t="s">
        <v>247</v>
      </c>
      <c r="C55" s="122"/>
      <c r="D55" s="124" t="s">
        <v>268</v>
      </c>
      <c r="E55" s="135" t="s">
        <v>37</v>
      </c>
      <c r="F55" s="135" t="s">
        <v>324</v>
      </c>
      <c r="G55" s="124" t="s">
        <v>336</v>
      </c>
      <c r="H55" s="122"/>
      <c r="I55" s="122"/>
      <c r="J55" s="122" t="s">
        <v>309</v>
      </c>
      <c r="K55" s="124"/>
      <c r="L55" s="122"/>
      <c r="M55" s="122" t="s">
        <v>335</v>
      </c>
      <c r="N55" s="122" t="s">
        <v>272</v>
      </c>
      <c r="O55" s="122" t="s">
        <v>268</v>
      </c>
      <c r="P55" s="139" t="s">
        <v>334</v>
      </c>
      <c r="Q55" s="139"/>
      <c r="R55" s="122"/>
      <c r="S55" s="140"/>
      <c r="T55" s="124"/>
      <c r="U55" s="139"/>
      <c r="V55" s="122"/>
      <c r="W55" s="122"/>
      <c r="X55" s="118"/>
      <c r="Y55" s="124" t="s">
        <v>116</v>
      </c>
      <c r="Z55" s="118">
        <v>900000</v>
      </c>
      <c r="AA55" s="118"/>
      <c r="AB55" s="118"/>
      <c r="AC55" s="118"/>
      <c r="AD55" s="118"/>
      <c r="AE55" s="122"/>
      <c r="AF55" s="118">
        <v>900000</v>
      </c>
      <c r="AG55" s="121" t="s">
        <v>138</v>
      </c>
      <c r="AH55" s="123" t="s">
        <v>333</v>
      </c>
      <c r="AI55" s="124"/>
      <c r="AJ55" s="115">
        <f t="shared" si="7"/>
        <v>900000</v>
      </c>
      <c r="AK55" s="77" t="str">
        <f t="shared" si="5"/>
        <v>Pipeline</v>
      </c>
      <c r="AL55" s="77" t="str">
        <f t="shared" si="6"/>
        <v>RBP</v>
      </c>
      <c r="AM55" s="77" t="s">
        <v>247</v>
      </c>
      <c r="AN55" s="76" t="s">
        <v>76</v>
      </c>
    </row>
    <row r="56" spans="1:40" ht="82.5" x14ac:dyDescent="0.3">
      <c r="A56" s="122" t="s">
        <v>0</v>
      </c>
      <c r="B56" s="122" t="s">
        <v>247</v>
      </c>
      <c r="C56" s="122" t="s">
        <v>420</v>
      </c>
      <c r="D56" s="122" t="s">
        <v>268</v>
      </c>
      <c r="E56" s="124" t="s">
        <v>147</v>
      </c>
      <c r="F56" s="135" t="s">
        <v>324</v>
      </c>
      <c r="G56" s="141" t="s">
        <v>419</v>
      </c>
      <c r="H56" s="124" t="s">
        <v>418</v>
      </c>
      <c r="I56" s="122" t="s">
        <v>409</v>
      </c>
      <c r="J56" s="122"/>
      <c r="K56" s="143">
        <v>42339</v>
      </c>
      <c r="L56" s="124"/>
      <c r="M56" s="122"/>
      <c r="N56" s="122" t="s">
        <v>298</v>
      </c>
      <c r="O56" s="122" t="s">
        <v>268</v>
      </c>
      <c r="P56" s="122"/>
      <c r="Q56" s="139"/>
      <c r="R56" s="139" t="s">
        <v>417</v>
      </c>
      <c r="S56" s="122"/>
      <c r="T56" s="140">
        <v>3</v>
      </c>
      <c r="U56" s="124" t="s">
        <v>520</v>
      </c>
      <c r="V56" s="139">
        <v>3800000</v>
      </c>
      <c r="W56" s="122"/>
      <c r="X56" s="122"/>
      <c r="Y56" s="122" t="s">
        <v>116</v>
      </c>
      <c r="Z56" s="118"/>
      <c r="AA56" s="118"/>
      <c r="AB56" s="118">
        <v>1800000</v>
      </c>
      <c r="AC56" s="118">
        <v>1200000</v>
      </c>
      <c r="AD56" s="122"/>
      <c r="AE56" s="118"/>
      <c r="AF56" s="118"/>
      <c r="AG56" s="118" t="s">
        <v>138</v>
      </c>
      <c r="AH56" s="120" t="s">
        <v>333</v>
      </c>
      <c r="AI56" s="119"/>
      <c r="AJ56" s="115">
        <f t="shared" si="7"/>
        <v>3000000</v>
      </c>
      <c r="AK56" s="77" t="str">
        <f t="shared" si="5"/>
        <v>Pipeline</v>
      </c>
      <c r="AL56" s="77" t="str">
        <f t="shared" si="6"/>
        <v>RBP</v>
      </c>
      <c r="AM56" s="77" t="s">
        <v>247</v>
      </c>
      <c r="AN56" s="76" t="s">
        <v>76</v>
      </c>
    </row>
    <row r="57" spans="1:40" ht="214.5" x14ac:dyDescent="0.3">
      <c r="A57" s="122" t="s">
        <v>0</v>
      </c>
      <c r="B57" s="122" t="s">
        <v>247</v>
      </c>
      <c r="C57" s="122" t="s">
        <v>320</v>
      </c>
      <c r="D57" s="122" t="s">
        <v>237</v>
      </c>
      <c r="E57" s="124" t="s">
        <v>41</v>
      </c>
      <c r="F57" s="135" t="s">
        <v>245</v>
      </c>
      <c r="G57" s="141" t="s">
        <v>319</v>
      </c>
      <c r="H57" s="124" t="s">
        <v>318</v>
      </c>
      <c r="I57" s="122"/>
      <c r="J57" s="122"/>
      <c r="K57" s="122"/>
      <c r="L57" s="124"/>
      <c r="M57" s="124"/>
      <c r="N57" s="122" t="s">
        <v>298</v>
      </c>
      <c r="O57" s="124" t="s">
        <v>317</v>
      </c>
      <c r="P57" s="122"/>
      <c r="Q57" s="139"/>
      <c r="R57" s="139"/>
      <c r="S57" s="122"/>
      <c r="T57" s="140"/>
      <c r="U57" s="124"/>
      <c r="V57" s="139"/>
      <c r="W57" s="122"/>
      <c r="X57" s="122"/>
      <c r="Y57" s="122" t="s">
        <v>116</v>
      </c>
      <c r="Z57" s="118"/>
      <c r="AA57" s="118"/>
      <c r="AB57" s="118">
        <v>200000</v>
      </c>
      <c r="AC57" s="118">
        <v>200000</v>
      </c>
      <c r="AD57" s="118"/>
      <c r="AE57" s="118"/>
      <c r="AF57" s="118"/>
      <c r="AG57" s="118" t="s">
        <v>138</v>
      </c>
      <c r="AH57" s="120">
        <v>5.0999999999999996</v>
      </c>
      <c r="AI57" s="119"/>
      <c r="AJ57" s="115">
        <f t="shared" si="7"/>
        <v>400000</v>
      </c>
      <c r="AK57" s="77" t="str">
        <f t="shared" si="5"/>
        <v>Pipeline</v>
      </c>
      <c r="AL57" s="77" t="str">
        <f t="shared" si="6"/>
        <v>RBP</v>
      </c>
      <c r="AM57" s="77" t="s">
        <v>56</v>
      </c>
      <c r="AN57" s="76" t="s">
        <v>76</v>
      </c>
    </row>
    <row r="58" spans="1:40" ht="82.5" x14ac:dyDescent="0.3">
      <c r="A58" s="137" t="s">
        <v>0</v>
      </c>
      <c r="B58" s="122" t="s">
        <v>238</v>
      </c>
      <c r="C58" s="122" t="s">
        <v>395</v>
      </c>
      <c r="D58" s="122" t="s">
        <v>276</v>
      </c>
      <c r="E58" s="134" t="s">
        <v>22</v>
      </c>
      <c r="F58" s="135" t="s">
        <v>284</v>
      </c>
      <c r="G58" s="134" t="s">
        <v>394</v>
      </c>
      <c r="H58" s="124" t="s">
        <v>393</v>
      </c>
      <c r="I58" s="122" t="s">
        <v>392</v>
      </c>
      <c r="J58" s="122"/>
      <c r="K58" s="143">
        <v>42005</v>
      </c>
      <c r="L58" s="124" t="s">
        <v>391</v>
      </c>
      <c r="M58" s="124" t="s">
        <v>390</v>
      </c>
      <c r="N58" s="121" t="s">
        <v>298</v>
      </c>
      <c r="O58" s="124" t="s">
        <v>379</v>
      </c>
      <c r="P58" s="124" t="s">
        <v>389</v>
      </c>
      <c r="Q58" s="139" t="s">
        <v>388</v>
      </c>
      <c r="R58" s="139">
        <v>75000</v>
      </c>
      <c r="S58" s="122"/>
      <c r="T58" s="140">
        <v>3</v>
      </c>
      <c r="U58" s="138" t="s">
        <v>387</v>
      </c>
      <c r="V58" s="150">
        <v>75000</v>
      </c>
      <c r="W58" s="122"/>
      <c r="X58" s="122"/>
      <c r="Y58" s="122" t="s">
        <v>116</v>
      </c>
      <c r="Z58" s="118"/>
      <c r="AA58" s="118"/>
      <c r="AB58" s="118"/>
      <c r="AC58" s="118"/>
      <c r="AD58" s="118">
        <v>75000</v>
      </c>
      <c r="AE58" s="118"/>
      <c r="AF58" s="118"/>
      <c r="AG58" s="118"/>
      <c r="AH58" s="120" t="s">
        <v>376</v>
      </c>
      <c r="AI58" s="119"/>
      <c r="AJ58" s="115">
        <f t="shared" si="7"/>
        <v>75000</v>
      </c>
      <c r="AK58" s="77" t="str">
        <f t="shared" si="5"/>
        <v>Station</v>
      </c>
      <c r="AL58" s="77" t="str">
        <f t="shared" si="6"/>
        <v>RBP</v>
      </c>
      <c r="AM58" s="77" t="s">
        <v>257</v>
      </c>
      <c r="AN58" s="76" t="s">
        <v>76</v>
      </c>
    </row>
    <row r="59" spans="1:40" ht="198" x14ac:dyDescent="0.3">
      <c r="A59" s="122" t="s">
        <v>0</v>
      </c>
      <c r="B59" s="122" t="s">
        <v>238</v>
      </c>
      <c r="C59" s="122" t="s">
        <v>420</v>
      </c>
      <c r="D59" s="122" t="s">
        <v>237</v>
      </c>
      <c r="E59" s="124" t="s">
        <v>7</v>
      </c>
      <c r="F59" s="135" t="s">
        <v>316</v>
      </c>
      <c r="G59" s="141" t="s">
        <v>464</v>
      </c>
      <c r="H59" s="124" t="s">
        <v>463</v>
      </c>
      <c r="I59" s="122" t="s">
        <v>313</v>
      </c>
      <c r="J59" s="122" t="s">
        <v>313</v>
      </c>
      <c r="K59" s="143">
        <v>42309</v>
      </c>
      <c r="L59" s="124"/>
      <c r="M59" s="124"/>
      <c r="N59" s="122" t="s">
        <v>298</v>
      </c>
      <c r="O59" s="124" t="s">
        <v>297</v>
      </c>
      <c r="P59" s="122"/>
      <c r="Q59" s="139" t="s">
        <v>462</v>
      </c>
      <c r="R59" s="139">
        <v>160000</v>
      </c>
      <c r="S59" s="122"/>
      <c r="T59" s="140"/>
      <c r="U59" s="124" t="s">
        <v>461</v>
      </c>
      <c r="V59" s="139">
        <v>167000</v>
      </c>
      <c r="W59" s="122" t="s">
        <v>249</v>
      </c>
      <c r="X59" s="122"/>
      <c r="Y59" s="122" t="s">
        <v>116</v>
      </c>
      <c r="Z59" s="118"/>
      <c r="AA59" s="118">
        <v>160000</v>
      </c>
      <c r="AB59" s="118">
        <v>305000</v>
      </c>
      <c r="AC59" s="118">
        <v>305000</v>
      </c>
      <c r="AD59" s="118">
        <v>100000</v>
      </c>
      <c r="AE59" s="118">
        <v>100000</v>
      </c>
      <c r="AF59" s="118"/>
      <c r="AG59" s="118"/>
      <c r="AH59" s="120">
        <v>5.2</v>
      </c>
      <c r="AI59" s="119"/>
      <c r="AJ59" s="115">
        <f t="shared" si="7"/>
        <v>970000</v>
      </c>
      <c r="AK59" s="77" t="str">
        <f t="shared" si="5"/>
        <v>Station</v>
      </c>
      <c r="AL59" s="77" t="str">
        <f t="shared" si="6"/>
        <v>RBP</v>
      </c>
      <c r="AM59" s="77" t="s">
        <v>56</v>
      </c>
      <c r="AN59" s="76" t="s">
        <v>76</v>
      </c>
    </row>
    <row r="60" spans="1:40" ht="66" x14ac:dyDescent="0.3">
      <c r="A60" s="122" t="s">
        <v>0</v>
      </c>
      <c r="B60" s="122"/>
      <c r="C60" s="122"/>
      <c r="D60" s="122" t="s">
        <v>254</v>
      </c>
      <c r="E60" s="124" t="s">
        <v>52</v>
      </c>
      <c r="F60" s="135" t="s">
        <v>245</v>
      </c>
      <c r="G60" s="141" t="s">
        <v>253</v>
      </c>
      <c r="H60" s="124" t="s">
        <v>252</v>
      </c>
      <c r="I60" s="122" t="s">
        <v>251</v>
      </c>
      <c r="J60" s="122"/>
      <c r="K60" s="122"/>
      <c r="L60" s="124" t="s">
        <v>250</v>
      </c>
      <c r="M60" s="122"/>
      <c r="N60" s="122"/>
      <c r="O60" s="122"/>
      <c r="P60" s="122"/>
      <c r="Q60" s="139"/>
      <c r="R60" s="139"/>
      <c r="S60" s="122"/>
      <c r="T60" s="140"/>
      <c r="U60" s="124"/>
      <c r="V60" s="139"/>
      <c r="W60" s="122" t="s">
        <v>249</v>
      </c>
      <c r="X60" s="122"/>
      <c r="Y60" s="122" t="s">
        <v>241</v>
      </c>
      <c r="Z60" s="118"/>
      <c r="AA60" s="118"/>
      <c r="AB60" s="118"/>
      <c r="AC60" s="118">
        <v>80000</v>
      </c>
      <c r="AD60" s="118"/>
      <c r="AE60" s="118"/>
      <c r="AF60" s="118">
        <v>80000</v>
      </c>
      <c r="AG60" s="118"/>
      <c r="AH60" s="120"/>
      <c r="AI60" s="119"/>
      <c r="AJ60" s="115">
        <f t="shared" si="7"/>
        <v>160000</v>
      </c>
      <c r="AK60" s="78" t="s">
        <v>239</v>
      </c>
      <c r="AL60" s="77" t="str">
        <f t="shared" si="6"/>
        <v>RBP</v>
      </c>
      <c r="AM60" s="77" t="s">
        <v>247</v>
      </c>
      <c r="AN60" s="76" t="s">
        <v>76</v>
      </c>
    </row>
    <row r="61" spans="1:40" ht="33" x14ac:dyDescent="0.3">
      <c r="A61" s="122" t="s">
        <v>0</v>
      </c>
      <c r="B61" s="122" t="s">
        <v>238</v>
      </c>
      <c r="C61" s="122"/>
      <c r="D61" s="122" t="s">
        <v>237</v>
      </c>
      <c r="E61" s="124" t="s">
        <v>31</v>
      </c>
      <c r="F61" s="135" t="s">
        <v>245</v>
      </c>
      <c r="G61" s="141" t="s">
        <v>352</v>
      </c>
      <c r="H61" s="124" t="s">
        <v>351</v>
      </c>
      <c r="I61" s="122"/>
      <c r="J61" s="122" t="s">
        <v>350</v>
      </c>
      <c r="K61" s="122"/>
      <c r="L61" s="124"/>
      <c r="M61" s="122"/>
      <c r="N61" s="122" t="s">
        <v>298</v>
      </c>
      <c r="O61" s="122" t="s">
        <v>349</v>
      </c>
      <c r="P61" s="122"/>
      <c r="Q61" s="139" t="s">
        <v>348</v>
      </c>
      <c r="R61" s="139"/>
      <c r="S61" s="122"/>
      <c r="T61" s="140"/>
      <c r="U61" s="124"/>
      <c r="V61" s="139"/>
      <c r="W61" s="122"/>
      <c r="X61" s="122"/>
      <c r="Y61" s="122" t="s">
        <v>116</v>
      </c>
      <c r="Z61" s="118">
        <v>10000</v>
      </c>
      <c r="AA61" s="118"/>
      <c r="AB61" s="118">
        <v>30000</v>
      </c>
      <c r="AC61" s="118"/>
      <c r="AD61" s="118"/>
      <c r="AE61" s="118"/>
      <c r="AF61" s="118"/>
      <c r="AG61" s="118"/>
      <c r="AH61" s="120">
        <v>7.1</v>
      </c>
      <c r="AI61" s="119"/>
      <c r="AJ61" s="115">
        <f t="shared" si="7"/>
        <v>30000</v>
      </c>
      <c r="AK61" s="77" t="str">
        <f t="shared" ref="AK61:AK70" si="8">B61</f>
        <v>Station</v>
      </c>
      <c r="AL61" s="77" t="str">
        <f t="shared" si="6"/>
        <v>RBP</v>
      </c>
      <c r="AM61" s="77" t="s">
        <v>257</v>
      </c>
      <c r="AN61" s="76" t="s">
        <v>76</v>
      </c>
    </row>
    <row r="62" spans="1:40" ht="181.5" x14ac:dyDescent="0.3">
      <c r="A62" s="122" t="s">
        <v>4</v>
      </c>
      <c r="B62" s="122" t="s">
        <v>238</v>
      </c>
      <c r="C62" s="122"/>
      <c r="D62" s="122" t="s">
        <v>276</v>
      </c>
      <c r="E62" s="124" t="s">
        <v>108</v>
      </c>
      <c r="F62" s="135" t="s">
        <v>245</v>
      </c>
      <c r="G62" s="141" t="s">
        <v>674</v>
      </c>
      <c r="H62" s="124" t="s">
        <v>373</v>
      </c>
      <c r="I62" s="122" t="s">
        <v>300</v>
      </c>
      <c r="J62" s="122"/>
      <c r="K62" s="142">
        <v>42317</v>
      </c>
      <c r="L62" s="124" t="s">
        <v>372</v>
      </c>
      <c r="M62" s="124" t="s">
        <v>371</v>
      </c>
      <c r="N62" s="122" t="s">
        <v>258</v>
      </c>
      <c r="O62" s="122"/>
      <c r="P62" s="122"/>
      <c r="Q62" s="139"/>
      <c r="R62" s="139">
        <v>200000</v>
      </c>
      <c r="S62" s="122"/>
      <c r="T62" s="140"/>
      <c r="U62" s="124" t="s">
        <v>370</v>
      </c>
      <c r="V62" s="139">
        <v>200000</v>
      </c>
      <c r="W62" s="122"/>
      <c r="X62" s="122"/>
      <c r="Y62" s="122" t="s">
        <v>116</v>
      </c>
      <c r="Z62" s="118" t="s">
        <v>230</v>
      </c>
      <c r="AA62" s="118"/>
      <c r="AB62" s="118">
        <v>50000</v>
      </c>
      <c r="AC62" s="118"/>
      <c r="AD62" s="118"/>
      <c r="AE62" s="118"/>
      <c r="AF62" s="118"/>
      <c r="AG62" s="118"/>
      <c r="AH62" s="120">
        <v>5.2</v>
      </c>
      <c r="AI62" s="119"/>
      <c r="AJ62" s="115">
        <f t="shared" si="7"/>
        <v>50000</v>
      </c>
      <c r="AK62" s="77" t="str">
        <f t="shared" si="8"/>
        <v>Station</v>
      </c>
      <c r="AL62" s="77" t="str">
        <f t="shared" si="6"/>
        <v>QLD</v>
      </c>
      <c r="AM62" s="77" t="s">
        <v>56</v>
      </c>
      <c r="AN62" s="76" t="s">
        <v>76</v>
      </c>
    </row>
    <row r="63" spans="1:40" ht="132" x14ac:dyDescent="0.3">
      <c r="A63" s="122" t="s">
        <v>4</v>
      </c>
      <c r="B63" s="122" t="s">
        <v>238</v>
      </c>
      <c r="C63" s="122"/>
      <c r="D63" s="122" t="s">
        <v>276</v>
      </c>
      <c r="E63" s="124" t="s">
        <v>109</v>
      </c>
      <c r="F63" s="135" t="s">
        <v>245</v>
      </c>
      <c r="G63" s="141" t="s">
        <v>661</v>
      </c>
      <c r="H63" s="124" t="s">
        <v>301</v>
      </c>
      <c r="I63" s="122" t="s">
        <v>300</v>
      </c>
      <c r="J63" s="122"/>
      <c r="K63" s="142">
        <v>42317</v>
      </c>
      <c r="L63" s="124" t="s">
        <v>299</v>
      </c>
      <c r="M63" s="124"/>
      <c r="N63" s="122" t="s">
        <v>298</v>
      </c>
      <c r="O63" s="124" t="s">
        <v>297</v>
      </c>
      <c r="P63" s="122"/>
      <c r="Q63" s="139">
        <v>50000</v>
      </c>
      <c r="R63" s="139" t="s">
        <v>296</v>
      </c>
      <c r="S63" s="122"/>
      <c r="T63" s="140">
        <v>2</v>
      </c>
      <c r="U63" s="124"/>
      <c r="V63" s="144">
        <v>50000</v>
      </c>
      <c r="W63" s="122"/>
      <c r="X63" s="122"/>
      <c r="Y63" s="122" t="s">
        <v>240</v>
      </c>
      <c r="Z63" s="118" t="s">
        <v>231</v>
      </c>
      <c r="AA63" s="126">
        <v>50000</v>
      </c>
      <c r="AB63" s="118"/>
      <c r="AC63" s="118"/>
      <c r="AD63" s="118"/>
      <c r="AE63" s="118"/>
      <c r="AF63" s="118"/>
      <c r="AG63" s="118"/>
      <c r="AH63" s="118"/>
      <c r="AI63" s="119"/>
      <c r="AJ63" s="115">
        <f t="shared" si="7"/>
        <v>50000</v>
      </c>
      <c r="AK63" s="77" t="str">
        <f t="shared" si="8"/>
        <v>Station</v>
      </c>
      <c r="AL63" s="77" t="str">
        <f t="shared" si="6"/>
        <v>QLD</v>
      </c>
      <c r="AM63" s="77"/>
      <c r="AN63" s="76" t="s">
        <v>76</v>
      </c>
    </row>
    <row r="64" spans="1:40" ht="49.5" x14ac:dyDescent="0.3">
      <c r="A64" s="122" t="s">
        <v>4</v>
      </c>
      <c r="B64" s="122" t="s">
        <v>247</v>
      </c>
      <c r="C64" s="122"/>
      <c r="D64" s="122" t="s">
        <v>268</v>
      </c>
      <c r="E64" s="124" t="s">
        <v>110</v>
      </c>
      <c r="F64" s="135" t="s">
        <v>267</v>
      </c>
      <c r="G64" s="141" t="s">
        <v>280</v>
      </c>
      <c r="H64" s="124" t="s">
        <v>279</v>
      </c>
      <c r="I64" s="122"/>
      <c r="J64" s="122"/>
      <c r="K64" s="122" t="s">
        <v>263</v>
      </c>
      <c r="L64" s="124"/>
      <c r="M64" s="124"/>
      <c r="N64" s="122"/>
      <c r="O64" s="122"/>
      <c r="P64" s="122"/>
      <c r="Q64" s="139"/>
      <c r="R64" s="139"/>
      <c r="S64" s="122"/>
      <c r="T64" s="140"/>
      <c r="U64" s="124"/>
      <c r="V64" s="139">
        <v>10000</v>
      </c>
      <c r="W64" s="122"/>
      <c r="X64" s="122"/>
      <c r="Y64" s="122" t="s">
        <v>240</v>
      </c>
      <c r="Z64" s="118" t="s">
        <v>231</v>
      </c>
      <c r="AA64" s="118">
        <v>10000</v>
      </c>
      <c r="AB64" s="118"/>
      <c r="AC64" s="118"/>
      <c r="AD64" s="118"/>
      <c r="AE64" s="118"/>
      <c r="AF64" s="118"/>
      <c r="AG64" s="118"/>
      <c r="AH64" s="118"/>
      <c r="AI64" s="119"/>
      <c r="AJ64" s="115">
        <f t="shared" si="7"/>
        <v>10000</v>
      </c>
      <c r="AK64" s="77" t="str">
        <f t="shared" si="8"/>
        <v>Pipeline</v>
      </c>
      <c r="AL64" s="77" t="str">
        <f t="shared" si="6"/>
        <v>QLD</v>
      </c>
      <c r="AM64" s="77"/>
      <c r="AN64" s="76" t="s">
        <v>76</v>
      </c>
    </row>
    <row r="65" spans="1:40" ht="33" x14ac:dyDescent="0.3">
      <c r="A65" s="122" t="s">
        <v>4</v>
      </c>
      <c r="B65" s="122" t="s">
        <v>247</v>
      </c>
      <c r="C65" s="122"/>
      <c r="D65" s="122" t="s">
        <v>268</v>
      </c>
      <c r="E65" s="124" t="s">
        <v>111</v>
      </c>
      <c r="F65" s="135" t="s">
        <v>267</v>
      </c>
      <c r="G65" s="141" t="s">
        <v>266</v>
      </c>
      <c r="H65" s="124" t="s">
        <v>265</v>
      </c>
      <c r="I65" s="122"/>
      <c r="J65" s="122" t="s">
        <v>264</v>
      </c>
      <c r="K65" s="122" t="s">
        <v>263</v>
      </c>
      <c r="L65" s="124"/>
      <c r="M65" s="122"/>
      <c r="N65" s="122"/>
      <c r="O65" s="122"/>
      <c r="P65" s="122"/>
      <c r="Q65" s="139"/>
      <c r="R65" s="139"/>
      <c r="S65" s="122"/>
      <c r="T65" s="140"/>
      <c r="U65" s="124"/>
      <c r="V65" s="139"/>
      <c r="W65" s="122" t="s">
        <v>242</v>
      </c>
      <c r="X65" s="122"/>
      <c r="Y65" s="122" t="s">
        <v>240</v>
      </c>
      <c r="Z65" s="118"/>
      <c r="AA65" s="118"/>
      <c r="AB65" s="118"/>
      <c r="AC65" s="118"/>
      <c r="AD65" s="118"/>
      <c r="AE65" s="118"/>
      <c r="AF65" s="118"/>
      <c r="AG65" s="118"/>
      <c r="AH65" s="118"/>
      <c r="AI65" s="119"/>
      <c r="AJ65" s="115">
        <f t="shared" si="7"/>
        <v>0</v>
      </c>
      <c r="AK65" s="77" t="str">
        <f t="shared" si="8"/>
        <v>Pipeline</v>
      </c>
      <c r="AL65" s="77" t="str">
        <f t="shared" si="6"/>
        <v>QLD</v>
      </c>
      <c r="AM65" s="77"/>
      <c r="AN65" s="76" t="s">
        <v>76</v>
      </c>
    </row>
    <row r="66" spans="1:40" ht="39.75" x14ac:dyDescent="0.3">
      <c r="A66" s="137" t="s">
        <v>0</v>
      </c>
      <c r="B66" s="122" t="s">
        <v>238</v>
      </c>
      <c r="C66" s="122"/>
      <c r="D66" s="122" t="s">
        <v>276</v>
      </c>
      <c r="E66" s="136" t="s">
        <v>47</v>
      </c>
      <c r="F66" s="135" t="s">
        <v>261</v>
      </c>
      <c r="G66" s="134" t="s">
        <v>278</v>
      </c>
      <c r="H66" s="124" t="s">
        <v>676</v>
      </c>
      <c r="I66" s="122"/>
      <c r="J66" s="122"/>
      <c r="K66" s="122"/>
      <c r="L66" s="124"/>
      <c r="M66" s="151"/>
      <c r="N66" s="121" t="s">
        <v>258</v>
      </c>
      <c r="O66" s="122" t="s">
        <v>277</v>
      </c>
      <c r="P66" s="122"/>
      <c r="Q66" s="139"/>
      <c r="R66" s="139"/>
      <c r="S66" s="122"/>
      <c r="T66" s="140"/>
      <c r="U66" s="138"/>
      <c r="V66" s="139"/>
      <c r="W66" s="122" t="s">
        <v>242</v>
      </c>
      <c r="X66" s="122"/>
      <c r="Y66" s="122" t="s">
        <v>240</v>
      </c>
      <c r="Z66" s="118"/>
      <c r="AA66" s="118"/>
      <c r="AB66" s="118"/>
      <c r="AC66" s="118"/>
      <c r="AD66" s="118"/>
      <c r="AE66" s="118"/>
      <c r="AF66" s="118"/>
      <c r="AG66" s="118"/>
      <c r="AH66" s="118"/>
      <c r="AI66" s="119"/>
      <c r="AJ66" s="115">
        <f t="shared" si="7"/>
        <v>0</v>
      </c>
      <c r="AK66" s="77" t="str">
        <f t="shared" si="8"/>
        <v>Station</v>
      </c>
      <c r="AL66" s="77" t="str">
        <f t="shared" si="6"/>
        <v>RBP</v>
      </c>
      <c r="AM66" s="77"/>
      <c r="AN66" s="76" t="s">
        <v>76</v>
      </c>
    </row>
    <row r="67" spans="1:40" x14ac:dyDescent="0.3">
      <c r="A67" s="122" t="s">
        <v>0</v>
      </c>
      <c r="B67" s="122" t="s">
        <v>238</v>
      </c>
      <c r="C67" s="122"/>
      <c r="D67" s="124" t="s">
        <v>237</v>
      </c>
      <c r="E67" s="135" t="s">
        <v>55</v>
      </c>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1"/>
      <c r="AH67" s="121"/>
      <c r="AI67" s="124"/>
      <c r="AJ67" s="115">
        <f t="shared" si="7"/>
        <v>0</v>
      </c>
      <c r="AK67" s="77" t="str">
        <f t="shared" si="8"/>
        <v>Station</v>
      </c>
      <c r="AL67" s="77" t="str">
        <f t="shared" si="6"/>
        <v>RBP</v>
      </c>
      <c r="AM67" s="77"/>
      <c r="AN67" s="76" t="s">
        <v>76</v>
      </c>
    </row>
    <row r="68" spans="1:40" ht="115.5" x14ac:dyDescent="0.3">
      <c r="A68" s="122" t="s">
        <v>0</v>
      </c>
      <c r="B68" s="122" t="s">
        <v>238</v>
      </c>
      <c r="C68" s="122" t="s">
        <v>442</v>
      </c>
      <c r="D68" s="122" t="s">
        <v>237</v>
      </c>
      <c r="E68" s="124" t="s">
        <v>12</v>
      </c>
      <c r="F68" s="135" t="s">
        <v>316</v>
      </c>
      <c r="G68" s="141" t="s">
        <v>662</v>
      </c>
      <c r="H68" s="124" t="s">
        <v>441</v>
      </c>
      <c r="I68" s="122"/>
      <c r="J68" s="122" t="s">
        <v>313</v>
      </c>
      <c r="K68" s="122" t="s">
        <v>440</v>
      </c>
      <c r="L68" s="124"/>
      <c r="M68" s="124" t="s">
        <v>439</v>
      </c>
      <c r="N68" s="122" t="s">
        <v>298</v>
      </c>
      <c r="O68" s="124" t="s">
        <v>438</v>
      </c>
      <c r="P68" s="122"/>
      <c r="Q68" s="139"/>
      <c r="R68" s="139"/>
      <c r="S68" s="122"/>
      <c r="T68" s="140">
        <v>3</v>
      </c>
      <c r="U68" s="124" t="s">
        <v>437</v>
      </c>
      <c r="V68" s="144">
        <v>200000</v>
      </c>
      <c r="W68" s="122"/>
      <c r="X68" s="122"/>
      <c r="Y68" s="122" t="s">
        <v>116</v>
      </c>
      <c r="Z68" s="118">
        <v>665000</v>
      </c>
      <c r="AA68" s="125">
        <v>50000</v>
      </c>
      <c r="AB68" s="118"/>
      <c r="AC68" s="118"/>
      <c r="AD68" s="118"/>
      <c r="AE68" s="118"/>
      <c r="AF68" s="118"/>
      <c r="AG68" s="118"/>
      <c r="AH68" s="120">
        <v>6.2</v>
      </c>
      <c r="AI68" s="119"/>
      <c r="AJ68" s="115">
        <f t="shared" si="7"/>
        <v>50000</v>
      </c>
      <c r="AK68" s="77" t="str">
        <f t="shared" si="8"/>
        <v>Station</v>
      </c>
      <c r="AL68" s="77" t="str">
        <f t="shared" si="6"/>
        <v>RBP</v>
      </c>
      <c r="AM68" s="77" t="s">
        <v>247</v>
      </c>
      <c r="AN68" s="76" t="s">
        <v>76</v>
      </c>
    </row>
    <row r="69" spans="1:40" ht="33" x14ac:dyDescent="0.3">
      <c r="A69" s="122" t="s">
        <v>0</v>
      </c>
      <c r="B69" s="122" t="s">
        <v>247</v>
      </c>
      <c r="C69" s="122"/>
      <c r="D69" s="122" t="s">
        <v>268</v>
      </c>
      <c r="E69" s="124" t="s">
        <v>26</v>
      </c>
      <c r="F69" s="135" t="s">
        <v>245</v>
      </c>
      <c r="G69" s="141" t="s">
        <v>369</v>
      </c>
      <c r="H69" s="124" t="s">
        <v>368</v>
      </c>
      <c r="I69" s="122"/>
      <c r="J69" s="122"/>
      <c r="K69" s="122"/>
      <c r="L69" s="124"/>
      <c r="M69" s="122"/>
      <c r="N69" s="122" t="s">
        <v>298</v>
      </c>
      <c r="O69" s="122" t="s">
        <v>268</v>
      </c>
      <c r="P69" s="122"/>
      <c r="Q69" s="139"/>
      <c r="R69" s="139"/>
      <c r="S69" s="122"/>
      <c r="T69" s="140"/>
      <c r="U69" s="124"/>
      <c r="V69" s="139"/>
      <c r="W69" s="122" t="s">
        <v>363</v>
      </c>
      <c r="X69" s="122"/>
      <c r="Y69" s="122" t="s">
        <v>116</v>
      </c>
      <c r="Z69" s="118" t="s">
        <v>230</v>
      </c>
      <c r="AA69" s="118"/>
      <c r="AB69" s="118">
        <v>11000000</v>
      </c>
      <c r="AC69" s="118">
        <v>3500000</v>
      </c>
      <c r="AD69" s="118"/>
      <c r="AE69" s="118"/>
      <c r="AF69" s="118"/>
      <c r="AG69" s="118" t="s">
        <v>140</v>
      </c>
      <c r="AH69" s="120" t="s">
        <v>362</v>
      </c>
      <c r="AI69" s="119"/>
      <c r="AJ69" s="115">
        <f t="shared" si="7"/>
        <v>14500000</v>
      </c>
      <c r="AK69" s="77" t="str">
        <f t="shared" si="8"/>
        <v>Pipeline</v>
      </c>
      <c r="AL69" s="77" t="str">
        <f t="shared" ref="AL69:AL76" si="9">A69</f>
        <v>RBP</v>
      </c>
      <c r="AM69" s="77" t="s">
        <v>247</v>
      </c>
      <c r="AN69" s="76" t="s">
        <v>76</v>
      </c>
    </row>
    <row r="70" spans="1:40" ht="99" x14ac:dyDescent="0.3">
      <c r="A70" s="122" t="s">
        <v>0</v>
      </c>
      <c r="B70" s="122" t="s">
        <v>247</v>
      </c>
      <c r="C70" s="122" t="s">
        <v>386</v>
      </c>
      <c r="D70" s="122" t="s">
        <v>356</v>
      </c>
      <c r="E70" s="124" t="s">
        <v>20</v>
      </c>
      <c r="F70" s="135" t="s">
        <v>245</v>
      </c>
      <c r="G70" s="141" t="s">
        <v>675</v>
      </c>
      <c r="H70" s="124" t="s">
        <v>407</v>
      </c>
      <c r="I70" s="122" t="s">
        <v>360</v>
      </c>
      <c r="J70" s="122" t="s">
        <v>281</v>
      </c>
      <c r="K70" s="122"/>
      <c r="L70" s="124"/>
      <c r="M70" s="122"/>
      <c r="N70" s="122" t="s">
        <v>258</v>
      </c>
      <c r="O70" s="122" t="s">
        <v>268</v>
      </c>
      <c r="P70" s="122" t="s">
        <v>406</v>
      </c>
      <c r="Q70" s="139"/>
      <c r="R70" s="139"/>
      <c r="S70" s="122"/>
      <c r="T70" s="140">
        <v>3</v>
      </c>
      <c r="U70" s="124" t="s">
        <v>405</v>
      </c>
      <c r="V70" s="139">
        <v>800000</v>
      </c>
      <c r="W70" s="122"/>
      <c r="X70" s="122"/>
      <c r="Y70" s="122" t="s">
        <v>116</v>
      </c>
      <c r="Z70" s="118"/>
      <c r="AA70" s="118">
        <v>300000</v>
      </c>
      <c r="AB70" s="118">
        <v>650000</v>
      </c>
      <c r="AC70" s="118"/>
      <c r="AD70" s="118"/>
      <c r="AE70" s="118"/>
      <c r="AF70" s="118"/>
      <c r="AG70" s="118" t="s">
        <v>140</v>
      </c>
      <c r="AH70" s="120" t="s">
        <v>362</v>
      </c>
      <c r="AI70" s="119"/>
      <c r="AJ70" s="115">
        <f t="shared" si="7"/>
        <v>950000</v>
      </c>
      <c r="AK70" s="77" t="str">
        <f t="shared" si="8"/>
        <v>Pipeline</v>
      </c>
      <c r="AL70" s="77" t="str">
        <f t="shared" si="9"/>
        <v>RBP</v>
      </c>
      <c r="AM70" s="77" t="s">
        <v>247</v>
      </c>
      <c r="AN70" s="76" t="s">
        <v>76</v>
      </c>
    </row>
    <row r="71" spans="1:40" x14ac:dyDescent="0.3">
      <c r="A71" s="122" t="s">
        <v>0</v>
      </c>
      <c r="B71" s="122"/>
      <c r="C71" s="122"/>
      <c r="D71" s="122"/>
      <c r="E71" s="124" t="s">
        <v>54</v>
      </c>
      <c r="F71" s="122"/>
      <c r="G71" s="122"/>
      <c r="H71" s="122"/>
      <c r="I71" s="122"/>
      <c r="J71" s="122"/>
      <c r="K71" s="122"/>
      <c r="L71" s="122"/>
      <c r="M71" s="122"/>
      <c r="N71" s="122"/>
      <c r="O71" s="122"/>
      <c r="P71" s="122"/>
      <c r="Q71" s="122"/>
      <c r="R71" s="122"/>
      <c r="S71" s="122"/>
      <c r="T71" s="122"/>
      <c r="U71" s="122"/>
      <c r="V71" s="122"/>
      <c r="W71" s="122"/>
      <c r="X71" s="122"/>
      <c r="Y71" s="122" t="s">
        <v>240</v>
      </c>
      <c r="Z71" s="122"/>
      <c r="AA71" s="122"/>
      <c r="AB71" s="122"/>
      <c r="AC71" s="122"/>
      <c r="AD71" s="122"/>
      <c r="AE71" s="122"/>
      <c r="AF71" s="122"/>
      <c r="AG71" s="121"/>
      <c r="AH71" s="121"/>
      <c r="AI71" s="124"/>
      <c r="AJ71" s="115">
        <f t="shared" si="7"/>
        <v>0</v>
      </c>
      <c r="AK71" s="78" t="s">
        <v>239</v>
      </c>
      <c r="AL71" s="77" t="str">
        <f t="shared" si="9"/>
        <v>RBP</v>
      </c>
      <c r="AM71" s="77"/>
      <c r="AN71" s="76" t="s">
        <v>76</v>
      </c>
    </row>
    <row r="72" spans="1:40" ht="132" x14ac:dyDescent="0.3">
      <c r="A72" s="137" t="s">
        <v>0</v>
      </c>
      <c r="B72" s="122" t="s">
        <v>238</v>
      </c>
      <c r="C72" s="122" t="s">
        <v>386</v>
      </c>
      <c r="D72" s="122" t="s">
        <v>276</v>
      </c>
      <c r="E72" s="136" t="s">
        <v>23</v>
      </c>
      <c r="F72" s="135" t="s">
        <v>261</v>
      </c>
      <c r="G72" s="134" t="s">
        <v>677</v>
      </c>
      <c r="H72" s="124" t="s">
        <v>385</v>
      </c>
      <c r="I72" s="122" t="s">
        <v>380</v>
      </c>
      <c r="J72" s="122"/>
      <c r="K72" s="143">
        <v>42005</v>
      </c>
      <c r="L72" s="124"/>
      <c r="M72" s="122"/>
      <c r="N72" s="146" t="s">
        <v>258</v>
      </c>
      <c r="O72" s="122"/>
      <c r="P72" s="124" t="s">
        <v>384</v>
      </c>
      <c r="Q72" s="139">
        <v>10000</v>
      </c>
      <c r="R72" s="139">
        <v>250000</v>
      </c>
      <c r="S72" s="122"/>
      <c r="T72" s="140">
        <v>2</v>
      </c>
      <c r="U72" s="124" t="s">
        <v>383</v>
      </c>
      <c r="V72" s="150">
        <v>250000</v>
      </c>
      <c r="W72" s="122"/>
      <c r="X72" s="122"/>
      <c r="Y72" s="122" t="s">
        <v>116</v>
      </c>
      <c r="Z72" s="118" t="s">
        <v>230</v>
      </c>
      <c r="AA72" s="118"/>
      <c r="AB72" s="118">
        <v>250000</v>
      </c>
      <c r="AC72" s="118"/>
      <c r="AD72" s="118"/>
      <c r="AE72" s="118"/>
      <c r="AF72" s="118"/>
      <c r="AG72" s="118"/>
      <c r="AH72" s="120">
        <v>7.1</v>
      </c>
      <c r="AI72" s="119"/>
      <c r="AJ72" s="115">
        <f t="shared" si="7"/>
        <v>250000</v>
      </c>
      <c r="AK72" s="77" t="str">
        <f>B72</f>
        <v>Station</v>
      </c>
      <c r="AL72" s="77" t="str">
        <f t="shared" si="9"/>
        <v>RBP</v>
      </c>
      <c r="AM72" s="77" t="s">
        <v>257</v>
      </c>
      <c r="AN72" s="76" t="s">
        <v>76</v>
      </c>
    </row>
    <row r="73" spans="1:40" ht="82.5" x14ac:dyDescent="0.3">
      <c r="A73" s="122" t="s">
        <v>0</v>
      </c>
      <c r="B73" s="122" t="s">
        <v>238</v>
      </c>
      <c r="C73" s="122" t="s">
        <v>426</v>
      </c>
      <c r="D73" s="122" t="s">
        <v>425</v>
      </c>
      <c r="E73" s="124" t="s">
        <v>17</v>
      </c>
      <c r="F73" s="135" t="s">
        <v>267</v>
      </c>
      <c r="G73" s="141" t="s">
        <v>424</v>
      </c>
      <c r="H73" s="124" t="s">
        <v>423</v>
      </c>
      <c r="I73" s="122"/>
      <c r="J73" s="122" t="s">
        <v>422</v>
      </c>
      <c r="K73" s="142" t="s">
        <v>263</v>
      </c>
      <c r="L73" s="124"/>
      <c r="M73" s="122"/>
      <c r="N73" s="122" t="s">
        <v>258</v>
      </c>
      <c r="O73" s="122" t="s">
        <v>277</v>
      </c>
      <c r="P73" s="122"/>
      <c r="Q73" s="139"/>
      <c r="R73" s="139">
        <v>1300000</v>
      </c>
      <c r="S73" s="122"/>
      <c r="T73" s="140">
        <v>1</v>
      </c>
      <c r="U73" s="124" t="s">
        <v>421</v>
      </c>
      <c r="V73" s="139">
        <v>1300000</v>
      </c>
      <c r="W73" s="122" t="s">
        <v>242</v>
      </c>
      <c r="X73" s="124" t="s">
        <v>679</v>
      </c>
      <c r="Y73" s="122" t="s">
        <v>116</v>
      </c>
      <c r="Z73" s="118"/>
      <c r="AA73" s="118"/>
      <c r="AB73" s="118"/>
      <c r="AC73" s="118"/>
      <c r="AD73" s="118"/>
      <c r="AE73" s="118"/>
      <c r="AF73" s="118">
        <v>1300000</v>
      </c>
      <c r="AG73" s="118" t="s">
        <v>141</v>
      </c>
      <c r="AH73" s="120">
        <v>5.5</v>
      </c>
      <c r="AI73" s="119"/>
      <c r="AJ73" s="115">
        <f t="shared" si="7"/>
        <v>1300000</v>
      </c>
      <c r="AK73" s="77" t="str">
        <f>B73</f>
        <v>Station</v>
      </c>
      <c r="AL73" s="77" t="str">
        <f t="shared" si="9"/>
        <v>RBP</v>
      </c>
      <c r="AM73" s="77" t="s">
        <v>56</v>
      </c>
      <c r="AN73" s="76" t="s">
        <v>76</v>
      </c>
    </row>
    <row r="74" spans="1:40" ht="148.5" x14ac:dyDescent="0.3">
      <c r="A74" s="122" t="s">
        <v>0</v>
      </c>
      <c r="B74" s="122" t="s">
        <v>254</v>
      </c>
      <c r="C74" s="122" t="s">
        <v>448</v>
      </c>
      <c r="D74" s="122" t="s">
        <v>254</v>
      </c>
      <c r="E74" s="124" t="s">
        <v>11</v>
      </c>
      <c r="F74" s="135" t="s">
        <v>284</v>
      </c>
      <c r="G74" s="141" t="s">
        <v>678</v>
      </c>
      <c r="H74" s="152" t="s">
        <v>447</v>
      </c>
      <c r="I74" s="122"/>
      <c r="J74" s="122" t="s">
        <v>446</v>
      </c>
      <c r="K74" s="122"/>
      <c r="L74" s="124"/>
      <c r="M74" s="124" t="s">
        <v>445</v>
      </c>
      <c r="N74" s="122" t="s">
        <v>298</v>
      </c>
      <c r="O74" s="124" t="s">
        <v>444</v>
      </c>
      <c r="P74" s="122"/>
      <c r="Q74" s="139"/>
      <c r="R74" s="139"/>
      <c r="S74" s="122"/>
      <c r="T74" s="140">
        <v>1</v>
      </c>
      <c r="U74" s="124" t="s">
        <v>443</v>
      </c>
      <c r="V74" s="144">
        <v>220000</v>
      </c>
      <c r="W74" s="122"/>
      <c r="X74" s="122"/>
      <c r="Y74" s="122" t="s">
        <v>116</v>
      </c>
      <c r="Z74" s="118"/>
      <c r="AA74" s="125">
        <v>0</v>
      </c>
      <c r="AB74" s="118"/>
      <c r="AC74" s="118"/>
      <c r="AD74" s="118"/>
      <c r="AE74" s="118"/>
      <c r="AF74" s="118"/>
      <c r="AG74" s="118"/>
      <c r="AH74" s="120"/>
      <c r="AI74" s="119"/>
      <c r="AJ74" s="115">
        <f t="shared" si="7"/>
        <v>0</v>
      </c>
      <c r="AK74" s="77" t="str">
        <f>B74</f>
        <v>Operations</v>
      </c>
      <c r="AL74" s="77" t="str">
        <f t="shared" si="9"/>
        <v>RBP</v>
      </c>
      <c r="AM74" s="77"/>
      <c r="AN74" s="76" t="s">
        <v>76</v>
      </c>
    </row>
    <row r="75" spans="1:40" ht="49.5" x14ac:dyDescent="0.3">
      <c r="A75" s="122" t="s">
        <v>0</v>
      </c>
      <c r="B75" s="122" t="s">
        <v>238</v>
      </c>
      <c r="C75" s="122"/>
      <c r="D75" s="122" t="s">
        <v>237</v>
      </c>
      <c r="E75" s="124" t="s">
        <v>51</v>
      </c>
      <c r="F75" s="135" t="s">
        <v>245</v>
      </c>
      <c r="G75" s="141" t="s">
        <v>256</v>
      </c>
      <c r="H75" s="124"/>
      <c r="I75" s="122" t="s">
        <v>255</v>
      </c>
      <c r="J75" s="122"/>
      <c r="K75" s="143">
        <v>42339</v>
      </c>
      <c r="L75" s="124"/>
      <c r="M75" s="122"/>
      <c r="N75" s="122"/>
      <c r="O75" s="122"/>
      <c r="P75" s="122"/>
      <c r="Q75" s="139"/>
      <c r="R75" s="139"/>
      <c r="S75" s="122"/>
      <c r="T75" s="140"/>
      <c r="U75" s="124"/>
      <c r="V75" s="139"/>
      <c r="W75" s="122" t="s">
        <v>242</v>
      </c>
      <c r="X75" s="122"/>
      <c r="Y75" s="122" t="s">
        <v>240</v>
      </c>
      <c r="Z75" s="118"/>
      <c r="AA75" s="118"/>
      <c r="AB75" s="118"/>
      <c r="AC75" s="118"/>
      <c r="AD75" s="118"/>
      <c r="AE75" s="118"/>
      <c r="AF75" s="118"/>
      <c r="AG75" s="118"/>
      <c r="AH75" s="118"/>
      <c r="AI75" s="119"/>
      <c r="AJ75" s="115">
        <f t="shared" si="7"/>
        <v>0</v>
      </c>
      <c r="AK75" s="77" t="str">
        <f>B75</f>
        <v>Station</v>
      </c>
      <c r="AL75" s="77" t="str">
        <f t="shared" si="9"/>
        <v>RBP</v>
      </c>
      <c r="AM75" s="77"/>
      <c r="AN75" s="76" t="s">
        <v>76</v>
      </c>
    </row>
    <row r="76" spans="1:40" ht="148.5" x14ac:dyDescent="0.3">
      <c r="A76" s="122" t="s">
        <v>0</v>
      </c>
      <c r="B76" s="122" t="s">
        <v>247</v>
      </c>
      <c r="C76" s="122"/>
      <c r="D76" s="122" t="s">
        <v>268</v>
      </c>
      <c r="E76" s="124" t="s">
        <v>27</v>
      </c>
      <c r="F76" s="135" t="s">
        <v>261</v>
      </c>
      <c r="G76" s="141" t="s">
        <v>367</v>
      </c>
      <c r="H76" s="124" t="s">
        <v>366</v>
      </c>
      <c r="I76" s="122" t="s">
        <v>365</v>
      </c>
      <c r="J76" s="122"/>
      <c r="K76" s="122"/>
      <c r="L76" s="124"/>
      <c r="M76" s="122"/>
      <c r="N76" s="122" t="s">
        <v>298</v>
      </c>
      <c r="O76" s="122" t="s">
        <v>277</v>
      </c>
      <c r="P76" s="122"/>
      <c r="Q76" s="139"/>
      <c r="R76" s="139"/>
      <c r="S76" s="122"/>
      <c r="T76" s="140"/>
      <c r="U76" s="124" t="s">
        <v>364</v>
      </c>
      <c r="V76" s="139"/>
      <c r="W76" s="122" t="s">
        <v>363</v>
      </c>
      <c r="X76" s="122"/>
      <c r="Y76" s="122" t="s">
        <v>116</v>
      </c>
      <c r="Z76" s="118"/>
      <c r="AA76" s="118"/>
      <c r="AB76" s="118">
        <v>10000</v>
      </c>
      <c r="AC76" s="118"/>
      <c r="AD76" s="118">
        <v>100000</v>
      </c>
      <c r="AE76" s="118">
        <v>100000</v>
      </c>
      <c r="AF76" s="118"/>
      <c r="AG76" s="118"/>
      <c r="AH76" s="120" t="s">
        <v>362</v>
      </c>
      <c r="AI76" s="119"/>
      <c r="AJ76" s="115">
        <f t="shared" si="7"/>
        <v>210000</v>
      </c>
      <c r="AK76" s="77" t="str">
        <f>B76</f>
        <v>Pipeline</v>
      </c>
      <c r="AL76" s="77" t="str">
        <f t="shared" si="9"/>
        <v>RBP</v>
      </c>
      <c r="AM76" s="77"/>
      <c r="AN76" s="76" t="s">
        <v>76</v>
      </c>
    </row>
    <row r="77" spans="1:40" x14ac:dyDescent="0.3">
      <c r="AH77" s="74"/>
      <c r="AJ77" s="75"/>
      <c r="AK77" s="75"/>
      <c r="AL77" s="75"/>
      <c r="AM77" s="75"/>
      <c r="AN77" s="75"/>
    </row>
    <row r="78" spans="1:40" x14ac:dyDescent="0.3">
      <c r="AH78" s="74"/>
      <c r="AJ78" s="75"/>
      <c r="AK78" s="75"/>
      <c r="AL78" s="75"/>
      <c r="AM78" s="75"/>
      <c r="AN78" s="75"/>
    </row>
  </sheetData>
  <sortState ref="A5:AP76">
    <sortCondition ref="E5:E76"/>
  </sortState>
  <pageMargins left="0.70866141732283472" right="0.70866141732283472" top="0.74803149606299213" bottom="0.74803149606299213" header="0.31496062992125984" footer="0.31496062992125984"/>
  <pageSetup paperSize="8" scale="45"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[2]Lookups!#REF!</xm:f>
          </x14:formula1>
          <xm:sqref>A17:A21 A23:B74 B9:B21 A5:B7 A9:A15</xm:sqref>
        </x14:dataValidation>
        <x14:dataValidation type="list" allowBlank="1" showInputMessage="1" showErrorMessage="1">
          <x14:formula1>
            <xm:f>[3]Lookups!#REF!</xm:f>
          </x14:formula1>
          <xm:sqref>A22:B22 A8:B8</xm:sqref>
        </x14:dataValidation>
        <x14:dataValidation type="list" allowBlank="1" showInputMessage="1" showErrorMessage="1">
          <x14:formula1>
            <xm:f>[2]Lookups!#REF!</xm:f>
          </x14:formula1>
          <xm:sqref>F5:F22 F24:F74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C8D7"/>
  </sheetPr>
  <dimension ref="A1:N99"/>
  <sheetViews>
    <sheetView zoomScaleNormal="100" workbookViewId="0">
      <selection activeCell="E16" sqref="E16"/>
    </sheetView>
  </sheetViews>
  <sheetFormatPr defaultColWidth="9" defaultRowHeight="13.5" x14ac:dyDescent="0.25"/>
  <cols>
    <col min="1" max="1" width="24" style="1" customWidth="1"/>
    <col min="2" max="2" width="28.5" style="1" bestFit="1" customWidth="1"/>
    <col min="3" max="3" width="14" style="1" bestFit="1" customWidth="1"/>
    <col min="4" max="4" width="11.75" style="1" bestFit="1" customWidth="1"/>
    <col min="5" max="5" width="12.625" style="1" bestFit="1" customWidth="1"/>
    <col min="6" max="6" width="11.75" style="1" bestFit="1" customWidth="1"/>
    <col min="7" max="7" width="10.875" style="1" bestFit="1" customWidth="1"/>
    <col min="8" max="8" width="11.75" style="1" bestFit="1" customWidth="1"/>
    <col min="9" max="9" width="13.125" style="1" bestFit="1" customWidth="1"/>
    <col min="10" max="16384" width="9" style="1"/>
  </cols>
  <sheetData>
    <row r="1" spans="1:4" s="2" customFormat="1" x14ac:dyDescent="0.25"/>
    <row r="2" spans="1:4" s="2" customFormat="1" x14ac:dyDescent="0.25"/>
    <row r="3" spans="1:4" s="2" customFormat="1" x14ac:dyDescent="0.25"/>
    <row r="4" spans="1:4" s="2" customFormat="1" x14ac:dyDescent="0.25"/>
    <row r="5" spans="1:4" s="2" customFormat="1" x14ac:dyDescent="0.25"/>
    <row r="6" spans="1:4" s="2" customFormat="1" x14ac:dyDescent="0.25"/>
    <row r="7" spans="1:4" s="2" customFormat="1" x14ac:dyDescent="0.25"/>
    <row r="8" spans="1:4" s="2" customFormat="1" x14ac:dyDescent="0.25"/>
    <row r="9" spans="1:4" s="2" customFormat="1" x14ac:dyDescent="0.25"/>
    <row r="10" spans="1:4" s="4" customFormat="1" ht="20.25" x14ac:dyDescent="0.3">
      <c r="A10" s="12" t="str">
        <f ca="1">RIGHT(CELL("filename",A1),LEN(CELL("filename",A1))-FIND("]",CELL("filename",A1)))</f>
        <v>inputs¦other</v>
      </c>
    </row>
    <row r="12" spans="1:4" ht="15" x14ac:dyDescent="0.25">
      <c r="A12" s="13" t="s">
        <v>88</v>
      </c>
    </row>
    <row r="13" spans="1:4" ht="15" x14ac:dyDescent="0.25">
      <c r="A13" s="14" t="s">
        <v>80</v>
      </c>
      <c r="B13" s="14" t="s">
        <v>75</v>
      </c>
      <c r="C13" s="14" t="s">
        <v>632</v>
      </c>
    </row>
    <row r="14" spans="1:4" ht="14.25" x14ac:dyDescent="0.3">
      <c r="A14" s="6" t="s">
        <v>190</v>
      </c>
      <c r="B14" s="22">
        <f>B15/(1+C15)</f>
        <v>0.96486901090085153</v>
      </c>
      <c r="C14" s="9">
        <v>1.3282732447817747E-2</v>
      </c>
    </row>
    <row r="15" spans="1:4" ht="14.25" x14ac:dyDescent="0.3">
      <c r="A15" s="6" t="s">
        <v>76</v>
      </c>
      <c r="B15" s="22">
        <f>B16/(1+C16)</f>
        <v>0.97751710654936474</v>
      </c>
      <c r="C15" s="245">
        <v>1.3108614232209881E-2</v>
      </c>
      <c r="D15" s="21"/>
    </row>
    <row r="16" spans="1:4" ht="14.25" x14ac:dyDescent="0.3">
      <c r="A16" s="6" t="s">
        <v>75</v>
      </c>
      <c r="B16" s="22">
        <v>1</v>
      </c>
      <c r="C16" s="245">
        <v>2.3E-2</v>
      </c>
      <c r="D16" s="21"/>
    </row>
    <row r="17" spans="1:4" ht="14.25" x14ac:dyDescent="0.3">
      <c r="A17" s="6" t="s">
        <v>81</v>
      </c>
      <c r="B17" s="22">
        <f>B16*(1+C17)</f>
        <v>1.0229999999999999</v>
      </c>
      <c r="C17" s="245">
        <f>C16</f>
        <v>2.3E-2</v>
      </c>
      <c r="D17" s="21"/>
    </row>
    <row r="18" spans="1:4" ht="14.25" x14ac:dyDescent="0.3">
      <c r="A18" s="6" t="s">
        <v>82</v>
      </c>
      <c r="B18" s="22">
        <f>B17*(1+C18)</f>
        <v>1.0465289999999998</v>
      </c>
      <c r="C18" s="245">
        <f>C17</f>
        <v>2.3E-2</v>
      </c>
      <c r="D18" s="21"/>
    </row>
    <row r="19" spans="1:4" ht="14.25" x14ac:dyDescent="0.3">
      <c r="A19" s="6" t="s">
        <v>83</v>
      </c>
      <c r="B19" s="22">
        <f>B18*(1+C19)</f>
        <v>1.0705991669999997</v>
      </c>
      <c r="C19" s="245">
        <f>C18</f>
        <v>2.3E-2</v>
      </c>
      <c r="D19" s="21"/>
    </row>
    <row r="20" spans="1:4" ht="14.25" x14ac:dyDescent="0.3">
      <c r="A20" s="6" t="s">
        <v>84</v>
      </c>
      <c r="B20" s="22">
        <f>B19*(1+C20)</f>
        <v>1.0952229478409996</v>
      </c>
      <c r="C20" s="245">
        <f>C19</f>
        <v>2.3E-2</v>
      </c>
      <c r="D20" s="21"/>
    </row>
    <row r="21" spans="1:4" ht="14.25" x14ac:dyDescent="0.3">
      <c r="A21" s="6" t="s">
        <v>85</v>
      </c>
      <c r="B21" s="22">
        <f>B20*(1+C21)</f>
        <v>1.1204130756413424</v>
      </c>
      <c r="C21" s="245">
        <f>C20</f>
        <v>2.3E-2</v>
      </c>
      <c r="D21" s="21"/>
    </row>
    <row r="24" spans="1:4" ht="15" x14ac:dyDescent="0.25">
      <c r="A24" s="13" t="s">
        <v>78</v>
      </c>
    </row>
    <row r="25" spans="1:4" ht="15" x14ac:dyDescent="0.25">
      <c r="A25" s="14" t="s">
        <v>1</v>
      </c>
      <c r="B25" s="14" t="s">
        <v>64</v>
      </c>
      <c r="C25" s="14" t="s">
        <v>87</v>
      </c>
    </row>
    <row r="26" spans="1:4" ht="14.25" x14ac:dyDescent="0.3">
      <c r="A26" s="6" t="s">
        <v>79</v>
      </c>
      <c r="B26" s="6" t="s">
        <v>63</v>
      </c>
      <c r="C26" s="41">
        <v>5.9532255345426249E-2</v>
      </c>
    </row>
    <row r="27" spans="1:4" ht="14.25" x14ac:dyDescent="0.3">
      <c r="A27" s="6" t="s">
        <v>4</v>
      </c>
      <c r="B27" s="6" t="s">
        <v>63</v>
      </c>
      <c r="C27" s="41">
        <v>0.55807909339951767</v>
      </c>
    </row>
    <row r="28" spans="1:4" ht="14.25" x14ac:dyDescent="0.3">
      <c r="A28" s="6" t="s">
        <v>0</v>
      </c>
      <c r="B28" s="6" t="s">
        <v>63</v>
      </c>
      <c r="C28" s="41">
        <v>1</v>
      </c>
    </row>
    <row r="29" spans="1:4" ht="14.25" x14ac:dyDescent="0.3">
      <c r="A29" s="6" t="s">
        <v>137</v>
      </c>
      <c r="B29" s="6" t="s">
        <v>63</v>
      </c>
      <c r="C29" s="41">
        <v>1</v>
      </c>
    </row>
    <row r="30" spans="1:4" ht="14.25" x14ac:dyDescent="0.3">
      <c r="A30" s="6" t="s">
        <v>133</v>
      </c>
      <c r="B30" s="6" t="s">
        <v>63</v>
      </c>
      <c r="C30" s="41">
        <v>6.7240485297814942E-2</v>
      </c>
    </row>
    <row r="31" spans="1:4" ht="14.25" x14ac:dyDescent="0.3">
      <c r="A31" s="6" t="s">
        <v>132</v>
      </c>
      <c r="B31" s="6" t="s">
        <v>63</v>
      </c>
      <c r="C31" s="41">
        <f>C26</f>
        <v>5.9532255345426249E-2</v>
      </c>
    </row>
    <row r="33" spans="1:1" ht="15" x14ac:dyDescent="0.25">
      <c r="A33" s="13" t="s">
        <v>135</v>
      </c>
    </row>
    <row r="34" spans="1:1" ht="14.25" x14ac:dyDescent="0.3">
      <c r="A34" s="6" t="s">
        <v>182</v>
      </c>
    </row>
    <row r="35" spans="1:1" ht="14.25" x14ac:dyDescent="0.3">
      <c r="A35" s="6" t="s">
        <v>132</v>
      </c>
    </row>
    <row r="36" spans="1:1" ht="14.25" x14ac:dyDescent="0.3">
      <c r="A36" s="6" t="s">
        <v>93</v>
      </c>
    </row>
    <row r="37" spans="1:1" ht="14.25" x14ac:dyDescent="0.3">
      <c r="A37" s="6" t="s">
        <v>154</v>
      </c>
    </row>
    <row r="38" spans="1:1" ht="14.25" x14ac:dyDescent="0.3">
      <c r="A38" s="6" t="s">
        <v>56</v>
      </c>
    </row>
    <row r="39" spans="1:1" ht="14.25" x14ac:dyDescent="0.3">
      <c r="A39" s="6" t="s">
        <v>61</v>
      </c>
    </row>
    <row r="40" spans="1:1" ht="14.25" x14ac:dyDescent="0.3">
      <c r="A40" s="6" t="s">
        <v>57</v>
      </c>
    </row>
    <row r="41" spans="1:1" ht="14.25" x14ac:dyDescent="0.3">
      <c r="A41" s="6" t="s">
        <v>58</v>
      </c>
    </row>
    <row r="42" spans="1:1" ht="14.25" x14ac:dyDescent="0.3">
      <c r="A42" s="6" t="s">
        <v>155</v>
      </c>
    </row>
    <row r="43" spans="1:1" ht="14.25" x14ac:dyDescent="0.3">
      <c r="A43" s="6" t="s">
        <v>59</v>
      </c>
    </row>
    <row r="44" spans="1:1" ht="14.25" x14ac:dyDescent="0.3">
      <c r="A44" s="6" t="s">
        <v>153</v>
      </c>
    </row>
    <row r="45" spans="1:1" ht="14.25" x14ac:dyDescent="0.3">
      <c r="A45" s="6" t="s">
        <v>60</v>
      </c>
    </row>
    <row r="46" spans="1:1" ht="14.25" x14ac:dyDescent="0.3">
      <c r="A46" s="6" t="s">
        <v>126</v>
      </c>
    </row>
    <row r="48" spans="1:1" ht="15" x14ac:dyDescent="0.25">
      <c r="A48" s="13" t="s">
        <v>129</v>
      </c>
    </row>
    <row r="49" spans="1:2" ht="15" x14ac:dyDescent="0.25">
      <c r="A49" s="14" t="s">
        <v>168</v>
      </c>
      <c r="B49" s="14" t="s">
        <v>169</v>
      </c>
    </row>
    <row r="50" spans="1:2" ht="14.25" x14ac:dyDescent="0.3">
      <c r="A50" s="6" t="s">
        <v>156</v>
      </c>
      <c r="B50" s="6" t="s">
        <v>170</v>
      </c>
    </row>
    <row r="51" spans="1:2" ht="14.25" x14ac:dyDescent="0.3">
      <c r="A51" s="6" t="s">
        <v>139</v>
      </c>
      <c r="B51" s="6" t="s">
        <v>171</v>
      </c>
    </row>
    <row r="52" spans="1:2" ht="14.25" x14ac:dyDescent="0.3">
      <c r="A52" s="6" t="s">
        <v>138</v>
      </c>
      <c r="B52" s="6" t="s">
        <v>162</v>
      </c>
    </row>
    <row r="53" spans="1:2" ht="14.25" x14ac:dyDescent="0.3">
      <c r="A53" s="6" t="s">
        <v>157</v>
      </c>
      <c r="B53" s="6" t="s">
        <v>163</v>
      </c>
    </row>
    <row r="54" spans="1:2" ht="14.25" x14ac:dyDescent="0.3">
      <c r="A54" s="6" t="s">
        <v>158</v>
      </c>
      <c r="B54" s="6" t="s">
        <v>164</v>
      </c>
    </row>
    <row r="55" spans="1:2" ht="14.25" x14ac:dyDescent="0.3">
      <c r="A55" s="6" t="s">
        <v>140</v>
      </c>
      <c r="B55" s="6" t="s">
        <v>189</v>
      </c>
    </row>
    <row r="56" spans="1:2" ht="14.25" x14ac:dyDescent="0.3">
      <c r="A56" s="6" t="s">
        <v>159</v>
      </c>
      <c r="B56" s="6" t="s">
        <v>165</v>
      </c>
    </row>
    <row r="57" spans="1:2" ht="14.25" x14ac:dyDescent="0.3">
      <c r="A57" s="6" t="s">
        <v>141</v>
      </c>
      <c r="B57" s="6" t="s">
        <v>130</v>
      </c>
    </row>
    <row r="58" spans="1:2" ht="14.25" x14ac:dyDescent="0.3">
      <c r="A58" s="6" t="s">
        <v>160</v>
      </c>
      <c r="B58" s="6" t="s">
        <v>166</v>
      </c>
    </row>
    <row r="59" spans="1:2" ht="14.25" x14ac:dyDescent="0.3">
      <c r="A59" s="6" t="s">
        <v>161</v>
      </c>
      <c r="B59" s="6" t="s">
        <v>167</v>
      </c>
    </row>
    <row r="60" spans="1:2" ht="14.25" x14ac:dyDescent="0.3">
      <c r="A60" s="6" t="s">
        <v>117</v>
      </c>
      <c r="B60" s="6" t="s">
        <v>112</v>
      </c>
    </row>
    <row r="61" spans="1:2" ht="14.25" x14ac:dyDescent="0.3">
      <c r="A61" s="6" t="s">
        <v>118</v>
      </c>
      <c r="B61" s="6" t="s">
        <v>113</v>
      </c>
    </row>
    <row r="63" spans="1:2" ht="15" x14ac:dyDescent="0.25">
      <c r="A63" s="13" t="s">
        <v>174</v>
      </c>
    </row>
    <row r="64" spans="1:2" ht="15" x14ac:dyDescent="0.25">
      <c r="A64" s="14" t="s">
        <v>175</v>
      </c>
      <c r="B64" s="14" t="s">
        <v>176</v>
      </c>
    </row>
    <row r="65" spans="1:14" ht="14.25" x14ac:dyDescent="0.3">
      <c r="A65" s="8" t="str">
        <f>AssetClass1</f>
        <v>Original Pipeline</v>
      </c>
      <c r="B65" s="6">
        <v>7</v>
      </c>
    </row>
    <row r="66" spans="1:14" ht="14.25" x14ac:dyDescent="0.3">
      <c r="A66" s="8" t="str">
        <f>AssetClass2</f>
        <v>Pipelines</v>
      </c>
      <c r="B66" s="6">
        <v>7</v>
      </c>
    </row>
    <row r="67" spans="1:14" ht="14.25" x14ac:dyDescent="0.3">
      <c r="A67" s="8" t="str">
        <f>AssetClass3</f>
        <v>Lytton lateral</v>
      </c>
      <c r="B67" s="6"/>
    </row>
    <row r="68" spans="1:14" ht="14.25" x14ac:dyDescent="0.3">
      <c r="A68" s="8" t="str">
        <f>AssetClass4</f>
        <v>Peat Lateral</v>
      </c>
      <c r="B68" s="6"/>
    </row>
    <row r="69" spans="1:14" ht="14.25" x14ac:dyDescent="0.3">
      <c r="A69" s="8" t="str">
        <f>AssetClass5</f>
        <v>Compressors</v>
      </c>
      <c r="B69" s="6">
        <v>3</v>
      </c>
    </row>
    <row r="70" spans="1:14" ht="14.25" x14ac:dyDescent="0.3">
      <c r="A70" s="8" t="str">
        <f>AssetClass6</f>
        <v>Regulators and meters</v>
      </c>
      <c r="B70" s="40">
        <v>16</v>
      </c>
    </row>
    <row r="71" spans="1:14" ht="14.25" x14ac:dyDescent="0.3">
      <c r="A71" s="8" t="str">
        <f>AssetClass7</f>
        <v>Easements</v>
      </c>
      <c r="B71" s="6"/>
    </row>
    <row r="72" spans="1:14" ht="14.25" x14ac:dyDescent="0.3">
      <c r="A72" s="8" t="str">
        <f>AssetClass8</f>
        <v>Communications</v>
      </c>
      <c r="B72" s="6"/>
    </row>
    <row r="73" spans="1:14" ht="15.75" x14ac:dyDescent="0.3">
      <c r="A73" s="8" t="str">
        <f>AssetClass10</f>
        <v>Capitalised AA costs</v>
      </c>
      <c r="B73" s="6"/>
      <c r="N73" s="13"/>
    </row>
    <row r="74" spans="1:14" ht="14.25" x14ac:dyDescent="0.3">
      <c r="A74" s="8" t="str">
        <f>AssetClass11</f>
        <v>Group IT</v>
      </c>
      <c r="B74" s="6"/>
    </row>
    <row r="75" spans="1:14" ht="14.25" x14ac:dyDescent="0.3">
      <c r="A75" s="8" t="str">
        <f>AssetClass12</f>
        <v>SIB Capex</v>
      </c>
      <c r="B75" s="6"/>
    </row>
    <row r="76" spans="1:14" ht="14.25" x14ac:dyDescent="0.3">
      <c r="A76" s="8" t="str">
        <f>AssetClass13</f>
        <v>PMA</v>
      </c>
      <c r="B76" s="6"/>
    </row>
    <row r="77" spans="1:14" ht="14.25" x14ac:dyDescent="0.3">
      <c r="A77" s="6" t="s">
        <v>62</v>
      </c>
      <c r="B77" s="8">
        <f>'inputs¦other'!B65+'inputs¦other'!B66+'inputs¦other'!B69+'inputs¦other'!B70</f>
        <v>33</v>
      </c>
    </row>
    <row r="79" spans="1:14" ht="15" x14ac:dyDescent="0.25">
      <c r="A79" s="13" t="s">
        <v>177</v>
      </c>
      <c r="C79" s="14">
        <v>2012</v>
      </c>
      <c r="D79" s="14">
        <v>2013</v>
      </c>
      <c r="E79" s="14">
        <v>2014</v>
      </c>
      <c r="F79" s="14">
        <v>2015</v>
      </c>
      <c r="G79" s="14">
        <v>2016</v>
      </c>
      <c r="H79" s="14">
        <v>2017</v>
      </c>
    </row>
    <row r="80" spans="1:14" ht="14.25" x14ac:dyDescent="0.3">
      <c r="A80" s="6" t="s">
        <v>178</v>
      </c>
      <c r="B80" s="6" t="s">
        <v>181</v>
      </c>
      <c r="C80" s="42">
        <v>0</v>
      </c>
      <c r="D80" s="42">
        <v>0</v>
      </c>
      <c r="E80" s="42">
        <v>0</v>
      </c>
      <c r="F80" s="42">
        <v>0</v>
      </c>
      <c r="G80" s="42">
        <v>0</v>
      </c>
    </row>
    <row r="82" spans="1:8" ht="14.25" x14ac:dyDescent="0.3">
      <c r="A82" s="6" t="s">
        <v>179</v>
      </c>
      <c r="B82" s="6" t="s">
        <v>180</v>
      </c>
      <c r="C82" s="22">
        <v>0.90850277264325308</v>
      </c>
      <c r="D82" s="22">
        <v>0.92329020332717182</v>
      </c>
      <c r="E82" s="22">
        <v>0.9463955637707947</v>
      </c>
      <c r="F82" s="22">
        <v>0.97412199630314222</v>
      </c>
      <c r="G82" s="22">
        <v>0.987060998151571</v>
      </c>
      <c r="H82" s="22">
        <v>1</v>
      </c>
    </row>
    <row r="85" spans="1:8" ht="15" x14ac:dyDescent="0.25">
      <c r="A85" s="13" t="s">
        <v>526</v>
      </c>
      <c r="C85" s="14">
        <v>2017</v>
      </c>
      <c r="D85" s="14">
        <v>2018</v>
      </c>
      <c r="E85" s="14">
        <v>2019</v>
      </c>
      <c r="F85" s="14">
        <v>2020</v>
      </c>
      <c r="G85" s="14">
        <v>2021</v>
      </c>
      <c r="H85" s="14">
        <v>2022</v>
      </c>
    </row>
    <row r="86" spans="1:8" ht="14.25" x14ac:dyDescent="0.3">
      <c r="A86" s="6" t="s">
        <v>527</v>
      </c>
      <c r="B86" s="6" t="s">
        <v>529</v>
      </c>
      <c r="C86" s="6">
        <v>27</v>
      </c>
      <c r="D86" s="6">
        <v>33</v>
      </c>
      <c r="E86" s="6">
        <v>36</v>
      </c>
      <c r="F86" s="6">
        <v>15</v>
      </c>
      <c r="G86" s="6">
        <v>11</v>
      </c>
      <c r="H86" s="6">
        <v>7</v>
      </c>
    </row>
    <row r="87" spans="1:8" ht="14.25" x14ac:dyDescent="0.3">
      <c r="A87" s="6" t="s">
        <v>528</v>
      </c>
      <c r="B87" s="6" t="s">
        <v>529</v>
      </c>
      <c r="C87" s="6">
        <v>81</v>
      </c>
      <c r="D87" s="6">
        <v>83</v>
      </c>
      <c r="E87" s="6">
        <v>94</v>
      </c>
      <c r="F87" s="6">
        <v>76</v>
      </c>
      <c r="G87" s="6">
        <v>74</v>
      </c>
      <c r="H87" s="6">
        <v>93</v>
      </c>
    </row>
    <row r="88" spans="1:8" ht="14.25" x14ac:dyDescent="0.3">
      <c r="A88" s="6" t="s">
        <v>62</v>
      </c>
      <c r="B88" s="6" t="s">
        <v>529</v>
      </c>
      <c r="C88" s="6">
        <f t="shared" ref="C88:H88" si="0">SUM(C86:C87)</f>
        <v>108</v>
      </c>
      <c r="D88" s="6">
        <f t="shared" si="0"/>
        <v>116</v>
      </c>
      <c r="E88" s="6">
        <f t="shared" si="0"/>
        <v>130</v>
      </c>
      <c r="F88" s="6">
        <f t="shared" si="0"/>
        <v>91</v>
      </c>
      <c r="G88" s="6">
        <f t="shared" si="0"/>
        <v>85</v>
      </c>
      <c r="H88" s="6">
        <f t="shared" si="0"/>
        <v>100</v>
      </c>
    </row>
    <row r="90" spans="1:8" ht="15" x14ac:dyDescent="0.25">
      <c r="A90" s="13" t="s">
        <v>575</v>
      </c>
    </row>
    <row r="91" spans="1:8" ht="14.25" x14ac:dyDescent="0.25">
      <c r="A91" s="164" t="s">
        <v>565</v>
      </c>
      <c r="B91" s="165" t="s">
        <v>183</v>
      </c>
      <c r="C91" s="165" t="s">
        <v>184</v>
      </c>
      <c r="D91" s="165" t="s">
        <v>185</v>
      </c>
      <c r="E91" s="165" t="s">
        <v>186</v>
      </c>
      <c r="F91" s="165" t="s">
        <v>187</v>
      </c>
    </row>
    <row r="92" spans="1:8" ht="14.25" x14ac:dyDescent="0.25">
      <c r="A92" s="162" t="s">
        <v>566</v>
      </c>
      <c r="B92" s="163" t="s">
        <v>567</v>
      </c>
      <c r="C92" s="163"/>
      <c r="D92" s="163" t="s">
        <v>567</v>
      </c>
      <c r="E92" s="163"/>
      <c r="F92" s="163" t="s">
        <v>567</v>
      </c>
    </row>
    <row r="93" spans="1:8" ht="14.25" x14ac:dyDescent="0.25">
      <c r="A93" s="162" t="s">
        <v>568</v>
      </c>
      <c r="B93" s="163"/>
      <c r="C93" s="163" t="s">
        <v>567</v>
      </c>
      <c r="D93" s="163"/>
      <c r="E93" s="163" t="s">
        <v>567</v>
      </c>
      <c r="F93" s="163"/>
    </row>
    <row r="94" spans="1:8" ht="14.25" x14ac:dyDescent="0.25">
      <c r="A94" s="162" t="s">
        <v>569</v>
      </c>
      <c r="B94" s="163"/>
      <c r="C94" s="163" t="s">
        <v>567</v>
      </c>
      <c r="D94" s="163"/>
      <c r="E94" s="163" t="s">
        <v>567</v>
      </c>
      <c r="F94" s="163"/>
    </row>
    <row r="95" spans="1:8" ht="14.25" x14ac:dyDescent="0.25">
      <c r="A95" s="162" t="s">
        <v>570</v>
      </c>
      <c r="B95" s="163"/>
      <c r="C95" s="163" t="s">
        <v>567</v>
      </c>
      <c r="D95" s="163"/>
      <c r="E95" s="163" t="s">
        <v>567</v>
      </c>
      <c r="F95" s="163"/>
    </row>
    <row r="96" spans="1:8" ht="14.25" x14ac:dyDescent="0.25">
      <c r="A96" s="162" t="s">
        <v>571</v>
      </c>
      <c r="B96" s="163"/>
      <c r="C96" s="163" t="s">
        <v>567</v>
      </c>
      <c r="D96" s="163"/>
      <c r="E96" s="163" t="s">
        <v>567</v>
      </c>
      <c r="F96" s="163"/>
    </row>
    <row r="97" spans="1:6" ht="14.25" x14ac:dyDescent="0.25">
      <c r="A97" s="162" t="s">
        <v>572</v>
      </c>
      <c r="B97" s="163" t="s">
        <v>567</v>
      </c>
      <c r="C97" s="163" t="s">
        <v>567</v>
      </c>
      <c r="D97" s="163" t="s">
        <v>567</v>
      </c>
      <c r="E97" s="163" t="s">
        <v>567</v>
      </c>
      <c r="F97" s="163" t="s">
        <v>567</v>
      </c>
    </row>
    <row r="98" spans="1:6" ht="14.25" x14ac:dyDescent="0.25">
      <c r="A98" s="162" t="s">
        <v>573</v>
      </c>
      <c r="B98" s="163"/>
      <c r="C98" s="163" t="s">
        <v>567</v>
      </c>
      <c r="D98" s="163"/>
      <c r="E98" s="163" t="s">
        <v>567</v>
      </c>
      <c r="F98" s="163"/>
    </row>
    <row r="99" spans="1:6" ht="14.25" x14ac:dyDescent="0.25">
      <c r="A99" s="162" t="s">
        <v>574</v>
      </c>
      <c r="B99" s="163" t="s">
        <v>567</v>
      </c>
      <c r="C99" s="163"/>
      <c r="D99" s="163" t="s">
        <v>567</v>
      </c>
      <c r="E99" s="163"/>
      <c r="F99" s="163" t="s">
        <v>567</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C8D7"/>
  </sheetPr>
  <dimension ref="A1:J133"/>
  <sheetViews>
    <sheetView topLeftCell="A93" workbookViewId="0">
      <selection activeCell="B113" sqref="B113"/>
    </sheetView>
  </sheetViews>
  <sheetFormatPr defaultRowHeight="16.5" x14ac:dyDescent="0.3"/>
  <cols>
    <col min="1" max="1" width="24.25" customWidth="1"/>
    <col min="2" max="2" width="9.125" bestFit="1" customWidth="1"/>
    <col min="3" max="3" width="9.5" bestFit="1" customWidth="1"/>
    <col min="4" max="5" width="9.125" bestFit="1" customWidth="1"/>
    <col min="6" max="6" width="10.75" customWidth="1"/>
    <col min="7" max="7" width="11.5" customWidth="1"/>
    <col min="8" max="8" width="10.875" customWidth="1"/>
  </cols>
  <sheetData>
    <row r="1" spans="1:10" s="2" customFormat="1" ht="13.5" x14ac:dyDescent="0.25"/>
    <row r="2" spans="1:10" s="2" customFormat="1" ht="13.5" x14ac:dyDescent="0.25"/>
    <row r="3" spans="1:10" s="2" customFormat="1" ht="13.5" x14ac:dyDescent="0.25"/>
    <row r="4" spans="1:10" s="2" customFormat="1" ht="13.5" x14ac:dyDescent="0.25"/>
    <row r="5" spans="1:10" s="2" customFormat="1" ht="13.5" x14ac:dyDescent="0.25"/>
    <row r="6" spans="1:10" s="2" customFormat="1" ht="13.5" x14ac:dyDescent="0.25"/>
    <row r="7" spans="1:10" s="2" customFormat="1" ht="13.5" x14ac:dyDescent="0.25"/>
    <row r="8" spans="1:10" s="2" customFormat="1" ht="13.5" x14ac:dyDescent="0.25"/>
    <row r="9" spans="1:10" s="2" customFormat="1" ht="13.5" x14ac:dyDescent="0.25"/>
    <row r="10" spans="1:10" s="4" customFormat="1" ht="20.25" x14ac:dyDescent="0.3">
      <c r="A10" s="12" t="str">
        <f ca="1">RIGHT(CELL("filename",A1),LEN(CELL("filename",A1))-FIND("]",CELL("filename",A1)))</f>
        <v>inputs│RIN</v>
      </c>
    </row>
    <row r="11" spans="1:10" s="1" customFormat="1" ht="13.5" x14ac:dyDescent="0.25"/>
    <row r="12" spans="1:10" x14ac:dyDescent="0.3">
      <c r="A12" s="13" t="s">
        <v>579</v>
      </c>
      <c r="B12" s="1"/>
      <c r="C12" s="1"/>
      <c r="D12" s="1"/>
      <c r="E12" s="1"/>
      <c r="F12" s="1"/>
      <c r="G12" s="1"/>
      <c r="H12" s="1"/>
      <c r="I12" s="1"/>
      <c r="J12" s="1"/>
    </row>
    <row r="13" spans="1:10" x14ac:dyDescent="0.3">
      <c r="A13" s="154" t="s">
        <v>580</v>
      </c>
      <c r="B13" s="154" t="s">
        <v>581</v>
      </c>
      <c r="C13" s="154" t="s">
        <v>582</v>
      </c>
      <c r="D13" s="154" t="s">
        <v>583</v>
      </c>
      <c r="E13" s="154" t="s">
        <v>584</v>
      </c>
      <c r="F13" s="154" t="s">
        <v>585</v>
      </c>
      <c r="G13" s="154" t="s">
        <v>586</v>
      </c>
      <c r="H13" s="1"/>
      <c r="I13" s="1"/>
      <c r="J13" s="1"/>
    </row>
    <row r="14" spans="1:10" x14ac:dyDescent="0.3">
      <c r="A14" s="155" t="s">
        <v>587</v>
      </c>
      <c r="B14" s="158">
        <v>810658</v>
      </c>
      <c r="C14" s="158">
        <v>0</v>
      </c>
      <c r="D14" s="158">
        <v>0</v>
      </c>
      <c r="E14" s="158">
        <v>0</v>
      </c>
      <c r="F14" s="158">
        <v>76577</v>
      </c>
      <c r="G14" s="159">
        <f t="shared" ref="G14:G20" si="0">SUM(B14:F14)</f>
        <v>887235</v>
      </c>
      <c r="H14" s="1"/>
      <c r="I14" s="1"/>
      <c r="J14" s="1"/>
    </row>
    <row r="15" spans="1:10" x14ac:dyDescent="0.3">
      <c r="A15" s="155" t="s">
        <v>588</v>
      </c>
      <c r="B15" s="158">
        <v>0</v>
      </c>
      <c r="C15" s="158">
        <v>0</v>
      </c>
      <c r="D15" s="158">
        <v>0</v>
      </c>
      <c r="E15" s="158">
        <v>0</v>
      </c>
      <c r="F15" s="158">
        <v>35500</v>
      </c>
      <c r="G15" s="159">
        <f t="shared" si="0"/>
        <v>35500</v>
      </c>
      <c r="H15" s="1"/>
      <c r="I15" s="1"/>
      <c r="J15" s="1"/>
    </row>
    <row r="16" spans="1:10" x14ac:dyDescent="0.3">
      <c r="A16" s="155" t="s">
        <v>589</v>
      </c>
      <c r="B16" s="158">
        <v>1450849</v>
      </c>
      <c r="C16" s="158">
        <v>0</v>
      </c>
      <c r="D16" s="158">
        <v>0</v>
      </c>
      <c r="E16" s="158">
        <v>0</v>
      </c>
      <c r="F16" s="158">
        <v>15000</v>
      </c>
      <c r="G16" s="159">
        <f t="shared" si="0"/>
        <v>1465849</v>
      </c>
      <c r="H16" s="1"/>
      <c r="I16" s="1"/>
      <c r="J16" s="1"/>
    </row>
    <row r="17" spans="1:10" x14ac:dyDescent="0.3">
      <c r="A17" s="155" t="s">
        <v>590</v>
      </c>
      <c r="B17" s="158">
        <v>74432</v>
      </c>
      <c r="C17" s="158">
        <v>2377152</v>
      </c>
      <c r="D17" s="158">
        <v>62500</v>
      </c>
      <c r="E17" s="158">
        <v>52828</v>
      </c>
      <c r="F17" s="158">
        <v>7500</v>
      </c>
      <c r="G17" s="159">
        <f t="shared" si="0"/>
        <v>2574412</v>
      </c>
      <c r="H17" s="1"/>
      <c r="I17" s="1"/>
      <c r="J17" s="1"/>
    </row>
    <row r="18" spans="1:10" x14ac:dyDescent="0.3">
      <c r="A18" s="155" t="s">
        <v>591</v>
      </c>
      <c r="B18" s="158">
        <v>649344</v>
      </c>
      <c r="C18" s="158">
        <v>55797</v>
      </c>
      <c r="D18" s="158">
        <v>27240</v>
      </c>
      <c r="E18" s="158">
        <v>3437978</v>
      </c>
      <c r="F18" s="158">
        <v>204796</v>
      </c>
      <c r="G18" s="159">
        <f t="shared" si="0"/>
        <v>4375155</v>
      </c>
      <c r="H18" s="1"/>
      <c r="I18" s="1"/>
      <c r="J18" s="1"/>
    </row>
    <row r="19" spans="1:10" x14ac:dyDescent="0.3">
      <c r="A19" s="155" t="s">
        <v>592</v>
      </c>
      <c r="B19" s="158">
        <v>119190</v>
      </c>
      <c r="C19" s="158">
        <v>71060</v>
      </c>
      <c r="D19" s="158">
        <v>0</v>
      </c>
      <c r="E19" s="158">
        <v>0</v>
      </c>
      <c r="F19" s="158">
        <v>58638</v>
      </c>
      <c r="G19" s="159">
        <f t="shared" si="0"/>
        <v>248888</v>
      </c>
      <c r="H19" s="1"/>
      <c r="I19" s="1"/>
      <c r="J19" s="1"/>
    </row>
    <row r="20" spans="1:10" x14ac:dyDescent="0.3">
      <c r="A20" s="156" t="s">
        <v>62</v>
      </c>
      <c r="B20" s="159">
        <f>SUM(B14:B19)</f>
        <v>3104473</v>
      </c>
      <c r="C20" s="159">
        <f>SUM(C14:C19)</f>
        <v>2504009</v>
      </c>
      <c r="D20" s="159">
        <f>SUM(D14:D19)</f>
        <v>89740</v>
      </c>
      <c r="E20" s="159">
        <f>SUM(E14:E19)</f>
        <v>3490806</v>
      </c>
      <c r="F20" s="159">
        <f>SUM(F14:F19)</f>
        <v>398011</v>
      </c>
      <c r="G20" s="159">
        <f t="shared" si="0"/>
        <v>9587039</v>
      </c>
      <c r="H20" s="1"/>
      <c r="I20" s="1"/>
      <c r="J20" s="1"/>
    </row>
    <row r="21" spans="1:10" x14ac:dyDescent="0.3">
      <c r="A21" s="1"/>
      <c r="B21" s="1"/>
      <c r="C21" s="1"/>
      <c r="D21" s="1"/>
      <c r="E21" s="1"/>
      <c r="F21" s="1"/>
      <c r="G21" s="1"/>
      <c r="H21" s="1"/>
      <c r="I21" s="1"/>
      <c r="J21" s="1"/>
    </row>
    <row r="22" spans="1:10" x14ac:dyDescent="0.3">
      <c r="A22" s="13" t="s">
        <v>594</v>
      </c>
      <c r="B22" s="1"/>
      <c r="C22" s="1"/>
      <c r="D22" s="1"/>
      <c r="E22" s="1"/>
      <c r="F22" s="1"/>
      <c r="G22" s="1"/>
      <c r="H22" s="1"/>
      <c r="I22" s="1"/>
      <c r="J22" s="1"/>
    </row>
    <row r="23" spans="1:10" x14ac:dyDescent="0.3">
      <c r="A23" s="14" t="s">
        <v>596</v>
      </c>
      <c r="B23" s="1"/>
      <c r="C23" s="1"/>
      <c r="D23" s="1"/>
      <c r="E23" s="1"/>
      <c r="F23" s="1"/>
      <c r="G23" s="1"/>
      <c r="H23" s="1"/>
      <c r="I23" s="1"/>
      <c r="J23" s="1"/>
    </row>
    <row r="24" spans="1:10" x14ac:dyDescent="0.3">
      <c r="A24" s="157" t="s">
        <v>580</v>
      </c>
      <c r="B24" s="157" t="s">
        <v>581</v>
      </c>
      <c r="C24" s="157" t="s">
        <v>582</v>
      </c>
      <c r="D24" s="157" t="s">
        <v>583</v>
      </c>
      <c r="E24" s="157" t="s">
        <v>584</v>
      </c>
      <c r="F24" s="157" t="s">
        <v>585</v>
      </c>
      <c r="G24" s="157" t="s">
        <v>586</v>
      </c>
      <c r="H24" s="1"/>
      <c r="I24" s="1"/>
      <c r="J24" s="1"/>
    </row>
    <row r="25" spans="1:10" x14ac:dyDescent="0.3">
      <c r="A25" s="160" t="s">
        <v>587</v>
      </c>
      <c r="B25" s="158">
        <v>116215</v>
      </c>
      <c r="C25" s="158"/>
      <c r="D25" s="158"/>
      <c r="E25" s="158"/>
      <c r="F25" s="158">
        <v>23243</v>
      </c>
      <c r="G25" s="159">
        <f t="shared" ref="G25:G31" si="1">SUM(B25:F25)</f>
        <v>139458</v>
      </c>
      <c r="H25" s="1"/>
      <c r="I25" s="1"/>
      <c r="J25" s="1"/>
    </row>
    <row r="26" spans="1:10" x14ac:dyDescent="0.3">
      <c r="A26" s="160" t="s">
        <v>588</v>
      </c>
      <c r="B26" s="158">
        <v>24225</v>
      </c>
      <c r="C26" s="158"/>
      <c r="D26" s="158"/>
      <c r="E26" s="158">
        <v>6465</v>
      </c>
      <c r="F26" s="158">
        <v>61510</v>
      </c>
      <c r="G26" s="159">
        <f t="shared" si="1"/>
        <v>92200</v>
      </c>
      <c r="H26" s="1"/>
      <c r="I26" s="1"/>
      <c r="J26" s="1"/>
    </row>
    <row r="27" spans="1:10" x14ac:dyDescent="0.3">
      <c r="A27" s="160" t="s">
        <v>589</v>
      </c>
      <c r="B27" s="158">
        <v>97960</v>
      </c>
      <c r="C27" s="158"/>
      <c r="D27" s="158"/>
      <c r="E27" s="158">
        <v>181883</v>
      </c>
      <c r="F27" s="158">
        <v>19592</v>
      </c>
      <c r="G27" s="159">
        <f t="shared" si="1"/>
        <v>299435</v>
      </c>
      <c r="H27" s="1"/>
      <c r="I27" s="1"/>
      <c r="J27" s="1"/>
    </row>
    <row r="28" spans="1:10" x14ac:dyDescent="0.3">
      <c r="A28" s="160" t="s">
        <v>590</v>
      </c>
      <c r="B28" s="158">
        <v>15643</v>
      </c>
      <c r="C28" s="158">
        <v>544951</v>
      </c>
      <c r="D28" s="158"/>
      <c r="E28" s="158"/>
      <c r="F28" s="158">
        <v>3129</v>
      </c>
      <c r="G28" s="159">
        <f t="shared" si="1"/>
        <v>563723</v>
      </c>
      <c r="H28" s="1"/>
      <c r="I28" s="1"/>
      <c r="J28" s="1"/>
    </row>
    <row r="29" spans="1:10" x14ac:dyDescent="0.3">
      <c r="A29" s="160" t="s">
        <v>591</v>
      </c>
      <c r="B29" s="158">
        <v>317243</v>
      </c>
      <c r="C29" s="158"/>
      <c r="D29" s="158"/>
      <c r="E29" s="158">
        <v>2928615</v>
      </c>
      <c r="F29" s="158">
        <v>126897</v>
      </c>
      <c r="G29" s="159">
        <f t="shared" si="1"/>
        <v>3372755</v>
      </c>
      <c r="H29" s="1"/>
      <c r="I29" s="1"/>
      <c r="J29" s="1"/>
    </row>
    <row r="30" spans="1:10" x14ac:dyDescent="0.3">
      <c r="A30" s="160" t="s">
        <v>592</v>
      </c>
      <c r="B30" s="158">
        <v>80150</v>
      </c>
      <c r="C30" s="158">
        <v>396</v>
      </c>
      <c r="D30" s="158"/>
      <c r="E30" s="158"/>
      <c r="F30" s="158">
        <v>17500</v>
      </c>
      <c r="G30" s="159">
        <f t="shared" si="1"/>
        <v>98046</v>
      </c>
      <c r="H30" s="1"/>
      <c r="I30" s="1"/>
      <c r="J30" s="1"/>
    </row>
    <row r="31" spans="1:10" x14ac:dyDescent="0.3">
      <c r="A31" s="160" t="s">
        <v>595</v>
      </c>
      <c r="B31" s="158">
        <v>4566</v>
      </c>
      <c r="C31" s="158">
        <v>109575</v>
      </c>
      <c r="D31" s="158"/>
      <c r="E31" s="158">
        <v>342421</v>
      </c>
      <c r="F31" s="158"/>
      <c r="G31" s="159">
        <f t="shared" si="1"/>
        <v>456562</v>
      </c>
      <c r="H31" s="1"/>
      <c r="I31" s="1"/>
      <c r="J31" s="1"/>
    </row>
    <row r="32" spans="1:10" x14ac:dyDescent="0.3">
      <c r="A32" s="161" t="s">
        <v>593</v>
      </c>
      <c r="B32" s="159">
        <f t="shared" ref="B32:G32" si="2">SUM(B25:B31)</f>
        <v>656002</v>
      </c>
      <c r="C32" s="159">
        <f t="shared" si="2"/>
        <v>654922</v>
      </c>
      <c r="D32" s="159">
        <f t="shared" si="2"/>
        <v>0</v>
      </c>
      <c r="E32" s="159">
        <f t="shared" si="2"/>
        <v>3459384</v>
      </c>
      <c r="F32" s="159">
        <f t="shared" si="2"/>
        <v>251871</v>
      </c>
      <c r="G32" s="159">
        <f t="shared" si="2"/>
        <v>5022179</v>
      </c>
      <c r="H32" s="1"/>
      <c r="I32" s="1"/>
      <c r="J32" s="1"/>
    </row>
    <row r="33" spans="1:10" x14ac:dyDescent="0.3">
      <c r="A33" s="1"/>
      <c r="B33" s="1"/>
      <c r="C33" s="1"/>
      <c r="D33" s="1"/>
      <c r="E33" s="1"/>
      <c r="F33" s="1"/>
      <c r="G33" s="1"/>
      <c r="H33" s="1"/>
      <c r="I33" s="1"/>
      <c r="J33" s="1"/>
    </row>
    <row r="34" spans="1:10" x14ac:dyDescent="0.3">
      <c r="A34" s="14" t="s">
        <v>597</v>
      </c>
      <c r="B34" s="14"/>
      <c r="C34" s="14"/>
      <c r="D34" s="14"/>
      <c r="E34" s="14"/>
      <c r="F34" s="14"/>
      <c r="G34" s="14"/>
      <c r="H34" s="1"/>
      <c r="I34" s="1"/>
      <c r="J34" s="1"/>
    </row>
    <row r="35" spans="1:10" x14ac:dyDescent="0.3">
      <c r="A35" s="157" t="s">
        <v>580</v>
      </c>
      <c r="B35" s="157" t="s">
        <v>581</v>
      </c>
      <c r="C35" s="157" t="s">
        <v>582</v>
      </c>
      <c r="D35" s="157" t="s">
        <v>583</v>
      </c>
      <c r="E35" s="157" t="s">
        <v>584</v>
      </c>
      <c r="F35" s="157" t="s">
        <v>585</v>
      </c>
      <c r="G35" s="157" t="s">
        <v>586</v>
      </c>
      <c r="H35" s="1"/>
      <c r="I35" s="1"/>
      <c r="J35" s="1"/>
    </row>
    <row r="36" spans="1:10" x14ac:dyDescent="0.3">
      <c r="A36" s="160" t="s">
        <v>587</v>
      </c>
      <c r="B36" s="158">
        <v>116215</v>
      </c>
      <c r="C36" s="158"/>
      <c r="D36" s="158"/>
      <c r="E36" s="158"/>
      <c r="F36" s="158">
        <v>23243</v>
      </c>
      <c r="G36" s="159">
        <f t="shared" ref="G36:G42" si="3">SUM(B36:F36)</f>
        <v>139458</v>
      </c>
      <c r="H36" s="1"/>
      <c r="I36" s="1"/>
      <c r="J36" s="1"/>
    </row>
    <row r="37" spans="1:10" x14ac:dyDescent="0.3">
      <c r="A37" s="160" t="s">
        <v>588</v>
      </c>
      <c r="B37" s="158">
        <v>24225</v>
      </c>
      <c r="C37" s="158"/>
      <c r="D37" s="158"/>
      <c r="E37" s="158">
        <v>6465</v>
      </c>
      <c r="F37" s="158">
        <v>61510</v>
      </c>
      <c r="G37" s="159">
        <f t="shared" si="3"/>
        <v>92200</v>
      </c>
      <c r="H37" s="1"/>
      <c r="I37" s="1"/>
      <c r="J37" s="1"/>
    </row>
    <row r="38" spans="1:10" x14ac:dyDescent="0.3">
      <c r="A38" s="160" t="s">
        <v>589</v>
      </c>
      <c r="B38" s="158">
        <v>97960</v>
      </c>
      <c r="C38" s="158"/>
      <c r="D38" s="158"/>
      <c r="E38" s="158">
        <v>181883</v>
      </c>
      <c r="F38" s="158">
        <v>19592</v>
      </c>
      <c r="G38" s="159">
        <f t="shared" si="3"/>
        <v>299435</v>
      </c>
      <c r="H38" s="1"/>
      <c r="I38" s="1"/>
      <c r="J38" s="1"/>
    </row>
    <row r="39" spans="1:10" x14ac:dyDescent="0.3">
      <c r="A39" s="160" t="s">
        <v>590</v>
      </c>
      <c r="B39" s="158">
        <v>15643</v>
      </c>
      <c r="C39" s="158">
        <v>1094017</v>
      </c>
      <c r="D39" s="158"/>
      <c r="E39" s="158"/>
      <c r="F39" s="158">
        <v>3129</v>
      </c>
      <c r="G39" s="159">
        <f t="shared" si="3"/>
        <v>1112789</v>
      </c>
      <c r="H39" s="1"/>
      <c r="I39" s="1"/>
      <c r="J39" s="1"/>
    </row>
    <row r="40" spans="1:10" x14ac:dyDescent="0.3">
      <c r="A40" s="160" t="s">
        <v>591</v>
      </c>
      <c r="B40" s="158">
        <v>317243</v>
      </c>
      <c r="C40" s="158"/>
      <c r="D40" s="158"/>
      <c r="E40" s="158">
        <v>5734782</v>
      </c>
      <c r="F40" s="158">
        <v>126897</v>
      </c>
      <c r="G40" s="159">
        <f t="shared" si="3"/>
        <v>6178922</v>
      </c>
      <c r="H40" s="1"/>
      <c r="I40" s="1"/>
      <c r="J40" s="1"/>
    </row>
    <row r="41" spans="1:10" x14ac:dyDescent="0.3">
      <c r="A41" s="160" t="s">
        <v>592</v>
      </c>
      <c r="B41" s="158">
        <v>80150</v>
      </c>
      <c r="C41" s="158">
        <v>877</v>
      </c>
      <c r="D41" s="158"/>
      <c r="E41" s="158"/>
      <c r="F41" s="158">
        <v>17500</v>
      </c>
      <c r="G41" s="159">
        <f t="shared" si="3"/>
        <v>98527</v>
      </c>
      <c r="H41" s="1"/>
      <c r="I41" s="1"/>
      <c r="J41" s="1"/>
    </row>
    <row r="42" spans="1:10" x14ac:dyDescent="0.3">
      <c r="A42" s="160" t="s">
        <v>595</v>
      </c>
      <c r="B42" s="158">
        <v>7921</v>
      </c>
      <c r="C42" s="158">
        <v>190112</v>
      </c>
      <c r="D42" s="158"/>
      <c r="E42" s="158">
        <v>594100</v>
      </c>
      <c r="F42" s="158"/>
      <c r="G42" s="159">
        <f t="shared" si="3"/>
        <v>792133</v>
      </c>
      <c r="H42" s="1"/>
      <c r="I42" s="1"/>
      <c r="J42" s="1"/>
    </row>
    <row r="43" spans="1:10" x14ac:dyDescent="0.3">
      <c r="A43" s="161" t="s">
        <v>593</v>
      </c>
      <c r="B43" s="159">
        <f t="shared" ref="B43:G43" si="4">SUM(B36:B42)</f>
        <v>659357</v>
      </c>
      <c r="C43" s="159">
        <f t="shared" si="4"/>
        <v>1285006</v>
      </c>
      <c r="D43" s="159">
        <f t="shared" si="4"/>
        <v>0</v>
      </c>
      <c r="E43" s="159">
        <f t="shared" si="4"/>
        <v>6517230</v>
      </c>
      <c r="F43" s="159">
        <f t="shared" si="4"/>
        <v>251871</v>
      </c>
      <c r="G43" s="159">
        <f t="shared" si="4"/>
        <v>8713464</v>
      </c>
      <c r="H43" s="1"/>
      <c r="I43" s="1"/>
      <c r="J43" s="1"/>
    </row>
    <row r="44" spans="1:10" x14ac:dyDescent="0.3">
      <c r="A44" s="1"/>
      <c r="B44" s="1"/>
      <c r="C44" s="1"/>
      <c r="D44" s="1"/>
      <c r="E44" s="1"/>
      <c r="F44" s="1"/>
      <c r="G44" s="1"/>
      <c r="H44" s="1"/>
      <c r="I44" s="1"/>
      <c r="J44" s="1"/>
    </row>
    <row r="45" spans="1:10" x14ac:dyDescent="0.3">
      <c r="A45" s="14" t="s">
        <v>62</v>
      </c>
      <c r="B45" s="1"/>
      <c r="C45" s="1"/>
      <c r="D45" s="1"/>
      <c r="E45" s="1"/>
      <c r="F45" s="1"/>
      <c r="G45" s="1"/>
      <c r="H45" s="1"/>
      <c r="I45" s="1"/>
      <c r="J45" s="1"/>
    </row>
    <row r="46" spans="1:10" x14ac:dyDescent="0.3">
      <c r="A46" s="8" t="str">
        <f t="shared" ref="A46:A53" si="5">A25</f>
        <v>Project Management</v>
      </c>
      <c r="B46" s="234">
        <f t="shared" ref="B46:F52" si="6">B25+B36</f>
        <v>232430</v>
      </c>
      <c r="C46" s="234">
        <f t="shared" si="6"/>
        <v>0</v>
      </c>
      <c r="D46" s="234">
        <f t="shared" si="6"/>
        <v>0</v>
      </c>
      <c r="E46" s="234">
        <f t="shared" si="6"/>
        <v>0</v>
      </c>
      <c r="F46" s="234">
        <f t="shared" si="6"/>
        <v>46486</v>
      </c>
      <c r="G46" s="234">
        <f t="shared" ref="G46:G53" si="7">SUM(B46:F46)</f>
        <v>278916</v>
      </c>
      <c r="H46" s="1"/>
      <c r="I46" s="1"/>
      <c r="J46" s="1"/>
    </row>
    <row r="47" spans="1:10" x14ac:dyDescent="0.3">
      <c r="A47" s="8" t="str">
        <f t="shared" si="5"/>
        <v>Land &amp; Approvals</v>
      </c>
      <c r="B47" s="234">
        <f t="shared" si="6"/>
        <v>48450</v>
      </c>
      <c r="C47" s="234">
        <f t="shared" si="6"/>
        <v>0</v>
      </c>
      <c r="D47" s="234">
        <f t="shared" si="6"/>
        <v>0</v>
      </c>
      <c r="E47" s="234">
        <f t="shared" si="6"/>
        <v>12930</v>
      </c>
      <c r="F47" s="234">
        <f t="shared" si="6"/>
        <v>123020</v>
      </c>
      <c r="G47" s="234">
        <f t="shared" si="7"/>
        <v>184400</v>
      </c>
      <c r="H47" s="1"/>
      <c r="I47" s="1"/>
      <c r="J47" s="1"/>
    </row>
    <row r="48" spans="1:10" x14ac:dyDescent="0.3">
      <c r="A48" s="8" t="str">
        <f t="shared" si="5"/>
        <v>Design</v>
      </c>
      <c r="B48" s="234">
        <f t="shared" si="6"/>
        <v>195920</v>
      </c>
      <c r="C48" s="234">
        <f t="shared" si="6"/>
        <v>0</v>
      </c>
      <c r="D48" s="234">
        <f t="shared" si="6"/>
        <v>0</v>
      </c>
      <c r="E48" s="234">
        <f t="shared" si="6"/>
        <v>363766</v>
      </c>
      <c r="F48" s="234">
        <f t="shared" si="6"/>
        <v>39184</v>
      </c>
      <c r="G48" s="234">
        <f t="shared" si="7"/>
        <v>598870</v>
      </c>
      <c r="H48" s="1"/>
      <c r="I48" s="1"/>
      <c r="J48" s="1"/>
    </row>
    <row r="49" spans="1:10" x14ac:dyDescent="0.3">
      <c r="A49" s="8" t="str">
        <f t="shared" si="5"/>
        <v>Procurement</v>
      </c>
      <c r="B49" s="234">
        <f t="shared" si="6"/>
        <v>31286</v>
      </c>
      <c r="C49" s="234">
        <f t="shared" si="6"/>
        <v>1638968</v>
      </c>
      <c r="D49" s="234">
        <f t="shared" si="6"/>
        <v>0</v>
      </c>
      <c r="E49" s="234">
        <f t="shared" si="6"/>
        <v>0</v>
      </c>
      <c r="F49" s="234">
        <f t="shared" si="6"/>
        <v>6258</v>
      </c>
      <c r="G49" s="234">
        <f t="shared" si="7"/>
        <v>1676512</v>
      </c>
      <c r="H49" s="1"/>
      <c r="I49" s="1"/>
      <c r="J49" s="1"/>
    </row>
    <row r="50" spans="1:10" x14ac:dyDescent="0.3">
      <c r="A50" s="8" t="str">
        <f t="shared" si="5"/>
        <v>Construction</v>
      </c>
      <c r="B50" s="234">
        <f t="shared" si="6"/>
        <v>634486</v>
      </c>
      <c r="C50" s="234">
        <f t="shared" si="6"/>
        <v>0</v>
      </c>
      <c r="D50" s="234">
        <f t="shared" si="6"/>
        <v>0</v>
      </c>
      <c r="E50" s="234">
        <f t="shared" si="6"/>
        <v>8663397</v>
      </c>
      <c r="F50" s="234">
        <f t="shared" si="6"/>
        <v>253794</v>
      </c>
      <c r="G50" s="234">
        <f t="shared" si="7"/>
        <v>9551677</v>
      </c>
      <c r="H50" s="1"/>
      <c r="I50" s="1"/>
      <c r="J50" s="1"/>
    </row>
    <row r="51" spans="1:10" x14ac:dyDescent="0.3">
      <c r="A51" s="8" t="str">
        <f t="shared" si="5"/>
        <v>Commissioning &amp; Handover</v>
      </c>
      <c r="B51" s="234">
        <f t="shared" si="6"/>
        <v>160300</v>
      </c>
      <c r="C51" s="234">
        <f t="shared" si="6"/>
        <v>1273</v>
      </c>
      <c r="D51" s="234">
        <f t="shared" si="6"/>
        <v>0</v>
      </c>
      <c r="E51" s="234">
        <f t="shared" si="6"/>
        <v>0</v>
      </c>
      <c r="F51" s="234">
        <f t="shared" si="6"/>
        <v>35000</v>
      </c>
      <c r="G51" s="234">
        <f t="shared" si="7"/>
        <v>196573</v>
      </c>
      <c r="H51" s="1"/>
      <c r="I51" s="1"/>
      <c r="J51" s="1"/>
    </row>
    <row r="52" spans="1:10" x14ac:dyDescent="0.3">
      <c r="A52" s="8" t="str">
        <f t="shared" si="5"/>
        <v>Design Development</v>
      </c>
      <c r="B52" s="234">
        <f t="shared" si="6"/>
        <v>12487</v>
      </c>
      <c r="C52" s="234">
        <f t="shared" si="6"/>
        <v>299687</v>
      </c>
      <c r="D52" s="234">
        <f t="shared" si="6"/>
        <v>0</v>
      </c>
      <c r="E52" s="234">
        <f t="shared" si="6"/>
        <v>936521</v>
      </c>
      <c r="F52" s="234">
        <f t="shared" si="6"/>
        <v>0</v>
      </c>
      <c r="G52" s="234">
        <f t="shared" si="7"/>
        <v>1248695</v>
      </c>
      <c r="H52" s="1"/>
      <c r="I52" s="1"/>
      <c r="J52" s="1"/>
    </row>
    <row r="53" spans="1:10" x14ac:dyDescent="0.3">
      <c r="A53" s="8" t="str">
        <f t="shared" si="5"/>
        <v>Total =</v>
      </c>
      <c r="B53" s="234">
        <f>SUM(B46:B52)</f>
        <v>1315359</v>
      </c>
      <c r="C53" s="234">
        <f>SUM(C46:C52)</f>
        <v>1939928</v>
      </c>
      <c r="D53" s="234">
        <f>SUM(D46:D52)</f>
        <v>0</v>
      </c>
      <c r="E53" s="234">
        <f>SUM(E46:E52)</f>
        <v>9976614</v>
      </c>
      <c r="F53" s="234">
        <f>SUM(F46:F52)</f>
        <v>503742</v>
      </c>
      <c r="G53" s="234">
        <f t="shared" si="7"/>
        <v>13735643</v>
      </c>
      <c r="H53" s="1"/>
      <c r="I53" s="34" t="s">
        <v>65</v>
      </c>
      <c r="J53" s="34" t="b">
        <f>G53=(G32+G43)</f>
        <v>1</v>
      </c>
    </row>
    <row r="54" spans="1:10" x14ac:dyDescent="0.3">
      <c r="A54" s="1"/>
      <c r="B54" s="1"/>
      <c r="C54" s="1"/>
      <c r="D54" s="1"/>
      <c r="E54" s="1"/>
      <c r="F54" s="1"/>
      <c r="G54" s="1"/>
      <c r="H54" s="1"/>
      <c r="I54" s="1"/>
      <c r="J54" s="1"/>
    </row>
    <row r="55" spans="1:10" x14ac:dyDescent="0.3">
      <c r="A55" s="246" t="s">
        <v>566</v>
      </c>
      <c r="H55" s="1"/>
      <c r="I55" s="1"/>
      <c r="J55" s="1"/>
    </row>
    <row r="56" spans="1:10" x14ac:dyDescent="0.3">
      <c r="A56" s="164" t="s">
        <v>620</v>
      </c>
      <c r="B56" s="165" t="s">
        <v>183</v>
      </c>
      <c r="C56" s="165" t="s">
        <v>184</v>
      </c>
      <c r="D56" s="165" t="s">
        <v>185</v>
      </c>
      <c r="E56" s="165" t="s">
        <v>186</v>
      </c>
      <c r="F56" s="165" t="s">
        <v>187</v>
      </c>
      <c r="G56" s="165" t="s">
        <v>62</v>
      </c>
      <c r="H56" s="1"/>
      <c r="I56" s="1"/>
      <c r="J56" s="1"/>
    </row>
    <row r="57" spans="1:10" x14ac:dyDescent="0.3">
      <c r="A57" s="237" t="s">
        <v>621</v>
      </c>
      <c r="B57" s="238">
        <v>540</v>
      </c>
      <c r="C57" s="163"/>
      <c r="D57" s="238">
        <v>540</v>
      </c>
      <c r="E57" s="163"/>
      <c r="F57" s="238">
        <v>540</v>
      </c>
      <c r="G57" s="239">
        <v>1620</v>
      </c>
      <c r="H57" s="1"/>
      <c r="I57" s="1"/>
      <c r="J57" s="1"/>
    </row>
    <row r="58" spans="1:10" x14ac:dyDescent="0.3">
      <c r="A58" s="237" t="s">
        <v>622</v>
      </c>
      <c r="B58" s="239">
        <v>1170</v>
      </c>
      <c r="C58" s="163"/>
      <c r="D58" s="239">
        <v>1170</v>
      </c>
      <c r="E58" s="163"/>
      <c r="F58" s="239">
        <v>1170</v>
      </c>
      <c r="G58" s="239">
        <v>3510</v>
      </c>
      <c r="H58" s="1"/>
      <c r="I58" s="1"/>
      <c r="J58" s="1"/>
    </row>
    <row r="59" spans="1:10" x14ac:dyDescent="0.3">
      <c r="A59" s="237" t="s">
        <v>623</v>
      </c>
      <c r="B59" s="238">
        <v>90</v>
      </c>
      <c r="C59" s="163"/>
      <c r="D59" s="238">
        <v>90</v>
      </c>
      <c r="E59" s="163"/>
      <c r="F59" s="238">
        <v>90</v>
      </c>
      <c r="G59" s="238">
        <v>270</v>
      </c>
      <c r="H59" s="1"/>
      <c r="I59" s="1"/>
      <c r="J59" s="1"/>
    </row>
    <row r="60" spans="1:10" x14ac:dyDescent="0.3">
      <c r="A60" s="237" t="s">
        <v>62</v>
      </c>
      <c r="B60" s="239">
        <v>1800</v>
      </c>
      <c r="C60" s="163"/>
      <c r="D60" s="239">
        <v>1800</v>
      </c>
      <c r="E60" s="163"/>
      <c r="F60" s="239">
        <v>1800</v>
      </c>
      <c r="G60" s="239">
        <v>5400</v>
      </c>
      <c r="H60" s="1"/>
      <c r="I60" s="1"/>
      <c r="J60" s="1"/>
    </row>
    <row r="61" spans="1:10" x14ac:dyDescent="0.3">
      <c r="A61" s="1"/>
      <c r="B61" s="1"/>
      <c r="C61" s="1"/>
      <c r="D61" s="1"/>
      <c r="E61" s="1"/>
      <c r="F61" s="1"/>
      <c r="G61" s="1"/>
      <c r="H61" s="1"/>
      <c r="I61" s="1"/>
      <c r="J61" s="1"/>
    </row>
    <row r="62" spans="1:10" x14ac:dyDescent="0.3">
      <c r="A62" s="246" t="s">
        <v>568</v>
      </c>
      <c r="H62" s="1"/>
      <c r="I62" s="1"/>
      <c r="J62" s="1"/>
    </row>
    <row r="63" spans="1:10" x14ac:dyDescent="0.3">
      <c r="A63" s="164" t="s">
        <v>620</v>
      </c>
      <c r="B63" s="165" t="s">
        <v>183</v>
      </c>
      <c r="C63" s="165" t="s">
        <v>184</v>
      </c>
      <c r="D63" s="165" t="s">
        <v>185</v>
      </c>
      <c r="E63" s="165" t="s">
        <v>186</v>
      </c>
      <c r="F63" s="165" t="s">
        <v>187</v>
      </c>
      <c r="G63" s="165" t="s">
        <v>62</v>
      </c>
      <c r="H63" s="1"/>
      <c r="I63" s="1"/>
      <c r="J63" s="1"/>
    </row>
    <row r="64" spans="1:10" x14ac:dyDescent="0.3">
      <c r="A64" s="237" t="s">
        <v>621</v>
      </c>
      <c r="B64" s="163"/>
      <c r="C64" s="238">
        <v>210</v>
      </c>
      <c r="D64" s="163"/>
      <c r="E64" s="238">
        <v>210</v>
      </c>
      <c r="F64" s="163"/>
      <c r="G64" s="238">
        <v>420</v>
      </c>
      <c r="H64" s="1"/>
      <c r="I64" s="1"/>
      <c r="J64" s="1"/>
    </row>
    <row r="65" spans="1:10" x14ac:dyDescent="0.3">
      <c r="A65" s="237" t="s">
        <v>622</v>
      </c>
      <c r="B65" s="163"/>
      <c r="C65" s="238">
        <v>455</v>
      </c>
      <c r="D65" s="163"/>
      <c r="E65" s="238">
        <v>455</v>
      </c>
      <c r="F65" s="163"/>
      <c r="G65" s="238">
        <v>910</v>
      </c>
      <c r="H65" s="1"/>
      <c r="I65" s="1"/>
      <c r="J65" s="1"/>
    </row>
    <row r="66" spans="1:10" x14ac:dyDescent="0.3">
      <c r="A66" s="237" t="s">
        <v>623</v>
      </c>
      <c r="B66" s="163"/>
      <c r="C66" s="238">
        <v>35</v>
      </c>
      <c r="D66" s="163"/>
      <c r="E66" s="238">
        <v>35</v>
      </c>
      <c r="F66" s="163"/>
      <c r="G66" s="238">
        <v>70</v>
      </c>
      <c r="H66" s="1"/>
      <c r="I66" s="1"/>
      <c r="J66" s="1"/>
    </row>
    <row r="67" spans="1:10" x14ac:dyDescent="0.3">
      <c r="A67" s="237" t="s">
        <v>62</v>
      </c>
      <c r="B67" s="163"/>
      <c r="C67" s="238">
        <v>700</v>
      </c>
      <c r="D67" s="163"/>
      <c r="E67" s="238">
        <v>700</v>
      </c>
      <c r="F67" s="163"/>
      <c r="G67" s="239">
        <v>1400</v>
      </c>
      <c r="H67" s="1"/>
      <c r="I67" s="1"/>
      <c r="J67" s="1"/>
    </row>
    <row r="68" spans="1:10" x14ac:dyDescent="0.3">
      <c r="A68" s="1"/>
      <c r="B68" s="1"/>
      <c r="C68" s="1"/>
      <c r="D68" s="1"/>
      <c r="E68" s="1"/>
      <c r="F68" s="1"/>
      <c r="G68" s="1"/>
      <c r="H68" s="1"/>
      <c r="I68" s="1"/>
      <c r="J68" s="1"/>
    </row>
    <row r="69" spans="1:10" x14ac:dyDescent="0.3">
      <c r="A69" s="246" t="s">
        <v>624</v>
      </c>
      <c r="H69" s="1"/>
      <c r="I69" s="1"/>
      <c r="J69" s="1"/>
    </row>
    <row r="70" spans="1:10" x14ac:dyDescent="0.3">
      <c r="A70" s="164" t="s">
        <v>620</v>
      </c>
      <c r="B70" s="165" t="s">
        <v>183</v>
      </c>
      <c r="C70" s="165" t="s">
        <v>184</v>
      </c>
      <c r="D70" s="165" t="s">
        <v>185</v>
      </c>
      <c r="E70" s="165" t="s">
        <v>186</v>
      </c>
      <c r="F70" s="165" t="s">
        <v>187</v>
      </c>
      <c r="G70" s="165" t="s">
        <v>62</v>
      </c>
      <c r="H70" s="1"/>
      <c r="I70" s="1"/>
      <c r="J70" s="1"/>
    </row>
    <row r="71" spans="1:10" x14ac:dyDescent="0.3">
      <c r="A71" s="237" t="s">
        <v>621</v>
      </c>
      <c r="B71" s="163"/>
      <c r="C71" s="238">
        <v>990</v>
      </c>
      <c r="D71" s="163"/>
      <c r="E71" s="238">
        <v>990</v>
      </c>
      <c r="F71" s="163"/>
      <c r="G71" s="239">
        <v>1980</v>
      </c>
      <c r="H71" s="1"/>
      <c r="I71" s="1"/>
      <c r="J71" s="1"/>
    </row>
    <row r="72" spans="1:10" x14ac:dyDescent="0.3">
      <c r="A72" s="237" t="s">
        <v>622</v>
      </c>
      <c r="B72" s="163"/>
      <c r="C72" s="239">
        <v>2145</v>
      </c>
      <c r="D72" s="163"/>
      <c r="E72" s="239">
        <v>2145</v>
      </c>
      <c r="F72" s="163"/>
      <c r="G72" s="239">
        <v>4290</v>
      </c>
      <c r="H72" s="1"/>
      <c r="I72" s="1"/>
      <c r="J72" s="1"/>
    </row>
    <row r="73" spans="1:10" x14ac:dyDescent="0.3">
      <c r="A73" s="237" t="s">
        <v>623</v>
      </c>
      <c r="B73" s="163"/>
      <c r="C73" s="238">
        <v>165</v>
      </c>
      <c r="D73" s="163"/>
      <c r="E73" s="238">
        <v>165</v>
      </c>
      <c r="F73" s="163"/>
      <c r="G73" s="238">
        <v>330</v>
      </c>
      <c r="H73" s="1"/>
      <c r="I73" s="1"/>
      <c r="J73" s="1"/>
    </row>
    <row r="74" spans="1:10" x14ac:dyDescent="0.3">
      <c r="A74" s="237" t="s">
        <v>62</v>
      </c>
      <c r="B74" s="163"/>
      <c r="C74" s="239">
        <v>3300</v>
      </c>
      <c r="D74" s="163"/>
      <c r="E74" s="239">
        <v>3300</v>
      </c>
      <c r="F74" s="163"/>
      <c r="G74" s="239">
        <v>6600</v>
      </c>
      <c r="H74" s="1"/>
      <c r="I74" s="1"/>
      <c r="J74" s="1"/>
    </row>
    <row r="75" spans="1:10" x14ac:dyDescent="0.3">
      <c r="A75" s="1"/>
      <c r="B75" s="1"/>
      <c r="C75" s="1"/>
      <c r="D75" s="1"/>
      <c r="E75" s="1"/>
      <c r="F75" s="1"/>
      <c r="G75" s="1"/>
      <c r="H75" s="1"/>
      <c r="I75" s="1"/>
      <c r="J75" s="1"/>
    </row>
    <row r="76" spans="1:10" x14ac:dyDescent="0.3">
      <c r="A76" s="246" t="s">
        <v>625</v>
      </c>
      <c r="H76" s="1"/>
      <c r="I76" s="1"/>
      <c r="J76" s="1"/>
    </row>
    <row r="77" spans="1:10" x14ac:dyDescent="0.3">
      <c r="A77" s="164" t="s">
        <v>620</v>
      </c>
      <c r="B77" s="165" t="s">
        <v>183</v>
      </c>
      <c r="C77" s="165" t="s">
        <v>184</v>
      </c>
      <c r="D77" s="165" t="s">
        <v>185</v>
      </c>
      <c r="E77" s="165" t="s">
        <v>186</v>
      </c>
      <c r="F77" s="165" t="s">
        <v>187</v>
      </c>
      <c r="G77" s="165" t="s">
        <v>62</v>
      </c>
      <c r="H77" s="1"/>
      <c r="I77" s="1"/>
      <c r="J77" s="1"/>
    </row>
    <row r="78" spans="1:10" x14ac:dyDescent="0.3">
      <c r="A78" s="237" t="s">
        <v>621</v>
      </c>
      <c r="B78" s="163"/>
      <c r="C78" s="238">
        <v>234</v>
      </c>
      <c r="D78" s="163"/>
      <c r="E78" s="238">
        <v>234</v>
      </c>
      <c r="F78" s="163"/>
      <c r="G78" s="238">
        <v>468</v>
      </c>
      <c r="H78" s="1"/>
      <c r="I78" s="1"/>
      <c r="J78" s="1"/>
    </row>
    <row r="79" spans="1:10" x14ac:dyDescent="0.3">
      <c r="A79" s="237" t="s">
        <v>622</v>
      </c>
      <c r="B79" s="163"/>
      <c r="C79" s="238">
        <v>507</v>
      </c>
      <c r="D79" s="163"/>
      <c r="E79" s="238">
        <v>507</v>
      </c>
      <c r="F79" s="163"/>
      <c r="G79" s="239">
        <v>1014</v>
      </c>
      <c r="H79" s="1"/>
      <c r="I79" s="1"/>
      <c r="J79" s="1"/>
    </row>
    <row r="80" spans="1:10" x14ac:dyDescent="0.3">
      <c r="A80" s="237" t="s">
        <v>623</v>
      </c>
      <c r="B80" s="163"/>
      <c r="C80" s="238">
        <v>39</v>
      </c>
      <c r="D80" s="163"/>
      <c r="E80" s="238">
        <v>39</v>
      </c>
      <c r="F80" s="163"/>
      <c r="G80" s="238">
        <v>78</v>
      </c>
      <c r="H80" s="1"/>
      <c r="I80" s="1"/>
      <c r="J80" s="1"/>
    </row>
    <row r="81" spans="1:10" x14ac:dyDescent="0.3">
      <c r="A81" s="237" t="s">
        <v>62</v>
      </c>
      <c r="B81" s="163"/>
      <c r="C81" s="238">
        <v>780</v>
      </c>
      <c r="D81" s="163"/>
      <c r="E81" s="238">
        <v>780</v>
      </c>
      <c r="F81" s="163"/>
      <c r="G81" s="239">
        <v>1560</v>
      </c>
      <c r="H81" s="1"/>
      <c r="I81" s="1"/>
      <c r="J81" s="1"/>
    </row>
    <row r="82" spans="1:10" x14ac:dyDescent="0.3">
      <c r="A82" s="1"/>
      <c r="B82" s="1"/>
      <c r="C82" s="1"/>
      <c r="D82" s="1"/>
      <c r="E82" s="1"/>
      <c r="F82" s="1"/>
      <c r="G82" s="1"/>
      <c r="H82" s="1"/>
      <c r="I82" s="1"/>
      <c r="J82" s="1"/>
    </row>
    <row r="83" spans="1:10" x14ac:dyDescent="0.3">
      <c r="A83" s="246" t="s">
        <v>626</v>
      </c>
      <c r="H83" s="1"/>
      <c r="I83" s="1"/>
      <c r="J83" s="1"/>
    </row>
    <row r="84" spans="1:10" x14ac:dyDescent="0.3">
      <c r="A84" s="164" t="s">
        <v>620</v>
      </c>
      <c r="B84" s="165" t="s">
        <v>183</v>
      </c>
      <c r="C84" s="165" t="s">
        <v>184</v>
      </c>
      <c r="D84" s="165" t="s">
        <v>185</v>
      </c>
      <c r="E84" s="165" t="s">
        <v>186</v>
      </c>
      <c r="F84" s="165" t="s">
        <v>187</v>
      </c>
      <c r="G84" s="165" t="s">
        <v>62</v>
      </c>
      <c r="H84" s="1"/>
      <c r="I84" s="1"/>
      <c r="J84" s="1"/>
    </row>
    <row r="85" spans="1:10" x14ac:dyDescent="0.3">
      <c r="A85" s="237" t="s">
        <v>621</v>
      </c>
      <c r="B85" s="163"/>
      <c r="C85" s="238">
        <v>252</v>
      </c>
      <c r="D85" s="163"/>
      <c r="E85" s="238">
        <v>252</v>
      </c>
      <c r="F85" s="163"/>
      <c r="G85" s="238">
        <v>504</v>
      </c>
      <c r="H85" s="1"/>
      <c r="I85" s="1"/>
      <c r="J85" s="1"/>
    </row>
    <row r="86" spans="1:10" x14ac:dyDescent="0.3">
      <c r="A86" s="237" t="s">
        <v>622</v>
      </c>
      <c r="B86" s="163"/>
      <c r="C86" s="238">
        <v>546</v>
      </c>
      <c r="D86" s="163"/>
      <c r="E86" s="238">
        <v>546</v>
      </c>
      <c r="F86" s="163"/>
      <c r="G86" s="239">
        <v>1092</v>
      </c>
      <c r="H86" s="1"/>
      <c r="I86" s="1"/>
      <c r="J86" s="1"/>
    </row>
    <row r="87" spans="1:10" x14ac:dyDescent="0.3">
      <c r="A87" s="237" t="s">
        <v>623</v>
      </c>
      <c r="B87" s="163"/>
      <c r="C87" s="238">
        <v>42</v>
      </c>
      <c r="D87" s="163"/>
      <c r="E87" s="238">
        <v>42</v>
      </c>
      <c r="F87" s="163"/>
      <c r="G87" s="238">
        <v>84</v>
      </c>
      <c r="H87" s="1"/>
      <c r="I87" s="1"/>
      <c r="J87" s="1"/>
    </row>
    <row r="88" spans="1:10" x14ac:dyDescent="0.3">
      <c r="A88" s="237" t="s">
        <v>62</v>
      </c>
      <c r="B88" s="163"/>
      <c r="C88" s="238">
        <v>840</v>
      </c>
      <c r="D88" s="163"/>
      <c r="E88" s="238">
        <v>840</v>
      </c>
      <c r="F88" s="163"/>
      <c r="G88" s="239">
        <v>1680</v>
      </c>
      <c r="H88" s="1"/>
      <c r="I88" s="1"/>
      <c r="J88" s="1"/>
    </row>
    <row r="89" spans="1:10" x14ac:dyDescent="0.3">
      <c r="A89" s="1"/>
      <c r="B89" s="1"/>
      <c r="C89" s="1"/>
      <c r="D89" s="1"/>
      <c r="E89" s="1"/>
      <c r="F89" s="1"/>
      <c r="G89" s="1"/>
      <c r="H89" s="1"/>
      <c r="I89" s="1"/>
      <c r="J89" s="1"/>
    </row>
    <row r="90" spans="1:10" x14ac:dyDescent="0.3">
      <c r="A90" s="246" t="s">
        <v>627</v>
      </c>
      <c r="H90" s="1"/>
      <c r="I90" s="1"/>
      <c r="J90" s="1"/>
    </row>
    <row r="91" spans="1:10" x14ac:dyDescent="0.3">
      <c r="A91" s="164" t="s">
        <v>620</v>
      </c>
      <c r="B91" s="165" t="s">
        <v>183</v>
      </c>
      <c r="C91" s="165" t="s">
        <v>184</v>
      </c>
      <c r="D91" s="165" t="s">
        <v>185</v>
      </c>
      <c r="E91" s="165" t="s">
        <v>186</v>
      </c>
      <c r="F91" s="165" t="s">
        <v>187</v>
      </c>
      <c r="G91" s="165" t="s">
        <v>62</v>
      </c>
      <c r="H91" s="1"/>
      <c r="I91" s="1"/>
      <c r="J91" s="1"/>
    </row>
    <row r="92" spans="1:10" x14ac:dyDescent="0.3">
      <c r="A92" s="237" t="s">
        <v>621</v>
      </c>
      <c r="B92" s="238">
        <v>250</v>
      </c>
      <c r="C92" s="238">
        <v>250</v>
      </c>
      <c r="D92" s="238">
        <v>250</v>
      </c>
      <c r="E92" s="238">
        <v>250</v>
      </c>
      <c r="F92" s="238">
        <v>250</v>
      </c>
      <c r="G92" s="239">
        <v>1250</v>
      </c>
      <c r="H92" s="1"/>
      <c r="I92" s="1"/>
      <c r="J92" s="1"/>
    </row>
    <row r="93" spans="1:10" x14ac:dyDescent="0.3">
      <c r="A93" s="237" t="s">
        <v>622</v>
      </c>
      <c r="B93" s="238">
        <v>100</v>
      </c>
      <c r="C93" s="238">
        <v>100</v>
      </c>
      <c r="D93" s="238">
        <v>100</v>
      </c>
      <c r="E93" s="238">
        <v>100</v>
      </c>
      <c r="F93" s="238">
        <v>100</v>
      </c>
      <c r="G93" s="238">
        <v>500</v>
      </c>
      <c r="H93" s="1"/>
      <c r="I93" s="1"/>
      <c r="J93" s="1"/>
    </row>
    <row r="94" spans="1:10" x14ac:dyDescent="0.3">
      <c r="A94" s="237" t="s">
        <v>623</v>
      </c>
      <c r="B94" s="238">
        <v>150</v>
      </c>
      <c r="C94" s="238">
        <v>150</v>
      </c>
      <c r="D94" s="238">
        <v>150</v>
      </c>
      <c r="E94" s="238">
        <v>150</v>
      </c>
      <c r="F94" s="238">
        <v>150</v>
      </c>
      <c r="G94" s="238">
        <v>750</v>
      </c>
      <c r="H94" s="1"/>
      <c r="I94" s="1"/>
      <c r="J94" s="1"/>
    </row>
    <row r="95" spans="1:10" x14ac:dyDescent="0.3">
      <c r="A95" s="237" t="s">
        <v>62</v>
      </c>
      <c r="B95" s="238">
        <v>500</v>
      </c>
      <c r="C95" s="238">
        <v>500</v>
      </c>
      <c r="D95" s="238">
        <v>500</v>
      </c>
      <c r="E95" s="238">
        <v>500</v>
      </c>
      <c r="F95" s="238">
        <v>500</v>
      </c>
      <c r="G95" s="239">
        <v>2500</v>
      </c>
      <c r="H95" s="1"/>
      <c r="I95" s="1"/>
      <c r="J95" s="1"/>
    </row>
    <row r="96" spans="1:10" x14ac:dyDescent="0.3">
      <c r="A96" s="1"/>
      <c r="B96" s="1"/>
      <c r="C96" s="1"/>
      <c r="D96" s="1"/>
      <c r="E96" s="1"/>
      <c r="F96" s="1"/>
      <c r="G96" s="1"/>
      <c r="H96" s="1"/>
      <c r="I96" s="1"/>
      <c r="J96" s="1"/>
    </row>
    <row r="97" spans="1:10" x14ac:dyDescent="0.3">
      <c r="A97" s="246" t="s">
        <v>628</v>
      </c>
      <c r="H97" s="1"/>
      <c r="I97" s="1"/>
      <c r="J97" s="1"/>
    </row>
    <row r="98" spans="1:10" x14ac:dyDescent="0.3">
      <c r="A98" s="164" t="s">
        <v>620</v>
      </c>
      <c r="B98" s="165" t="s">
        <v>183</v>
      </c>
      <c r="C98" s="165" t="s">
        <v>184</v>
      </c>
      <c r="D98" s="165" t="s">
        <v>185</v>
      </c>
      <c r="E98" s="165" t="s">
        <v>186</v>
      </c>
      <c r="F98" s="165" t="s">
        <v>187</v>
      </c>
      <c r="G98" s="165" t="s">
        <v>62</v>
      </c>
      <c r="H98" s="1"/>
      <c r="I98" s="1"/>
      <c r="J98" s="1"/>
    </row>
    <row r="99" spans="1:10" x14ac:dyDescent="0.3">
      <c r="A99" s="237" t="s">
        <v>621</v>
      </c>
      <c r="B99" s="163"/>
      <c r="C99" s="238">
        <v>750</v>
      </c>
      <c r="D99" s="163"/>
      <c r="E99" s="238">
        <v>750</v>
      </c>
      <c r="F99" s="163"/>
      <c r="G99" s="239">
        <v>1500</v>
      </c>
      <c r="H99" s="1"/>
      <c r="I99" s="1"/>
      <c r="J99" s="1"/>
    </row>
    <row r="100" spans="1:10" x14ac:dyDescent="0.3">
      <c r="A100" s="237" t="s">
        <v>622</v>
      </c>
      <c r="B100" s="163"/>
      <c r="C100" s="239">
        <v>1625</v>
      </c>
      <c r="D100" s="163"/>
      <c r="E100" s="239">
        <v>1625</v>
      </c>
      <c r="F100" s="163"/>
      <c r="G100" s="239">
        <v>3250</v>
      </c>
      <c r="H100" s="1"/>
      <c r="I100" s="1"/>
      <c r="J100" s="1"/>
    </row>
    <row r="101" spans="1:10" x14ac:dyDescent="0.3">
      <c r="A101" s="237" t="s">
        <v>623</v>
      </c>
      <c r="B101" s="163"/>
      <c r="C101" s="238">
        <v>125</v>
      </c>
      <c r="D101" s="163"/>
      <c r="E101" s="238">
        <v>125</v>
      </c>
      <c r="F101" s="163"/>
      <c r="G101" s="238">
        <v>250</v>
      </c>
      <c r="H101" s="1"/>
      <c r="I101" s="1"/>
      <c r="J101" s="1"/>
    </row>
    <row r="102" spans="1:10" x14ac:dyDescent="0.3">
      <c r="A102" s="237" t="s">
        <v>62</v>
      </c>
      <c r="B102" s="163"/>
      <c r="C102" s="239">
        <v>2500</v>
      </c>
      <c r="D102" s="163"/>
      <c r="E102" s="239">
        <v>2500</v>
      </c>
      <c r="F102" s="163"/>
      <c r="G102" s="239">
        <v>5000</v>
      </c>
      <c r="H102" s="1"/>
      <c r="I102" s="1"/>
      <c r="J102" s="1"/>
    </row>
    <row r="103" spans="1:10" x14ac:dyDescent="0.3">
      <c r="A103" s="1"/>
      <c r="B103" s="1"/>
      <c r="C103" s="1"/>
      <c r="D103" s="1"/>
      <c r="E103" s="1"/>
      <c r="F103" s="1"/>
      <c r="G103" s="1"/>
      <c r="H103" s="1"/>
      <c r="I103" s="1"/>
      <c r="J103" s="1"/>
    </row>
    <row r="104" spans="1:10" x14ac:dyDescent="0.3">
      <c r="A104" s="246" t="s">
        <v>629</v>
      </c>
      <c r="H104" s="1"/>
      <c r="I104" s="1"/>
      <c r="J104" s="1"/>
    </row>
    <row r="105" spans="1:10" x14ac:dyDescent="0.3">
      <c r="A105" s="164" t="s">
        <v>620</v>
      </c>
      <c r="B105" s="165" t="s">
        <v>183</v>
      </c>
      <c r="C105" s="165" t="s">
        <v>184</v>
      </c>
      <c r="D105" s="165" t="s">
        <v>185</v>
      </c>
      <c r="E105" s="165" t="s">
        <v>186</v>
      </c>
      <c r="F105" s="165" t="s">
        <v>187</v>
      </c>
      <c r="G105" s="165" t="s">
        <v>62</v>
      </c>
      <c r="H105" s="1"/>
      <c r="I105" s="1"/>
      <c r="J105" s="1"/>
    </row>
    <row r="106" spans="1:10" x14ac:dyDescent="0.3">
      <c r="A106" s="237" t="s">
        <v>621</v>
      </c>
      <c r="B106" s="239">
        <v>1380</v>
      </c>
      <c r="C106" s="163"/>
      <c r="D106" s="239">
        <v>1380</v>
      </c>
      <c r="E106" s="163"/>
      <c r="F106" s="239">
        <v>1380</v>
      </c>
      <c r="G106" s="240">
        <v>4140</v>
      </c>
      <c r="H106" s="1"/>
      <c r="I106" s="1"/>
      <c r="J106" s="1"/>
    </row>
    <row r="107" spans="1:10" x14ac:dyDescent="0.3">
      <c r="A107" s="237" t="s">
        <v>622</v>
      </c>
      <c r="B107" s="239">
        <v>2990</v>
      </c>
      <c r="C107" s="163"/>
      <c r="D107" s="239">
        <v>2990</v>
      </c>
      <c r="E107" s="163"/>
      <c r="F107" s="239">
        <v>2990</v>
      </c>
      <c r="G107" s="240">
        <v>8970</v>
      </c>
      <c r="H107" s="1"/>
      <c r="I107" s="1"/>
      <c r="J107" s="1"/>
    </row>
    <row r="108" spans="1:10" x14ac:dyDescent="0.3">
      <c r="A108" s="237" t="s">
        <v>623</v>
      </c>
      <c r="B108" s="238">
        <v>230</v>
      </c>
      <c r="C108" s="163"/>
      <c r="D108" s="238">
        <v>230</v>
      </c>
      <c r="E108" s="163"/>
      <c r="F108" s="238">
        <v>230</v>
      </c>
      <c r="G108" s="163">
        <v>690</v>
      </c>
      <c r="H108" s="1"/>
      <c r="I108" s="1"/>
      <c r="J108" s="1"/>
    </row>
    <row r="109" spans="1:10" x14ac:dyDescent="0.3">
      <c r="A109" s="237" t="s">
        <v>62</v>
      </c>
      <c r="B109" s="239">
        <v>4600</v>
      </c>
      <c r="C109" s="163"/>
      <c r="D109" s="239">
        <v>4600</v>
      </c>
      <c r="E109" s="163"/>
      <c r="F109" s="239">
        <v>4600</v>
      </c>
      <c r="G109" s="240">
        <v>13800</v>
      </c>
      <c r="H109" s="1"/>
      <c r="I109" s="1"/>
      <c r="J109" s="1"/>
    </row>
    <row r="110" spans="1:10" x14ac:dyDescent="0.3">
      <c r="A110" s="1"/>
      <c r="B110" s="1"/>
      <c r="C110" s="1"/>
      <c r="D110" s="1"/>
      <c r="E110" s="1"/>
      <c r="F110" s="1"/>
      <c r="G110" s="1"/>
      <c r="H110" s="1"/>
      <c r="I110" s="1"/>
      <c r="J110" s="1"/>
    </row>
    <row r="111" spans="1:10" x14ac:dyDescent="0.3">
      <c r="A111" s="246" t="s">
        <v>630</v>
      </c>
      <c r="H111" s="1"/>
      <c r="I111" s="1"/>
      <c r="J111" s="1"/>
    </row>
    <row r="112" spans="1:10" x14ac:dyDescent="0.3">
      <c r="A112" s="164" t="s">
        <v>620</v>
      </c>
      <c r="B112" s="165" t="s">
        <v>183</v>
      </c>
      <c r="C112" s="165" t="s">
        <v>184</v>
      </c>
      <c r="D112" s="165" t="s">
        <v>185</v>
      </c>
      <c r="E112" s="165" t="s">
        <v>186</v>
      </c>
      <c r="F112" s="165" t="s">
        <v>187</v>
      </c>
      <c r="G112" s="165" t="s">
        <v>62</v>
      </c>
      <c r="H112" s="1"/>
      <c r="I112" s="1"/>
      <c r="J112" s="1"/>
    </row>
    <row r="113" spans="1:10" x14ac:dyDescent="0.3">
      <c r="A113" s="237" t="s">
        <v>621</v>
      </c>
      <c r="B113" s="163">
        <v>675</v>
      </c>
      <c r="C113" s="163">
        <v>225</v>
      </c>
      <c r="D113" s="163">
        <v>225</v>
      </c>
      <c r="E113" s="163">
        <v>225</v>
      </c>
      <c r="F113" s="163"/>
      <c r="G113" s="240">
        <v>1350</v>
      </c>
      <c r="H113" s="1"/>
      <c r="I113" s="1"/>
      <c r="J113" s="1"/>
    </row>
    <row r="114" spans="1:10" x14ac:dyDescent="0.3">
      <c r="A114" s="237" t="s">
        <v>622</v>
      </c>
      <c r="B114" s="240">
        <v>1463</v>
      </c>
      <c r="C114" s="163">
        <v>488</v>
      </c>
      <c r="D114" s="163">
        <v>488</v>
      </c>
      <c r="E114" s="163">
        <v>488</v>
      </c>
      <c r="F114" s="163"/>
      <c r="G114" s="240">
        <v>2925</v>
      </c>
      <c r="H114" s="1"/>
      <c r="I114" s="1"/>
      <c r="J114" s="1"/>
    </row>
    <row r="115" spans="1:10" x14ac:dyDescent="0.3">
      <c r="A115" s="237" t="s">
        <v>623</v>
      </c>
      <c r="B115" s="163">
        <v>113</v>
      </c>
      <c r="C115" s="163">
        <v>38</v>
      </c>
      <c r="D115" s="163">
        <v>38</v>
      </c>
      <c r="E115" s="163">
        <v>38</v>
      </c>
      <c r="F115" s="163"/>
      <c r="G115" s="163">
        <v>225</v>
      </c>
      <c r="H115" s="1"/>
      <c r="I115" s="1"/>
      <c r="J115" s="1"/>
    </row>
    <row r="116" spans="1:10" x14ac:dyDescent="0.3">
      <c r="A116" s="237" t="s">
        <v>62</v>
      </c>
      <c r="B116" s="240">
        <v>2250</v>
      </c>
      <c r="C116" s="163">
        <v>750</v>
      </c>
      <c r="D116" s="163">
        <v>750</v>
      </c>
      <c r="E116" s="163">
        <v>750</v>
      </c>
      <c r="F116" s="163"/>
      <c r="G116" s="240">
        <v>4500</v>
      </c>
      <c r="H116" s="1"/>
      <c r="I116" s="21"/>
      <c r="J116" s="1"/>
    </row>
    <row r="117" spans="1:10" x14ac:dyDescent="0.3">
      <c r="A117" s="1"/>
      <c r="B117" s="1"/>
      <c r="C117" s="1"/>
      <c r="D117" s="1"/>
      <c r="E117" s="1"/>
      <c r="F117" s="1"/>
      <c r="G117" s="1"/>
      <c r="H117" s="1"/>
      <c r="I117" s="21"/>
      <c r="J117" s="1"/>
    </row>
    <row r="118" spans="1:10" x14ac:dyDescent="0.3">
      <c r="A118" s="13" t="s">
        <v>558</v>
      </c>
      <c r="B118" s="1"/>
      <c r="C118" s="1"/>
      <c r="D118" s="1"/>
      <c r="E118" s="1"/>
      <c r="F118" s="1"/>
      <c r="G118" s="1"/>
      <c r="H118" s="1"/>
      <c r="I118" s="1"/>
      <c r="J118" s="1"/>
    </row>
    <row r="119" spans="1:10" ht="28.5" x14ac:dyDescent="0.3">
      <c r="A119" s="247"/>
      <c r="B119" s="248" t="s">
        <v>532</v>
      </c>
      <c r="C119" s="248" t="s">
        <v>635</v>
      </c>
      <c r="D119" s="248" t="s">
        <v>636</v>
      </c>
      <c r="E119" s="249" t="s">
        <v>637</v>
      </c>
      <c r="F119" s="248" t="s">
        <v>638</v>
      </c>
      <c r="G119" s="248" t="s">
        <v>639</v>
      </c>
      <c r="H119" s="248" t="s">
        <v>640</v>
      </c>
      <c r="I119" s="1"/>
      <c r="J119" s="1"/>
    </row>
    <row r="120" spans="1:10" x14ac:dyDescent="0.3">
      <c r="A120" s="250" t="s">
        <v>641</v>
      </c>
      <c r="B120" s="158">
        <v>539825</v>
      </c>
      <c r="C120" s="158">
        <v>6848592</v>
      </c>
      <c r="D120" s="158">
        <v>5000</v>
      </c>
      <c r="E120" s="158">
        <v>105000</v>
      </c>
      <c r="F120" s="158">
        <v>347500</v>
      </c>
      <c r="G120" s="158">
        <v>395842</v>
      </c>
      <c r="H120" s="158">
        <v>8510559</v>
      </c>
      <c r="I120" s="1"/>
      <c r="J120" s="1"/>
    </row>
    <row r="121" spans="1:10" x14ac:dyDescent="0.3">
      <c r="A121" s="250" t="s">
        <v>623</v>
      </c>
      <c r="B121" s="158">
        <v>0</v>
      </c>
      <c r="C121" s="158">
        <v>2020896</v>
      </c>
      <c r="D121" s="158">
        <v>145000</v>
      </c>
      <c r="E121" s="158">
        <v>0</v>
      </c>
      <c r="F121" s="158">
        <v>2213000</v>
      </c>
      <c r="G121" s="158">
        <v>234767</v>
      </c>
      <c r="H121" s="158">
        <v>4613663</v>
      </c>
      <c r="I121" s="1"/>
      <c r="J121" s="1"/>
    </row>
    <row r="122" spans="1:10" x14ac:dyDescent="0.3">
      <c r="A122" s="250" t="s">
        <v>642</v>
      </c>
      <c r="B122" s="158">
        <v>7632295</v>
      </c>
      <c r="C122" s="158">
        <v>17795112</v>
      </c>
      <c r="D122" s="158">
        <v>0</v>
      </c>
      <c r="E122" s="158">
        <v>880000</v>
      </c>
      <c r="F122" s="158">
        <v>1264000</v>
      </c>
      <c r="G122" s="158">
        <v>108386</v>
      </c>
      <c r="H122" s="158">
        <v>27560743</v>
      </c>
      <c r="I122" s="1"/>
      <c r="J122" s="1"/>
    </row>
    <row r="123" spans="1:10" x14ac:dyDescent="0.3">
      <c r="A123" s="250" t="s">
        <v>155</v>
      </c>
      <c r="B123" s="158">
        <v>132880</v>
      </c>
      <c r="C123" s="158">
        <v>1403400</v>
      </c>
      <c r="D123" s="158">
        <v>0</v>
      </c>
      <c r="E123" s="158">
        <v>350000</v>
      </c>
      <c r="F123" s="158">
        <v>38500</v>
      </c>
      <c r="G123" s="158">
        <v>11005</v>
      </c>
      <c r="H123" s="158">
        <v>1786035</v>
      </c>
    </row>
    <row r="124" spans="1:10" x14ac:dyDescent="0.3">
      <c r="A124" s="250" t="s">
        <v>643</v>
      </c>
      <c r="B124" s="158">
        <v>8305000</v>
      </c>
      <c r="C124" s="158">
        <v>28068000</v>
      </c>
      <c r="D124" s="158">
        <v>150000</v>
      </c>
      <c r="E124" s="158">
        <v>1335000</v>
      </c>
      <c r="F124" s="158">
        <v>3863000</v>
      </c>
      <c r="G124" s="158">
        <v>750000</v>
      </c>
      <c r="H124" s="158">
        <v>42471000</v>
      </c>
    </row>
    <row r="126" spans="1:10" x14ac:dyDescent="0.3">
      <c r="A126" s="251" t="s">
        <v>644</v>
      </c>
    </row>
    <row r="127" spans="1:10" x14ac:dyDescent="0.3">
      <c r="A127" s="14"/>
      <c r="B127" s="14"/>
      <c r="C127" s="14"/>
      <c r="D127" s="14"/>
      <c r="E127" s="14"/>
      <c r="F127" s="14" t="str">
        <f>F112</f>
        <v>2021/22</v>
      </c>
      <c r="G127" s="14" t="str">
        <f t="shared" ref="G127" si="8">G112</f>
        <v>Total</v>
      </c>
      <c r="H127" s="14"/>
    </row>
    <row r="128" spans="1:10" x14ac:dyDescent="0.3">
      <c r="A128" s="6" t="str">
        <f>A120</f>
        <v>Labour</v>
      </c>
      <c r="B128" s="6"/>
      <c r="C128" s="6"/>
      <c r="D128" s="6"/>
      <c r="E128" s="6"/>
      <c r="F128" s="6"/>
      <c r="G128" s="6"/>
      <c r="H128" s="158">
        <f>SUM(B128:G128)</f>
        <v>0</v>
      </c>
    </row>
    <row r="129" spans="1:8" x14ac:dyDescent="0.3">
      <c r="A129" s="6" t="str">
        <f t="shared" ref="A129:A132" si="9">A121</f>
        <v>Materials</v>
      </c>
      <c r="B129" s="6"/>
      <c r="C129" s="6"/>
      <c r="D129" s="6"/>
      <c r="E129" s="6"/>
      <c r="F129" s="6"/>
      <c r="G129" s="6"/>
      <c r="H129" s="158">
        <f t="shared" ref="H129:H132" si="10">SUM(B129:G129)</f>
        <v>0</v>
      </c>
    </row>
    <row r="130" spans="1:8" x14ac:dyDescent="0.3">
      <c r="A130" s="6" t="str">
        <f t="shared" si="9"/>
        <v>Contractors</v>
      </c>
      <c r="B130" s="6"/>
      <c r="C130" s="6"/>
      <c r="D130" s="6"/>
      <c r="E130" s="6"/>
      <c r="F130" s="158">
        <f>'calculation¦real dollars'!I82*1000</f>
        <v>1329899.9999999998</v>
      </c>
      <c r="G130" s="158"/>
      <c r="H130" s="158">
        <f t="shared" si="10"/>
        <v>1329899.9999999998</v>
      </c>
    </row>
    <row r="131" spans="1:8" x14ac:dyDescent="0.3">
      <c r="A131" s="6" t="str">
        <f t="shared" si="9"/>
        <v>Other</v>
      </c>
      <c r="B131" s="6"/>
      <c r="C131" s="6"/>
      <c r="D131" s="6"/>
      <c r="E131" s="6"/>
      <c r="F131" s="6"/>
      <c r="G131" s="6"/>
      <c r="H131" s="158">
        <f t="shared" si="10"/>
        <v>0</v>
      </c>
    </row>
    <row r="132" spans="1:8" x14ac:dyDescent="0.3">
      <c r="A132" s="6" t="str">
        <f t="shared" si="9"/>
        <v>TOTAL</v>
      </c>
      <c r="B132" s="158">
        <f>SUM(B128:B131)</f>
        <v>0</v>
      </c>
      <c r="C132" s="158">
        <f t="shared" ref="C132:G132" si="11">SUM(C128:C131)</f>
        <v>0</v>
      </c>
      <c r="D132" s="158">
        <f t="shared" si="11"/>
        <v>0</v>
      </c>
      <c r="E132" s="158">
        <f t="shared" si="11"/>
        <v>0</v>
      </c>
      <c r="F132" s="158">
        <f t="shared" si="11"/>
        <v>1329899.9999999998</v>
      </c>
      <c r="G132" s="158">
        <f t="shared" si="11"/>
        <v>0</v>
      </c>
      <c r="H132" s="158">
        <f t="shared" si="10"/>
        <v>1329899.9999999998</v>
      </c>
    </row>
    <row r="133" spans="1:8" x14ac:dyDescent="0.3">
      <c r="A133" s="7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EAFA8"/>
  </sheetPr>
  <dimension ref="A1:AD155"/>
  <sheetViews>
    <sheetView topLeftCell="A14" zoomScaleNormal="100" workbookViewId="0">
      <pane xSplit="1" ySplit="3" topLeftCell="O71" activePane="bottomRight" state="frozen"/>
      <selection activeCell="A14" sqref="A14"/>
      <selection pane="topRight" activeCell="B14" sqref="B14"/>
      <selection pane="bottomLeft" activeCell="A17" sqref="A17"/>
      <selection pane="bottomRight" activeCell="A88" sqref="A88:A90"/>
    </sheetView>
  </sheetViews>
  <sheetFormatPr defaultColWidth="9" defaultRowHeight="13.5" x14ac:dyDescent="0.25"/>
  <cols>
    <col min="1" max="1" width="63.625" style="1" bestFit="1" customWidth="1"/>
    <col min="2" max="2" width="7" style="1" customWidth="1"/>
    <col min="3" max="3" width="92.875" style="1" customWidth="1"/>
    <col min="4" max="8" width="13.875" style="1" customWidth="1"/>
    <col min="9" max="9" width="11.625" style="1" customWidth="1"/>
    <col min="10" max="10" width="9" style="1" customWidth="1"/>
    <col min="11" max="11" width="14.625" style="1" customWidth="1"/>
    <col min="12" max="13" width="11.875" style="1" customWidth="1"/>
    <col min="14" max="14" width="16.625" style="1" customWidth="1"/>
    <col min="15" max="15" width="15.25" style="1" customWidth="1"/>
    <col min="16" max="16" width="13.875" style="1" customWidth="1"/>
    <col min="17" max="17" width="18.5" style="1" customWidth="1"/>
    <col min="18" max="18" width="14.375" style="1" customWidth="1"/>
    <col min="19" max="16384" width="9" style="1"/>
  </cols>
  <sheetData>
    <row r="1" spans="1:30" s="2" customFormat="1" x14ac:dyDescent="0.25"/>
    <row r="2" spans="1:30" s="2" customFormat="1" x14ac:dyDescent="0.25"/>
    <row r="3" spans="1:30" s="2" customFormat="1" x14ac:dyDescent="0.25"/>
    <row r="4" spans="1:30" s="2" customFormat="1" x14ac:dyDescent="0.25"/>
    <row r="5" spans="1:30" s="2" customFormat="1" x14ac:dyDescent="0.25"/>
    <row r="6" spans="1:30" s="2" customFormat="1" x14ac:dyDescent="0.25"/>
    <row r="7" spans="1:30" s="2" customFormat="1" x14ac:dyDescent="0.25"/>
    <row r="8" spans="1:30" s="2" customFormat="1" x14ac:dyDescent="0.25"/>
    <row r="9" spans="1:30" s="2" customFormat="1" x14ac:dyDescent="0.25"/>
    <row r="10" spans="1:30" s="4" customFormat="1" x14ac:dyDescent="0.25"/>
    <row r="13" spans="1:30" ht="15" x14ac:dyDescent="0.25">
      <c r="A13" s="269"/>
      <c r="B13" s="269"/>
      <c r="C13" s="269"/>
      <c r="D13" s="269"/>
      <c r="E13" s="269"/>
      <c r="F13" s="269"/>
      <c r="G13" s="269"/>
      <c r="H13" s="269"/>
      <c r="I13" s="269"/>
      <c r="J13" s="269"/>
      <c r="K13" s="269"/>
      <c r="L13" s="54"/>
      <c r="M13" s="54"/>
      <c r="N13" s="2"/>
    </row>
    <row r="14" spans="1:30" ht="15" x14ac:dyDescent="0.25">
      <c r="A14" s="39"/>
      <c r="B14" s="39"/>
    </row>
    <row r="15" spans="1:30" ht="30" customHeight="1" x14ac:dyDescent="0.3">
      <c r="A15" s="16"/>
      <c r="B15" s="16"/>
      <c r="C15" s="16"/>
      <c r="S15" s="270" t="s">
        <v>97</v>
      </c>
      <c r="T15" s="270"/>
      <c r="U15" s="270"/>
      <c r="V15" s="270"/>
      <c r="W15" s="270"/>
      <c r="X15" s="270"/>
      <c r="Y15" s="270"/>
      <c r="Z15" s="270"/>
      <c r="AA15" s="270"/>
      <c r="AB15" s="270"/>
    </row>
    <row r="16" spans="1:30" ht="44.25" x14ac:dyDescent="0.3">
      <c r="A16" s="16"/>
      <c r="B16" s="16"/>
      <c r="C16" s="16" t="s">
        <v>95</v>
      </c>
      <c r="D16" s="38">
        <v>17</v>
      </c>
      <c r="E16" s="38">
        <v>18</v>
      </c>
      <c r="F16" s="38">
        <v>19</v>
      </c>
      <c r="G16" s="38">
        <v>20</v>
      </c>
      <c r="H16" s="38">
        <v>21</v>
      </c>
      <c r="I16" s="38">
        <v>22</v>
      </c>
      <c r="J16" s="18" t="s">
        <v>69</v>
      </c>
      <c r="K16" s="18" t="s">
        <v>70</v>
      </c>
      <c r="L16" s="19" t="s">
        <v>71</v>
      </c>
      <c r="M16" s="19" t="s">
        <v>89</v>
      </c>
      <c r="N16" s="55" t="s">
        <v>72</v>
      </c>
      <c r="O16" s="55" t="s">
        <v>70</v>
      </c>
      <c r="P16" s="55" t="s">
        <v>73</v>
      </c>
      <c r="Q16" s="55" t="s">
        <v>74</v>
      </c>
      <c r="R16" s="14" t="str">
        <f>'inputs¦other'!A34</f>
        <v>Original Pipeline</v>
      </c>
      <c r="S16" s="14" t="str">
        <f>'inputs¦other'!A35</f>
        <v>Pipelines</v>
      </c>
      <c r="T16" s="14" t="str">
        <f>'inputs¦other'!A38</f>
        <v>Compressors</v>
      </c>
      <c r="U16" s="14" t="str">
        <f>'inputs¦other'!A39</f>
        <v>Regulators and meters</v>
      </c>
      <c r="V16" s="14" t="str">
        <f>'inputs¦other'!A40</f>
        <v>Easements</v>
      </c>
      <c r="W16" s="14" t="str">
        <f>'inputs¦other'!A41</f>
        <v>Communications</v>
      </c>
      <c r="X16" s="14" t="str">
        <f>'inputs¦other'!A42</f>
        <v>Other</v>
      </c>
      <c r="Y16" s="14" t="str">
        <f>'inputs¦other'!A43</f>
        <v>Capitalised AA costs</v>
      </c>
      <c r="Z16" s="14" t="str">
        <f>'inputs¦other'!A44</f>
        <v>Group IT</v>
      </c>
      <c r="AA16" s="14" t="s">
        <v>60</v>
      </c>
      <c r="AB16" s="14" t="s">
        <v>126</v>
      </c>
      <c r="AC16" s="14" t="s">
        <v>62</v>
      </c>
      <c r="AD16" s="14" t="s">
        <v>134</v>
      </c>
    </row>
    <row r="17" spans="1:30" ht="14.25" x14ac:dyDescent="0.3">
      <c r="A17" s="96" t="str">
        <f>'inputs¦Engineering'!E5</f>
        <v>ALARM RATIONALISATION</v>
      </c>
      <c r="B17" s="8" t="str">
        <f>VLOOKUP($A17,'inputs¦Engineering'!$E$4:$AN$75,34,FALSE)</f>
        <v>QLD</v>
      </c>
      <c r="C17" s="8" t="str">
        <f>VLOOKUP($A17,'inputs¦Engineering'!$E$4:$AN$75,3,FALSE)</f>
        <v xml:space="preserve">Currently underway for SWQP FY15 but expand;  </v>
      </c>
      <c r="D17" s="10">
        <f>IF($N17="Exclude",0,VLOOKUP($A17,'inputs¦Engineering'!$E$4:$AN$75,D$16+6,FALSE))</f>
        <v>50000</v>
      </c>
      <c r="E17" s="10">
        <f>IF($N17="Exclude",0,VLOOKUP($A17,'inputs¦Engineering'!$E$4:$AN$75,E$16+6,FALSE))</f>
        <v>0</v>
      </c>
      <c r="F17" s="10">
        <f>IF($N17="Exclude",0,VLOOKUP($A17,'inputs¦Engineering'!$E$4:$AN$75,F$16+6,FALSE))</f>
        <v>0</v>
      </c>
      <c r="G17" s="10">
        <f>IF($N17="Exclude",0,VLOOKUP($A17,'inputs¦Engineering'!$E$4:$AN$75,G$16+6,FALSE))</f>
        <v>0</v>
      </c>
      <c r="H17" s="10">
        <f>IF($N17="Exclude",0,VLOOKUP($A17,'inputs¦Engineering'!$E$4:$AN$75,H$16+6,FALSE))</f>
        <v>0</v>
      </c>
      <c r="I17" s="10">
        <f>IF($N17="Exclude",0,VLOOKUP($A17,'inputs¦Engineering'!$E$4:$AN$75,I$16+6,FALSE))</f>
        <v>0</v>
      </c>
      <c r="J17" s="8" t="str">
        <f>VLOOKUP($A17,'inputs¦Engineering'!$E$4:$AN$100,21,FALSE)</f>
        <v>BAU</v>
      </c>
      <c r="K17" s="8" t="str">
        <f>VLOOKUP($A17,'inputs¦Engineering'!$E$4:$AN$100,33,FALSE)</f>
        <v>Other</v>
      </c>
      <c r="L17" s="8">
        <f>VLOOKUP($A17,'inputs¦Engineering'!$E$4:$AN$100,29,FALSE)</f>
        <v>0</v>
      </c>
      <c r="M17" s="8" t="str">
        <f>VLOOKUP($A17,'inputs¦Engineering'!$E$4:$AN$100,33,FALSE)</f>
        <v>Other</v>
      </c>
      <c r="N17" s="94" t="str">
        <f t="shared" ref="N17:N48" si="0">IF(J17="SIB","Stay in Business",IF(J17="BAU","Stay in Business","Exclude"))</f>
        <v>Stay in Business</v>
      </c>
      <c r="O17" s="7" t="str">
        <f t="shared" ref="O17:O48" si="1">J17</f>
        <v>BAU</v>
      </c>
      <c r="P17" s="7">
        <f t="shared" ref="P17:P48" si="2">SUM(D17:I17)</f>
        <v>50000</v>
      </c>
      <c r="Q17" s="11" t="str">
        <f t="shared" ref="Q17:Q48" si="3">LEFT(L17,2)</f>
        <v>0</v>
      </c>
      <c r="R17" s="9"/>
      <c r="S17" s="9"/>
      <c r="T17" s="9"/>
      <c r="U17" s="9"/>
      <c r="V17" s="9"/>
      <c r="W17" s="9"/>
      <c r="X17" s="9"/>
      <c r="Y17" s="9"/>
      <c r="Z17" s="9"/>
      <c r="AA17" s="9">
        <v>1</v>
      </c>
      <c r="AB17" s="9"/>
      <c r="AC17" s="26">
        <f t="shared" ref="AC17:AC48" si="4">SUM(R17:AB17)</f>
        <v>1</v>
      </c>
      <c r="AD17" s="6" t="s">
        <v>76</v>
      </c>
    </row>
    <row r="18" spans="1:30" ht="14.25" x14ac:dyDescent="0.3">
      <c r="A18" s="97" t="str">
        <f>'inputs¦Engineering'!E6</f>
        <v>ANODE BED EASEMENTS PROGRAM</v>
      </c>
      <c r="B18" s="8" t="str">
        <f>VLOOKUP($A18,'inputs¦Engineering'!$E$4:$AN$75,34,FALSE)</f>
        <v>RBP</v>
      </c>
      <c r="C18" s="8" t="str">
        <f>VLOOKUP($A18,'inputs¦Engineering'!$E$4:$AN$75,3,FALSE)</f>
        <v>First year include status of existing beds - provide plan for long-term including status of existing bed easements</v>
      </c>
      <c r="D18" s="10">
        <f>IF($N18="Exclude",0,VLOOKUP($A18,'inputs¦Engineering'!$E$4:$AN$75,D$16+6,FALSE))</f>
        <v>210000</v>
      </c>
      <c r="E18" s="10">
        <f>IF($N18="Exclude",0,VLOOKUP($A18,'inputs¦Engineering'!$E$4:$AN$75,E$16+6,FALSE))</f>
        <v>215000</v>
      </c>
      <c r="F18" s="10">
        <f>IF($N18="Exclude",0,VLOOKUP($A18,'inputs¦Engineering'!$E$4:$AN$75,F$16+6,FALSE))</f>
        <v>220000</v>
      </c>
      <c r="G18" s="10">
        <f>IF($N18="Exclude",0,VLOOKUP($A18,'inputs¦Engineering'!$E$4:$AN$75,G$16+6,FALSE))</f>
        <v>225000</v>
      </c>
      <c r="H18" s="10">
        <f>IF($N18="Exclude",0,VLOOKUP($A18,'inputs¦Engineering'!$E$4:$AN$75,H$16+6,FALSE))</f>
        <v>230000</v>
      </c>
      <c r="I18" s="10">
        <f>IF($N18="Exclude",0,VLOOKUP($A18,'inputs¦Engineering'!$E$4:$AN$75,I$16+6,FALSE))</f>
        <v>235000</v>
      </c>
      <c r="J18" s="8" t="str">
        <f>VLOOKUP($A18,'inputs¦Engineering'!$E$4:$AN$100,21,FALSE)</f>
        <v>SIB</v>
      </c>
      <c r="K18" s="8" t="str">
        <f>VLOOKUP($A18,'inputs¦Engineering'!$E$4:$AN$100,33,FALSE)</f>
        <v>Pipeline</v>
      </c>
      <c r="L18" s="8" t="str">
        <f>VLOOKUP($A18,'inputs¦Engineering'!$E$4:$AN$100,29,FALSE)</f>
        <v>AA-03</v>
      </c>
      <c r="M18" s="8" t="str">
        <f>VLOOKUP($A18,'inputs¦Engineering'!$E$4:$AN$100,33,FALSE)</f>
        <v>Pipeline</v>
      </c>
      <c r="N18" s="94" t="str">
        <f t="shared" si="0"/>
        <v>Stay in Business</v>
      </c>
      <c r="O18" s="7" t="str">
        <f t="shared" si="1"/>
        <v>SIB</v>
      </c>
      <c r="P18" s="7">
        <f t="shared" si="2"/>
        <v>1335000</v>
      </c>
      <c r="Q18" s="11" t="str">
        <f t="shared" si="3"/>
        <v>AA</v>
      </c>
      <c r="R18" s="9">
        <v>0.5</v>
      </c>
      <c r="S18" s="9">
        <v>0.5</v>
      </c>
      <c r="T18" s="9"/>
      <c r="U18" s="9"/>
      <c r="V18" s="9"/>
      <c r="W18" s="9"/>
      <c r="X18" s="9"/>
      <c r="Y18" s="9"/>
      <c r="Z18" s="9"/>
      <c r="AA18" s="9"/>
      <c r="AB18" s="9"/>
      <c r="AC18" s="26">
        <f t="shared" si="4"/>
        <v>1</v>
      </c>
      <c r="AD18" s="6" t="s">
        <v>76</v>
      </c>
    </row>
    <row r="19" spans="1:30" ht="14.25" x14ac:dyDescent="0.3">
      <c r="A19" s="97" t="str">
        <f>'inputs¦Engineering'!E7</f>
        <v>BELLBIRD PARK STATION UPGRADE</v>
      </c>
      <c r="B19" s="8" t="str">
        <f>VLOOKUP($A19,'inputs¦Engineering'!$E$4:$AN$75,34,FALSE)</f>
        <v>RBP</v>
      </c>
      <c r="C19" s="8" t="str">
        <f>VLOOKUP($A19,'inputs¦Engineering'!$E$4:$AN$75,3,FALSE)</f>
        <v>Upgrade station to include storage for emergency response and upgrade admin facilities to improve ops efficiency</v>
      </c>
      <c r="D19" s="10">
        <f>IF($N19="Exclude",0,VLOOKUP($A19,'inputs¦Engineering'!$E$4:$AN$75,D$16+6,FALSE))</f>
        <v>0</v>
      </c>
      <c r="E19" s="10">
        <f>IF($N19="Exclude",0,VLOOKUP($A19,'inputs¦Engineering'!$E$4:$AN$75,E$16+6,FALSE))</f>
        <v>0</v>
      </c>
      <c r="F19" s="10">
        <f>IF($N19="Exclude",0,VLOOKUP($A19,'inputs¦Engineering'!$E$4:$AN$75,F$16+6,FALSE))</f>
        <v>0</v>
      </c>
      <c r="G19" s="10">
        <f>IF($N19="Exclude",0,VLOOKUP($A19,'inputs¦Engineering'!$E$4:$AN$75,G$16+6,FALSE))</f>
        <v>0</v>
      </c>
      <c r="H19" s="10">
        <f>IF($N19="Exclude",0,VLOOKUP($A19,'inputs¦Engineering'!$E$4:$AN$75,H$16+6,FALSE))</f>
        <v>0</v>
      </c>
      <c r="I19" s="10">
        <f>IF($N19="Exclude",0,VLOOKUP($A19,'inputs¦Engineering'!$E$4:$AN$75,I$16+6,FALSE))</f>
        <v>0</v>
      </c>
      <c r="J19" s="8" t="str">
        <f>VLOOKUP($A19,'inputs¦Engineering'!$E$4:$AN$100,21,FALSE)</f>
        <v>SIB</v>
      </c>
      <c r="K19" s="8" t="str">
        <f>VLOOKUP($A19,'inputs¦Engineering'!$E$4:$AN$100,33,FALSE)</f>
        <v>Station</v>
      </c>
      <c r="L19" s="8">
        <f>VLOOKUP($A19,'inputs¦Engineering'!$E$4:$AN$100,29,FALSE)</f>
        <v>0</v>
      </c>
      <c r="M19" s="8" t="str">
        <f>VLOOKUP($A19,'inputs¦Engineering'!$E$4:$AN$100,33,FALSE)</f>
        <v>Station</v>
      </c>
      <c r="N19" s="94" t="str">
        <f t="shared" si="0"/>
        <v>Stay in Business</v>
      </c>
      <c r="O19" s="7" t="str">
        <f t="shared" si="1"/>
        <v>SIB</v>
      </c>
      <c r="P19" s="7">
        <f t="shared" si="2"/>
        <v>0</v>
      </c>
      <c r="Q19" s="11" t="str">
        <f t="shared" si="3"/>
        <v>0</v>
      </c>
      <c r="R19" s="9"/>
      <c r="S19" s="9"/>
      <c r="T19" s="9"/>
      <c r="U19" s="9">
        <v>1</v>
      </c>
      <c r="V19" s="9"/>
      <c r="W19" s="9"/>
      <c r="X19" s="9"/>
      <c r="Y19" s="9"/>
      <c r="Z19" s="9"/>
      <c r="AA19" s="9"/>
      <c r="AB19" s="9"/>
      <c r="AC19" s="26">
        <f t="shared" si="4"/>
        <v>1</v>
      </c>
      <c r="AD19" s="6" t="s">
        <v>76</v>
      </c>
    </row>
    <row r="20" spans="1:30" ht="14.25" x14ac:dyDescent="0.3">
      <c r="A20" s="97" t="str">
        <f>'inputs¦Engineering'!E8</f>
        <v>COMMISSION LEGAL ADVICE FOR ENCROACHMENT MANAGEMENT</v>
      </c>
      <c r="B20" s="8" t="str">
        <f>VLOOKUP($A20,'inputs¦Engineering'!$E$4:$AN$75,34,FALSE)</f>
        <v>RBP</v>
      </c>
      <c r="C20" s="8" t="str">
        <f>VLOOKUP($A20,'inputs¦Engineering'!$E$4:$AN$75,3,FALSE)</f>
        <v>Understand legal obligations for APA notifications and development applications - CONFIRM OF MEJ or FEED study under internal opex in year 1 - placeholder for FY17</v>
      </c>
      <c r="D20" s="10">
        <f>IF($N20="Exclude",0,VLOOKUP($A20,'inputs¦Engineering'!$E$4:$AN$75,D$16+6,FALSE))</f>
        <v>0</v>
      </c>
      <c r="E20" s="10">
        <f>IF($N20="Exclude",0,VLOOKUP($A20,'inputs¦Engineering'!$E$4:$AN$75,E$16+6,FALSE))</f>
        <v>0</v>
      </c>
      <c r="F20" s="10">
        <f>IF($N20="Exclude",0,VLOOKUP($A20,'inputs¦Engineering'!$E$4:$AN$75,F$16+6,FALSE))</f>
        <v>0</v>
      </c>
      <c r="G20" s="10">
        <f>IF($N20="Exclude",0,VLOOKUP($A20,'inputs¦Engineering'!$E$4:$AN$75,G$16+6,FALSE))</f>
        <v>0</v>
      </c>
      <c r="H20" s="10">
        <f>IF($N20="Exclude",0,VLOOKUP($A20,'inputs¦Engineering'!$E$4:$AN$75,H$16+6,FALSE))</f>
        <v>0</v>
      </c>
      <c r="I20" s="10">
        <f>IF($N20="Exclude",0,VLOOKUP($A20,'inputs¦Engineering'!$E$4:$AN$75,I$16+6,FALSE))</f>
        <v>0</v>
      </c>
      <c r="J20" s="8" t="str">
        <f>VLOOKUP($A20,'inputs¦Engineering'!$E$4:$AN$100,21,FALSE)</f>
        <v>MEJ</v>
      </c>
      <c r="K20" s="8" t="str">
        <f>VLOOKUP($A20,'inputs¦Engineering'!$E$4:$AN$100,33,FALSE)</f>
        <v>Pipeline</v>
      </c>
      <c r="L20" s="8">
        <f>VLOOKUP($A20,'inputs¦Engineering'!$E$4:$AN$100,29,FALSE)</f>
        <v>0</v>
      </c>
      <c r="M20" s="8" t="str">
        <f>VLOOKUP($A20,'inputs¦Engineering'!$E$4:$AN$100,33,FALSE)</f>
        <v>Pipeline</v>
      </c>
      <c r="N20" s="94" t="str">
        <f t="shared" si="0"/>
        <v>Exclude</v>
      </c>
      <c r="O20" s="7" t="str">
        <f t="shared" si="1"/>
        <v>MEJ</v>
      </c>
      <c r="P20" s="7">
        <f t="shared" si="2"/>
        <v>0</v>
      </c>
      <c r="Q20" s="11" t="str">
        <f t="shared" si="3"/>
        <v>0</v>
      </c>
      <c r="R20" s="9">
        <v>1</v>
      </c>
      <c r="S20" s="9"/>
      <c r="T20" s="9"/>
      <c r="U20" s="9"/>
      <c r="V20" s="9"/>
      <c r="W20" s="9"/>
      <c r="X20" s="9"/>
      <c r="Y20" s="9"/>
      <c r="Z20" s="9"/>
      <c r="AA20" s="9"/>
      <c r="AB20" s="9"/>
      <c r="AC20" s="26">
        <f t="shared" si="4"/>
        <v>1</v>
      </c>
      <c r="AD20" s="6" t="s">
        <v>76</v>
      </c>
    </row>
    <row r="21" spans="1:30" ht="14.25" x14ac:dyDescent="0.3">
      <c r="A21" s="97" t="str">
        <f>'inputs¦Engineering'!E9</f>
        <v>Condamine River Strain Excavation</v>
      </c>
      <c r="B21" s="8" t="str">
        <f>VLOOKUP($A21,'inputs¦Engineering'!$E$4:$AN$75,34,FALSE)</f>
        <v>RBP</v>
      </c>
      <c r="C21" s="8" t="str">
        <f>VLOOKUP($A21,'inputs¦Engineering'!$E$4:$AN$75,3,FALSE)</f>
        <v>&gt;0.3 % magnitude strain event at Condamine river; prioritised on FY15 dig program but requires river diversion and major works;</v>
      </c>
      <c r="D21" s="10">
        <f>IF($N21="Exclude",0,VLOOKUP($A21,'inputs¦Engineering'!$E$4:$AN$75,D$16+6,FALSE))</f>
        <v>0</v>
      </c>
      <c r="E21" s="10">
        <f>IF($N21="Exclude",0,VLOOKUP($A21,'inputs¦Engineering'!$E$4:$AN$75,E$16+6,FALSE))</f>
        <v>200000</v>
      </c>
      <c r="F21" s="10">
        <f>IF($N21="Exclude",0,VLOOKUP($A21,'inputs¦Engineering'!$E$4:$AN$75,F$16+6,FALSE))</f>
        <v>0</v>
      </c>
      <c r="G21" s="10">
        <f>IF($N21="Exclude",0,VLOOKUP($A21,'inputs¦Engineering'!$E$4:$AN$75,G$16+6,FALSE))</f>
        <v>0</v>
      </c>
      <c r="H21" s="10">
        <f>IF($N21="Exclude",0,VLOOKUP($A21,'inputs¦Engineering'!$E$4:$AN$75,H$16+6,FALSE))</f>
        <v>0</v>
      </c>
      <c r="I21" s="10">
        <f>IF($N21="Exclude",0,VLOOKUP($A21,'inputs¦Engineering'!$E$4:$AN$75,I$16+6,FALSE))</f>
        <v>0</v>
      </c>
      <c r="J21" s="8" t="str">
        <f>VLOOKUP($A21,'inputs¦Engineering'!$E$4:$AN$100,21,FALSE)</f>
        <v>SIB</v>
      </c>
      <c r="K21" s="8" t="str">
        <f>VLOOKUP($A21,'inputs¦Engineering'!$E$4:$AN$100,33,FALSE)</f>
        <v>Pipeline</v>
      </c>
      <c r="L21" s="8">
        <f>VLOOKUP($A21,'inputs¦Engineering'!$E$4:$AN$100,29,FALSE)</f>
        <v>0</v>
      </c>
      <c r="M21" s="8" t="str">
        <f>VLOOKUP($A21,'inputs¦Engineering'!$E$4:$AN$100,33,FALSE)</f>
        <v>Pipeline</v>
      </c>
      <c r="N21" s="94" t="str">
        <f t="shared" si="0"/>
        <v>Stay in Business</v>
      </c>
      <c r="O21" s="7" t="str">
        <f t="shared" si="1"/>
        <v>SIB</v>
      </c>
      <c r="P21" s="7">
        <f t="shared" si="2"/>
        <v>200000</v>
      </c>
      <c r="Q21" s="11" t="str">
        <f t="shared" si="3"/>
        <v>0</v>
      </c>
      <c r="R21" s="9">
        <v>1</v>
      </c>
      <c r="S21" s="9"/>
      <c r="T21" s="9"/>
      <c r="U21" s="9"/>
      <c r="V21" s="9"/>
      <c r="W21" s="9"/>
      <c r="X21" s="9"/>
      <c r="Y21" s="9"/>
      <c r="Z21" s="9"/>
      <c r="AA21" s="9"/>
      <c r="AB21" s="9"/>
      <c r="AC21" s="26">
        <f t="shared" si="4"/>
        <v>1</v>
      </c>
      <c r="AD21" s="6" t="s">
        <v>76</v>
      </c>
    </row>
    <row r="22" spans="1:30" ht="14.25" x14ac:dyDescent="0.3">
      <c r="A22" s="97" t="str">
        <f>'inputs¦Engineering'!E10</f>
        <v>CP INTERFERENCE TESTING AND MITIGATION</v>
      </c>
      <c r="B22" s="8" t="str">
        <f>VLOOKUP($A22,'inputs¦Engineering'!$E$4:$AN$75,34,FALSE)</f>
        <v>RBP</v>
      </c>
      <c r="C22" s="8" t="str">
        <f>VLOOKUP($A22,'inputs¦Engineering'!$E$4:$AN$75,3,FALSE)</f>
        <v xml:space="preserve">Upgrades of CPUs and re-registration of CPUs requires interference testing and mitigation of third party assets. </v>
      </c>
      <c r="D22" s="10">
        <f>IF($N22="Exclude",0,VLOOKUP($A22,'inputs¦Engineering'!$E$4:$AN$75,D$16+6,FALSE))</f>
        <v>0</v>
      </c>
      <c r="E22" s="10">
        <f>IF($N22="Exclude",0,VLOOKUP($A22,'inputs¦Engineering'!$E$4:$AN$75,E$16+6,FALSE))</f>
        <v>0</v>
      </c>
      <c r="F22" s="10">
        <f>IF($N22="Exclude",0,VLOOKUP($A22,'inputs¦Engineering'!$E$4:$AN$75,F$16+6,FALSE))</f>
        <v>0</v>
      </c>
      <c r="G22" s="10">
        <f>IF($N22="Exclude",0,VLOOKUP($A22,'inputs¦Engineering'!$E$4:$AN$75,G$16+6,FALSE))</f>
        <v>0</v>
      </c>
      <c r="H22" s="10">
        <f>IF($N22="Exclude",0,VLOOKUP($A22,'inputs¦Engineering'!$E$4:$AN$75,H$16+6,FALSE))</f>
        <v>0</v>
      </c>
      <c r="I22" s="10">
        <f>IF($N22="Exclude",0,VLOOKUP($A22,'inputs¦Engineering'!$E$4:$AN$75,I$16+6,FALSE))</f>
        <v>0</v>
      </c>
      <c r="J22" s="8" t="str">
        <f>VLOOKUP($A22,'inputs¦Engineering'!$E$4:$AN$100,21,FALSE)</f>
        <v>MEJ</v>
      </c>
      <c r="K22" s="8" t="str">
        <f>VLOOKUP($A22,'inputs¦Engineering'!$E$4:$AN$100,33,FALSE)</f>
        <v>Pipeline</v>
      </c>
      <c r="L22" s="8">
        <f>VLOOKUP($A22,'inputs¦Engineering'!$E$4:$AN$100,29,FALSE)</f>
        <v>0</v>
      </c>
      <c r="M22" s="8" t="str">
        <f>VLOOKUP($A22,'inputs¦Engineering'!$E$4:$AN$100,33,FALSE)</f>
        <v>Pipeline</v>
      </c>
      <c r="N22" s="94" t="str">
        <f t="shared" si="0"/>
        <v>Exclude</v>
      </c>
      <c r="O22" s="7" t="str">
        <f t="shared" si="1"/>
        <v>MEJ</v>
      </c>
      <c r="P22" s="7">
        <f t="shared" si="2"/>
        <v>0</v>
      </c>
      <c r="Q22" s="11" t="str">
        <f t="shared" si="3"/>
        <v>0</v>
      </c>
      <c r="R22" s="9">
        <v>0.5</v>
      </c>
      <c r="S22" s="9">
        <v>0.5</v>
      </c>
      <c r="T22" s="9"/>
      <c r="U22" s="9"/>
      <c r="V22" s="9"/>
      <c r="W22" s="9"/>
      <c r="X22" s="9"/>
      <c r="Y22" s="9"/>
      <c r="Z22" s="9"/>
      <c r="AA22" s="9"/>
      <c r="AB22" s="9"/>
      <c r="AC22" s="26">
        <f t="shared" si="4"/>
        <v>1</v>
      </c>
      <c r="AD22" s="6" t="s">
        <v>76</v>
      </c>
    </row>
    <row r="23" spans="1:30" ht="14.25" x14ac:dyDescent="0.3">
      <c r="A23" s="97" t="str">
        <f>'inputs¦Engineering'!E11</f>
        <v>DN200 &amp; 300 METRO ANNUAL EXCAVATION PROGRAM</v>
      </c>
      <c r="B23" s="8" t="str">
        <f>VLOOKUP($A23,'inputs¦Engineering'!$E$4:$AN$75,34,FALSE)</f>
        <v>RBP</v>
      </c>
      <c r="C23" s="8" t="str">
        <f>VLOOKUP($A23,'inputs¦Engineering'!$E$4:$AN$75,3,FALSE)</f>
        <v>Forecast increase post FY18 ILI - include Lytton Road defect</v>
      </c>
      <c r="D23" s="10">
        <f>IF($N23="Exclude",0,VLOOKUP($A23,'inputs¦Engineering'!$E$4:$AN$75,D$16+6,FALSE))</f>
        <v>0</v>
      </c>
      <c r="E23" s="10">
        <f>IF($N23="Exclude",0,VLOOKUP($A23,'inputs¦Engineering'!$E$4:$AN$75,E$16+6,FALSE))</f>
        <v>0</v>
      </c>
      <c r="F23" s="10">
        <f>IF($N23="Exclude",0,VLOOKUP($A23,'inputs¦Engineering'!$E$4:$AN$75,F$16+6,FALSE))</f>
        <v>0</v>
      </c>
      <c r="G23" s="10">
        <f>IF($N23="Exclude",0,VLOOKUP($A23,'inputs¦Engineering'!$E$4:$AN$75,G$16+6,FALSE))</f>
        <v>0</v>
      </c>
      <c r="H23" s="10">
        <f>IF($N23="Exclude",0,VLOOKUP($A23,'inputs¦Engineering'!$E$4:$AN$75,H$16+6,FALSE))</f>
        <v>0</v>
      </c>
      <c r="I23" s="10">
        <f>IF($N23="Exclude",0,VLOOKUP($A23,'inputs¦Engineering'!$E$4:$AN$75,I$16+6,FALSE))</f>
        <v>0</v>
      </c>
      <c r="J23" s="8" t="str">
        <f>VLOOKUP($A23,'inputs¦Engineering'!$E$4:$AN$100,21,FALSE)</f>
        <v>MEJ</v>
      </c>
      <c r="K23" s="8" t="str">
        <f>VLOOKUP($A23,'inputs¦Engineering'!$E$4:$AN$100,33,FALSE)</f>
        <v>Pipeline</v>
      </c>
      <c r="L23" s="8">
        <f>VLOOKUP($A23,'inputs¦Engineering'!$E$4:$AN$100,29,FALSE)</f>
        <v>0</v>
      </c>
      <c r="M23" s="8" t="str">
        <f>VLOOKUP($A23,'inputs¦Engineering'!$E$4:$AN$100,33,FALSE)</f>
        <v>Pipeline</v>
      </c>
      <c r="N23" s="94" t="str">
        <f t="shared" si="0"/>
        <v>Exclude</v>
      </c>
      <c r="O23" s="7" t="str">
        <f t="shared" si="1"/>
        <v>MEJ</v>
      </c>
      <c r="P23" s="7">
        <f t="shared" si="2"/>
        <v>0</v>
      </c>
      <c r="Q23" s="11" t="str">
        <f t="shared" si="3"/>
        <v>0</v>
      </c>
      <c r="R23" s="9">
        <v>1</v>
      </c>
      <c r="S23" s="9"/>
      <c r="T23" s="9"/>
      <c r="U23" s="9"/>
      <c r="V23" s="9"/>
      <c r="W23" s="9"/>
      <c r="X23" s="9"/>
      <c r="Y23" s="9"/>
      <c r="Z23" s="9"/>
      <c r="AA23" s="9"/>
      <c r="AB23" s="9"/>
      <c r="AC23" s="26">
        <f t="shared" si="4"/>
        <v>1</v>
      </c>
      <c r="AD23" s="6" t="s">
        <v>76</v>
      </c>
    </row>
    <row r="24" spans="1:30" ht="14.25" x14ac:dyDescent="0.3">
      <c r="A24" s="97" t="str">
        <f>'inputs¦Engineering'!E12</f>
        <v>DN250 INTEGRITY UPGRADE PROGRAM</v>
      </c>
      <c r="B24" s="8" t="str">
        <f>VLOOKUP($A24,'inputs¦Engineering'!$E$4:$AN$75,34,FALSE)</f>
        <v>RBP</v>
      </c>
      <c r="C24" s="8" t="str">
        <f>VLOOKUP($A24,'inputs¦Engineering'!$E$4:$AN$75,3,FALSE)</f>
        <v xml:space="preserve">Progressing integrity upgrade program based on ILI growth assessment and dent criticality; </v>
      </c>
      <c r="D24" s="10">
        <f>IF($N24="Exclude",0,VLOOKUP($A24,'inputs¦Engineering'!$E$4:$AN$75,D$16+6,FALSE))</f>
        <v>4900000</v>
      </c>
      <c r="E24" s="10">
        <f>IF($N24="Exclude",0,VLOOKUP($A24,'inputs¦Engineering'!$E$4:$AN$75,E$16+6,FALSE))</f>
        <v>5293000</v>
      </c>
      <c r="F24" s="10">
        <f>IF($N24="Exclude",0,VLOOKUP($A24,'inputs¦Engineering'!$E$4:$AN$75,F$16+6,FALSE))</f>
        <v>5970000</v>
      </c>
      <c r="G24" s="10">
        <f>IF($N24="Exclude",0,VLOOKUP($A24,'inputs¦Engineering'!$E$4:$AN$75,G$16+6,FALSE))</f>
        <v>3980000</v>
      </c>
      <c r="H24" s="10">
        <f>IF($N24="Exclude",0,VLOOKUP($A24,'inputs¦Engineering'!$E$4:$AN$75,H$16+6,FALSE))</f>
        <v>3680000</v>
      </c>
      <c r="I24" s="10">
        <f>IF($N24="Exclude",0,VLOOKUP($A24,'inputs¦Engineering'!$E$4:$AN$75,I$16+6,FALSE))</f>
        <v>4231000</v>
      </c>
      <c r="J24" s="8" t="str">
        <f>VLOOKUP($A24,'inputs¦Engineering'!$E$4:$AN$100,21,FALSE)</f>
        <v>SIB</v>
      </c>
      <c r="K24" s="8" t="str">
        <f>VLOOKUP($A24,'inputs¦Engineering'!$E$4:$AN$100,33,FALSE)</f>
        <v>Pipeline</v>
      </c>
      <c r="L24" s="8" t="str">
        <f>VLOOKUP($A24,'inputs¦Engineering'!$E$4:$AN$100,29,FALSE)</f>
        <v>AA-03</v>
      </c>
      <c r="M24" s="8" t="str">
        <f>VLOOKUP($A24,'inputs¦Engineering'!$E$4:$AN$100,33,FALSE)</f>
        <v>Pipeline</v>
      </c>
      <c r="N24" s="94" t="str">
        <f t="shared" si="0"/>
        <v>Stay in Business</v>
      </c>
      <c r="O24" s="7" t="str">
        <f t="shared" si="1"/>
        <v>SIB</v>
      </c>
      <c r="P24" s="7">
        <f t="shared" si="2"/>
        <v>28054000</v>
      </c>
      <c r="Q24" s="11" t="str">
        <f t="shared" si="3"/>
        <v>AA</v>
      </c>
      <c r="R24" s="9">
        <v>1</v>
      </c>
      <c r="S24" s="9"/>
      <c r="T24" s="9"/>
      <c r="U24" s="9"/>
      <c r="V24" s="9"/>
      <c r="W24" s="9"/>
      <c r="X24" s="9"/>
      <c r="Y24" s="9"/>
      <c r="Z24" s="9"/>
      <c r="AA24" s="9"/>
      <c r="AB24" s="9"/>
      <c r="AC24" s="26">
        <f t="shared" si="4"/>
        <v>1</v>
      </c>
      <c r="AD24" s="6" t="s">
        <v>76</v>
      </c>
    </row>
    <row r="25" spans="1:30" ht="14.25" x14ac:dyDescent="0.3">
      <c r="A25" s="97" t="str">
        <f>'inputs¦Engineering'!E13</f>
        <v>DN250, DN300, DN200 Assessment of loss of cover and mitigation</v>
      </c>
      <c r="B25" s="8" t="str">
        <f>VLOOKUP($A25,'inputs¦Engineering'!$E$4:$AN$75,34,FALSE)</f>
        <v>RBP</v>
      </c>
      <c r="C25" s="8" t="str">
        <f>VLOOKUP($A25,'inputs¦Engineering'!$E$4:$AN$75,3,FALSE)</f>
        <v xml:space="preserve">Some areas on RBP flagged as shallow depth of cover. Identified need to survey, assess and mitigate as required. Was $50k FY16 - but not used. </v>
      </c>
      <c r="D25" s="10">
        <f>IF($N25="Exclude",0,VLOOKUP($A25,'inputs¦Engineering'!$E$4:$AN$75,D$16+6,FALSE))</f>
        <v>0</v>
      </c>
      <c r="E25" s="10">
        <f>IF($N25="Exclude",0,VLOOKUP($A25,'inputs¦Engineering'!$E$4:$AN$75,E$16+6,FALSE))</f>
        <v>0</v>
      </c>
      <c r="F25" s="10">
        <f>IF($N25="Exclude",0,VLOOKUP($A25,'inputs¦Engineering'!$E$4:$AN$75,F$16+6,FALSE))</f>
        <v>0</v>
      </c>
      <c r="G25" s="10">
        <f>IF($N25="Exclude",0,VLOOKUP($A25,'inputs¦Engineering'!$E$4:$AN$75,G$16+6,FALSE))</f>
        <v>0</v>
      </c>
      <c r="H25" s="10">
        <f>IF($N25="Exclude",0,VLOOKUP($A25,'inputs¦Engineering'!$E$4:$AN$75,H$16+6,FALSE))</f>
        <v>0</v>
      </c>
      <c r="I25" s="10">
        <f>IF($N25="Exclude",0,VLOOKUP($A25,'inputs¦Engineering'!$E$4:$AN$75,I$16+6,FALSE))</f>
        <v>0</v>
      </c>
      <c r="J25" s="8" t="str">
        <f>VLOOKUP($A25,'inputs¦Engineering'!$E$4:$AN$100,21,FALSE)</f>
        <v>MEJ</v>
      </c>
      <c r="K25" s="8" t="str">
        <f>VLOOKUP($A25,'inputs¦Engineering'!$E$4:$AN$100,33,FALSE)</f>
        <v>Pipeline</v>
      </c>
      <c r="L25" s="8">
        <f>VLOOKUP($A25,'inputs¦Engineering'!$E$4:$AN$100,29,FALSE)</f>
        <v>0</v>
      </c>
      <c r="M25" s="8" t="str">
        <f>VLOOKUP($A25,'inputs¦Engineering'!$E$4:$AN$100,33,FALSE)</f>
        <v>Pipeline</v>
      </c>
      <c r="N25" s="94" t="str">
        <f t="shared" si="0"/>
        <v>Exclude</v>
      </c>
      <c r="O25" s="7" t="str">
        <f t="shared" si="1"/>
        <v>MEJ</v>
      </c>
      <c r="P25" s="7">
        <f t="shared" si="2"/>
        <v>0</v>
      </c>
      <c r="Q25" s="11" t="str">
        <f t="shared" si="3"/>
        <v>0</v>
      </c>
      <c r="R25" s="9">
        <v>1</v>
      </c>
      <c r="S25" s="9"/>
      <c r="T25" s="9"/>
      <c r="U25" s="9"/>
      <c r="V25" s="9"/>
      <c r="W25" s="9"/>
      <c r="X25" s="9"/>
      <c r="Y25" s="9"/>
      <c r="Z25" s="9"/>
      <c r="AA25" s="9"/>
      <c r="AB25" s="9"/>
      <c r="AC25" s="26">
        <f t="shared" si="4"/>
        <v>1</v>
      </c>
      <c r="AD25" s="6" t="s">
        <v>76</v>
      </c>
    </row>
    <row r="26" spans="1:30" ht="14.25" x14ac:dyDescent="0.3">
      <c r="A26" s="97" t="str">
        <f>'inputs¦Engineering'!E14</f>
        <v>Earthing and Lightning protection design review (Stations)</v>
      </c>
      <c r="B26" s="8" t="str">
        <f>VLOOKUP($A26,'inputs¦Engineering'!$E$4:$AN$75,34,FALSE)</f>
        <v>QLD</v>
      </c>
      <c r="C26" s="8" t="str">
        <f>VLOOKUP($A26,'inputs¦Engineering'!$E$4:$AN$75,3,FALSE)</f>
        <v>Some sites identified as an issue - needs assessment on whether SIB budget required</v>
      </c>
      <c r="D26" s="10">
        <f>IF($N26="Exclude",0,VLOOKUP($A26,'inputs¦Engineering'!$E$4:$AN$75,D$16+6,FALSE))</f>
        <v>0</v>
      </c>
      <c r="E26" s="10">
        <f>IF($N26="Exclude",0,VLOOKUP($A26,'inputs¦Engineering'!$E$4:$AN$75,E$16+6,FALSE))</f>
        <v>0</v>
      </c>
      <c r="F26" s="10">
        <f>IF($N26="Exclude",0,VLOOKUP($A26,'inputs¦Engineering'!$E$4:$AN$75,F$16+6,FALSE))</f>
        <v>0</v>
      </c>
      <c r="G26" s="10">
        <f>IF($N26="Exclude",0,VLOOKUP($A26,'inputs¦Engineering'!$E$4:$AN$75,G$16+6,FALSE))</f>
        <v>0</v>
      </c>
      <c r="H26" s="10">
        <f>IF($N26="Exclude",0,VLOOKUP($A26,'inputs¦Engineering'!$E$4:$AN$75,H$16+6,FALSE))</f>
        <v>0</v>
      </c>
      <c r="I26" s="10">
        <f>IF($N26="Exclude",0,VLOOKUP($A26,'inputs¦Engineering'!$E$4:$AN$75,I$16+6,FALSE))</f>
        <v>0</v>
      </c>
      <c r="J26" s="8" t="str">
        <f>VLOOKUP($A26,'inputs¦Engineering'!$E$4:$AN$100,21,FALSE)</f>
        <v>BAU</v>
      </c>
      <c r="K26" s="8" t="str">
        <f>VLOOKUP($A26,'inputs¦Engineering'!$E$4:$AN$100,33,FALSE)</f>
        <v>Station</v>
      </c>
      <c r="L26" s="8">
        <f>VLOOKUP($A26,'inputs¦Engineering'!$E$4:$AN$100,29,FALSE)</f>
        <v>0</v>
      </c>
      <c r="M26" s="8" t="str">
        <f>VLOOKUP($A26,'inputs¦Engineering'!$E$4:$AN$100,33,FALSE)</f>
        <v>Station</v>
      </c>
      <c r="N26" s="94" t="str">
        <f t="shared" si="0"/>
        <v>Stay in Business</v>
      </c>
      <c r="O26" s="7" t="str">
        <f t="shared" si="1"/>
        <v>BAU</v>
      </c>
      <c r="P26" s="7">
        <f t="shared" si="2"/>
        <v>0</v>
      </c>
      <c r="Q26" s="11" t="str">
        <f t="shared" si="3"/>
        <v>0</v>
      </c>
      <c r="R26" s="9"/>
      <c r="S26" s="9"/>
      <c r="T26" s="9">
        <v>0.5</v>
      </c>
      <c r="U26" s="9">
        <v>0.5</v>
      </c>
      <c r="V26" s="9"/>
      <c r="W26" s="9"/>
      <c r="X26" s="9"/>
      <c r="Y26" s="9"/>
      <c r="Z26" s="9"/>
      <c r="AA26" s="9"/>
      <c r="AB26" s="9"/>
      <c r="AC26" s="26">
        <f t="shared" si="4"/>
        <v>1</v>
      </c>
      <c r="AD26" s="6" t="s">
        <v>76</v>
      </c>
    </row>
    <row r="27" spans="1:30" ht="14.25" x14ac:dyDescent="0.3">
      <c r="A27" s="97" t="str">
        <f>'inputs¦Engineering'!E15</f>
        <v>EMERGENCY STOPPLE FITTINGS FOR DN250 EMERGENCIES</v>
      </c>
      <c r="B27" s="8" t="str">
        <f>VLOOKUP($A27,'inputs¦Engineering'!$E$4:$AN$75,34,FALSE)</f>
        <v>RBP</v>
      </c>
      <c r="C27" s="8" t="str">
        <f>VLOOKUP($A27,'inputs¦Engineering'!$E$4:$AN$75,3,FALSE)</f>
        <v>DN250 emergency preparedness needs review - implement outcome of FEED works in FY15</v>
      </c>
      <c r="D27" s="10">
        <f>IF($N27="Exclude",0,VLOOKUP($A27,'inputs¦Engineering'!$E$4:$AN$75,D$16+6,FALSE))</f>
        <v>0</v>
      </c>
      <c r="E27" s="10">
        <f>IF($N27="Exclude",0,VLOOKUP($A27,'inputs¦Engineering'!$E$4:$AN$75,E$16+6,FALSE))</f>
        <v>0</v>
      </c>
      <c r="F27" s="10">
        <f>IF($N27="Exclude",0,VLOOKUP($A27,'inputs¦Engineering'!$E$4:$AN$75,F$16+6,FALSE))</f>
        <v>0</v>
      </c>
      <c r="G27" s="10">
        <f>IF($N27="Exclude",0,VLOOKUP($A27,'inputs¦Engineering'!$E$4:$AN$75,G$16+6,FALSE))</f>
        <v>0</v>
      </c>
      <c r="H27" s="10">
        <f>IF($N27="Exclude",0,VLOOKUP($A27,'inputs¦Engineering'!$E$4:$AN$75,H$16+6,FALSE))</f>
        <v>0</v>
      </c>
      <c r="I27" s="10">
        <f>IF($N27="Exclude",0,VLOOKUP($A27,'inputs¦Engineering'!$E$4:$AN$75,I$16+6,FALSE))</f>
        <v>0</v>
      </c>
      <c r="J27" s="8" t="str">
        <f>VLOOKUP($A27,'inputs¦Engineering'!$E$4:$AN$100,21,FALSE)</f>
        <v>SIB</v>
      </c>
      <c r="K27" s="8" t="str">
        <f>VLOOKUP($A27,'inputs¦Engineering'!$E$4:$AN$100,33,FALSE)</f>
        <v>Pipeline</v>
      </c>
      <c r="L27" s="8">
        <f>VLOOKUP($A27,'inputs¦Engineering'!$E$4:$AN$100,29,FALSE)</f>
        <v>0</v>
      </c>
      <c r="M27" s="8" t="str">
        <f>VLOOKUP($A27,'inputs¦Engineering'!$E$4:$AN$100,33,FALSE)</f>
        <v>Pipeline</v>
      </c>
      <c r="N27" s="94" t="str">
        <f t="shared" si="0"/>
        <v>Stay in Business</v>
      </c>
      <c r="O27" s="7" t="str">
        <f t="shared" si="1"/>
        <v>SIB</v>
      </c>
      <c r="P27" s="7">
        <f t="shared" si="2"/>
        <v>0</v>
      </c>
      <c r="Q27" s="11" t="str">
        <f t="shared" si="3"/>
        <v>0</v>
      </c>
      <c r="R27" s="9">
        <v>1</v>
      </c>
      <c r="S27" s="9"/>
      <c r="T27" s="9"/>
      <c r="U27" s="9"/>
      <c r="V27" s="9"/>
      <c r="W27" s="9"/>
      <c r="X27" s="9"/>
      <c r="Y27" s="9"/>
      <c r="Z27" s="9"/>
      <c r="AA27" s="9"/>
      <c r="AB27" s="9"/>
      <c r="AC27" s="26">
        <f t="shared" si="4"/>
        <v>1</v>
      </c>
      <c r="AD27" s="6" t="s">
        <v>76</v>
      </c>
    </row>
    <row r="28" spans="1:30" ht="14.25" x14ac:dyDescent="0.3">
      <c r="A28" s="97" t="str">
        <f>'inputs¦Engineering'!E16</f>
        <v>Environmental Offset Strategy</v>
      </c>
      <c r="B28" s="8" t="str">
        <f>VLOOKUP($A28,'inputs¦Engineering'!$E$4:$AN$75,34,FALSE)</f>
        <v>QLD</v>
      </c>
      <c r="C28" s="8">
        <f>VLOOKUP($A28,'inputs¦Engineering'!$E$4:$AN$75,3,FALSE)</f>
        <v>0</v>
      </c>
      <c r="D28" s="10">
        <f>IF($N28="Exclude",0,VLOOKUP($A28,'inputs¦Engineering'!$E$4:$AN$75,D$16+6,FALSE))</f>
        <v>0</v>
      </c>
      <c r="E28" s="10">
        <f>IF($N28="Exclude",0,VLOOKUP($A28,'inputs¦Engineering'!$E$4:$AN$75,E$16+6,FALSE))</f>
        <v>0</v>
      </c>
      <c r="F28" s="10">
        <f>IF($N28="Exclude",0,VLOOKUP($A28,'inputs¦Engineering'!$E$4:$AN$75,F$16+6,FALSE))</f>
        <v>0</v>
      </c>
      <c r="G28" s="10">
        <f>IF($N28="Exclude",0,VLOOKUP($A28,'inputs¦Engineering'!$E$4:$AN$75,G$16+6,FALSE))</f>
        <v>0</v>
      </c>
      <c r="H28" s="10">
        <f>IF($N28="Exclude",0,VLOOKUP($A28,'inputs¦Engineering'!$E$4:$AN$75,H$16+6,FALSE))</f>
        <v>0</v>
      </c>
      <c r="I28" s="10">
        <f>IF($N28="Exclude",0,VLOOKUP($A28,'inputs¦Engineering'!$E$4:$AN$75,I$16+6,FALSE))</f>
        <v>0</v>
      </c>
      <c r="J28" s="8" t="str">
        <f>VLOOKUP($A28,'inputs¦Engineering'!$E$4:$AN$100,21,FALSE)</f>
        <v>MEJ</v>
      </c>
      <c r="K28" s="8" t="str">
        <f>VLOOKUP($A28,'inputs¦Engineering'!$E$4:$AN$100,33,FALSE)</f>
        <v>Easement</v>
      </c>
      <c r="L28" s="8">
        <f>VLOOKUP($A28,'inputs¦Engineering'!$E$4:$AN$100,29,FALSE)</f>
        <v>0</v>
      </c>
      <c r="M28" s="8" t="str">
        <f>VLOOKUP($A28,'inputs¦Engineering'!$E$4:$AN$100,33,FALSE)</f>
        <v>Easement</v>
      </c>
      <c r="N28" s="94" t="str">
        <f t="shared" si="0"/>
        <v>Exclude</v>
      </c>
      <c r="O28" s="7" t="str">
        <f t="shared" si="1"/>
        <v>MEJ</v>
      </c>
      <c r="P28" s="7">
        <f t="shared" si="2"/>
        <v>0</v>
      </c>
      <c r="Q28" s="11" t="str">
        <f t="shared" si="3"/>
        <v>0</v>
      </c>
      <c r="R28" s="9"/>
      <c r="S28" s="9"/>
      <c r="T28" s="9"/>
      <c r="U28" s="9"/>
      <c r="V28" s="9"/>
      <c r="W28" s="9"/>
      <c r="X28" s="9"/>
      <c r="Y28" s="9"/>
      <c r="Z28" s="9"/>
      <c r="AA28" s="9">
        <v>1</v>
      </c>
      <c r="AB28" s="9"/>
      <c r="AC28" s="26">
        <f t="shared" si="4"/>
        <v>1</v>
      </c>
      <c r="AD28" s="6" t="s">
        <v>76</v>
      </c>
    </row>
    <row r="29" spans="1:30" ht="14.25" x14ac:dyDescent="0.3">
      <c r="A29" s="97" t="str">
        <f>'inputs¦Engineering'!E17</f>
        <v>Files up to date on x-info</v>
      </c>
      <c r="B29" s="8" t="str">
        <f>VLOOKUP($A29,'inputs¦Engineering'!$E$4:$AN$75,34,FALSE)</f>
        <v>QLD</v>
      </c>
      <c r="C29" s="8">
        <f>VLOOKUP($A29,'inputs¦Engineering'!$E$4:$AN$75,3,FALSE)</f>
        <v>0</v>
      </c>
      <c r="D29" s="10">
        <f>IF($N29="Exclude",0,VLOOKUP($A29,'inputs¦Engineering'!$E$4:$AN$75,D$16+6,FALSE))</f>
        <v>0</v>
      </c>
      <c r="E29" s="10">
        <f>IF($N29="Exclude",0,VLOOKUP($A29,'inputs¦Engineering'!$E$4:$AN$75,E$16+6,FALSE))</f>
        <v>0</v>
      </c>
      <c r="F29" s="10">
        <f>IF($N29="Exclude",0,VLOOKUP($A29,'inputs¦Engineering'!$E$4:$AN$75,F$16+6,FALSE))</f>
        <v>0</v>
      </c>
      <c r="G29" s="10">
        <f>IF($N29="Exclude",0,VLOOKUP($A29,'inputs¦Engineering'!$E$4:$AN$75,G$16+6,FALSE))</f>
        <v>0</v>
      </c>
      <c r="H29" s="10">
        <f>IF($N29="Exclude",0,VLOOKUP($A29,'inputs¦Engineering'!$E$4:$AN$75,H$16+6,FALSE))</f>
        <v>0</v>
      </c>
      <c r="I29" s="10">
        <f>IF($N29="Exclude",0,VLOOKUP($A29,'inputs¦Engineering'!$E$4:$AN$75,I$16+6,FALSE))</f>
        <v>0</v>
      </c>
      <c r="J29" s="8" t="str">
        <f>VLOOKUP($A29,'inputs¦Engineering'!$E$4:$AN$100,21,FALSE)</f>
        <v>MEJ</v>
      </c>
      <c r="K29" s="8" t="str">
        <f>VLOOKUP($A29,'inputs¦Engineering'!$E$4:$AN$100,33,FALSE)</f>
        <v>Pipeline</v>
      </c>
      <c r="L29" s="8">
        <f>VLOOKUP($A29,'inputs¦Engineering'!$E$4:$AN$100,29,FALSE)</f>
        <v>0</v>
      </c>
      <c r="M29" s="8" t="str">
        <f>VLOOKUP($A29,'inputs¦Engineering'!$E$4:$AN$100,33,FALSE)</f>
        <v>Pipeline</v>
      </c>
      <c r="N29" s="94" t="str">
        <f t="shared" si="0"/>
        <v>Exclude</v>
      </c>
      <c r="O29" s="7" t="str">
        <f t="shared" si="1"/>
        <v>MEJ</v>
      </c>
      <c r="P29" s="7">
        <f t="shared" si="2"/>
        <v>0</v>
      </c>
      <c r="Q29" s="11" t="str">
        <f t="shared" si="3"/>
        <v>0</v>
      </c>
      <c r="R29" s="9"/>
      <c r="S29" s="9"/>
      <c r="T29" s="9"/>
      <c r="U29" s="9"/>
      <c r="V29" s="9"/>
      <c r="W29" s="9"/>
      <c r="X29" s="9"/>
      <c r="Y29" s="9"/>
      <c r="Z29" s="9">
        <v>1</v>
      </c>
      <c r="AA29" s="9"/>
      <c r="AB29" s="9"/>
      <c r="AC29" s="26">
        <f t="shared" si="4"/>
        <v>1</v>
      </c>
      <c r="AD29" s="6" t="s">
        <v>76</v>
      </c>
    </row>
    <row r="30" spans="1:30" ht="14.25" x14ac:dyDescent="0.3">
      <c r="A30" s="97" t="str">
        <f>'inputs¦Engineering'!E18</f>
        <v xml:space="preserve">Fire protection upgrades to RBP compressor stations (FM Global) </v>
      </c>
      <c r="B30" s="8" t="str">
        <f>VLOOKUP($A30,'inputs¦Engineering'!$E$4:$AN$75,34,FALSE)</f>
        <v>RBP</v>
      </c>
      <c r="C30" s="8" t="str">
        <f>VLOOKUP($A30,'inputs¦Engineering'!$E$4:$AN$75,3,FALSE)</f>
        <v>FEED completed in FY15 flagged these sites for potential water mist system</v>
      </c>
      <c r="D30" s="10">
        <f>IF($N30="Exclude",0,VLOOKUP($A30,'inputs¦Engineering'!$E$4:$AN$75,D$16+6,FALSE))</f>
        <v>0</v>
      </c>
      <c r="E30" s="10">
        <f>IF($N30="Exclude",0,VLOOKUP($A30,'inputs¦Engineering'!$E$4:$AN$75,E$16+6,FALSE))</f>
        <v>0</v>
      </c>
      <c r="F30" s="10">
        <f>IF($N30="Exclude",0,VLOOKUP($A30,'inputs¦Engineering'!$E$4:$AN$75,F$16+6,FALSE))</f>
        <v>0</v>
      </c>
      <c r="G30" s="10">
        <f>IF($N30="Exclude",0,VLOOKUP($A30,'inputs¦Engineering'!$E$4:$AN$75,G$16+6,FALSE))</f>
        <v>0</v>
      </c>
      <c r="H30" s="10">
        <f>IF($N30="Exclude",0,VLOOKUP($A30,'inputs¦Engineering'!$E$4:$AN$75,H$16+6,FALSE))</f>
        <v>0</v>
      </c>
      <c r="I30" s="10">
        <f>IF($N30="Exclude",0,VLOOKUP($A30,'inputs¦Engineering'!$E$4:$AN$75,I$16+6,FALSE))</f>
        <v>0</v>
      </c>
      <c r="J30" s="8" t="str">
        <f>VLOOKUP($A30,'inputs¦Engineering'!$E$4:$AN$100,21,FALSE)</f>
        <v>SIB</v>
      </c>
      <c r="K30" s="8" t="str">
        <f>VLOOKUP($A30,'inputs¦Engineering'!$E$4:$AN$100,33,FALSE)</f>
        <v>Station</v>
      </c>
      <c r="L30" s="8">
        <f>VLOOKUP($A30,'inputs¦Engineering'!$E$4:$AN$100,29,FALSE)</f>
        <v>0</v>
      </c>
      <c r="M30" s="8" t="str">
        <f>VLOOKUP($A30,'inputs¦Engineering'!$E$4:$AN$100,33,FALSE)</f>
        <v>Station</v>
      </c>
      <c r="N30" s="94" t="str">
        <f t="shared" si="0"/>
        <v>Stay in Business</v>
      </c>
      <c r="O30" s="7" t="str">
        <f t="shared" si="1"/>
        <v>SIB</v>
      </c>
      <c r="P30" s="7">
        <f t="shared" si="2"/>
        <v>0</v>
      </c>
      <c r="Q30" s="11" t="str">
        <f t="shared" si="3"/>
        <v>0</v>
      </c>
      <c r="R30" s="9"/>
      <c r="S30" s="9"/>
      <c r="T30" s="9">
        <v>1</v>
      </c>
      <c r="U30" s="9"/>
      <c r="V30" s="9"/>
      <c r="W30" s="9"/>
      <c r="X30" s="9"/>
      <c r="Y30" s="9"/>
      <c r="Z30" s="9"/>
      <c r="AA30" s="9"/>
      <c r="AB30" s="6"/>
      <c r="AC30" s="26">
        <f t="shared" si="4"/>
        <v>1</v>
      </c>
      <c r="AD30" s="6" t="s">
        <v>76</v>
      </c>
    </row>
    <row r="31" spans="1:30" ht="14.25" x14ac:dyDescent="0.3">
      <c r="A31" s="97" t="str">
        <f>'inputs¦Engineering'!E19</f>
        <v>Gas Measurement Upgrade - including shades</v>
      </c>
      <c r="B31" s="8" t="str">
        <f>VLOOKUP($A31,'inputs¦Engineering'!$E$4:$AN$75,34,FALSE)</f>
        <v>RBP</v>
      </c>
      <c r="C31" s="8">
        <f>VLOOKUP($A31,'inputs¦Engineering'!$E$4:$AN$75,3,FALSE)</f>
        <v>0</v>
      </c>
      <c r="D31" s="10">
        <f>IF($N31="Exclude",0,VLOOKUP($A31,'inputs¦Engineering'!$E$4:$AN$75,D$16+6,FALSE))</f>
        <v>0</v>
      </c>
      <c r="E31" s="10">
        <f>IF($N31="Exclude",0,VLOOKUP($A31,'inputs¦Engineering'!$E$4:$AN$75,E$16+6,FALSE))</f>
        <v>0</v>
      </c>
      <c r="F31" s="10">
        <f>IF($N31="Exclude",0,VLOOKUP($A31,'inputs¦Engineering'!$E$4:$AN$75,F$16+6,FALSE))</f>
        <v>0</v>
      </c>
      <c r="G31" s="10">
        <f>IF($N31="Exclude",0,VLOOKUP($A31,'inputs¦Engineering'!$E$4:$AN$75,G$16+6,FALSE))</f>
        <v>50000</v>
      </c>
      <c r="H31" s="10">
        <f>IF($N31="Exclude",0,VLOOKUP($A31,'inputs¦Engineering'!$E$4:$AN$75,H$16+6,FALSE))</f>
        <v>50000</v>
      </c>
      <c r="I31" s="10">
        <f>IF($N31="Exclude",0,VLOOKUP($A31,'inputs¦Engineering'!$E$4:$AN$75,I$16+6,FALSE))</f>
        <v>0</v>
      </c>
      <c r="J31" s="8" t="str">
        <f>VLOOKUP($A31,'inputs¦Engineering'!$E$4:$AN$100,21,FALSE)</f>
        <v>SIB</v>
      </c>
      <c r="K31" s="8" t="str">
        <f>VLOOKUP($A31,'inputs¦Engineering'!$E$4:$AN$100,33,FALSE)</f>
        <v>Station</v>
      </c>
      <c r="L31" s="8">
        <f>VLOOKUP($A31,'inputs¦Engineering'!$E$4:$AN$100,29,FALSE)</f>
        <v>0</v>
      </c>
      <c r="M31" s="8" t="str">
        <f>VLOOKUP($A31,'inputs¦Engineering'!$E$4:$AN$100,33,FALSE)</f>
        <v>Station</v>
      </c>
      <c r="N31" s="94" t="str">
        <f t="shared" si="0"/>
        <v>Stay in Business</v>
      </c>
      <c r="O31" s="7" t="str">
        <f t="shared" si="1"/>
        <v>SIB</v>
      </c>
      <c r="P31" s="7">
        <f t="shared" si="2"/>
        <v>100000</v>
      </c>
      <c r="Q31" s="11" t="str">
        <f t="shared" si="3"/>
        <v>0</v>
      </c>
      <c r="R31" s="9"/>
      <c r="S31" s="9"/>
      <c r="T31" s="9"/>
      <c r="U31" s="9"/>
      <c r="V31" s="9"/>
      <c r="W31" s="9"/>
      <c r="X31" s="9"/>
      <c r="Y31" s="9"/>
      <c r="Z31" s="9"/>
      <c r="AA31" s="9">
        <v>1</v>
      </c>
      <c r="AB31" s="9"/>
      <c r="AC31" s="26">
        <f t="shared" si="4"/>
        <v>1</v>
      </c>
      <c r="AD31" s="6" t="s">
        <v>76</v>
      </c>
    </row>
    <row r="32" spans="1:30" ht="14.25" x14ac:dyDescent="0.3">
      <c r="A32" s="97" t="str">
        <f>'inputs¦Engineering'!E20</f>
        <v>GIBSON ISLAND E/I REVIEW FEED</v>
      </c>
      <c r="B32" s="8" t="str">
        <f>VLOOKUP($A32,'inputs¦Engineering'!$E$4:$AN$75,34,FALSE)</f>
        <v>RBP</v>
      </c>
      <c r="C32" s="8" t="str">
        <f>VLOOKUP($A32,'inputs¦Engineering'!$E$4:$AN$75,3,FALSE)</f>
        <v>Incorporated in RTU upgrade works in FY16. this review is required to address Haz area, Flow computer and other component review.</v>
      </c>
      <c r="D32" s="10">
        <f>IF($N32="Exclude",0,VLOOKUP($A32,'inputs¦Engineering'!$E$4:$AN$75,D$16+6,FALSE))</f>
        <v>10000</v>
      </c>
      <c r="E32" s="10">
        <f>IF($N32="Exclude",0,VLOOKUP($A32,'inputs¦Engineering'!$E$4:$AN$75,E$16+6,FALSE))</f>
        <v>0</v>
      </c>
      <c r="F32" s="10">
        <f>IF($N32="Exclude",0,VLOOKUP($A32,'inputs¦Engineering'!$E$4:$AN$75,F$16+6,FALSE))</f>
        <v>0</v>
      </c>
      <c r="G32" s="10">
        <f>IF($N32="Exclude",0,VLOOKUP($A32,'inputs¦Engineering'!$E$4:$AN$75,G$16+6,FALSE))</f>
        <v>0</v>
      </c>
      <c r="H32" s="10">
        <f>IF($N32="Exclude",0,VLOOKUP($A32,'inputs¦Engineering'!$E$4:$AN$75,H$16+6,FALSE))</f>
        <v>0</v>
      </c>
      <c r="I32" s="10">
        <f>IF($N32="Exclude",0,VLOOKUP($A32,'inputs¦Engineering'!$E$4:$AN$75,I$16+6,FALSE))</f>
        <v>0</v>
      </c>
      <c r="J32" s="8" t="str">
        <f>VLOOKUP($A32,'inputs¦Engineering'!$E$4:$AN$100,21,FALSE)</f>
        <v>SIB</v>
      </c>
      <c r="K32" s="8" t="str">
        <f>VLOOKUP($A32,'inputs¦Engineering'!$E$4:$AN$100,33,FALSE)</f>
        <v>Station</v>
      </c>
      <c r="L32" s="8">
        <f>VLOOKUP($A32,'inputs¦Engineering'!$E$4:$AN$100,29,FALSE)</f>
        <v>0</v>
      </c>
      <c r="M32" s="8" t="str">
        <f>VLOOKUP($A32,'inputs¦Engineering'!$E$4:$AN$100,33,FALSE)</f>
        <v>Station</v>
      </c>
      <c r="N32" s="94" t="str">
        <f t="shared" si="0"/>
        <v>Stay in Business</v>
      </c>
      <c r="O32" s="7" t="str">
        <f t="shared" si="1"/>
        <v>SIB</v>
      </c>
      <c r="P32" s="7">
        <f t="shared" si="2"/>
        <v>10000</v>
      </c>
      <c r="Q32" s="11" t="str">
        <f t="shared" si="3"/>
        <v>0</v>
      </c>
      <c r="R32" s="9"/>
      <c r="S32" s="9"/>
      <c r="T32" s="9"/>
      <c r="U32" s="9"/>
      <c r="V32" s="9"/>
      <c r="W32" s="9"/>
      <c r="X32" s="9"/>
      <c r="Y32" s="9"/>
      <c r="Z32" s="9"/>
      <c r="AA32" s="9">
        <v>1</v>
      </c>
      <c r="AB32" s="9"/>
      <c r="AC32" s="26">
        <f t="shared" si="4"/>
        <v>1</v>
      </c>
      <c r="AD32" s="6" t="s">
        <v>76</v>
      </c>
    </row>
    <row r="33" spans="1:30" ht="14.25" x14ac:dyDescent="0.3">
      <c r="A33" s="97" t="str">
        <f>'inputs¦Engineering'!E21</f>
        <v>Gibson Island Pressure Vessel platforms</v>
      </c>
      <c r="B33" s="8" t="str">
        <f>VLOOKUP($A33,'inputs¦Engineering'!$E$4:$AN$75,34,FALSE)</f>
        <v>RBP</v>
      </c>
      <c r="C33" s="8">
        <f>VLOOKUP($A33,'inputs¦Engineering'!$E$4:$AN$75,3,FALSE)</f>
        <v>0</v>
      </c>
      <c r="D33" s="10">
        <f>IF($N33="Exclude",0,VLOOKUP($A33,'inputs¦Engineering'!$E$4:$AN$75,D$16+6,FALSE))</f>
        <v>0</v>
      </c>
      <c r="E33" s="10">
        <f>IF($N33="Exclude",0,VLOOKUP($A33,'inputs¦Engineering'!$E$4:$AN$75,E$16+6,FALSE))</f>
        <v>0</v>
      </c>
      <c r="F33" s="10">
        <f>IF($N33="Exclude",0,VLOOKUP($A33,'inputs¦Engineering'!$E$4:$AN$75,F$16+6,FALSE))</f>
        <v>0</v>
      </c>
      <c r="G33" s="10">
        <f>IF($N33="Exclude",0,VLOOKUP($A33,'inputs¦Engineering'!$E$4:$AN$75,G$16+6,FALSE))</f>
        <v>80000</v>
      </c>
      <c r="H33" s="10">
        <f>IF($N33="Exclude",0,VLOOKUP($A33,'inputs¦Engineering'!$E$4:$AN$75,H$16+6,FALSE))</f>
        <v>0</v>
      </c>
      <c r="I33" s="10">
        <f>IF($N33="Exclude",0,VLOOKUP($A33,'inputs¦Engineering'!$E$4:$AN$75,I$16+6,FALSE))</f>
        <v>0</v>
      </c>
      <c r="J33" s="8" t="str">
        <f>VLOOKUP($A33,'inputs¦Engineering'!$E$4:$AN$100,21,FALSE)</f>
        <v>SIB</v>
      </c>
      <c r="K33" s="8" t="str">
        <f>VLOOKUP($A33,'inputs¦Engineering'!$E$4:$AN$100,33,FALSE)</f>
        <v>Station</v>
      </c>
      <c r="L33" s="8">
        <f>VLOOKUP($A33,'inputs¦Engineering'!$E$4:$AN$100,29,FALSE)</f>
        <v>0</v>
      </c>
      <c r="M33" s="8" t="str">
        <f>VLOOKUP($A33,'inputs¦Engineering'!$E$4:$AN$100,33,FALSE)</f>
        <v>Station</v>
      </c>
      <c r="N33" s="94" t="str">
        <f t="shared" si="0"/>
        <v>Stay in Business</v>
      </c>
      <c r="O33" s="7" t="str">
        <f t="shared" si="1"/>
        <v>SIB</v>
      </c>
      <c r="P33" s="7">
        <f t="shared" si="2"/>
        <v>80000</v>
      </c>
      <c r="Q33" s="11" t="str">
        <f t="shared" si="3"/>
        <v>0</v>
      </c>
      <c r="R33" s="9"/>
      <c r="S33" s="9"/>
      <c r="T33" s="9"/>
      <c r="U33" s="9">
        <v>1</v>
      </c>
      <c r="V33" s="9"/>
      <c r="W33" s="9"/>
      <c r="X33" s="9"/>
      <c r="Y33" s="9"/>
      <c r="Z33" s="9"/>
      <c r="AA33" s="9"/>
      <c r="AB33" s="9"/>
      <c r="AC33" s="26">
        <f t="shared" si="4"/>
        <v>1</v>
      </c>
      <c r="AD33" s="6" t="s">
        <v>76</v>
      </c>
    </row>
    <row r="34" spans="1:30" ht="14.25" x14ac:dyDescent="0.3">
      <c r="A34" s="97" t="str">
        <f>'inputs¦Engineering'!E22</f>
        <v>Lands Property Database</v>
      </c>
      <c r="B34" s="8" t="str">
        <f>VLOOKUP($A34,'inputs¦Engineering'!$E$4:$AN$75,34,FALSE)</f>
        <v>QLD</v>
      </c>
      <c r="C34" s="8">
        <f>VLOOKUP($A34,'inputs¦Engineering'!$E$4:$AN$75,3,FALSE)</f>
        <v>0</v>
      </c>
      <c r="D34" s="10">
        <f>IF($N34="Exclude",0,VLOOKUP($A34,'inputs¦Engineering'!$E$4:$AN$75,D$16+6,FALSE))</f>
        <v>0</v>
      </c>
      <c r="E34" s="10">
        <f>IF($N34="Exclude",0,VLOOKUP($A34,'inputs¦Engineering'!$E$4:$AN$75,E$16+6,FALSE))</f>
        <v>0</v>
      </c>
      <c r="F34" s="10">
        <f>IF($N34="Exclude",0,VLOOKUP($A34,'inputs¦Engineering'!$E$4:$AN$75,F$16+6,FALSE))</f>
        <v>0</v>
      </c>
      <c r="G34" s="10">
        <f>IF($N34="Exclude",0,VLOOKUP($A34,'inputs¦Engineering'!$E$4:$AN$75,G$16+6,FALSE))</f>
        <v>0</v>
      </c>
      <c r="H34" s="10">
        <f>IF($N34="Exclude",0,VLOOKUP($A34,'inputs¦Engineering'!$E$4:$AN$75,H$16+6,FALSE))</f>
        <v>0</v>
      </c>
      <c r="I34" s="10">
        <f>IF($N34="Exclude",0,VLOOKUP($A34,'inputs¦Engineering'!$E$4:$AN$75,I$16+6,FALSE))</f>
        <v>0</v>
      </c>
      <c r="J34" s="8" t="str">
        <f>VLOOKUP($A34,'inputs¦Engineering'!$E$4:$AN$100,21,FALSE)</f>
        <v>MEJ</v>
      </c>
      <c r="K34" s="8" t="str">
        <f>VLOOKUP($A34,'inputs¦Engineering'!$E$4:$AN$100,33,FALSE)</f>
        <v>Easement</v>
      </c>
      <c r="L34" s="8">
        <f>VLOOKUP($A34,'inputs¦Engineering'!$E$4:$AN$100,29,FALSE)</f>
        <v>0</v>
      </c>
      <c r="M34" s="8" t="str">
        <f>VLOOKUP($A34,'inputs¦Engineering'!$E$4:$AN$100,33,FALSE)</f>
        <v>Easement</v>
      </c>
      <c r="N34" s="94" t="str">
        <f t="shared" si="0"/>
        <v>Exclude</v>
      </c>
      <c r="O34" s="7" t="str">
        <f t="shared" si="1"/>
        <v>MEJ</v>
      </c>
      <c r="P34" s="7">
        <f t="shared" si="2"/>
        <v>0</v>
      </c>
      <c r="Q34" s="11" t="str">
        <f t="shared" si="3"/>
        <v>0</v>
      </c>
      <c r="R34" s="9"/>
      <c r="S34" s="9"/>
      <c r="T34" s="9"/>
      <c r="U34" s="9"/>
      <c r="V34" s="9"/>
      <c r="W34" s="9"/>
      <c r="X34" s="9"/>
      <c r="Y34" s="9"/>
      <c r="Z34" s="9">
        <v>1</v>
      </c>
      <c r="AA34" s="9"/>
      <c r="AB34" s="9"/>
      <c r="AC34" s="26">
        <f t="shared" si="4"/>
        <v>1</v>
      </c>
      <c r="AD34" s="6" t="s">
        <v>76</v>
      </c>
    </row>
    <row r="35" spans="1:30" ht="14.25" x14ac:dyDescent="0.3">
      <c r="A35" s="97" t="str">
        <f>'inputs¦Engineering'!E23</f>
        <v>Laser Scanner for Feature Assessment</v>
      </c>
      <c r="B35" s="8" t="str">
        <f>VLOOKUP($A35,'inputs¦Engineering'!$E$4:$AN$75,34,FALSE)</f>
        <v>RBP</v>
      </c>
      <c r="C35" s="8" t="str">
        <f>VLOOKUP($A35,'inputs¦Engineering'!$E$4:$AN$75,3,FALSE)</f>
        <v>Replacement of Laser Scanner for feature assessment;</v>
      </c>
      <c r="D35" s="10">
        <f>IF($N35="Exclude",0,VLOOKUP($A35,'inputs¦Engineering'!$E$4:$AN$75,D$16+6,FALSE))</f>
        <v>0</v>
      </c>
      <c r="E35" s="10">
        <f>IF($N35="Exclude",0,VLOOKUP($A35,'inputs¦Engineering'!$E$4:$AN$75,E$16+6,FALSE))</f>
        <v>0</v>
      </c>
      <c r="F35" s="10">
        <f>IF($N35="Exclude",0,VLOOKUP($A35,'inputs¦Engineering'!$E$4:$AN$75,F$16+6,FALSE))</f>
        <v>0</v>
      </c>
      <c r="G35" s="10">
        <f>IF($N35="Exclude",0,VLOOKUP($A35,'inputs¦Engineering'!$E$4:$AN$75,G$16+6,FALSE))</f>
        <v>0</v>
      </c>
      <c r="H35" s="10">
        <f>IF($N35="Exclude",0,VLOOKUP($A35,'inputs¦Engineering'!$E$4:$AN$75,H$16+6,FALSE))</f>
        <v>150000</v>
      </c>
      <c r="I35" s="10">
        <f>IF($N35="Exclude",0,VLOOKUP($A35,'inputs¦Engineering'!$E$4:$AN$75,I$16+6,FALSE))</f>
        <v>0</v>
      </c>
      <c r="J35" s="8" t="str">
        <f>VLOOKUP($A35,'inputs¦Engineering'!$E$4:$AN$100,21,FALSE)</f>
        <v>SIB</v>
      </c>
      <c r="K35" s="8" t="str">
        <f>VLOOKUP($A35,'inputs¦Engineering'!$E$4:$AN$100,33,FALSE)</f>
        <v>Pipeline</v>
      </c>
      <c r="L35" s="8" t="str">
        <f>VLOOKUP($A35,'inputs¦Engineering'!$E$4:$AN$100,29,FALSE)</f>
        <v>AA-03</v>
      </c>
      <c r="M35" s="8" t="str">
        <f>VLOOKUP($A35,'inputs¦Engineering'!$E$4:$AN$100,33,FALSE)</f>
        <v>Pipeline</v>
      </c>
      <c r="N35" s="94" t="str">
        <f t="shared" si="0"/>
        <v>Stay in Business</v>
      </c>
      <c r="O35" s="7" t="str">
        <f t="shared" si="1"/>
        <v>SIB</v>
      </c>
      <c r="P35" s="7">
        <f t="shared" si="2"/>
        <v>150000</v>
      </c>
      <c r="Q35" s="11" t="str">
        <f t="shared" si="3"/>
        <v>AA</v>
      </c>
      <c r="R35" s="9">
        <v>0.5</v>
      </c>
      <c r="S35" s="9">
        <v>0.5</v>
      </c>
      <c r="T35" s="9"/>
      <c r="U35" s="9"/>
      <c r="V35" s="9"/>
      <c r="W35" s="9"/>
      <c r="X35" s="9"/>
      <c r="Y35" s="9"/>
      <c r="Z35" s="9"/>
      <c r="AA35" s="9"/>
      <c r="AB35" s="6"/>
      <c r="AC35" s="26">
        <f t="shared" si="4"/>
        <v>1</v>
      </c>
      <c r="AD35" s="6" t="s">
        <v>76</v>
      </c>
    </row>
    <row r="36" spans="1:30" ht="14.25" x14ac:dyDescent="0.3">
      <c r="A36" s="97" t="str">
        <f>'inputs¦Engineering'!E24</f>
        <v>LOSS OF SUPPLY DESIGN REVIEW</v>
      </c>
      <c r="B36" s="8" t="str">
        <f>VLOOKUP($A36,'inputs¦Engineering'!$E$4:$AN$75,34,FALSE)</f>
        <v>QLD</v>
      </c>
      <c r="C36" s="8" t="str">
        <f>VLOOKUP($A36,'inputs¦Engineering'!$E$4:$AN$75,3,FALSE)</f>
        <v>Critical sites for supply not fully understood</v>
      </c>
      <c r="D36" s="10">
        <f>IF($N36="Exclude",0,VLOOKUP($A36,'inputs¦Engineering'!$E$4:$AN$75,D$16+6,FALSE))</f>
        <v>15000</v>
      </c>
      <c r="E36" s="10">
        <f>IF($N36="Exclude",0,VLOOKUP($A36,'inputs¦Engineering'!$E$4:$AN$75,E$16+6,FALSE))</f>
        <v>0</v>
      </c>
      <c r="F36" s="10">
        <f>IF($N36="Exclude",0,VLOOKUP($A36,'inputs¦Engineering'!$E$4:$AN$75,F$16+6,FALSE))</f>
        <v>0</v>
      </c>
      <c r="G36" s="10">
        <f>IF($N36="Exclude",0,VLOOKUP($A36,'inputs¦Engineering'!$E$4:$AN$75,G$16+6,FALSE))</f>
        <v>0</v>
      </c>
      <c r="H36" s="10">
        <f>IF($N36="Exclude",0,VLOOKUP($A36,'inputs¦Engineering'!$E$4:$AN$75,H$16+6,FALSE))</f>
        <v>0</v>
      </c>
      <c r="I36" s="10">
        <f>IF($N36="Exclude",0,VLOOKUP($A36,'inputs¦Engineering'!$E$4:$AN$75,I$16+6,FALSE))</f>
        <v>0</v>
      </c>
      <c r="J36" s="8" t="str">
        <f>VLOOKUP($A36,'inputs¦Engineering'!$E$4:$AN$100,21,FALSE)</f>
        <v>BAU</v>
      </c>
      <c r="K36" s="8" t="str">
        <f>VLOOKUP($A36,'inputs¦Engineering'!$E$4:$AN$100,33,FALSE)</f>
        <v>Station</v>
      </c>
      <c r="L36" s="8">
        <f>VLOOKUP($A36,'inputs¦Engineering'!$E$4:$AN$100,29,FALSE)</f>
        <v>0</v>
      </c>
      <c r="M36" s="8" t="str">
        <f>VLOOKUP($A36,'inputs¦Engineering'!$E$4:$AN$100,33,FALSE)</f>
        <v>Station</v>
      </c>
      <c r="N36" s="94" t="str">
        <f t="shared" si="0"/>
        <v>Stay in Business</v>
      </c>
      <c r="O36" s="7" t="str">
        <f t="shared" si="1"/>
        <v>BAU</v>
      </c>
      <c r="P36" s="7">
        <f t="shared" si="2"/>
        <v>15000</v>
      </c>
      <c r="Q36" s="11" t="str">
        <f t="shared" si="3"/>
        <v>0</v>
      </c>
      <c r="R36" s="9"/>
      <c r="S36" s="9"/>
      <c r="T36" s="9"/>
      <c r="U36" s="9"/>
      <c r="V36" s="9"/>
      <c r="W36" s="9"/>
      <c r="X36" s="9"/>
      <c r="Y36" s="9"/>
      <c r="Z36" s="9"/>
      <c r="AA36" s="9">
        <v>1</v>
      </c>
      <c r="AB36" s="9"/>
      <c r="AC36" s="26">
        <f t="shared" si="4"/>
        <v>1</v>
      </c>
      <c r="AD36" s="6" t="s">
        <v>76</v>
      </c>
    </row>
    <row r="37" spans="1:30" ht="14.25" x14ac:dyDescent="0.3">
      <c r="A37" s="97" t="str">
        <f>'inputs¦Engineering'!E25</f>
        <v>METER PERFORMANCE PROGRAM FEED</v>
      </c>
      <c r="B37" s="8" t="str">
        <f>VLOOKUP($A37,'inputs¦Engineering'!$E$4:$AN$75,34,FALSE)</f>
        <v>QLD</v>
      </c>
      <c r="C37" s="8" t="str">
        <f>VLOOKUP($A37,'inputs¦Engineering'!$E$4:$AN$75,3,FALSE)</f>
        <v xml:space="preserve">Review status of existing meters and maintenance costs / process and assess for upgrading/replacing meters.   - audits conducted on meter performance; </v>
      </c>
      <c r="D37" s="10">
        <f>IF($N37="Exclude",0,VLOOKUP($A37,'inputs¦Engineering'!$E$4:$AN$75,D$16+6,FALSE))</f>
        <v>0</v>
      </c>
      <c r="E37" s="10">
        <f>IF($N37="Exclude",0,VLOOKUP($A37,'inputs¦Engineering'!$E$4:$AN$75,E$16+6,FALSE))</f>
        <v>10000</v>
      </c>
      <c r="F37" s="10">
        <f>IF($N37="Exclude",0,VLOOKUP($A37,'inputs¦Engineering'!$E$4:$AN$75,F$16+6,FALSE))</f>
        <v>0</v>
      </c>
      <c r="G37" s="10">
        <f>IF($N37="Exclude",0,VLOOKUP($A37,'inputs¦Engineering'!$E$4:$AN$75,G$16+6,FALSE))</f>
        <v>0</v>
      </c>
      <c r="H37" s="10">
        <f>IF($N37="Exclude",0,VLOOKUP($A37,'inputs¦Engineering'!$E$4:$AN$75,H$16+6,FALSE))</f>
        <v>0</v>
      </c>
      <c r="I37" s="10">
        <f>IF($N37="Exclude",0,VLOOKUP($A37,'inputs¦Engineering'!$E$4:$AN$75,I$16+6,FALSE))</f>
        <v>0</v>
      </c>
      <c r="J37" s="8" t="str">
        <f>VLOOKUP($A37,'inputs¦Engineering'!$E$4:$AN$100,21,FALSE)</f>
        <v>BAU</v>
      </c>
      <c r="K37" s="8" t="str">
        <f>VLOOKUP($A37,'inputs¦Engineering'!$E$4:$AN$100,33,FALSE)</f>
        <v>Station</v>
      </c>
      <c r="L37" s="8">
        <f>VLOOKUP($A37,'inputs¦Engineering'!$E$4:$AN$100,29,FALSE)</f>
        <v>0</v>
      </c>
      <c r="M37" s="8" t="str">
        <f>VLOOKUP($A37,'inputs¦Engineering'!$E$4:$AN$100,33,FALSE)</f>
        <v>Station</v>
      </c>
      <c r="N37" s="94" t="str">
        <f t="shared" si="0"/>
        <v>Stay in Business</v>
      </c>
      <c r="O37" s="7" t="str">
        <f t="shared" si="1"/>
        <v>BAU</v>
      </c>
      <c r="P37" s="7">
        <f t="shared" si="2"/>
        <v>10000</v>
      </c>
      <c r="Q37" s="11" t="str">
        <f t="shared" si="3"/>
        <v>0</v>
      </c>
      <c r="R37" s="9"/>
      <c r="S37" s="9"/>
      <c r="T37" s="9"/>
      <c r="U37" s="9">
        <v>1</v>
      </c>
      <c r="V37" s="9"/>
      <c r="W37" s="9"/>
      <c r="X37" s="9"/>
      <c r="Y37" s="9"/>
      <c r="Z37" s="9"/>
      <c r="AA37" s="9"/>
      <c r="AB37" s="9"/>
      <c r="AC37" s="26">
        <f t="shared" si="4"/>
        <v>1</v>
      </c>
      <c r="AD37" s="6" t="s">
        <v>76</v>
      </c>
    </row>
    <row r="38" spans="1:30" ht="14.25" x14ac:dyDescent="0.3">
      <c r="A38" s="97" t="str">
        <f>'inputs¦Engineering'!E26</f>
        <v>MP14 MLV Removal - study and implementation</v>
      </c>
      <c r="B38" s="8" t="str">
        <f>VLOOKUP($A38,'inputs¦Engineering'!$E$4:$AN$75,34,FALSE)</f>
        <v>RBP</v>
      </c>
      <c r="C38" s="8" t="str">
        <f>VLOOKUP($A38,'inputs¦Engineering'!$E$4:$AN$75,3,FALSE)</f>
        <v xml:space="preserve">Moved to Fy16 - P4 item. </v>
      </c>
      <c r="D38" s="10">
        <f>IF($N38="Exclude",0,VLOOKUP($A38,'inputs¦Engineering'!$E$4:$AN$75,D$16+6,FALSE))</f>
        <v>0</v>
      </c>
      <c r="E38" s="10">
        <f>IF($N38="Exclude",0,VLOOKUP($A38,'inputs¦Engineering'!$E$4:$AN$75,E$16+6,FALSE))</f>
        <v>0</v>
      </c>
      <c r="F38" s="10">
        <f>IF($N38="Exclude",0,VLOOKUP($A38,'inputs¦Engineering'!$E$4:$AN$75,F$16+6,FALSE))</f>
        <v>0</v>
      </c>
      <c r="G38" s="10">
        <f>IF($N38="Exclude",0,VLOOKUP($A38,'inputs¦Engineering'!$E$4:$AN$75,G$16+6,FALSE))</f>
        <v>0</v>
      </c>
      <c r="H38" s="10">
        <f>IF($N38="Exclude",0,VLOOKUP($A38,'inputs¦Engineering'!$E$4:$AN$75,H$16+6,FALSE))</f>
        <v>0</v>
      </c>
      <c r="I38" s="10">
        <f>IF($N38="Exclude",0,VLOOKUP($A38,'inputs¦Engineering'!$E$4:$AN$75,I$16+6,FALSE))</f>
        <v>0</v>
      </c>
      <c r="J38" s="8" t="str">
        <f>VLOOKUP($A38,'inputs¦Engineering'!$E$4:$AN$100,21,FALSE)</f>
        <v>BAU</v>
      </c>
      <c r="K38" s="8" t="str">
        <f>VLOOKUP($A38,'inputs¦Engineering'!$E$4:$AN$100,33,FALSE)</f>
        <v>Pipeline</v>
      </c>
      <c r="L38" s="8">
        <f>VLOOKUP($A38,'inputs¦Engineering'!$E$4:$AN$100,29,FALSE)</f>
        <v>0</v>
      </c>
      <c r="M38" s="8" t="str">
        <f>VLOOKUP($A38,'inputs¦Engineering'!$E$4:$AN$100,33,FALSE)</f>
        <v>Pipeline</v>
      </c>
      <c r="N38" s="94" t="str">
        <f t="shared" si="0"/>
        <v>Stay in Business</v>
      </c>
      <c r="O38" s="7" t="str">
        <f t="shared" si="1"/>
        <v>BAU</v>
      </c>
      <c r="P38" s="7">
        <f t="shared" si="2"/>
        <v>0</v>
      </c>
      <c r="Q38" s="11" t="str">
        <f t="shared" si="3"/>
        <v>0</v>
      </c>
      <c r="R38" s="9"/>
      <c r="S38" s="9">
        <v>1</v>
      </c>
      <c r="T38" s="9"/>
      <c r="U38" s="9"/>
      <c r="V38" s="9"/>
      <c r="W38" s="9"/>
      <c r="X38" s="9"/>
      <c r="Y38" s="9"/>
      <c r="Z38" s="9"/>
      <c r="AA38" s="9"/>
      <c r="AB38" s="9"/>
      <c r="AC38" s="26">
        <f t="shared" si="4"/>
        <v>1</v>
      </c>
      <c r="AD38" s="6" t="s">
        <v>76</v>
      </c>
    </row>
    <row r="39" spans="1:30" ht="14.25" x14ac:dyDescent="0.3">
      <c r="A39" s="97" t="str">
        <f>'inputs¦Engineering'!E27</f>
        <v>PEAT lateral cleaning pigging</v>
      </c>
      <c r="B39" s="8" t="str">
        <f>VLOOKUP($A39,'inputs¦Engineering'!$E$4:$AN$75,34,FALSE)</f>
        <v>RBP</v>
      </c>
      <c r="C39" s="8" t="str">
        <f>VLOOKUP($A39,'inputs¦Engineering'!$E$4:$AN$75,3,FALSE)</f>
        <v>Liquids issue in Peat Lateral - also impacting CP isolation</v>
      </c>
      <c r="D39" s="10">
        <f>IF($N39="Exclude",0,VLOOKUP($A39,'inputs¦Engineering'!$E$4:$AN$75,D$16+6,FALSE))</f>
        <v>15000</v>
      </c>
      <c r="E39" s="10">
        <f>IF($N39="Exclude",0,VLOOKUP($A39,'inputs¦Engineering'!$E$4:$AN$75,E$16+6,FALSE))</f>
        <v>0</v>
      </c>
      <c r="F39" s="10">
        <f>IF($N39="Exclude",0,VLOOKUP($A39,'inputs¦Engineering'!$E$4:$AN$75,F$16+6,FALSE))</f>
        <v>0</v>
      </c>
      <c r="G39" s="10">
        <f>IF($N39="Exclude",0,VLOOKUP($A39,'inputs¦Engineering'!$E$4:$AN$75,G$16+6,FALSE))</f>
        <v>0</v>
      </c>
      <c r="H39" s="10">
        <f>IF($N39="Exclude",0,VLOOKUP($A39,'inputs¦Engineering'!$E$4:$AN$75,H$16+6,FALSE))</f>
        <v>0</v>
      </c>
      <c r="I39" s="10">
        <f>IF($N39="Exclude",0,VLOOKUP($A39,'inputs¦Engineering'!$E$4:$AN$75,I$16+6,FALSE))</f>
        <v>0</v>
      </c>
      <c r="J39" s="8" t="str">
        <f>VLOOKUP($A39,'inputs¦Engineering'!$E$4:$AN$100,21,FALSE)</f>
        <v>BAU</v>
      </c>
      <c r="K39" s="8" t="str">
        <f>VLOOKUP($A39,'inputs¦Engineering'!$E$4:$AN$100,33,FALSE)</f>
        <v>Pipeline</v>
      </c>
      <c r="L39" s="8">
        <f>VLOOKUP($A39,'inputs¦Engineering'!$E$4:$AN$100,29,FALSE)</f>
        <v>0</v>
      </c>
      <c r="M39" s="8" t="str">
        <f>VLOOKUP($A39,'inputs¦Engineering'!$E$4:$AN$100,33,FALSE)</f>
        <v>Pipeline</v>
      </c>
      <c r="N39" s="94" t="str">
        <f t="shared" si="0"/>
        <v>Stay in Business</v>
      </c>
      <c r="O39" s="7" t="str">
        <f t="shared" si="1"/>
        <v>BAU</v>
      </c>
      <c r="P39" s="7">
        <f t="shared" si="2"/>
        <v>15000</v>
      </c>
      <c r="Q39" s="11" t="str">
        <f t="shared" si="3"/>
        <v>0</v>
      </c>
      <c r="R39" s="9"/>
      <c r="S39" s="9"/>
      <c r="T39" s="9"/>
      <c r="U39" s="9"/>
      <c r="V39" s="9"/>
      <c r="W39" s="9"/>
      <c r="X39" s="9"/>
      <c r="Y39" s="9"/>
      <c r="Z39" s="9"/>
      <c r="AA39" s="9">
        <v>1</v>
      </c>
      <c r="AB39" s="9"/>
      <c r="AC39" s="26">
        <f t="shared" si="4"/>
        <v>1</v>
      </c>
      <c r="AD39" s="6" t="s">
        <v>76</v>
      </c>
    </row>
    <row r="40" spans="1:30" ht="14.25" x14ac:dyDescent="0.3">
      <c r="A40" s="97" t="str">
        <f>'inputs¦Engineering'!E28</f>
        <v xml:space="preserve">PEAT LATERAL ILI - DN250 </v>
      </c>
      <c r="B40" s="8" t="str">
        <f>VLOOKUP($A40,'inputs¦Engineering'!$E$4:$AN$75,34,FALSE)</f>
        <v>RBP</v>
      </c>
      <c r="C40" s="8">
        <f>VLOOKUP($A40,'inputs¦Engineering'!$E$4:$AN$75,3,FALSE)</f>
        <v>0</v>
      </c>
      <c r="D40" s="10">
        <f>IF($N40="Exclude",0,VLOOKUP($A40,'inputs¦Engineering'!$E$4:$AN$75,D$16+6,FALSE))</f>
        <v>0</v>
      </c>
      <c r="E40" s="10">
        <f>IF($N40="Exclude",0,VLOOKUP($A40,'inputs¦Engineering'!$E$4:$AN$75,E$16+6,FALSE))</f>
        <v>0</v>
      </c>
      <c r="F40" s="10">
        <f>IF($N40="Exclude",0,VLOOKUP($A40,'inputs¦Engineering'!$E$4:$AN$75,F$16+6,FALSE))</f>
        <v>0</v>
      </c>
      <c r="G40" s="10">
        <f>IF($N40="Exclude",0,VLOOKUP($A40,'inputs¦Engineering'!$E$4:$AN$75,G$16+6,FALSE))</f>
        <v>140000</v>
      </c>
      <c r="H40" s="10">
        <f>IF($N40="Exclude",0,VLOOKUP($A40,'inputs¦Engineering'!$E$4:$AN$75,H$16+6,FALSE))</f>
        <v>0</v>
      </c>
      <c r="I40" s="10">
        <f>IF($N40="Exclude",0,VLOOKUP($A40,'inputs¦Engineering'!$E$4:$AN$75,I$16+6,FALSE))</f>
        <v>0</v>
      </c>
      <c r="J40" s="8" t="str">
        <f>VLOOKUP($A40,'inputs¦Engineering'!$E$4:$AN$100,21,FALSE)</f>
        <v>SIB</v>
      </c>
      <c r="K40" s="8" t="str">
        <f>VLOOKUP($A40,'inputs¦Engineering'!$E$4:$AN$100,33,FALSE)</f>
        <v>Pipeline</v>
      </c>
      <c r="L40" s="8" t="str">
        <f>VLOOKUP($A40,'inputs¦Engineering'!$E$4:$AN$100,29,FALSE)</f>
        <v>AA-03</v>
      </c>
      <c r="M40" s="8" t="str">
        <f>VLOOKUP($A40,'inputs¦Engineering'!$E$4:$AN$100,33,FALSE)</f>
        <v>Pipeline</v>
      </c>
      <c r="N40" s="94" t="str">
        <f t="shared" si="0"/>
        <v>Stay in Business</v>
      </c>
      <c r="O40" s="7" t="str">
        <f t="shared" si="1"/>
        <v>SIB</v>
      </c>
      <c r="P40" s="7">
        <f t="shared" si="2"/>
        <v>140000</v>
      </c>
      <c r="Q40" s="11" t="str">
        <f t="shared" si="3"/>
        <v>AA</v>
      </c>
      <c r="R40" s="9"/>
      <c r="S40" s="9">
        <v>1</v>
      </c>
      <c r="T40" s="9"/>
      <c r="U40" s="9"/>
      <c r="V40" s="9"/>
      <c r="W40" s="9"/>
      <c r="X40" s="9"/>
      <c r="Y40" s="9"/>
      <c r="Z40" s="9"/>
      <c r="AA40" s="9"/>
      <c r="AB40" s="9"/>
      <c r="AC40" s="26">
        <f t="shared" si="4"/>
        <v>1</v>
      </c>
      <c r="AD40" s="6" t="s">
        <v>76</v>
      </c>
    </row>
    <row r="41" spans="1:30" ht="14.25" x14ac:dyDescent="0.3">
      <c r="A41" s="97" t="str">
        <f>'inputs¦Engineering'!E29</f>
        <v xml:space="preserve">PEAT LATERAL LIQUIDS REMOVAL </v>
      </c>
      <c r="B41" s="8" t="str">
        <f>VLOOKUP($A41,'inputs¦Engineering'!$E$4:$AN$75,34,FALSE)</f>
        <v>RBP</v>
      </c>
      <c r="C41" s="8" t="str">
        <f>VLOOKUP($A41,'inputs¦Engineering'!$E$4:$AN$75,3,FALSE)</f>
        <v>Outcomes of FY14 works to be used - Implementation of liquids removal upgrade at Arubial, may need commercial input</v>
      </c>
      <c r="D41" s="10">
        <f>IF($N41="Exclude",0,VLOOKUP($A41,'inputs¦Engineering'!$E$4:$AN$75,D$16+6,FALSE))</f>
        <v>0</v>
      </c>
      <c r="E41" s="10">
        <f>IF($N41="Exclude",0,VLOOKUP($A41,'inputs¦Engineering'!$E$4:$AN$75,E$16+6,FALSE))</f>
        <v>300000</v>
      </c>
      <c r="F41" s="10">
        <f>IF($N41="Exclude",0,VLOOKUP($A41,'inputs¦Engineering'!$E$4:$AN$75,F$16+6,FALSE))</f>
        <v>0</v>
      </c>
      <c r="G41" s="10">
        <f>IF($N41="Exclude",0,VLOOKUP($A41,'inputs¦Engineering'!$E$4:$AN$75,G$16+6,FALSE))</f>
        <v>0</v>
      </c>
      <c r="H41" s="10">
        <f>IF($N41="Exclude",0,VLOOKUP($A41,'inputs¦Engineering'!$E$4:$AN$75,H$16+6,FALSE))</f>
        <v>0</v>
      </c>
      <c r="I41" s="10">
        <f>IF($N41="Exclude",0,VLOOKUP($A41,'inputs¦Engineering'!$E$4:$AN$75,I$16+6,FALSE))</f>
        <v>0</v>
      </c>
      <c r="J41" s="8" t="str">
        <f>VLOOKUP($A41,'inputs¦Engineering'!$E$4:$AN$100,21,FALSE)</f>
        <v>SIB</v>
      </c>
      <c r="K41" s="8" t="str">
        <f>VLOOKUP($A41,'inputs¦Engineering'!$E$4:$AN$100,33,FALSE)</f>
        <v>Station</v>
      </c>
      <c r="L41" s="8" t="str">
        <f>VLOOKUP($A41,'inputs¦Engineering'!$E$4:$AN$100,29,FALSE)</f>
        <v>AA-05</v>
      </c>
      <c r="M41" s="8" t="str">
        <f>VLOOKUP($A41,'inputs¦Engineering'!$E$4:$AN$100,33,FALSE)</f>
        <v>Station</v>
      </c>
      <c r="N41" s="94" t="str">
        <f t="shared" si="0"/>
        <v>Stay in Business</v>
      </c>
      <c r="O41" s="7" t="str">
        <f t="shared" si="1"/>
        <v>SIB</v>
      </c>
      <c r="P41" s="7">
        <f t="shared" si="2"/>
        <v>300000</v>
      </c>
      <c r="Q41" s="11" t="str">
        <f t="shared" si="3"/>
        <v>AA</v>
      </c>
      <c r="R41" s="9"/>
      <c r="S41" s="9">
        <v>1</v>
      </c>
      <c r="T41" s="9"/>
      <c r="U41" s="9"/>
      <c r="V41" s="9"/>
      <c r="W41" s="9"/>
      <c r="X41" s="9"/>
      <c r="Y41" s="9"/>
      <c r="Z41" s="9"/>
      <c r="AA41" s="9"/>
      <c r="AB41" s="9"/>
      <c r="AC41" s="26">
        <f t="shared" si="4"/>
        <v>1</v>
      </c>
      <c r="AD41" s="6" t="s">
        <v>76</v>
      </c>
    </row>
    <row r="42" spans="1:30" ht="14.25" x14ac:dyDescent="0.3">
      <c r="A42" s="97" t="str">
        <f>'inputs¦Engineering'!E30</f>
        <v>PIPELINE REPAIR &amp; EXCAVATION PROGRAM (unplanned)</v>
      </c>
      <c r="B42" s="8" t="str">
        <f>VLOOKUP($A42,'inputs¦Engineering'!$E$4:$AN$75,34,FALSE)</f>
        <v>RBP</v>
      </c>
      <c r="C42" s="8" t="str">
        <f>VLOOKUP($A42,'inputs¦Engineering'!$E$4:$AN$75,3,FALSE)</f>
        <v>DN400 Excavations as required - include direct assessment of unpiggable lines, DCVG outcome, ILI repairs / corrosion rate re-assessment</v>
      </c>
      <c r="D42" s="10">
        <f>IF($N42="Exclude",0,VLOOKUP($A42,'inputs¦Engineering'!$E$4:$AN$75,D$16+6,FALSE))</f>
        <v>100000</v>
      </c>
      <c r="E42" s="10">
        <f>IF($N42="Exclude",0,VLOOKUP($A42,'inputs¦Engineering'!$E$4:$AN$75,E$16+6,FALSE))</f>
        <v>100000</v>
      </c>
      <c r="F42" s="10">
        <f>IF($N42="Exclude",0,VLOOKUP($A42,'inputs¦Engineering'!$E$4:$AN$75,F$16+6,FALSE))</f>
        <v>100000</v>
      </c>
      <c r="G42" s="10">
        <f>IF($N42="Exclude",0,VLOOKUP($A42,'inputs¦Engineering'!$E$4:$AN$75,G$16+6,FALSE))</f>
        <v>100000</v>
      </c>
      <c r="H42" s="10">
        <f>IF($N42="Exclude",0,VLOOKUP($A42,'inputs¦Engineering'!$E$4:$AN$75,H$16+6,FALSE))</f>
        <v>100000</v>
      </c>
      <c r="I42" s="10">
        <f>IF($N42="Exclude",0,VLOOKUP($A42,'inputs¦Engineering'!$E$4:$AN$75,I$16+6,FALSE))</f>
        <v>0</v>
      </c>
      <c r="J42" s="8" t="str">
        <f>VLOOKUP($A42,'inputs¦Engineering'!$E$4:$AN$100,21,FALSE)</f>
        <v>SIB</v>
      </c>
      <c r="K42" s="8" t="str">
        <f>VLOOKUP($A42,'inputs¦Engineering'!$E$4:$AN$100,33,FALSE)</f>
        <v>Pipeline</v>
      </c>
      <c r="L42" s="8">
        <f>VLOOKUP($A42,'inputs¦Engineering'!$E$4:$AN$100,29,FALSE)</f>
        <v>0</v>
      </c>
      <c r="M42" s="8" t="str">
        <f>VLOOKUP($A42,'inputs¦Engineering'!$E$4:$AN$100,33,FALSE)</f>
        <v>Pipeline</v>
      </c>
      <c r="N42" s="94" t="str">
        <f t="shared" si="0"/>
        <v>Stay in Business</v>
      </c>
      <c r="O42" s="7" t="str">
        <f t="shared" si="1"/>
        <v>SIB</v>
      </c>
      <c r="P42" s="7">
        <f t="shared" si="2"/>
        <v>500000</v>
      </c>
      <c r="Q42" s="11" t="str">
        <f t="shared" si="3"/>
        <v>0</v>
      </c>
      <c r="R42" s="9"/>
      <c r="S42" s="9"/>
      <c r="T42" s="9"/>
      <c r="U42" s="9"/>
      <c r="V42" s="9"/>
      <c r="W42" s="9"/>
      <c r="X42" s="9"/>
      <c r="Y42" s="9"/>
      <c r="Z42" s="9"/>
      <c r="AA42" s="9">
        <v>1</v>
      </c>
      <c r="AB42" s="9"/>
      <c r="AC42" s="26">
        <f t="shared" si="4"/>
        <v>1</v>
      </c>
      <c r="AD42" s="6" t="s">
        <v>76</v>
      </c>
    </row>
    <row r="43" spans="1:30" ht="14.25" x14ac:dyDescent="0.3">
      <c r="A43" s="97" t="str">
        <f>'inputs¦Engineering'!E31</f>
        <v>Portable Slug Catcher - DN400</v>
      </c>
      <c r="B43" s="8" t="str">
        <f>VLOOKUP($A43,'inputs¦Engineering'!$E$4:$AN$75,34,FALSE)</f>
        <v>QLD</v>
      </c>
      <c r="C43" s="8" t="str">
        <f>VLOOKUP($A43,'inputs¦Engineering'!$E$4:$AN$75,3,FALSE)</f>
        <v>Liquids issues in Peat Lateral and Wallumbilla from RBP reverse flow and BWP - more frequent cleaning pigging required. Need more efficient means of capturing liquids</v>
      </c>
      <c r="D43" s="10">
        <f>IF($N43="Exclude",0,VLOOKUP($A43,'inputs¦Engineering'!$E$4:$AN$75,D$16+6,FALSE))</f>
        <v>400000</v>
      </c>
      <c r="E43" s="10">
        <f>IF($N43="Exclude",0,VLOOKUP($A43,'inputs¦Engineering'!$E$4:$AN$75,E$16+6,FALSE))</f>
        <v>0</v>
      </c>
      <c r="F43" s="10">
        <f>IF($N43="Exclude",0,VLOOKUP($A43,'inputs¦Engineering'!$E$4:$AN$75,F$16+6,FALSE))</f>
        <v>0</v>
      </c>
      <c r="G43" s="10">
        <f>IF($N43="Exclude",0,VLOOKUP($A43,'inputs¦Engineering'!$E$4:$AN$75,G$16+6,FALSE))</f>
        <v>0</v>
      </c>
      <c r="H43" s="10">
        <f>IF($N43="Exclude",0,VLOOKUP($A43,'inputs¦Engineering'!$E$4:$AN$75,H$16+6,FALSE))</f>
        <v>0</v>
      </c>
      <c r="I43" s="10">
        <f>IF($N43="Exclude",0,VLOOKUP($A43,'inputs¦Engineering'!$E$4:$AN$75,I$16+6,FALSE))</f>
        <v>0</v>
      </c>
      <c r="J43" s="8" t="str">
        <f>VLOOKUP($A43,'inputs¦Engineering'!$E$4:$AN$100,21,FALSE)</f>
        <v>SIB</v>
      </c>
      <c r="K43" s="8" t="str">
        <f>VLOOKUP($A43,'inputs¦Engineering'!$E$4:$AN$100,33,FALSE)</f>
        <v>Station</v>
      </c>
      <c r="L43" s="8" t="str">
        <f>VLOOKUP($A43,'inputs¦Engineering'!$E$4:$AN$100,29,FALSE)</f>
        <v>AA-05</v>
      </c>
      <c r="M43" s="8" t="str">
        <f>VLOOKUP($A43,'inputs¦Engineering'!$E$4:$AN$100,33,FALSE)</f>
        <v>Station</v>
      </c>
      <c r="N43" s="94" t="str">
        <f t="shared" si="0"/>
        <v>Stay in Business</v>
      </c>
      <c r="O43" s="7" t="str">
        <f t="shared" si="1"/>
        <v>SIB</v>
      </c>
      <c r="P43" s="7">
        <f t="shared" si="2"/>
        <v>400000</v>
      </c>
      <c r="Q43" s="11" t="str">
        <f t="shared" si="3"/>
        <v>AA</v>
      </c>
      <c r="R43" s="9"/>
      <c r="S43" s="9">
        <v>1</v>
      </c>
      <c r="T43" s="9"/>
      <c r="U43" s="9"/>
      <c r="V43" s="9"/>
      <c r="W43" s="9"/>
      <c r="X43" s="9"/>
      <c r="Y43" s="9"/>
      <c r="Z43" s="9"/>
      <c r="AA43" s="9"/>
      <c r="AB43" s="9"/>
      <c r="AC43" s="26">
        <f t="shared" si="4"/>
        <v>1</v>
      </c>
      <c r="AD43" s="6" t="s">
        <v>76</v>
      </c>
    </row>
    <row r="44" spans="1:30" ht="14.25" x14ac:dyDescent="0.3">
      <c r="A44" s="97" t="str">
        <f>'inputs¦Engineering'!E32</f>
        <v>PURCHASE 3D SCANNER TOOL</v>
      </c>
      <c r="B44" s="8" t="str">
        <f>VLOOKUP($A44,'inputs¦Engineering'!$E$4:$AN$75,34,FALSE)</f>
        <v>RBP</v>
      </c>
      <c r="C44" s="8">
        <f>VLOOKUP($A44,'inputs¦Engineering'!$E$4:$AN$75,3,FALSE)</f>
        <v>0</v>
      </c>
      <c r="D44" s="10">
        <f>IF($N44="Exclude",0,VLOOKUP($A44,'inputs¦Engineering'!$E$4:$AN$75,D$16+6,FALSE))</f>
        <v>0</v>
      </c>
      <c r="E44" s="10">
        <f>IF($N44="Exclude",0,VLOOKUP($A44,'inputs¦Engineering'!$E$4:$AN$75,E$16+6,FALSE))</f>
        <v>0</v>
      </c>
      <c r="F44" s="10">
        <f>IF($N44="Exclude",0,VLOOKUP($A44,'inputs¦Engineering'!$E$4:$AN$75,F$16+6,FALSE))</f>
        <v>0</v>
      </c>
      <c r="G44" s="10">
        <f>IF($N44="Exclude",0,VLOOKUP($A44,'inputs¦Engineering'!$E$4:$AN$75,G$16+6,FALSE))</f>
        <v>0</v>
      </c>
      <c r="H44" s="10">
        <f>IF($N44="Exclude",0,VLOOKUP($A44,'inputs¦Engineering'!$E$4:$AN$75,H$16+6,FALSE))</f>
        <v>0</v>
      </c>
      <c r="I44" s="10">
        <f>IF($N44="Exclude",0,VLOOKUP($A44,'inputs¦Engineering'!$E$4:$AN$75,I$16+6,FALSE))</f>
        <v>0</v>
      </c>
      <c r="J44" s="8" t="str">
        <f>VLOOKUP($A44,'inputs¦Engineering'!$E$4:$AN$100,21,FALSE)</f>
        <v>SIB</v>
      </c>
      <c r="K44" s="8" t="str">
        <f>VLOOKUP($A44,'inputs¦Engineering'!$E$4:$AN$100,33,FALSE)</f>
        <v>Tools</v>
      </c>
      <c r="L44" s="8">
        <f>VLOOKUP($A44,'inputs¦Engineering'!$E$4:$AN$100,29,FALSE)</f>
        <v>0</v>
      </c>
      <c r="M44" s="8" t="str">
        <f>VLOOKUP($A44,'inputs¦Engineering'!$E$4:$AN$100,33,FALSE)</f>
        <v>Tools</v>
      </c>
      <c r="N44" s="94" t="str">
        <f t="shared" si="0"/>
        <v>Stay in Business</v>
      </c>
      <c r="O44" s="7" t="str">
        <f t="shared" si="1"/>
        <v>SIB</v>
      </c>
      <c r="P44" s="7">
        <f t="shared" si="2"/>
        <v>0</v>
      </c>
      <c r="Q44" s="11" t="str">
        <f t="shared" si="3"/>
        <v>0</v>
      </c>
      <c r="R44" s="9">
        <v>0.5</v>
      </c>
      <c r="S44" s="9">
        <v>0.5</v>
      </c>
      <c r="T44" s="9"/>
      <c r="U44" s="9"/>
      <c r="V44" s="9"/>
      <c r="W44" s="9"/>
      <c r="X44" s="9"/>
      <c r="Y44" s="9"/>
      <c r="Z44" s="9"/>
      <c r="AA44" s="9"/>
      <c r="AB44" s="9"/>
      <c r="AC44" s="26">
        <f t="shared" si="4"/>
        <v>1</v>
      </c>
      <c r="AD44" s="6" t="s">
        <v>76</v>
      </c>
    </row>
    <row r="45" spans="1:30" ht="14.25" x14ac:dyDescent="0.3">
      <c r="A45" s="97" t="str">
        <f>'inputs¦Engineering'!E33</f>
        <v>QLD OPERATIONS SIB FUNDING</v>
      </c>
      <c r="B45" s="8" t="str">
        <f>VLOOKUP($A45,'inputs¦Engineering'!$E$4:$AN$75,34,FALSE)</f>
        <v>QLD</v>
      </c>
      <c r="C45" s="8" t="str">
        <f>VLOOKUP($A45,'inputs¦Engineering'!$E$4:$AN$75,3,FALSE)</f>
        <v>regular tools funding</v>
      </c>
      <c r="D45" s="10">
        <f>IF($N45="Exclude",0,VLOOKUP($A45,'inputs¦Engineering'!$E$4:$AN$75,D$16+6,FALSE))</f>
        <v>210000</v>
      </c>
      <c r="E45" s="10">
        <f>IF($N45="Exclude",0,VLOOKUP($A45,'inputs¦Engineering'!$E$4:$AN$75,E$16+6,FALSE))</f>
        <v>200000</v>
      </c>
      <c r="F45" s="10">
        <f>IF($N45="Exclude",0,VLOOKUP($A45,'inputs¦Engineering'!$E$4:$AN$75,F$16+6,FALSE))</f>
        <v>200000</v>
      </c>
      <c r="G45" s="10">
        <f>IF($N45="Exclude",0,VLOOKUP($A45,'inputs¦Engineering'!$E$4:$AN$75,G$16+6,FALSE))</f>
        <v>200000</v>
      </c>
      <c r="H45" s="10">
        <f>IF($N45="Exclude",0,VLOOKUP($A45,'inputs¦Engineering'!$E$4:$AN$75,H$16+6,FALSE))</f>
        <v>200000</v>
      </c>
      <c r="I45" s="10">
        <f>IF($N45="Exclude",0,VLOOKUP($A45,'inputs¦Engineering'!$E$4:$AN$75,I$16+6,FALSE))</f>
        <v>200000</v>
      </c>
      <c r="J45" s="8" t="str">
        <f>VLOOKUP($A45,'inputs¦Engineering'!$E$4:$AN$100,21,FALSE)</f>
        <v>SIB</v>
      </c>
      <c r="K45" s="8" t="str">
        <f>VLOOKUP($A45,'inputs¦Engineering'!$E$4:$AN$100,33,FALSE)</f>
        <v>Facility</v>
      </c>
      <c r="L45" s="8">
        <f>VLOOKUP($A45,'inputs¦Engineering'!$E$4:$AN$100,29,FALSE)</f>
        <v>0</v>
      </c>
      <c r="M45" s="8" t="str">
        <f>VLOOKUP($A45,'inputs¦Engineering'!$E$4:$AN$100,33,FALSE)</f>
        <v>Facility</v>
      </c>
      <c r="N45" s="94" t="str">
        <f t="shared" si="0"/>
        <v>Stay in Business</v>
      </c>
      <c r="O45" s="7" t="str">
        <f t="shared" si="1"/>
        <v>SIB</v>
      </c>
      <c r="P45" s="7">
        <f t="shared" si="2"/>
        <v>1210000</v>
      </c>
      <c r="Q45" s="11" t="str">
        <f t="shared" si="3"/>
        <v>0</v>
      </c>
      <c r="R45" s="9"/>
      <c r="S45" s="9"/>
      <c r="T45" s="9"/>
      <c r="U45" s="9"/>
      <c r="V45" s="9"/>
      <c r="W45" s="9"/>
      <c r="X45" s="9"/>
      <c r="Y45" s="9"/>
      <c r="Z45" s="9"/>
      <c r="AA45" s="9">
        <v>1</v>
      </c>
      <c r="AB45" s="9"/>
      <c r="AC45" s="26">
        <f t="shared" si="4"/>
        <v>1</v>
      </c>
      <c r="AD45" s="6" t="s">
        <v>76</v>
      </c>
    </row>
    <row r="46" spans="1:30" ht="14.25" x14ac:dyDescent="0.3">
      <c r="A46" s="97" t="str">
        <f>'inputs¦Engineering'!E34</f>
        <v xml:space="preserve">QLD Tenure Audit </v>
      </c>
      <c r="B46" s="8" t="str">
        <f>VLOOKUP($A46,'inputs¦Engineering'!$E$4:$AN$75,34,FALSE)</f>
        <v>QLD</v>
      </c>
      <c r="C46" s="8">
        <f>VLOOKUP($A46,'inputs¦Engineering'!$E$4:$AN$75,3,FALSE)</f>
        <v>0</v>
      </c>
      <c r="D46" s="10">
        <f>IF($N46="Exclude",0,VLOOKUP($A46,'inputs¦Engineering'!$E$4:$AN$75,D$16+6,FALSE))</f>
        <v>0</v>
      </c>
      <c r="E46" s="10">
        <f>IF($N46="Exclude",0,VLOOKUP($A46,'inputs¦Engineering'!$E$4:$AN$75,E$16+6,FALSE))</f>
        <v>0</v>
      </c>
      <c r="F46" s="10">
        <f>IF($N46="Exclude",0,VLOOKUP($A46,'inputs¦Engineering'!$E$4:$AN$75,F$16+6,FALSE))</f>
        <v>0</v>
      </c>
      <c r="G46" s="10">
        <f>IF($N46="Exclude",0,VLOOKUP($A46,'inputs¦Engineering'!$E$4:$AN$75,G$16+6,FALSE))</f>
        <v>0</v>
      </c>
      <c r="H46" s="10">
        <f>IF($N46="Exclude",0,VLOOKUP($A46,'inputs¦Engineering'!$E$4:$AN$75,H$16+6,FALSE))</f>
        <v>0</v>
      </c>
      <c r="I46" s="10">
        <f>IF($N46="Exclude",0,VLOOKUP($A46,'inputs¦Engineering'!$E$4:$AN$75,I$16+6,FALSE))</f>
        <v>0</v>
      </c>
      <c r="J46" s="8" t="str">
        <f>VLOOKUP($A46,'inputs¦Engineering'!$E$4:$AN$100,21,FALSE)</f>
        <v>MEJ</v>
      </c>
      <c r="K46" s="8" t="str">
        <f>VLOOKUP($A46,'inputs¦Engineering'!$E$4:$AN$100,33,FALSE)</f>
        <v>Easement</v>
      </c>
      <c r="L46" s="8">
        <f>VLOOKUP($A46,'inputs¦Engineering'!$E$4:$AN$100,29,FALSE)</f>
        <v>0</v>
      </c>
      <c r="M46" s="8" t="str">
        <f>VLOOKUP($A46,'inputs¦Engineering'!$E$4:$AN$100,33,FALSE)</f>
        <v>Easement</v>
      </c>
      <c r="N46" s="94" t="str">
        <f t="shared" si="0"/>
        <v>Exclude</v>
      </c>
      <c r="O46" s="7" t="str">
        <f t="shared" si="1"/>
        <v>MEJ</v>
      </c>
      <c r="P46" s="7">
        <f t="shared" si="2"/>
        <v>0</v>
      </c>
      <c r="Q46" s="11" t="str">
        <f t="shared" si="3"/>
        <v>0</v>
      </c>
      <c r="R46" s="9"/>
      <c r="S46" s="9"/>
      <c r="T46" s="9"/>
      <c r="U46" s="9"/>
      <c r="V46" s="9">
        <v>1</v>
      </c>
      <c r="W46" s="9"/>
      <c r="X46" s="9"/>
      <c r="Y46" s="9"/>
      <c r="Z46" s="9"/>
      <c r="AA46" s="9"/>
      <c r="AB46" s="9"/>
      <c r="AC46" s="26">
        <f t="shared" si="4"/>
        <v>1</v>
      </c>
      <c r="AD46" s="6" t="s">
        <v>76</v>
      </c>
    </row>
    <row r="47" spans="1:30" ht="14.25" x14ac:dyDescent="0.3">
      <c r="A47" s="97" t="str">
        <f>'inputs¦Engineering'!E35</f>
        <v>RBP - Security fencing upgrade for vent stacks</v>
      </c>
      <c r="B47" s="8" t="str">
        <f>VLOOKUP($A47,'inputs¦Engineering'!$E$4:$AN$75,34,FALSE)</f>
        <v>RBP</v>
      </c>
      <c r="C47" s="8" t="str">
        <f>VLOOKUP($A47,'inputs¦Engineering'!$E$4:$AN$75,3,FALSE)</f>
        <v>Isolation plan, hazardous area and security</v>
      </c>
      <c r="D47" s="10">
        <f>IF($N47="Exclude",0,VLOOKUP($A47,'inputs¦Engineering'!$E$4:$AN$75,D$16+6,FALSE))</f>
        <v>0</v>
      </c>
      <c r="E47" s="10">
        <f>IF($N47="Exclude",0,VLOOKUP($A47,'inputs¦Engineering'!$E$4:$AN$75,E$16+6,FALSE))</f>
        <v>0</v>
      </c>
      <c r="F47" s="10">
        <f>IF($N47="Exclude",0,VLOOKUP($A47,'inputs¦Engineering'!$E$4:$AN$75,F$16+6,FALSE))</f>
        <v>0</v>
      </c>
      <c r="G47" s="10">
        <f>IF($N47="Exclude",0,VLOOKUP($A47,'inputs¦Engineering'!$E$4:$AN$75,G$16+6,FALSE))</f>
        <v>0</v>
      </c>
      <c r="H47" s="10">
        <f>IF($N47="Exclude",0,VLOOKUP($A47,'inputs¦Engineering'!$E$4:$AN$75,H$16+6,FALSE))</f>
        <v>0</v>
      </c>
      <c r="I47" s="10">
        <f>IF($N47="Exclude",0,VLOOKUP($A47,'inputs¦Engineering'!$E$4:$AN$75,I$16+6,FALSE))</f>
        <v>0</v>
      </c>
      <c r="J47" s="8" t="str">
        <f>VLOOKUP($A47,'inputs¦Engineering'!$E$4:$AN$100,21,FALSE)</f>
        <v>SIB</v>
      </c>
      <c r="K47" s="8" t="str">
        <f>VLOOKUP($A47,'inputs¦Engineering'!$E$4:$AN$100,33,FALSE)</f>
        <v>Station</v>
      </c>
      <c r="L47" s="8">
        <f>VLOOKUP($A47,'inputs¦Engineering'!$E$4:$AN$100,29,FALSE)</f>
        <v>0</v>
      </c>
      <c r="M47" s="8" t="str">
        <f>VLOOKUP($A47,'inputs¦Engineering'!$E$4:$AN$100,33,FALSE)</f>
        <v>Station</v>
      </c>
      <c r="N47" s="94" t="str">
        <f t="shared" si="0"/>
        <v>Stay in Business</v>
      </c>
      <c r="O47" s="7" t="str">
        <f t="shared" si="1"/>
        <v>SIB</v>
      </c>
      <c r="P47" s="7">
        <f t="shared" si="2"/>
        <v>0</v>
      </c>
      <c r="Q47" s="11" t="str">
        <f t="shared" si="3"/>
        <v>0</v>
      </c>
      <c r="R47" s="9"/>
      <c r="S47" s="9"/>
      <c r="T47" s="9"/>
      <c r="U47" s="9"/>
      <c r="V47" s="9"/>
      <c r="W47" s="9"/>
      <c r="X47" s="9"/>
      <c r="Y47" s="9"/>
      <c r="Z47" s="9"/>
      <c r="AA47" s="9">
        <v>1</v>
      </c>
      <c r="AB47" s="9"/>
      <c r="AC47" s="26">
        <f t="shared" si="4"/>
        <v>1</v>
      </c>
      <c r="AD47" s="6" t="s">
        <v>76</v>
      </c>
    </row>
    <row r="48" spans="1:30" ht="14.25" x14ac:dyDescent="0.3">
      <c r="A48" s="97" t="str">
        <f>'inputs¦Engineering'!E36</f>
        <v>RBP - Station painting program</v>
      </c>
      <c r="B48" s="8" t="str">
        <f>VLOOKUP($A48,'inputs¦Engineering'!$E$4:$AN$75,34,FALSE)</f>
        <v>RBP</v>
      </c>
      <c r="C48" s="8" t="str">
        <f>VLOOKUP($A48,'inputs¦Engineering'!$E$4:$AN$75,3,FALSE)</f>
        <v>Part of an overall QLD painting program - $80k per year across all assets - designated across 5 years</v>
      </c>
      <c r="D48" s="10">
        <f>IF($N48="Exclude",0,VLOOKUP($A48,'inputs¦Engineering'!$E$4:$AN$75,D$16+6,FALSE))</f>
        <v>80000</v>
      </c>
      <c r="E48" s="10">
        <f>IF($N48="Exclude",0,VLOOKUP($A48,'inputs¦Engineering'!$E$4:$AN$75,E$16+6,FALSE))</f>
        <v>80000</v>
      </c>
      <c r="F48" s="10">
        <f>IF($N48="Exclude",0,VLOOKUP($A48,'inputs¦Engineering'!$E$4:$AN$75,F$16+6,FALSE))</f>
        <v>80000</v>
      </c>
      <c r="G48" s="10">
        <f>IF($N48="Exclude",0,VLOOKUP($A48,'inputs¦Engineering'!$E$4:$AN$75,G$16+6,FALSE))</f>
        <v>80000</v>
      </c>
      <c r="H48" s="10">
        <f>IF($N48="Exclude",0,VLOOKUP($A48,'inputs¦Engineering'!$E$4:$AN$75,H$16+6,FALSE))</f>
        <v>80000</v>
      </c>
      <c r="I48" s="10">
        <f>IF($N48="Exclude",0,VLOOKUP($A48,'inputs¦Engineering'!$E$4:$AN$75,I$16+6,FALSE))</f>
        <v>80000</v>
      </c>
      <c r="J48" s="8" t="str">
        <f>VLOOKUP($A48,'inputs¦Engineering'!$E$4:$AN$100,21,FALSE)</f>
        <v>BAU</v>
      </c>
      <c r="K48" s="8" t="str">
        <f>VLOOKUP($A48,'inputs¦Engineering'!$E$4:$AN$100,33,FALSE)</f>
        <v>Station</v>
      </c>
      <c r="L48" s="8">
        <f>VLOOKUP($A48,'inputs¦Engineering'!$E$4:$AN$100,29,FALSE)</f>
        <v>0</v>
      </c>
      <c r="M48" s="8" t="str">
        <f>VLOOKUP($A48,'inputs¦Engineering'!$E$4:$AN$100,33,FALSE)</f>
        <v>Station</v>
      </c>
      <c r="N48" s="94" t="str">
        <f t="shared" si="0"/>
        <v>Stay in Business</v>
      </c>
      <c r="O48" s="7" t="str">
        <f t="shared" si="1"/>
        <v>BAU</v>
      </c>
      <c r="P48" s="7">
        <f t="shared" si="2"/>
        <v>480000</v>
      </c>
      <c r="Q48" s="11" t="str">
        <f t="shared" si="3"/>
        <v>0</v>
      </c>
      <c r="R48" s="9"/>
      <c r="S48" s="9"/>
      <c r="T48" s="9"/>
      <c r="U48" s="9"/>
      <c r="V48" s="9"/>
      <c r="W48" s="9"/>
      <c r="X48" s="9"/>
      <c r="Y48" s="9"/>
      <c r="Z48" s="9"/>
      <c r="AA48" s="9">
        <v>1</v>
      </c>
      <c r="AB48" s="9"/>
      <c r="AC48" s="26">
        <f t="shared" si="4"/>
        <v>1</v>
      </c>
      <c r="AD48" s="6" t="s">
        <v>76</v>
      </c>
    </row>
    <row r="49" spans="1:30" ht="14.25" x14ac:dyDescent="0.3">
      <c r="A49" s="97" t="str">
        <f>'inputs¦Engineering'!E37</f>
        <v xml:space="preserve">RBP - TYPE B GAS COMPLIANCE UPGRADES </v>
      </c>
      <c r="B49" s="8" t="str">
        <f>VLOOKUP($A49,'inputs¦Engineering'!$E$4:$AN$75,34,FALSE)</f>
        <v>RBP</v>
      </c>
      <c r="C49" s="8" t="str">
        <f>VLOOKUP($A49,'inputs¦Engineering'!$E$4:$AN$75,3,FALSE)</f>
        <v>Ongoing program</v>
      </c>
      <c r="D49" s="10">
        <f>IF($N49="Exclude",0,VLOOKUP($A49,'inputs¦Engineering'!$E$4:$AN$75,D$16+6,FALSE))</f>
        <v>25000</v>
      </c>
      <c r="E49" s="10">
        <f>IF($N49="Exclude",0,VLOOKUP($A49,'inputs¦Engineering'!$E$4:$AN$75,E$16+6,FALSE))</f>
        <v>110000</v>
      </c>
      <c r="F49" s="10">
        <f>IF($N49="Exclude",0,VLOOKUP($A49,'inputs¦Engineering'!$E$4:$AN$75,F$16+6,FALSE))</f>
        <v>110000</v>
      </c>
      <c r="G49" s="10">
        <f>IF($N49="Exclude",0,VLOOKUP($A49,'inputs¦Engineering'!$E$4:$AN$75,G$16+6,FALSE))</f>
        <v>0</v>
      </c>
      <c r="H49" s="10">
        <f>IF($N49="Exclude",0,VLOOKUP($A49,'inputs¦Engineering'!$E$4:$AN$75,H$16+6,FALSE))</f>
        <v>0</v>
      </c>
      <c r="I49" s="10">
        <f>IF($N49="Exclude",0,VLOOKUP($A49,'inputs¦Engineering'!$E$4:$AN$75,I$16+6,FALSE))</f>
        <v>0</v>
      </c>
      <c r="J49" s="8" t="str">
        <f>VLOOKUP($A49,'inputs¦Engineering'!$E$4:$AN$100,21,FALSE)</f>
        <v>SIB</v>
      </c>
      <c r="K49" s="8" t="str">
        <f>VLOOKUP($A49,'inputs¦Engineering'!$E$4:$AN$100,33,FALSE)</f>
        <v>Station</v>
      </c>
      <c r="L49" s="8">
        <f>VLOOKUP($A49,'inputs¦Engineering'!$E$4:$AN$100,29,FALSE)</f>
        <v>0</v>
      </c>
      <c r="M49" s="8" t="str">
        <f>VLOOKUP($A49,'inputs¦Engineering'!$E$4:$AN$100,33,FALSE)</f>
        <v>Station</v>
      </c>
      <c r="N49" s="94" t="str">
        <f t="shared" ref="N49:N80" si="5">IF(J49="SIB","Stay in Business",IF(J49="BAU","Stay in Business","Exclude"))</f>
        <v>Stay in Business</v>
      </c>
      <c r="O49" s="7" t="str">
        <f t="shared" ref="O49:O80" si="6">J49</f>
        <v>SIB</v>
      </c>
      <c r="P49" s="7">
        <f t="shared" ref="P49:P80" si="7">SUM(D49:I49)</f>
        <v>245000</v>
      </c>
      <c r="Q49" s="11" t="str">
        <f t="shared" ref="Q49:Q80" si="8">LEFT(L49,2)</f>
        <v>0</v>
      </c>
      <c r="R49" s="9"/>
      <c r="S49" s="9"/>
      <c r="T49" s="9"/>
      <c r="U49" s="9"/>
      <c r="V49" s="9"/>
      <c r="W49" s="9"/>
      <c r="X49" s="9"/>
      <c r="Y49" s="9"/>
      <c r="Z49" s="9"/>
      <c r="AA49" s="9">
        <v>1</v>
      </c>
      <c r="AB49" s="9"/>
      <c r="AC49" s="26">
        <f t="shared" ref="AC49:AC80" si="9">SUM(R49:AB49)</f>
        <v>1</v>
      </c>
      <c r="AD49" s="6" t="s">
        <v>76</v>
      </c>
    </row>
    <row r="50" spans="1:30" ht="14.25" x14ac:dyDescent="0.3">
      <c r="A50" s="97" t="str">
        <f>'inputs¦Engineering'!E38</f>
        <v>RBP &amp; PEAT ISOLATION PLAN UPGRADES</v>
      </c>
      <c r="B50" s="8" t="str">
        <f>VLOOKUP($A50,'inputs¦Engineering'!$E$4:$AN$75,34,FALSE)</f>
        <v>RBP</v>
      </c>
      <c r="C50" s="8" t="str">
        <f>VLOOKUP($A50,'inputs¦Engineering'!$E$4:$AN$75,3,FALSE)</f>
        <v>FEED in progress - Metro Vent stack redesign; consider actuating MLVs and new offtake for blowdown (include Peat Lateral)</v>
      </c>
      <c r="D50" s="10">
        <f>IF($N50="Exclude",0,VLOOKUP($A50,'inputs¦Engineering'!$E$4:$AN$75,D$16+6,FALSE))</f>
        <v>100000</v>
      </c>
      <c r="E50" s="10">
        <f>IF($N50="Exclude",0,VLOOKUP($A50,'inputs¦Engineering'!$E$4:$AN$75,E$16+6,FALSE))</f>
        <v>100000</v>
      </c>
      <c r="F50" s="10">
        <f>IF($N50="Exclude",0,VLOOKUP($A50,'inputs¦Engineering'!$E$4:$AN$75,F$16+6,FALSE))</f>
        <v>100000</v>
      </c>
      <c r="G50" s="10">
        <f>IF($N50="Exclude",0,VLOOKUP($A50,'inputs¦Engineering'!$E$4:$AN$75,G$16+6,FALSE))</f>
        <v>0</v>
      </c>
      <c r="H50" s="10">
        <f>IF($N50="Exclude",0,VLOOKUP($A50,'inputs¦Engineering'!$E$4:$AN$75,H$16+6,FALSE))</f>
        <v>0</v>
      </c>
      <c r="I50" s="10">
        <f>IF($N50="Exclude",0,VLOOKUP($A50,'inputs¦Engineering'!$E$4:$AN$75,I$16+6,FALSE))</f>
        <v>0</v>
      </c>
      <c r="J50" s="8" t="str">
        <f>VLOOKUP($A50,'inputs¦Engineering'!$E$4:$AN$100,21,FALSE)</f>
        <v>SIB</v>
      </c>
      <c r="K50" s="8" t="str">
        <f>VLOOKUP($A50,'inputs¦Engineering'!$E$4:$AN$100,33,FALSE)</f>
        <v>Station</v>
      </c>
      <c r="L50" s="8">
        <f>VLOOKUP($A50,'inputs¦Engineering'!$E$4:$AN$100,29,FALSE)</f>
        <v>0</v>
      </c>
      <c r="M50" s="8" t="str">
        <f>VLOOKUP($A50,'inputs¦Engineering'!$E$4:$AN$100,33,FALSE)</f>
        <v>Station</v>
      </c>
      <c r="N50" s="94" t="str">
        <f t="shared" si="5"/>
        <v>Stay in Business</v>
      </c>
      <c r="O50" s="7" t="str">
        <f t="shared" si="6"/>
        <v>SIB</v>
      </c>
      <c r="P50" s="7">
        <f t="shared" si="7"/>
        <v>300000</v>
      </c>
      <c r="Q50" s="11" t="str">
        <f t="shared" si="8"/>
        <v>0</v>
      </c>
      <c r="R50" s="9"/>
      <c r="S50" s="9"/>
      <c r="T50" s="9"/>
      <c r="U50" s="9"/>
      <c r="V50" s="9"/>
      <c r="W50" s="9"/>
      <c r="X50" s="9"/>
      <c r="Y50" s="9"/>
      <c r="Z50" s="9"/>
      <c r="AA50" s="9">
        <v>1</v>
      </c>
      <c r="AB50" s="9"/>
      <c r="AC50" s="26">
        <f t="shared" si="9"/>
        <v>1</v>
      </c>
      <c r="AD50" s="6" t="s">
        <v>76</v>
      </c>
    </row>
    <row r="51" spans="1:30" ht="14.25" x14ac:dyDescent="0.3">
      <c r="A51" s="97" t="str">
        <f>'inputs¦Engineering'!E39</f>
        <v>RBP- AS4853 ELECTRICAL HAZARD UPGRADES</v>
      </c>
      <c r="B51" s="8" t="str">
        <f>VLOOKUP($A51,'inputs¦Engineering'!$E$4:$AN$75,34,FALSE)</f>
        <v>RBP</v>
      </c>
      <c r="C51" s="8" t="str">
        <f>VLOOKUP($A51,'inputs¦Engineering'!$E$4:$AN$75,3,FALSE)</f>
        <v>Review AS4853 Requirements for QLD assets;</v>
      </c>
      <c r="D51" s="10">
        <f>IF($N51="Exclude",0,VLOOKUP($A51,'inputs¦Engineering'!$E$4:$AN$75,D$16+6,FALSE))</f>
        <v>0</v>
      </c>
      <c r="E51" s="10">
        <f>IF($N51="Exclude",0,VLOOKUP($A51,'inputs¦Engineering'!$E$4:$AN$75,E$16+6,FALSE))</f>
        <v>120000</v>
      </c>
      <c r="F51" s="10">
        <f>IF($N51="Exclude",0,VLOOKUP($A51,'inputs¦Engineering'!$E$4:$AN$75,F$16+6,FALSE))</f>
        <v>0</v>
      </c>
      <c r="G51" s="10">
        <f>IF($N51="Exclude",0,VLOOKUP($A51,'inputs¦Engineering'!$E$4:$AN$75,G$16+6,FALSE))</f>
        <v>0</v>
      </c>
      <c r="H51" s="10">
        <f>IF($N51="Exclude",0,VLOOKUP($A51,'inputs¦Engineering'!$E$4:$AN$75,H$16+6,FALSE))</f>
        <v>0</v>
      </c>
      <c r="I51" s="10">
        <f>IF($N51="Exclude",0,VLOOKUP($A51,'inputs¦Engineering'!$E$4:$AN$75,I$16+6,FALSE))</f>
        <v>0</v>
      </c>
      <c r="J51" s="8" t="str">
        <f>VLOOKUP($A51,'inputs¦Engineering'!$E$4:$AN$100,21,FALSE)</f>
        <v>SIB</v>
      </c>
      <c r="K51" s="8" t="str">
        <f>VLOOKUP($A51,'inputs¦Engineering'!$E$4:$AN$100,33,FALSE)</f>
        <v>Pipeline</v>
      </c>
      <c r="L51" s="8">
        <f>VLOOKUP($A51,'inputs¦Engineering'!$E$4:$AN$100,29,FALSE)</f>
        <v>0</v>
      </c>
      <c r="M51" s="8" t="str">
        <f>VLOOKUP($A51,'inputs¦Engineering'!$E$4:$AN$100,33,FALSE)</f>
        <v>Pipeline</v>
      </c>
      <c r="N51" s="94" t="str">
        <f t="shared" si="5"/>
        <v>Stay in Business</v>
      </c>
      <c r="O51" s="7" t="str">
        <f t="shared" si="6"/>
        <v>SIB</v>
      </c>
      <c r="P51" s="7">
        <f t="shared" si="7"/>
        <v>120000</v>
      </c>
      <c r="Q51" s="11" t="str">
        <f t="shared" si="8"/>
        <v>0</v>
      </c>
      <c r="R51" s="9"/>
      <c r="S51" s="9"/>
      <c r="T51" s="9"/>
      <c r="U51" s="9"/>
      <c r="V51" s="9"/>
      <c r="W51" s="9"/>
      <c r="X51" s="9"/>
      <c r="Y51" s="9"/>
      <c r="Z51" s="9"/>
      <c r="AA51" s="9">
        <v>1</v>
      </c>
      <c r="AB51" s="9"/>
      <c r="AC51" s="26">
        <f t="shared" si="9"/>
        <v>1</v>
      </c>
      <c r="AD51" s="6" t="s">
        <v>76</v>
      </c>
    </row>
    <row r="52" spans="1:30" ht="14.25" x14ac:dyDescent="0.3">
      <c r="A52" s="97" t="str">
        <f>'inputs¦Engineering'!E40</f>
        <v>RBP CE Lateral ILI - DN400</v>
      </c>
      <c r="B52" s="8" t="str">
        <f>VLOOKUP($A52,'inputs¦Engineering'!$E$4:$AN$75,34,FALSE)</f>
        <v>RBP</v>
      </c>
      <c r="C52" s="8" t="str">
        <f>VLOOKUP($A52,'inputs¦Engineering'!$E$4:$AN$75,3,FALSE)</f>
        <v>DN400 Collinwood Park take off–Ellengrove - as per national pigging schedule</v>
      </c>
      <c r="D52" s="10">
        <f>IF($N52="Exclude",0,VLOOKUP($A52,'inputs¦Engineering'!$E$4:$AN$75,D$16+6,FALSE))</f>
        <v>0</v>
      </c>
      <c r="E52" s="10">
        <f>IF($N52="Exclude",0,VLOOKUP($A52,'inputs¦Engineering'!$E$4:$AN$75,E$16+6,FALSE))</f>
        <v>0</v>
      </c>
      <c r="F52" s="10">
        <f>IF($N52="Exclude",0,VLOOKUP($A52,'inputs¦Engineering'!$E$4:$AN$75,F$16+6,FALSE))</f>
        <v>10000</v>
      </c>
      <c r="G52" s="10">
        <f>IF($N52="Exclude",0,VLOOKUP($A52,'inputs¦Engineering'!$E$4:$AN$75,G$16+6,FALSE))</f>
        <v>190000</v>
      </c>
      <c r="H52" s="10">
        <f>IF($N52="Exclude",0,VLOOKUP($A52,'inputs¦Engineering'!$E$4:$AN$75,H$16+6,FALSE))</f>
        <v>0</v>
      </c>
      <c r="I52" s="10">
        <f>IF($N52="Exclude",0,VLOOKUP($A52,'inputs¦Engineering'!$E$4:$AN$75,I$16+6,FALSE))</f>
        <v>0</v>
      </c>
      <c r="J52" s="8" t="str">
        <f>VLOOKUP($A52,'inputs¦Engineering'!$E$4:$AN$100,21,FALSE)</f>
        <v>SIB</v>
      </c>
      <c r="K52" s="8" t="str">
        <f>VLOOKUP($A52,'inputs¦Engineering'!$E$4:$AN$100,33,FALSE)</f>
        <v>Pipeline</v>
      </c>
      <c r="L52" s="8" t="str">
        <f>VLOOKUP($A52,'inputs¦Engineering'!$E$4:$AN$100,29,FALSE)</f>
        <v>AA-03</v>
      </c>
      <c r="M52" s="8" t="str">
        <f>VLOOKUP($A52,'inputs¦Engineering'!$E$4:$AN$100,33,FALSE)</f>
        <v>Pipeline</v>
      </c>
      <c r="N52" s="94" t="str">
        <f t="shared" si="5"/>
        <v>Stay in Business</v>
      </c>
      <c r="O52" s="7" t="str">
        <f t="shared" si="6"/>
        <v>SIB</v>
      </c>
      <c r="P52" s="7">
        <f t="shared" si="7"/>
        <v>200000</v>
      </c>
      <c r="Q52" s="11" t="str">
        <f t="shared" si="8"/>
        <v>AA</v>
      </c>
      <c r="R52" s="9"/>
      <c r="S52" s="9">
        <v>1</v>
      </c>
      <c r="T52" s="9"/>
      <c r="U52" s="9"/>
      <c r="V52" s="9"/>
      <c r="W52" s="9"/>
      <c r="X52" s="9"/>
      <c r="Y52" s="9"/>
      <c r="Z52" s="9"/>
      <c r="AA52" s="9"/>
      <c r="AB52" s="9"/>
      <c r="AC52" s="26">
        <f t="shared" si="9"/>
        <v>1</v>
      </c>
      <c r="AD52" s="6" t="s">
        <v>76</v>
      </c>
    </row>
    <row r="53" spans="1:30" ht="14.25" x14ac:dyDescent="0.3">
      <c r="A53" s="97" t="str">
        <f>'inputs¦Engineering'!E41</f>
        <v>RBP Cleaning Program (DN400)</v>
      </c>
      <c r="B53" s="8" t="str">
        <f>VLOOKUP($A53,'inputs¦Engineering'!$E$4:$AN$75,34,FALSE)</f>
        <v>RBP</v>
      </c>
      <c r="C53" s="8" t="str">
        <f>VLOOKUP($A53,'inputs¦Engineering'!$E$4:$AN$75,3,FALSE)</f>
        <v>Liquids being captured in Wallumbilla in reverse flow</v>
      </c>
      <c r="D53" s="10">
        <f>IF($N53="Exclude",0,VLOOKUP($A53,'inputs¦Engineering'!$E$4:$AN$75,D$16+6,FALSE))</f>
        <v>16000</v>
      </c>
      <c r="E53" s="10">
        <f>IF($N53="Exclude",0,VLOOKUP($A53,'inputs¦Engineering'!$E$4:$AN$75,E$16+6,FALSE))</f>
        <v>0</v>
      </c>
      <c r="F53" s="10">
        <f>IF($N53="Exclude",0,VLOOKUP($A53,'inputs¦Engineering'!$E$4:$AN$75,F$16+6,FALSE))</f>
        <v>0</v>
      </c>
      <c r="G53" s="10">
        <f>IF($N53="Exclude",0,VLOOKUP($A53,'inputs¦Engineering'!$E$4:$AN$75,G$16+6,FALSE))</f>
        <v>0</v>
      </c>
      <c r="H53" s="10">
        <f>IF($N53="Exclude",0,VLOOKUP($A53,'inputs¦Engineering'!$E$4:$AN$75,H$16+6,FALSE))</f>
        <v>0</v>
      </c>
      <c r="I53" s="10">
        <f>IF($N53="Exclude",0,VLOOKUP($A53,'inputs¦Engineering'!$E$4:$AN$75,I$16+6,FALSE))</f>
        <v>0</v>
      </c>
      <c r="J53" s="8" t="str">
        <f>VLOOKUP($A53,'inputs¦Engineering'!$E$4:$AN$100,21,FALSE)</f>
        <v>BAU</v>
      </c>
      <c r="K53" s="8" t="str">
        <f>VLOOKUP($A53,'inputs¦Engineering'!$E$4:$AN$100,33,FALSE)</f>
        <v>Pipeline</v>
      </c>
      <c r="L53" s="8">
        <f>VLOOKUP($A53,'inputs¦Engineering'!$E$4:$AN$100,29,FALSE)</f>
        <v>0</v>
      </c>
      <c r="M53" s="8" t="str">
        <f>VLOOKUP($A53,'inputs¦Engineering'!$E$4:$AN$100,33,FALSE)</f>
        <v>Pipeline</v>
      </c>
      <c r="N53" s="94" t="str">
        <f t="shared" si="5"/>
        <v>Stay in Business</v>
      </c>
      <c r="O53" s="7" t="str">
        <f t="shared" si="6"/>
        <v>BAU</v>
      </c>
      <c r="P53" s="7">
        <f t="shared" si="7"/>
        <v>16000</v>
      </c>
      <c r="Q53" s="11" t="str">
        <f t="shared" si="8"/>
        <v>0</v>
      </c>
      <c r="R53" s="9"/>
      <c r="S53" s="9"/>
      <c r="T53" s="9"/>
      <c r="U53" s="9"/>
      <c r="V53" s="9"/>
      <c r="W53" s="9"/>
      <c r="X53" s="9"/>
      <c r="Y53" s="9"/>
      <c r="Z53" s="9"/>
      <c r="AA53" s="9">
        <v>1</v>
      </c>
      <c r="AB53" s="9"/>
      <c r="AC53" s="26">
        <f t="shared" si="9"/>
        <v>1</v>
      </c>
      <c r="AD53" s="6" t="s">
        <v>76</v>
      </c>
    </row>
    <row r="54" spans="1:30" ht="14.25" x14ac:dyDescent="0.3">
      <c r="A54" s="97" t="str">
        <f>'inputs¦Engineering'!E42</f>
        <v>RBP CP TELEMETRY UPGRADE</v>
      </c>
      <c r="B54" s="8" t="str">
        <f>VLOOKUP($A54,'inputs¦Engineering'!$E$4:$AN$75,34,FALSE)</f>
        <v>RBP</v>
      </c>
      <c r="C54" s="8" t="str">
        <f>VLOOKUP($A54,'inputs¦Engineering'!$E$4:$AN$75,3,FALSE)</f>
        <v>10 units per year - supply and install, dependent on outcomes of FY15 works - refer to CP plan - purchases in blocks of 10.</v>
      </c>
      <c r="D54" s="10">
        <f>IF($N54="Exclude",0,VLOOKUP($A54,'inputs¦Engineering'!$E$4:$AN$75,D$16+6,FALSE))</f>
        <v>150000</v>
      </c>
      <c r="E54" s="10">
        <f>IF($N54="Exclude",0,VLOOKUP($A54,'inputs¦Engineering'!$E$4:$AN$75,E$16+6,FALSE))</f>
        <v>150000</v>
      </c>
      <c r="F54" s="10">
        <f>IF($N54="Exclude",0,VLOOKUP($A54,'inputs¦Engineering'!$E$4:$AN$75,F$16+6,FALSE))</f>
        <v>150000</v>
      </c>
      <c r="G54" s="10">
        <f>IF($N54="Exclude",0,VLOOKUP($A54,'inputs¦Engineering'!$E$4:$AN$75,G$16+6,FALSE))</f>
        <v>150000</v>
      </c>
      <c r="H54" s="10">
        <f>IF($N54="Exclude",0,VLOOKUP($A54,'inputs¦Engineering'!$E$4:$AN$75,H$16+6,FALSE))</f>
        <v>150000</v>
      </c>
      <c r="I54" s="10">
        <f>IF($N54="Exclude",0,VLOOKUP($A54,'inputs¦Engineering'!$E$4:$AN$75,I$16+6,FALSE))</f>
        <v>0</v>
      </c>
      <c r="J54" s="8" t="str">
        <f>VLOOKUP($A54,'inputs¦Engineering'!$E$4:$AN$100,21,FALSE)</f>
        <v>SIB</v>
      </c>
      <c r="K54" s="8" t="str">
        <f>VLOOKUP($A54,'inputs¦Engineering'!$E$4:$AN$100,33,FALSE)</f>
        <v>Pipeline</v>
      </c>
      <c r="L54" s="8" t="str">
        <f>VLOOKUP($A54,'inputs¦Engineering'!$E$4:$AN$100,29,FALSE)</f>
        <v>AA-03</v>
      </c>
      <c r="M54" s="8" t="str">
        <f>VLOOKUP($A54,'inputs¦Engineering'!$E$4:$AN$100,33,FALSE)</f>
        <v>Pipeline</v>
      </c>
      <c r="N54" s="94" t="str">
        <f t="shared" si="5"/>
        <v>Stay in Business</v>
      </c>
      <c r="O54" s="7" t="str">
        <f t="shared" si="6"/>
        <v>SIB</v>
      </c>
      <c r="P54" s="7">
        <f t="shared" si="7"/>
        <v>750000</v>
      </c>
      <c r="Q54" s="11" t="str">
        <f t="shared" si="8"/>
        <v>AA</v>
      </c>
      <c r="R54" s="9">
        <v>0.5</v>
      </c>
      <c r="S54" s="9">
        <v>0.5</v>
      </c>
      <c r="T54" s="9"/>
      <c r="U54" s="9"/>
      <c r="V54" s="9"/>
      <c r="W54" s="9"/>
      <c r="X54" s="9"/>
      <c r="Y54" s="9"/>
      <c r="Z54" s="9"/>
      <c r="AA54" s="9"/>
      <c r="AB54" s="9"/>
      <c r="AC54" s="26">
        <f t="shared" si="9"/>
        <v>1</v>
      </c>
      <c r="AD54" s="6" t="s">
        <v>76</v>
      </c>
    </row>
    <row r="55" spans="1:30" ht="14.25" x14ac:dyDescent="0.3">
      <c r="A55" s="97" t="str">
        <f>'inputs¦Engineering'!E43</f>
        <v>RBP CP UPGRADE PROGRAM</v>
      </c>
      <c r="B55" s="8" t="str">
        <f>VLOOKUP($A55,'inputs¦Engineering'!$E$4:$AN$75,34,FALSE)</f>
        <v>RBP</v>
      </c>
      <c r="C55" s="8" t="str">
        <f>VLOOKUP($A55,'inputs¦Engineering'!$E$4:$AN$75,3,FALSE)</f>
        <v>Ref CP upgrade 5 year plan</v>
      </c>
      <c r="D55" s="10">
        <f>IF($N55="Exclude",0,VLOOKUP($A55,'inputs¦Engineering'!$E$4:$AN$75,D$16+6,FALSE))</f>
        <v>629000</v>
      </c>
      <c r="E55" s="10">
        <f>IF($N55="Exclude",0,VLOOKUP($A55,'inputs¦Engineering'!$E$4:$AN$75,E$16+6,FALSE))</f>
        <v>642000</v>
      </c>
      <c r="F55" s="10">
        <f>IF($N55="Exclude",0,VLOOKUP($A55,'inputs¦Engineering'!$E$4:$AN$75,F$16+6,FALSE))</f>
        <v>648000</v>
      </c>
      <c r="G55" s="10">
        <f>IF($N55="Exclude",0,VLOOKUP($A55,'inputs¦Engineering'!$E$4:$AN$75,G$16+6,FALSE))</f>
        <v>648000</v>
      </c>
      <c r="H55" s="10">
        <f>IF($N55="Exclude",0,VLOOKUP($A55,'inputs¦Engineering'!$E$4:$AN$75,H$16+6,FALSE))</f>
        <v>648000</v>
      </c>
      <c r="I55" s="10">
        <f>IF($N55="Exclude",0,VLOOKUP($A55,'inputs¦Engineering'!$E$4:$AN$75,I$16+6,FALSE))</f>
        <v>648000</v>
      </c>
      <c r="J55" s="8" t="str">
        <f>VLOOKUP($A55,'inputs¦Engineering'!$E$4:$AN$100,21,FALSE)</f>
        <v>SIB</v>
      </c>
      <c r="K55" s="8" t="str">
        <f>VLOOKUP($A55,'inputs¦Engineering'!$E$4:$AN$100,33,FALSE)</f>
        <v>Pipeline</v>
      </c>
      <c r="L55" s="8" t="str">
        <f>VLOOKUP($A55,'inputs¦Engineering'!$E$4:$AN$100,29,FALSE)</f>
        <v>AA-03</v>
      </c>
      <c r="M55" s="8" t="str">
        <f>VLOOKUP($A55,'inputs¦Engineering'!$E$4:$AN$100,33,FALSE)</f>
        <v>Pipeline</v>
      </c>
      <c r="N55" s="94" t="str">
        <f t="shared" si="5"/>
        <v>Stay in Business</v>
      </c>
      <c r="O55" s="7" t="str">
        <f t="shared" si="6"/>
        <v>SIB</v>
      </c>
      <c r="P55" s="7">
        <f t="shared" si="7"/>
        <v>3863000</v>
      </c>
      <c r="Q55" s="11" t="str">
        <f t="shared" si="8"/>
        <v>AA</v>
      </c>
      <c r="R55" s="9">
        <v>0.5</v>
      </c>
      <c r="S55" s="9">
        <v>0.5</v>
      </c>
      <c r="T55" s="9"/>
      <c r="U55" s="9"/>
      <c r="V55" s="9"/>
      <c r="W55" s="9"/>
      <c r="X55" s="9"/>
      <c r="Y55" s="9"/>
      <c r="Z55" s="9"/>
      <c r="AA55" s="9"/>
      <c r="AB55" s="9"/>
      <c r="AC55" s="26">
        <f t="shared" si="9"/>
        <v>1</v>
      </c>
      <c r="AD55" s="6" t="s">
        <v>76</v>
      </c>
    </row>
    <row r="56" spans="1:30" ht="14.25" x14ac:dyDescent="0.3">
      <c r="A56" s="97" t="str">
        <f>'inputs¦Engineering'!E44</f>
        <v>RBP DN400 Supply Offtakes</v>
      </c>
      <c r="B56" s="8" t="str">
        <f>VLOOKUP($A56,'inputs¦Engineering'!$E$4:$AN$75,34,FALSE)</f>
        <v>RBP</v>
      </c>
      <c r="C56" s="8" t="str">
        <f>VLOOKUP($A56,'inputs¦Engineering'!$E$4:$AN$75,3,FALSE)</f>
        <v>New offtakes at existing stations off DN400 for supply reliability</v>
      </c>
      <c r="D56" s="10">
        <f>IF($N56="Exclude",0,VLOOKUP($A56,'inputs¦Engineering'!$E$4:$AN$75,D$16+6,FALSE))</f>
        <v>0</v>
      </c>
      <c r="E56" s="10">
        <f>IF($N56="Exclude",0,VLOOKUP($A56,'inputs¦Engineering'!$E$4:$AN$75,E$16+6,FALSE))</f>
        <v>0</v>
      </c>
      <c r="F56" s="10">
        <f>IF($N56="Exclude",0,VLOOKUP($A56,'inputs¦Engineering'!$E$4:$AN$75,F$16+6,FALSE))</f>
        <v>250000</v>
      </c>
      <c r="G56" s="10">
        <f>IF($N56="Exclude",0,VLOOKUP($A56,'inputs¦Engineering'!$E$4:$AN$75,G$16+6,FALSE))</f>
        <v>0</v>
      </c>
      <c r="H56" s="10">
        <f>IF($N56="Exclude",0,VLOOKUP($A56,'inputs¦Engineering'!$E$4:$AN$75,H$16+6,FALSE))</f>
        <v>100000</v>
      </c>
      <c r="I56" s="10">
        <f>IF($N56="Exclude",0,VLOOKUP($A56,'inputs¦Engineering'!$E$4:$AN$75,I$16+6,FALSE))</f>
        <v>0</v>
      </c>
      <c r="J56" s="8" t="str">
        <f>VLOOKUP($A56,'inputs¦Engineering'!$E$4:$AN$100,21,FALSE)</f>
        <v>SIB</v>
      </c>
      <c r="K56" s="8" t="str">
        <f>VLOOKUP($A56,'inputs¦Engineering'!$E$4:$AN$100,33,FALSE)</f>
        <v>Pipeline</v>
      </c>
      <c r="L56" s="8">
        <f>VLOOKUP($A56,'inputs¦Engineering'!$E$4:$AN$100,29,FALSE)</f>
        <v>0</v>
      </c>
      <c r="M56" s="8" t="str">
        <f>VLOOKUP($A56,'inputs¦Engineering'!$E$4:$AN$100,33,FALSE)</f>
        <v>Pipeline</v>
      </c>
      <c r="N56" s="94" t="str">
        <f t="shared" si="5"/>
        <v>Stay in Business</v>
      </c>
      <c r="O56" s="7" t="str">
        <f t="shared" si="6"/>
        <v>SIB</v>
      </c>
      <c r="P56" s="7">
        <f t="shared" si="7"/>
        <v>350000</v>
      </c>
      <c r="Q56" s="11" t="str">
        <f t="shared" si="8"/>
        <v>0</v>
      </c>
      <c r="R56" s="9"/>
      <c r="S56" s="9"/>
      <c r="T56" s="9"/>
      <c r="U56" s="9"/>
      <c r="V56" s="9"/>
      <c r="W56" s="9"/>
      <c r="X56" s="9"/>
      <c r="Y56" s="9"/>
      <c r="Z56" s="9"/>
      <c r="AA56" s="9">
        <v>1</v>
      </c>
      <c r="AB56" s="9"/>
      <c r="AC56" s="26">
        <f t="shared" si="9"/>
        <v>1</v>
      </c>
      <c r="AD56" s="6" t="s">
        <v>76</v>
      </c>
    </row>
    <row r="57" spans="1:30" ht="14.25" x14ac:dyDescent="0.3">
      <c r="A57" s="97" t="str">
        <f>'inputs¦Engineering'!E45</f>
        <v>RBP HA RECTIFICATION</v>
      </c>
      <c r="B57" s="8" t="str">
        <f>VLOOKUP($A57,'inputs¦Engineering'!$E$4:$AN$75,34,FALSE)</f>
        <v>RBP</v>
      </c>
      <c r="C57" s="8" t="str">
        <f>VLOOKUP($A57,'inputs¦Engineering'!$E$4:$AN$75,3,FALSE)</f>
        <v>Implementation of HA inspections to address compliance - ongoing program - Kogan and Oakey completion first up - $100k insufficient for full completion of station package, hence increase based on typical actuals</v>
      </c>
      <c r="D57" s="10">
        <f>IF($N57="Exclude",0,VLOOKUP($A57,'inputs¦Engineering'!$E$4:$AN$75,D$16+6,FALSE))</f>
        <v>150000</v>
      </c>
      <c r="E57" s="10">
        <f>IF($N57="Exclude",0,VLOOKUP($A57,'inputs¦Engineering'!$E$4:$AN$75,E$16+6,FALSE))</f>
        <v>50000</v>
      </c>
      <c r="F57" s="10">
        <f>IF($N57="Exclude",0,VLOOKUP($A57,'inputs¦Engineering'!$E$4:$AN$75,F$16+6,FALSE))</f>
        <v>0</v>
      </c>
      <c r="G57" s="10">
        <f>IF($N57="Exclude",0,VLOOKUP($A57,'inputs¦Engineering'!$E$4:$AN$75,G$16+6,FALSE))</f>
        <v>0</v>
      </c>
      <c r="H57" s="10">
        <f>IF($N57="Exclude",0,VLOOKUP($A57,'inputs¦Engineering'!$E$4:$AN$75,H$16+6,FALSE))</f>
        <v>0</v>
      </c>
      <c r="I57" s="10">
        <f>IF($N57="Exclude",0,VLOOKUP($A57,'inputs¦Engineering'!$E$4:$AN$75,I$16+6,FALSE))</f>
        <v>100000</v>
      </c>
      <c r="J57" s="8" t="str">
        <f>VLOOKUP($A57,'inputs¦Engineering'!$E$4:$AN$100,21,FALSE)</f>
        <v>SIB</v>
      </c>
      <c r="K57" s="8" t="str">
        <f>VLOOKUP($A57,'inputs¦Engineering'!$E$4:$AN$100,33,FALSE)</f>
        <v>Station</v>
      </c>
      <c r="L57" s="8">
        <f>VLOOKUP($A57,'inputs¦Engineering'!$E$4:$AN$100,29,FALSE)</f>
        <v>0</v>
      </c>
      <c r="M57" s="8" t="str">
        <f>VLOOKUP($A57,'inputs¦Engineering'!$E$4:$AN$100,33,FALSE)</f>
        <v>Station</v>
      </c>
      <c r="N57" s="94" t="str">
        <f t="shared" si="5"/>
        <v>Stay in Business</v>
      </c>
      <c r="O57" s="7" t="str">
        <f t="shared" si="6"/>
        <v>SIB</v>
      </c>
      <c r="P57" s="7">
        <f t="shared" si="7"/>
        <v>300000</v>
      </c>
      <c r="Q57" s="11" t="str">
        <f t="shared" si="8"/>
        <v>0</v>
      </c>
      <c r="R57" s="9"/>
      <c r="S57" s="9"/>
      <c r="T57" s="9"/>
      <c r="U57" s="9"/>
      <c r="V57" s="9"/>
      <c r="W57" s="9"/>
      <c r="X57" s="9"/>
      <c r="Y57" s="9"/>
      <c r="Z57" s="9"/>
      <c r="AA57" s="9">
        <v>1</v>
      </c>
      <c r="AB57" s="9"/>
      <c r="AC57" s="26">
        <f t="shared" si="9"/>
        <v>1</v>
      </c>
      <c r="AD57" s="6" t="s">
        <v>76</v>
      </c>
    </row>
    <row r="58" spans="1:30" ht="14.25" x14ac:dyDescent="0.3">
      <c r="A58" s="97" t="str">
        <f>'inputs¦Engineering'!E46</f>
        <v>RBP LOOPING ILI - DN400</v>
      </c>
      <c r="B58" s="8" t="str">
        <f>VLOOKUP($A58,'inputs¦Engineering'!$E$4:$AN$75,34,FALSE)</f>
        <v>RBP</v>
      </c>
      <c r="C58" s="8" t="str">
        <f>VLOOKUP($A58,'inputs¦Engineering'!$E$4:$AN$75,3,FALSE)</f>
        <v>DN400 Wallumbilla to Swanbank (Roma to Brisbane – “Looping”) - as per national pigging schedule</v>
      </c>
      <c r="D58" s="10">
        <f>IF($N58="Exclude",0,VLOOKUP($A58,'inputs¦Engineering'!$E$4:$AN$75,D$16+6,FALSE))</f>
        <v>0</v>
      </c>
      <c r="E58" s="10">
        <f>IF($N58="Exclude",0,VLOOKUP($A58,'inputs¦Engineering'!$E$4:$AN$75,E$16+6,FALSE))</f>
        <v>0</v>
      </c>
      <c r="F58" s="10">
        <f>IF($N58="Exclude",0,VLOOKUP($A58,'inputs¦Engineering'!$E$4:$AN$75,F$16+6,FALSE))</f>
        <v>0</v>
      </c>
      <c r="G58" s="10">
        <f>IF($N58="Exclude",0,VLOOKUP($A58,'inputs¦Engineering'!$E$4:$AN$75,G$16+6,FALSE))</f>
        <v>0</v>
      </c>
      <c r="H58" s="10">
        <f>IF($N58="Exclude",0,VLOOKUP($A58,'inputs¦Engineering'!$E$4:$AN$75,H$16+6,FALSE))</f>
        <v>1800000</v>
      </c>
      <c r="I58" s="10">
        <f>IF($N58="Exclude",0,VLOOKUP($A58,'inputs¦Engineering'!$E$4:$AN$75,I$16+6,FALSE))</f>
        <v>0</v>
      </c>
      <c r="J58" s="8" t="str">
        <f>VLOOKUP($A58,'inputs¦Engineering'!$E$4:$AN$100,21,FALSE)</f>
        <v>SIB</v>
      </c>
      <c r="K58" s="8" t="str">
        <f>VLOOKUP($A58,'inputs¦Engineering'!$E$4:$AN$100,33,FALSE)</f>
        <v>Pipeline</v>
      </c>
      <c r="L58" s="8" t="str">
        <f>VLOOKUP($A58,'inputs¦Engineering'!$E$4:$AN$100,29,FALSE)</f>
        <v>AA-03</v>
      </c>
      <c r="M58" s="8" t="str">
        <f>VLOOKUP($A58,'inputs¦Engineering'!$E$4:$AN$100,33,FALSE)</f>
        <v>Pipeline</v>
      </c>
      <c r="N58" s="94" t="str">
        <f t="shared" si="5"/>
        <v>Stay in Business</v>
      </c>
      <c r="O58" s="7" t="str">
        <f t="shared" si="6"/>
        <v>SIB</v>
      </c>
      <c r="P58" s="7">
        <f t="shared" si="7"/>
        <v>1800000</v>
      </c>
      <c r="Q58" s="11" t="str">
        <f t="shared" si="8"/>
        <v>AA</v>
      </c>
      <c r="R58" s="9"/>
      <c r="S58" s="9">
        <v>1</v>
      </c>
      <c r="T58" s="9"/>
      <c r="U58" s="9"/>
      <c r="V58" s="9"/>
      <c r="W58" s="9"/>
      <c r="X58" s="9"/>
      <c r="Y58" s="9"/>
      <c r="Z58" s="9"/>
      <c r="AA58" s="9"/>
      <c r="AB58" s="9"/>
      <c r="AC58" s="26">
        <f t="shared" si="9"/>
        <v>1</v>
      </c>
      <c r="AD58" s="6" t="s">
        <v>76</v>
      </c>
    </row>
    <row r="59" spans="1:30" ht="14.25" x14ac:dyDescent="0.3">
      <c r="A59" s="97" t="str">
        <f>'inputs¦Engineering'!E47</f>
        <v xml:space="preserve">RBP LYTTON LATERAL ILI - DN200 </v>
      </c>
      <c r="B59" s="8" t="str">
        <f>VLOOKUP($A59,'inputs¦Engineering'!$E$4:$AN$75,34,FALSE)</f>
        <v>RBP</v>
      </c>
      <c r="C59" s="8" t="str">
        <f>VLOOKUP($A59,'inputs¦Engineering'!$E$4:$AN$75,3,FALSE)</f>
        <v>DN200 Lytton Lateral from SEA block valve to Caltex Refinery - as per national pigging schedule - COMMISSIONED 2010</v>
      </c>
      <c r="D59" s="10">
        <f>IF($N59="Exclude",0,VLOOKUP($A59,'inputs¦Engineering'!$E$4:$AN$75,D$16+6,FALSE))</f>
        <v>5000</v>
      </c>
      <c r="E59" s="10">
        <f>IF($N59="Exclude",0,VLOOKUP($A59,'inputs¦Engineering'!$E$4:$AN$75,E$16+6,FALSE))</f>
        <v>140000</v>
      </c>
      <c r="F59" s="10">
        <f>IF($N59="Exclude",0,VLOOKUP($A59,'inputs¦Engineering'!$E$4:$AN$75,F$16+6,FALSE))</f>
        <v>0</v>
      </c>
      <c r="G59" s="10">
        <f>IF($N59="Exclude",0,VLOOKUP($A59,'inputs¦Engineering'!$E$4:$AN$75,G$16+6,FALSE))</f>
        <v>0</v>
      </c>
      <c r="H59" s="10">
        <f>IF($N59="Exclude",0,VLOOKUP($A59,'inputs¦Engineering'!$E$4:$AN$75,H$16+6,FALSE))</f>
        <v>0</v>
      </c>
      <c r="I59" s="10">
        <f>IF($N59="Exclude",0,VLOOKUP($A59,'inputs¦Engineering'!$E$4:$AN$75,I$16+6,FALSE))</f>
        <v>0</v>
      </c>
      <c r="J59" s="8" t="str">
        <f>VLOOKUP($A59,'inputs¦Engineering'!$E$4:$AN$100,21,FALSE)</f>
        <v>SIB</v>
      </c>
      <c r="K59" s="8" t="str">
        <f>VLOOKUP($A59,'inputs¦Engineering'!$E$4:$AN$100,33,FALSE)</f>
        <v>Pipeline</v>
      </c>
      <c r="L59" s="8" t="str">
        <f>VLOOKUP($A59,'inputs¦Engineering'!$E$4:$AN$100,29,FALSE)</f>
        <v>AA-03</v>
      </c>
      <c r="M59" s="8" t="str">
        <f>VLOOKUP($A59,'inputs¦Engineering'!$E$4:$AN$100,33,FALSE)</f>
        <v>Pipeline</v>
      </c>
      <c r="N59" s="94" t="str">
        <f t="shared" si="5"/>
        <v>Stay in Business</v>
      </c>
      <c r="O59" s="7" t="str">
        <f t="shared" si="6"/>
        <v>SIB</v>
      </c>
      <c r="P59" s="7">
        <f t="shared" si="7"/>
        <v>145000</v>
      </c>
      <c r="Q59" s="11" t="str">
        <f t="shared" si="8"/>
        <v>AA</v>
      </c>
      <c r="R59" s="9"/>
      <c r="S59" s="9">
        <v>1</v>
      </c>
      <c r="T59" s="9"/>
      <c r="U59" s="9"/>
      <c r="V59" s="9"/>
      <c r="W59" s="9"/>
      <c r="X59" s="9"/>
      <c r="Y59" s="9"/>
      <c r="Z59" s="9"/>
      <c r="AA59" s="9"/>
      <c r="AB59" s="9"/>
      <c r="AC59" s="26">
        <f t="shared" si="9"/>
        <v>1</v>
      </c>
      <c r="AD59" s="6" t="s">
        <v>76</v>
      </c>
    </row>
    <row r="60" spans="1:30" ht="14.25" x14ac:dyDescent="0.3">
      <c r="A60" s="97" t="str">
        <f>'inputs¦Engineering'!E48</f>
        <v>RBP MAINLINE ILI PROGRAM - DN250</v>
      </c>
      <c r="B60" s="8" t="str">
        <f>VLOOKUP($A60,'inputs¦Engineering'!$E$4:$AN$75,34,FALSE)</f>
        <v>RBP</v>
      </c>
      <c r="C60" s="8" t="str">
        <f>VLOOKUP($A60,'inputs¦Engineering'!$E$4:$AN$75,3,FALSE)</f>
        <v>FY19 for DN250 ILI &amp; Verification digs; [Verification digs carryover from remaining 2015 ILI]</v>
      </c>
      <c r="D60" s="10">
        <f>IF($N60="Exclude",0,VLOOKUP($A60,'inputs¦Engineering'!$E$4:$AN$75,D$16+6,FALSE))</f>
        <v>0</v>
      </c>
      <c r="E60" s="10">
        <f>IF($N60="Exclude",0,VLOOKUP($A60,'inputs¦Engineering'!$E$4:$AN$75,E$16+6,FALSE))</f>
        <v>0</v>
      </c>
      <c r="F60" s="10">
        <f>IF($N60="Exclude",0,VLOOKUP($A60,'inputs¦Engineering'!$E$4:$AN$75,F$16+6,FALSE))</f>
        <v>1500000</v>
      </c>
      <c r="G60" s="10">
        <f>IF($N60="Exclude",0,VLOOKUP($A60,'inputs¦Engineering'!$E$4:$AN$75,G$16+6,FALSE))</f>
        <v>0</v>
      </c>
      <c r="H60" s="10">
        <f>IF($N60="Exclude",0,VLOOKUP($A60,'inputs¦Engineering'!$E$4:$AN$75,H$16+6,FALSE))</f>
        <v>0</v>
      </c>
      <c r="I60" s="10">
        <f>IF($N60="Exclude",0,VLOOKUP($A60,'inputs¦Engineering'!$E$4:$AN$75,I$16+6,FALSE))</f>
        <v>0</v>
      </c>
      <c r="J60" s="8" t="str">
        <f>VLOOKUP($A60,'inputs¦Engineering'!$E$4:$AN$100,21,FALSE)</f>
        <v>SIB</v>
      </c>
      <c r="K60" s="8" t="str">
        <f>VLOOKUP($A60,'inputs¦Engineering'!$E$4:$AN$100,33,FALSE)</f>
        <v>Pipeline</v>
      </c>
      <c r="L60" s="8" t="str">
        <f>VLOOKUP($A60,'inputs¦Engineering'!$E$4:$AN$100,29,FALSE)</f>
        <v>AA-03</v>
      </c>
      <c r="M60" s="8" t="str">
        <f>VLOOKUP($A60,'inputs¦Engineering'!$E$4:$AN$100,33,FALSE)</f>
        <v>Pipeline</v>
      </c>
      <c r="N60" s="94" t="str">
        <f t="shared" si="5"/>
        <v>Stay in Business</v>
      </c>
      <c r="O60" s="7" t="str">
        <f t="shared" si="6"/>
        <v>SIB</v>
      </c>
      <c r="P60" s="7">
        <f t="shared" si="7"/>
        <v>1500000</v>
      </c>
      <c r="Q60" s="11" t="str">
        <f t="shared" si="8"/>
        <v>AA</v>
      </c>
      <c r="R60" s="9">
        <v>1</v>
      </c>
      <c r="S60" s="9"/>
      <c r="T60" s="9"/>
      <c r="U60" s="9"/>
      <c r="V60" s="9"/>
      <c r="W60" s="9"/>
      <c r="X60" s="9"/>
      <c r="Y60" s="9"/>
      <c r="Z60" s="9"/>
      <c r="AA60" s="9"/>
      <c r="AB60" s="9"/>
      <c r="AC60" s="26">
        <f t="shared" si="9"/>
        <v>1</v>
      </c>
      <c r="AD60" s="6" t="s">
        <v>76</v>
      </c>
    </row>
    <row r="61" spans="1:30" ht="14.25" x14ac:dyDescent="0.3">
      <c r="A61" s="97" t="str">
        <f>'inputs¦Engineering'!E49</f>
        <v>RBP METRO (ORIGINAL) ILI - DN200</v>
      </c>
      <c r="B61" s="8" t="str">
        <f>VLOOKUP($A61,'inputs¦Engineering'!$E$4:$AN$75,34,FALSE)</f>
        <v>RBP</v>
      </c>
      <c r="C61" s="8" t="str">
        <f>VLOOKUP($A61,'inputs¦Engineering'!$E$4:$AN$75,3,FALSE)</f>
        <v>DN200 “metro” from SEA block valve to Gibson Island - built 1970 - as per national pigging schedule</v>
      </c>
      <c r="D61" s="10">
        <f>IF($N61="Exclude",0,VLOOKUP($A61,'inputs¦Engineering'!$E$4:$AN$75,D$16+6,FALSE))</f>
        <v>0</v>
      </c>
      <c r="E61" s="10">
        <f>IF($N61="Exclude",0,VLOOKUP($A61,'inputs¦Engineering'!$E$4:$AN$75,E$16+6,FALSE))</f>
        <v>60000</v>
      </c>
      <c r="F61" s="10">
        <f>IF($N61="Exclude",0,VLOOKUP($A61,'inputs¦Engineering'!$E$4:$AN$75,F$16+6,FALSE))</f>
        <v>0</v>
      </c>
      <c r="G61" s="10">
        <f>IF($N61="Exclude",0,VLOOKUP($A61,'inputs¦Engineering'!$E$4:$AN$75,G$16+6,FALSE))</f>
        <v>0</v>
      </c>
      <c r="H61" s="10">
        <f>IF($N61="Exclude",0,VLOOKUP($A61,'inputs¦Engineering'!$E$4:$AN$75,H$16+6,FALSE))</f>
        <v>0</v>
      </c>
      <c r="I61" s="10">
        <f>IF($N61="Exclude",0,VLOOKUP($A61,'inputs¦Engineering'!$E$4:$AN$75,I$16+6,FALSE))</f>
        <v>0</v>
      </c>
      <c r="J61" s="8" t="str">
        <f>VLOOKUP($A61,'inputs¦Engineering'!$E$4:$AN$100,21,FALSE)</f>
        <v>SIB</v>
      </c>
      <c r="K61" s="8" t="str">
        <f>VLOOKUP($A61,'inputs¦Engineering'!$E$4:$AN$100,33,FALSE)</f>
        <v>Pipeline</v>
      </c>
      <c r="L61" s="8" t="str">
        <f>VLOOKUP($A61,'inputs¦Engineering'!$E$4:$AN$100,29,FALSE)</f>
        <v>AA-03</v>
      </c>
      <c r="M61" s="8" t="str">
        <f>VLOOKUP($A61,'inputs¦Engineering'!$E$4:$AN$100,33,FALSE)</f>
        <v>Pipeline</v>
      </c>
      <c r="N61" s="94" t="str">
        <f t="shared" si="5"/>
        <v>Stay in Business</v>
      </c>
      <c r="O61" s="7" t="str">
        <f t="shared" si="6"/>
        <v>SIB</v>
      </c>
      <c r="P61" s="7">
        <f t="shared" si="7"/>
        <v>60000</v>
      </c>
      <c r="Q61" s="11" t="str">
        <f t="shared" si="8"/>
        <v>AA</v>
      </c>
      <c r="R61" s="9">
        <v>1</v>
      </c>
      <c r="S61" s="9"/>
      <c r="T61" s="9"/>
      <c r="U61" s="9"/>
      <c r="V61" s="9"/>
      <c r="W61" s="9"/>
      <c r="X61" s="9"/>
      <c r="Y61" s="9"/>
      <c r="Z61" s="9"/>
      <c r="AA61" s="9"/>
      <c r="AB61" s="9"/>
      <c r="AC61" s="26">
        <f t="shared" si="9"/>
        <v>1</v>
      </c>
      <c r="AD61" s="6" t="s">
        <v>76</v>
      </c>
    </row>
    <row r="62" spans="1:30" ht="14.25" x14ac:dyDescent="0.3">
      <c r="A62" s="97" t="str">
        <f>'inputs¦Engineering'!E50</f>
        <v>RBP METRO ILI - DN300</v>
      </c>
      <c r="B62" s="8" t="str">
        <f>VLOOKUP($A62,'inputs¦Engineering'!$E$4:$AN$75,34,FALSE)</f>
        <v>RBP</v>
      </c>
      <c r="C62" s="8" t="str">
        <f>VLOOKUP($A62,'inputs¦Engineering'!$E$4:$AN$75,3,FALSE)</f>
        <v>DN300 “metro” from Bellbird Park to SEA block valve  via Ellengrove and Mount Gravatt - built 1970 - as per national pigging schedule</v>
      </c>
      <c r="D62" s="10">
        <f>IF($N62="Exclude",0,VLOOKUP($A62,'inputs¦Engineering'!$E$4:$AN$75,D$16+6,FALSE))</f>
        <v>220000</v>
      </c>
      <c r="E62" s="10">
        <f>IF($N62="Exclude",0,VLOOKUP($A62,'inputs¦Engineering'!$E$4:$AN$75,E$16+6,FALSE))</f>
        <v>0</v>
      </c>
      <c r="F62" s="10">
        <f>IF($N62="Exclude",0,VLOOKUP($A62,'inputs¦Engineering'!$E$4:$AN$75,F$16+6,FALSE))</f>
        <v>0</v>
      </c>
      <c r="G62" s="10">
        <f>IF($N62="Exclude",0,VLOOKUP($A62,'inputs¦Engineering'!$E$4:$AN$75,G$16+6,FALSE))</f>
        <v>0</v>
      </c>
      <c r="H62" s="10">
        <f>IF($N62="Exclude",0,VLOOKUP($A62,'inputs¦Engineering'!$E$4:$AN$75,H$16+6,FALSE))</f>
        <v>0</v>
      </c>
      <c r="I62" s="10">
        <f>IF($N62="Exclude",0,VLOOKUP($A62,'inputs¦Engineering'!$E$4:$AN$75,I$16+6,FALSE))</f>
        <v>220000</v>
      </c>
      <c r="J62" s="8" t="str">
        <f>VLOOKUP($A62,'inputs¦Engineering'!$E$4:$AN$100,21,FALSE)</f>
        <v>SIB</v>
      </c>
      <c r="K62" s="8" t="str">
        <f>VLOOKUP($A62,'inputs¦Engineering'!$E$4:$AN$100,33,FALSE)</f>
        <v>Pipeline</v>
      </c>
      <c r="L62" s="8" t="str">
        <f>VLOOKUP($A62,'inputs¦Engineering'!$E$4:$AN$100,29,FALSE)</f>
        <v>AA-03</v>
      </c>
      <c r="M62" s="8" t="str">
        <f>VLOOKUP($A62,'inputs¦Engineering'!$E$4:$AN$100,33,FALSE)</f>
        <v>Pipeline</v>
      </c>
      <c r="N62" s="94" t="str">
        <f t="shared" si="5"/>
        <v>Stay in Business</v>
      </c>
      <c r="O62" s="7" t="str">
        <f t="shared" si="6"/>
        <v>SIB</v>
      </c>
      <c r="P62" s="7">
        <f t="shared" si="7"/>
        <v>440000</v>
      </c>
      <c r="Q62" s="11" t="str">
        <f t="shared" si="8"/>
        <v>AA</v>
      </c>
      <c r="R62" s="9">
        <v>1</v>
      </c>
      <c r="S62" s="9"/>
      <c r="T62" s="9"/>
      <c r="U62" s="9"/>
      <c r="V62" s="9"/>
      <c r="W62" s="9"/>
      <c r="X62" s="9"/>
      <c r="Y62" s="9"/>
      <c r="Z62" s="9"/>
      <c r="AA62" s="9"/>
      <c r="AB62" s="9"/>
      <c r="AC62" s="26">
        <f t="shared" si="9"/>
        <v>1</v>
      </c>
      <c r="AD62" s="6" t="s">
        <v>76</v>
      </c>
    </row>
    <row r="63" spans="1:30" ht="14.25" x14ac:dyDescent="0.3">
      <c r="A63" s="97" t="str">
        <f>'inputs¦Engineering'!E51</f>
        <v xml:space="preserve">RBP METRO LOOP ILI - DN400 </v>
      </c>
      <c r="B63" s="8" t="str">
        <f>VLOOKUP($A63,'inputs¦Engineering'!$E$4:$AN$75,34,FALSE)</f>
        <v>RBP</v>
      </c>
      <c r="C63" s="8" t="str">
        <f>VLOOKUP($A63,'inputs¦Engineering'!$E$4:$AN$75,3,FALSE)</f>
        <v>As per national pigging strategy - commissioned 2013 - FY20 (strategic) or FY23 (non-strategic) TBC - $250k</v>
      </c>
      <c r="D63" s="10">
        <f>IF($N63="Exclude",0,VLOOKUP($A63,'inputs¦Engineering'!$E$4:$AN$75,D$16+6,FALSE))</f>
        <v>0</v>
      </c>
      <c r="E63" s="10">
        <f>IF($N63="Exclude",0,VLOOKUP($A63,'inputs¦Engineering'!$E$4:$AN$75,E$16+6,FALSE))</f>
        <v>0</v>
      </c>
      <c r="F63" s="10">
        <f>IF($N63="Exclude",0,VLOOKUP($A63,'inputs¦Engineering'!$E$4:$AN$75,F$16+6,FALSE))</f>
        <v>120000</v>
      </c>
      <c r="G63" s="10">
        <f>IF($N63="Exclude",0,VLOOKUP($A63,'inputs¦Engineering'!$E$4:$AN$75,G$16+6,FALSE))</f>
        <v>0</v>
      </c>
      <c r="H63" s="10">
        <f>IF($N63="Exclude",0,VLOOKUP($A63,'inputs¦Engineering'!$E$4:$AN$75,H$16+6,FALSE))</f>
        <v>0</v>
      </c>
      <c r="I63" s="10">
        <f>IF($N63="Exclude",0,VLOOKUP($A63,'inputs¦Engineering'!$E$4:$AN$75,I$16+6,FALSE))</f>
        <v>0</v>
      </c>
      <c r="J63" s="8" t="str">
        <f>VLOOKUP($A63,'inputs¦Engineering'!$E$4:$AN$100,21,FALSE)</f>
        <v>SIB</v>
      </c>
      <c r="K63" s="8" t="str">
        <f>VLOOKUP($A63,'inputs¦Engineering'!$E$4:$AN$100,33,FALSE)</f>
        <v>Pipeline</v>
      </c>
      <c r="L63" s="8" t="str">
        <f>VLOOKUP($A63,'inputs¦Engineering'!$E$4:$AN$100,29,FALSE)</f>
        <v>AA-03</v>
      </c>
      <c r="M63" s="8" t="str">
        <f>VLOOKUP($A63,'inputs¦Engineering'!$E$4:$AN$100,33,FALSE)</f>
        <v>Pipeline</v>
      </c>
      <c r="N63" s="94" t="str">
        <f t="shared" si="5"/>
        <v>Stay in Business</v>
      </c>
      <c r="O63" s="7" t="str">
        <f t="shared" si="6"/>
        <v>SIB</v>
      </c>
      <c r="P63" s="7">
        <f t="shared" si="7"/>
        <v>120000</v>
      </c>
      <c r="Q63" s="11" t="str">
        <f t="shared" si="8"/>
        <v>AA</v>
      </c>
      <c r="R63" s="9"/>
      <c r="S63" s="9">
        <v>1</v>
      </c>
      <c r="T63" s="9"/>
      <c r="U63" s="9"/>
      <c r="V63" s="9"/>
      <c r="W63" s="9"/>
      <c r="X63" s="9"/>
      <c r="Y63" s="9"/>
      <c r="Z63" s="9"/>
      <c r="AA63" s="9"/>
      <c r="AB63" s="9"/>
      <c r="AC63" s="26">
        <f t="shared" si="9"/>
        <v>1</v>
      </c>
      <c r="AD63" s="6" t="s">
        <v>76</v>
      </c>
    </row>
    <row r="64" spans="1:30" ht="14.25" x14ac:dyDescent="0.3">
      <c r="A64" s="97" t="str">
        <f>'inputs¦Engineering'!E52</f>
        <v>RBP REPLACEMENT SPOOLS FOR DN250 CHECK VALVES</v>
      </c>
      <c r="B64" s="8" t="str">
        <f>VLOOKUP($A64,'inputs¦Engineering'!$E$4:$AN$75,34,FALSE)</f>
        <v>RBP</v>
      </c>
      <c r="C64" s="8" t="str">
        <f>VLOOKUP($A64,'inputs¦Engineering'!$E$4:$AN$75,3,FALSE)</f>
        <v>Removal of the DN250 check valves and their latching modifications from the RBP MLV sites.  Replace with pipe spools.</v>
      </c>
      <c r="D64" s="10">
        <f>IF($N64="Exclude",0,VLOOKUP($A64,'inputs¦Engineering'!$E$4:$AN$75,D$16+6,FALSE))</f>
        <v>10000</v>
      </c>
      <c r="E64" s="10">
        <f>IF($N64="Exclude",0,VLOOKUP($A64,'inputs¦Engineering'!$E$4:$AN$75,E$16+6,FALSE))</f>
        <v>0</v>
      </c>
      <c r="F64" s="10">
        <f>IF($N64="Exclude",0,VLOOKUP($A64,'inputs¦Engineering'!$E$4:$AN$75,F$16+6,FALSE))</f>
        <v>0</v>
      </c>
      <c r="G64" s="10">
        <f>IF($N64="Exclude",0,VLOOKUP($A64,'inputs¦Engineering'!$E$4:$AN$75,G$16+6,FALSE))</f>
        <v>0</v>
      </c>
      <c r="H64" s="10">
        <f>IF($N64="Exclude",0,VLOOKUP($A64,'inputs¦Engineering'!$E$4:$AN$75,H$16+6,FALSE))</f>
        <v>0</v>
      </c>
      <c r="I64" s="10">
        <f>IF($N64="Exclude",0,VLOOKUP($A64,'inputs¦Engineering'!$E$4:$AN$75,I$16+6,FALSE))</f>
        <v>0</v>
      </c>
      <c r="J64" s="8" t="str">
        <f>VLOOKUP($A64,'inputs¦Engineering'!$E$4:$AN$100,21,FALSE)</f>
        <v>BAU</v>
      </c>
      <c r="K64" s="8" t="str">
        <f>VLOOKUP($A64,'inputs¦Engineering'!$E$4:$AN$100,33,FALSE)</f>
        <v>Pipeline</v>
      </c>
      <c r="L64" s="8">
        <f>VLOOKUP($A64,'inputs¦Engineering'!$E$4:$AN$100,29,FALSE)</f>
        <v>0</v>
      </c>
      <c r="M64" s="8" t="str">
        <f>VLOOKUP($A64,'inputs¦Engineering'!$E$4:$AN$100,33,FALSE)</f>
        <v>Pipeline</v>
      </c>
      <c r="N64" s="94" t="str">
        <f t="shared" si="5"/>
        <v>Stay in Business</v>
      </c>
      <c r="O64" s="7" t="str">
        <f t="shared" si="6"/>
        <v>BAU</v>
      </c>
      <c r="P64" s="7">
        <f t="shared" si="7"/>
        <v>10000</v>
      </c>
      <c r="Q64" s="11" t="str">
        <f t="shared" si="8"/>
        <v>0</v>
      </c>
      <c r="R64" s="9"/>
      <c r="S64" s="9"/>
      <c r="T64" s="9"/>
      <c r="U64" s="9"/>
      <c r="V64" s="9"/>
      <c r="W64" s="9"/>
      <c r="X64" s="9"/>
      <c r="Y64" s="9"/>
      <c r="Z64" s="9"/>
      <c r="AA64" s="9">
        <v>1</v>
      </c>
      <c r="AB64" s="9"/>
      <c r="AC64" s="26">
        <f t="shared" si="9"/>
        <v>1</v>
      </c>
      <c r="AD64" s="6" t="s">
        <v>76</v>
      </c>
    </row>
    <row r="65" spans="1:30" ht="14.25" x14ac:dyDescent="0.3">
      <c r="A65" s="97" t="str">
        <f>'inputs¦Engineering'!E53</f>
        <v>RBP RISK MITIGATION - FEED and IMPLEMENTATION</v>
      </c>
      <c r="B65" s="8" t="str">
        <f>VLOOKUP($A65,'inputs¦Engineering'!$E$4:$AN$75,34,FALSE)</f>
        <v>RBP</v>
      </c>
      <c r="C65" s="8" t="str">
        <f>VLOOKUP($A65,'inputs¦Engineering'!$E$4:$AN$75,3,FALSE)</f>
        <v>ALARP study outcomes to be scoped and implemented</v>
      </c>
      <c r="D65" s="10">
        <f>IF($N65="Exclude",0,VLOOKUP($A65,'inputs¦Engineering'!$E$4:$AN$75,D$16+6,FALSE))</f>
        <v>8000000</v>
      </c>
      <c r="E65" s="10">
        <f>IF($N65="Exclude",0,VLOOKUP($A65,'inputs¦Engineering'!$E$4:$AN$75,E$16+6,FALSE))</f>
        <v>1650000</v>
      </c>
      <c r="F65" s="10">
        <f>IF($N65="Exclude",0,VLOOKUP($A65,'inputs¦Engineering'!$E$4:$AN$75,F$16+6,FALSE))</f>
        <v>300000</v>
      </c>
      <c r="G65" s="10">
        <f>IF($N65="Exclude",0,VLOOKUP($A65,'inputs¦Engineering'!$E$4:$AN$75,G$16+6,FALSE))</f>
        <v>300000</v>
      </c>
      <c r="H65" s="10">
        <f>IF($N65="Exclude",0,VLOOKUP($A65,'inputs¦Engineering'!$E$4:$AN$75,H$16+6,FALSE))</f>
        <v>300000</v>
      </c>
      <c r="I65" s="10">
        <f>IF($N65="Exclude",0,VLOOKUP($A65,'inputs¦Engineering'!$E$4:$AN$75,I$16+6,FALSE))</f>
        <v>300000</v>
      </c>
      <c r="J65" s="8" t="str">
        <f>VLOOKUP($A65,'inputs¦Engineering'!$E$4:$AN$100,21,FALSE)</f>
        <v>SIB</v>
      </c>
      <c r="K65" s="8" t="str">
        <f>VLOOKUP($A65,'inputs¦Engineering'!$E$4:$AN$100,33,FALSE)</f>
        <v>Pipeline</v>
      </c>
      <c r="L65" s="8" t="str">
        <f>VLOOKUP($A65,'inputs¦Engineering'!$E$4:$AN$100,29,FALSE)</f>
        <v>AA-02</v>
      </c>
      <c r="M65" s="8" t="str">
        <f>VLOOKUP($A65,'inputs¦Engineering'!$E$4:$AN$100,33,FALSE)</f>
        <v>Pipeline</v>
      </c>
      <c r="N65" s="94" t="str">
        <f t="shared" si="5"/>
        <v>Stay in Business</v>
      </c>
      <c r="O65" s="7" t="str">
        <f t="shared" si="6"/>
        <v>SIB</v>
      </c>
      <c r="P65" s="7">
        <f t="shared" si="7"/>
        <v>10850000</v>
      </c>
      <c r="Q65" s="11" t="str">
        <f t="shared" si="8"/>
        <v>AA</v>
      </c>
      <c r="R65" s="9">
        <v>1</v>
      </c>
      <c r="S65" s="9"/>
      <c r="T65" s="9"/>
      <c r="U65" s="9"/>
      <c r="V65" s="9"/>
      <c r="W65" s="9"/>
      <c r="X65" s="9"/>
      <c r="Y65" s="9"/>
      <c r="Z65" s="9"/>
      <c r="AA65" s="9"/>
      <c r="AB65" s="9"/>
      <c r="AC65" s="26">
        <f t="shared" si="9"/>
        <v>1</v>
      </c>
      <c r="AD65" s="6" t="s">
        <v>76</v>
      </c>
    </row>
    <row r="66" spans="1:30" ht="14.25" x14ac:dyDescent="0.3">
      <c r="A66" s="97" t="str">
        <f>'inputs¦Engineering'!E54</f>
        <v>RBP S20 Decommissioned Compressor Removal</v>
      </c>
      <c r="B66" s="8" t="str">
        <f>VLOOKUP($A66,'inputs¦Engineering'!$E$4:$AN$75,34,FALSE)</f>
        <v>RBP</v>
      </c>
      <c r="C66" s="8" t="str">
        <f>VLOOKUP($A66,'inputs¦Engineering'!$E$4:$AN$75,3,FALSE)</f>
        <v>Remove compressor, turbines, condensate tanks, lube oil, etc</v>
      </c>
      <c r="D66" s="10">
        <f>IF($N66="Exclude",0,VLOOKUP($A66,'inputs¦Engineering'!$E$4:$AN$75,D$16+6,FALSE))</f>
        <v>0</v>
      </c>
      <c r="E66" s="10">
        <f>IF($N66="Exclude",0,VLOOKUP($A66,'inputs¦Engineering'!$E$4:$AN$75,E$16+6,FALSE))</f>
        <v>100000</v>
      </c>
      <c r="F66" s="10">
        <f>IF($N66="Exclude",0,VLOOKUP($A66,'inputs¦Engineering'!$E$4:$AN$75,F$16+6,FALSE))</f>
        <v>100000</v>
      </c>
      <c r="G66" s="10">
        <f>IF($N66="Exclude",0,VLOOKUP($A66,'inputs¦Engineering'!$E$4:$AN$75,G$16+6,FALSE))</f>
        <v>0</v>
      </c>
      <c r="H66" s="10">
        <f>IF($N66="Exclude",0,VLOOKUP($A66,'inputs¦Engineering'!$E$4:$AN$75,H$16+6,FALSE))</f>
        <v>0</v>
      </c>
      <c r="I66" s="10">
        <f>IF($N66="Exclude",0,VLOOKUP($A66,'inputs¦Engineering'!$E$4:$AN$75,I$16+6,FALSE))</f>
        <v>0</v>
      </c>
      <c r="J66" s="8" t="str">
        <f>VLOOKUP($A66,'inputs¦Engineering'!$E$4:$AN$100,21,FALSE)</f>
        <v>SIB</v>
      </c>
      <c r="K66" s="8" t="str">
        <f>VLOOKUP($A66,'inputs¦Engineering'!$E$4:$AN$100,33,FALSE)</f>
        <v>Station</v>
      </c>
      <c r="L66" s="8">
        <f>VLOOKUP($A66,'inputs¦Engineering'!$E$4:$AN$100,29,FALSE)</f>
        <v>0</v>
      </c>
      <c r="M66" s="8" t="str">
        <f>VLOOKUP($A66,'inputs¦Engineering'!$E$4:$AN$100,33,FALSE)</f>
        <v>Station</v>
      </c>
      <c r="N66" s="94" t="str">
        <f t="shared" si="5"/>
        <v>Stay in Business</v>
      </c>
      <c r="O66" s="7" t="str">
        <f t="shared" si="6"/>
        <v>SIB</v>
      </c>
      <c r="P66" s="7">
        <f t="shared" si="7"/>
        <v>200000</v>
      </c>
      <c r="Q66" s="11" t="str">
        <f t="shared" si="8"/>
        <v>0</v>
      </c>
      <c r="R66" s="9"/>
      <c r="S66" s="9"/>
      <c r="T66" s="9">
        <v>1</v>
      </c>
      <c r="U66" s="9"/>
      <c r="V66" s="9"/>
      <c r="W66" s="9"/>
      <c r="X66" s="9"/>
      <c r="Y66" s="9"/>
      <c r="Z66" s="9"/>
      <c r="AA66" s="9"/>
      <c r="AB66" s="9"/>
      <c r="AC66" s="26">
        <f t="shared" si="9"/>
        <v>1</v>
      </c>
      <c r="AD66" s="6" t="s">
        <v>76</v>
      </c>
    </row>
    <row r="67" spans="1:30" ht="14.25" x14ac:dyDescent="0.3">
      <c r="A67" s="97" t="str">
        <f>'inputs¦Engineering'!E55</f>
        <v>RBP SCC EMAT ILI - DN300</v>
      </c>
      <c r="B67" s="8" t="str">
        <f>VLOOKUP($A67,'inputs¦Engineering'!$E$4:$AN$75,34,FALSE)</f>
        <v>RBP</v>
      </c>
      <c r="C67" s="8" t="str">
        <f>VLOOKUP($A67,'inputs¦Engineering'!$E$4:$AN$75,3,FALSE)</f>
        <v>Consider EMAT tool for inspection of Metro</v>
      </c>
      <c r="D67" s="10">
        <f>IF($N67="Exclude",0,VLOOKUP($A67,'inputs¦Engineering'!$E$4:$AN$75,D$16+6,FALSE))</f>
        <v>0</v>
      </c>
      <c r="E67" s="10">
        <f>IF($N67="Exclude",0,VLOOKUP($A67,'inputs¦Engineering'!$E$4:$AN$75,E$16+6,FALSE))</f>
        <v>0</v>
      </c>
      <c r="F67" s="10">
        <f>IF($N67="Exclude",0,VLOOKUP($A67,'inputs¦Engineering'!$E$4:$AN$75,F$16+6,FALSE))</f>
        <v>0</v>
      </c>
      <c r="G67" s="10">
        <f>IF($N67="Exclude",0,VLOOKUP($A67,'inputs¦Engineering'!$E$4:$AN$75,G$16+6,FALSE))</f>
        <v>0</v>
      </c>
      <c r="H67" s="10">
        <f>IF($N67="Exclude",0,VLOOKUP($A67,'inputs¦Engineering'!$E$4:$AN$75,H$16+6,FALSE))</f>
        <v>0</v>
      </c>
      <c r="I67" s="10">
        <f>IF($N67="Exclude",0,VLOOKUP($A67,'inputs¦Engineering'!$E$4:$AN$75,I$16+6,FALSE))</f>
        <v>900000</v>
      </c>
      <c r="J67" s="8" t="str">
        <f>VLOOKUP($A67,'inputs¦Engineering'!$E$4:$AN$100,21,FALSE)</f>
        <v>SIB</v>
      </c>
      <c r="K67" s="8" t="str">
        <f>VLOOKUP($A67,'inputs¦Engineering'!$E$4:$AN$100,33,FALSE)</f>
        <v>Pipeline</v>
      </c>
      <c r="L67" s="8" t="str">
        <f>VLOOKUP($A67,'inputs¦Engineering'!$E$4:$AN$100,29,FALSE)</f>
        <v>AA-03</v>
      </c>
      <c r="M67" s="8" t="str">
        <f>VLOOKUP($A67,'inputs¦Engineering'!$E$4:$AN$100,33,FALSE)</f>
        <v>Pipeline</v>
      </c>
      <c r="N67" s="94" t="str">
        <f t="shared" si="5"/>
        <v>Stay in Business</v>
      </c>
      <c r="O67" s="7" t="str">
        <f t="shared" si="6"/>
        <v>SIB</v>
      </c>
      <c r="P67" s="7">
        <f t="shared" si="7"/>
        <v>900000</v>
      </c>
      <c r="Q67" s="11" t="str">
        <f t="shared" si="8"/>
        <v>AA</v>
      </c>
      <c r="R67" s="9">
        <v>1</v>
      </c>
      <c r="S67" s="9"/>
      <c r="T67" s="9"/>
      <c r="U67" s="9"/>
      <c r="V67" s="9"/>
      <c r="W67" s="9"/>
      <c r="X67" s="9"/>
      <c r="Y67" s="9"/>
      <c r="Z67" s="9"/>
      <c r="AA67" s="9"/>
      <c r="AB67" s="9"/>
      <c r="AC67" s="26">
        <f t="shared" si="9"/>
        <v>1</v>
      </c>
      <c r="AD67" s="6" t="s">
        <v>76</v>
      </c>
    </row>
    <row r="68" spans="1:30" ht="14.25" x14ac:dyDescent="0.3">
      <c r="A68" s="97" t="str">
        <f>'inputs¦Engineering'!E56</f>
        <v xml:space="preserve">RBP SCCMP EMAT ILI - DN250 </v>
      </c>
      <c r="B68" s="8" t="str">
        <f>VLOOKUP($A68,'inputs¦Engineering'!$E$4:$AN$75,34,FALSE)</f>
        <v>RBP</v>
      </c>
      <c r="C68" s="8" t="str">
        <f>VLOOKUP($A68,'inputs¦Engineering'!$E$4:$AN$75,3,FALSE)</f>
        <v>SCC Managemennt Plan recommendations - timing within 4 years of identification - either hydrotesting or crack detection; Target FY17 start - FY18 complete</v>
      </c>
      <c r="D68" s="10">
        <f>IF($N68="Exclude",0,VLOOKUP($A68,'inputs¦Engineering'!$E$4:$AN$75,D$16+6,FALSE))</f>
        <v>0</v>
      </c>
      <c r="E68" s="10">
        <f>IF($N68="Exclude",0,VLOOKUP($A68,'inputs¦Engineering'!$E$4:$AN$75,E$16+6,FALSE))</f>
        <v>1800000</v>
      </c>
      <c r="F68" s="10">
        <f>IF($N68="Exclude",0,VLOOKUP($A68,'inputs¦Engineering'!$E$4:$AN$75,F$16+6,FALSE))</f>
        <v>1200000</v>
      </c>
      <c r="G68" s="10">
        <f>IF($N68="Exclude",0,VLOOKUP($A68,'inputs¦Engineering'!$E$4:$AN$75,G$16+6,FALSE))</f>
        <v>0</v>
      </c>
      <c r="H68" s="10">
        <f>IF($N68="Exclude",0,VLOOKUP($A68,'inputs¦Engineering'!$E$4:$AN$75,H$16+6,FALSE))</f>
        <v>0</v>
      </c>
      <c r="I68" s="10">
        <f>IF($N68="Exclude",0,VLOOKUP($A68,'inputs¦Engineering'!$E$4:$AN$75,I$16+6,FALSE))</f>
        <v>0</v>
      </c>
      <c r="J68" s="8" t="str">
        <f>VLOOKUP($A68,'inputs¦Engineering'!$E$4:$AN$100,21,FALSE)</f>
        <v>SIB</v>
      </c>
      <c r="K68" s="8" t="str">
        <f>VLOOKUP($A68,'inputs¦Engineering'!$E$4:$AN$100,33,FALSE)</f>
        <v>Pipeline</v>
      </c>
      <c r="L68" s="8" t="str">
        <f>VLOOKUP($A68,'inputs¦Engineering'!$E$4:$AN$100,29,FALSE)</f>
        <v>AA-03</v>
      </c>
      <c r="M68" s="8" t="str">
        <f>VLOOKUP($A68,'inputs¦Engineering'!$E$4:$AN$100,33,FALSE)</f>
        <v>Pipeline</v>
      </c>
      <c r="N68" s="94" t="str">
        <f t="shared" si="5"/>
        <v>Stay in Business</v>
      </c>
      <c r="O68" s="7" t="str">
        <f t="shared" si="6"/>
        <v>SIB</v>
      </c>
      <c r="P68" s="7">
        <f t="shared" si="7"/>
        <v>3000000</v>
      </c>
      <c r="Q68" s="11" t="str">
        <f t="shared" si="8"/>
        <v>AA</v>
      </c>
      <c r="R68" s="9">
        <v>1</v>
      </c>
      <c r="S68" s="9"/>
      <c r="T68" s="9"/>
      <c r="U68" s="9"/>
      <c r="V68" s="9"/>
      <c r="W68" s="9"/>
      <c r="X68" s="9"/>
      <c r="Y68" s="9"/>
      <c r="Z68" s="9"/>
      <c r="AA68" s="9"/>
      <c r="AB68" s="9"/>
      <c r="AC68" s="26">
        <f t="shared" si="9"/>
        <v>1</v>
      </c>
      <c r="AD68" s="6" t="s">
        <v>76</v>
      </c>
    </row>
    <row r="69" spans="1:30" ht="14.25" x14ac:dyDescent="0.3">
      <c r="A69" s="97" t="str">
        <f>'inputs¦Engineering'!E57</f>
        <v>RBP SCRAPER TRAP MODIFICATIONS</v>
      </c>
      <c r="B69" s="8" t="str">
        <f>VLOOKUP($A69,'inputs¦Engineering'!$E$4:$AN$75,34,FALSE)</f>
        <v>RBP</v>
      </c>
      <c r="C69" s="8" t="str">
        <f>VLOOKUP($A69,'inputs¦Engineering'!$E$4:$AN$75,3,FALSE)</f>
        <v>Savings anticipated from minimising the number of ILI runs in the RBP - based on latest commercial proposal.  Reduce to 4 sections per pipeline gives approx saving of $400-500k per pigging run.</v>
      </c>
      <c r="D69" s="10">
        <f>IF($N69="Exclude",0,VLOOKUP($A69,'inputs¦Engineering'!$E$4:$AN$75,D$16+6,FALSE))</f>
        <v>0</v>
      </c>
      <c r="E69" s="10">
        <f>IF($N69="Exclude",0,VLOOKUP($A69,'inputs¦Engineering'!$E$4:$AN$75,E$16+6,FALSE))</f>
        <v>200000</v>
      </c>
      <c r="F69" s="10">
        <f>IF($N69="Exclude",0,VLOOKUP($A69,'inputs¦Engineering'!$E$4:$AN$75,F$16+6,FALSE))</f>
        <v>200000</v>
      </c>
      <c r="G69" s="10">
        <f>IF($N69="Exclude",0,VLOOKUP($A69,'inputs¦Engineering'!$E$4:$AN$75,G$16+6,FALSE))</f>
        <v>0</v>
      </c>
      <c r="H69" s="10">
        <f>IF($N69="Exclude",0,VLOOKUP($A69,'inputs¦Engineering'!$E$4:$AN$75,H$16+6,FALSE))</f>
        <v>0</v>
      </c>
      <c r="I69" s="10">
        <f>IF($N69="Exclude",0,VLOOKUP($A69,'inputs¦Engineering'!$E$4:$AN$75,I$16+6,FALSE))</f>
        <v>0</v>
      </c>
      <c r="J69" s="8" t="str">
        <f>VLOOKUP($A69,'inputs¦Engineering'!$E$4:$AN$100,21,FALSE)</f>
        <v>SIB</v>
      </c>
      <c r="K69" s="8" t="str">
        <f>VLOOKUP($A69,'inputs¦Engineering'!$E$4:$AN$100,33,FALSE)</f>
        <v>Pipeline</v>
      </c>
      <c r="L69" s="8" t="str">
        <f>VLOOKUP($A69,'inputs¦Engineering'!$E$4:$AN$100,29,FALSE)</f>
        <v>AA-03</v>
      </c>
      <c r="M69" s="8" t="str">
        <f>VLOOKUP($A69,'inputs¦Engineering'!$E$4:$AN$100,33,FALSE)</f>
        <v>Pipeline</v>
      </c>
      <c r="N69" s="94" t="str">
        <f t="shared" si="5"/>
        <v>Stay in Business</v>
      </c>
      <c r="O69" s="7" t="str">
        <f t="shared" si="6"/>
        <v>SIB</v>
      </c>
      <c r="P69" s="7">
        <f t="shared" si="7"/>
        <v>400000</v>
      </c>
      <c r="Q69" s="11" t="str">
        <f t="shared" si="8"/>
        <v>AA</v>
      </c>
      <c r="R69" s="9">
        <v>0.5</v>
      </c>
      <c r="S69" s="9">
        <v>0.5</v>
      </c>
      <c r="T69" s="9"/>
      <c r="U69" s="9"/>
      <c r="V69" s="9"/>
      <c r="W69" s="9"/>
      <c r="X69" s="9"/>
      <c r="Y69" s="9"/>
      <c r="Z69" s="9"/>
      <c r="AA69" s="9"/>
      <c r="AB69" s="9"/>
      <c r="AC69" s="26">
        <f t="shared" si="9"/>
        <v>1</v>
      </c>
      <c r="AD69" s="6" t="s">
        <v>76</v>
      </c>
    </row>
    <row r="70" spans="1:30" ht="14.25" x14ac:dyDescent="0.3">
      <c r="A70" s="97" t="str">
        <f>'inputs¦Engineering'!E58</f>
        <v>RBP STATION FIRE SUPRESSION UPGRADES - BELLBIRD PARK</v>
      </c>
      <c r="B70" s="8" t="str">
        <f>VLOOKUP($A70,'inputs¦Engineering'!$E$4:$AN$75,34,FALSE)</f>
        <v>RBP</v>
      </c>
      <c r="C70" s="8" t="str">
        <f>VLOOKUP($A70,'inputs¦Engineering'!$E$4:$AN$75,3,FALSE)</f>
        <v>Follow up from FEED works in FY15; Upgrade station control rooms that are identified as requiring fire suppression; Followup from FM Global FY15 recommendations to review adequacy.</v>
      </c>
      <c r="D70" s="10">
        <f>IF($N70="Exclude",0,VLOOKUP($A70,'inputs¦Engineering'!$E$4:$AN$75,D$16+6,FALSE))</f>
        <v>0</v>
      </c>
      <c r="E70" s="10">
        <f>IF($N70="Exclude",0,VLOOKUP($A70,'inputs¦Engineering'!$E$4:$AN$75,E$16+6,FALSE))</f>
        <v>0</v>
      </c>
      <c r="F70" s="10">
        <f>IF($N70="Exclude",0,VLOOKUP($A70,'inputs¦Engineering'!$E$4:$AN$75,F$16+6,FALSE))</f>
        <v>0</v>
      </c>
      <c r="G70" s="10">
        <f>IF($N70="Exclude",0,VLOOKUP($A70,'inputs¦Engineering'!$E$4:$AN$75,G$16+6,FALSE))</f>
        <v>75000</v>
      </c>
      <c r="H70" s="10">
        <f>IF($N70="Exclude",0,VLOOKUP($A70,'inputs¦Engineering'!$E$4:$AN$75,H$16+6,FALSE))</f>
        <v>0</v>
      </c>
      <c r="I70" s="10">
        <f>IF($N70="Exclude",0,VLOOKUP($A70,'inputs¦Engineering'!$E$4:$AN$75,I$16+6,FALSE))</f>
        <v>0</v>
      </c>
      <c r="J70" s="8" t="str">
        <f>VLOOKUP($A70,'inputs¦Engineering'!$E$4:$AN$100,21,FALSE)</f>
        <v>SIB</v>
      </c>
      <c r="K70" s="8" t="str">
        <f>VLOOKUP($A70,'inputs¦Engineering'!$E$4:$AN$100,33,FALSE)</f>
        <v>Station</v>
      </c>
      <c r="L70" s="8">
        <f>VLOOKUP($A70,'inputs¦Engineering'!$E$4:$AN$100,29,FALSE)</f>
        <v>0</v>
      </c>
      <c r="M70" s="8" t="str">
        <f>VLOOKUP($A70,'inputs¦Engineering'!$E$4:$AN$100,33,FALSE)</f>
        <v>Station</v>
      </c>
      <c r="N70" s="94" t="str">
        <f t="shared" si="5"/>
        <v>Stay in Business</v>
      </c>
      <c r="O70" s="7" t="str">
        <f t="shared" si="6"/>
        <v>SIB</v>
      </c>
      <c r="P70" s="7">
        <f t="shared" si="7"/>
        <v>75000</v>
      </c>
      <c r="Q70" s="11" t="str">
        <f t="shared" si="8"/>
        <v>0</v>
      </c>
      <c r="R70" s="9"/>
      <c r="S70" s="9"/>
      <c r="T70" s="9"/>
      <c r="U70" s="9"/>
      <c r="V70" s="9"/>
      <c r="W70" s="9"/>
      <c r="X70" s="9"/>
      <c r="Y70" s="9"/>
      <c r="Z70" s="9"/>
      <c r="AA70" s="9">
        <v>1</v>
      </c>
      <c r="AB70" s="9"/>
      <c r="AC70" s="26">
        <f t="shared" si="9"/>
        <v>1</v>
      </c>
      <c r="AD70" s="6" t="s">
        <v>76</v>
      </c>
    </row>
    <row r="71" spans="1:30" ht="14.25" x14ac:dyDescent="0.3">
      <c r="A71" s="97" t="str">
        <f>'inputs¦Engineering'!E59</f>
        <v>RBP STATION UPGRADES - HAZOP &amp; Other</v>
      </c>
      <c r="B71" s="8" t="str">
        <f>VLOOKUP($A71,'inputs¦Engineering'!$E$4:$AN$75,34,FALSE)</f>
        <v>RBP</v>
      </c>
      <c r="C71" s="8" t="str">
        <f>VLOOKUP($A71,'inputs¦Engineering'!$E$4:$AN$75,3,FALSE)</f>
        <v>Address all required HAZOP Actions - incorporating FEED in FY16 and implementation across FY17, 18, 19;
Include some upgrade items associated with S20 decommissioning (pipe supports upgrade etc); 
- Redesign vent stacks at MLVs and Compressor Stations for safe pipeline blowdown (FY18);
- Actuate key MLV's for remote operation from IOC (FY19)
- Scraper Station Upgrades (FY19)</v>
      </c>
      <c r="D71" s="10">
        <f>IF($N71="Exclude",0,VLOOKUP($A71,'inputs¦Engineering'!$E$4:$AN$75,D$16+6,FALSE))</f>
        <v>160000</v>
      </c>
      <c r="E71" s="10">
        <f>IF($N71="Exclude",0,VLOOKUP($A71,'inputs¦Engineering'!$E$4:$AN$75,E$16+6,FALSE))</f>
        <v>305000</v>
      </c>
      <c r="F71" s="10">
        <f>IF($N71="Exclude",0,VLOOKUP($A71,'inputs¦Engineering'!$E$4:$AN$75,F$16+6,FALSE))</f>
        <v>305000</v>
      </c>
      <c r="G71" s="10">
        <f>IF($N71="Exclude",0,VLOOKUP($A71,'inputs¦Engineering'!$E$4:$AN$75,G$16+6,FALSE))</f>
        <v>100000</v>
      </c>
      <c r="H71" s="10">
        <f>IF($N71="Exclude",0,VLOOKUP($A71,'inputs¦Engineering'!$E$4:$AN$75,H$16+6,FALSE))</f>
        <v>100000</v>
      </c>
      <c r="I71" s="10">
        <f>IF($N71="Exclude",0,VLOOKUP($A71,'inputs¦Engineering'!$E$4:$AN$75,I$16+6,FALSE))</f>
        <v>0</v>
      </c>
      <c r="J71" s="8" t="str">
        <f>VLOOKUP($A71,'inputs¦Engineering'!$E$4:$AN$100,21,FALSE)</f>
        <v>SIB</v>
      </c>
      <c r="K71" s="8" t="str">
        <f>VLOOKUP($A71,'inputs¦Engineering'!$E$4:$AN$100,33,FALSE)</f>
        <v>Station</v>
      </c>
      <c r="L71" s="8">
        <f>VLOOKUP($A71,'inputs¦Engineering'!$E$4:$AN$100,29,FALSE)</f>
        <v>0</v>
      </c>
      <c r="M71" s="8" t="str">
        <f>VLOOKUP($A71,'inputs¦Engineering'!$E$4:$AN$100,33,FALSE)</f>
        <v>Station</v>
      </c>
      <c r="N71" s="94" t="str">
        <f t="shared" si="5"/>
        <v>Stay in Business</v>
      </c>
      <c r="O71" s="7" t="str">
        <f t="shared" si="6"/>
        <v>SIB</v>
      </c>
      <c r="P71" s="7">
        <f t="shared" si="7"/>
        <v>970000</v>
      </c>
      <c r="Q71" s="11" t="str">
        <f t="shared" si="8"/>
        <v>0</v>
      </c>
      <c r="R71" s="9"/>
      <c r="S71" s="9"/>
      <c r="T71" s="9"/>
      <c r="U71" s="9"/>
      <c r="V71" s="9"/>
      <c r="W71" s="9"/>
      <c r="X71" s="9"/>
      <c r="Y71" s="9"/>
      <c r="Z71" s="9"/>
      <c r="AA71" s="9">
        <v>1</v>
      </c>
      <c r="AB71" s="9"/>
      <c r="AC71" s="26">
        <f t="shared" si="9"/>
        <v>1</v>
      </c>
      <c r="AD71" s="6" t="s">
        <v>76</v>
      </c>
    </row>
    <row r="72" spans="1:30" ht="14.25" x14ac:dyDescent="0.3">
      <c r="A72" s="97" t="str">
        <f>'inputs¦Engineering'!E60</f>
        <v xml:space="preserve">ROW Erosion Repairs - </v>
      </c>
      <c r="B72" s="8" t="str">
        <f>VLOOKUP($A72,'inputs¦Engineering'!$E$4:$AN$75,34,FALSE)</f>
        <v>RBP</v>
      </c>
      <c r="C72" s="8" t="str">
        <f>VLOOKUP($A72,'inputs¦Engineering'!$E$4:$AN$75,3,FALSE)</f>
        <v>Erosion on ROW</v>
      </c>
      <c r="D72" s="10">
        <f>IF($N72="Exclude",0,VLOOKUP($A72,'inputs¦Engineering'!$E$4:$AN$75,D$16+6,FALSE))</f>
        <v>0</v>
      </c>
      <c r="E72" s="10">
        <f>IF($N72="Exclude",0,VLOOKUP($A72,'inputs¦Engineering'!$E$4:$AN$75,E$16+6,FALSE))</f>
        <v>0</v>
      </c>
      <c r="F72" s="10">
        <f>IF($N72="Exclude",0,VLOOKUP($A72,'inputs¦Engineering'!$E$4:$AN$75,F$16+6,FALSE))</f>
        <v>0</v>
      </c>
      <c r="G72" s="10">
        <f>IF($N72="Exclude",0,VLOOKUP($A72,'inputs¦Engineering'!$E$4:$AN$75,G$16+6,FALSE))</f>
        <v>0</v>
      </c>
      <c r="H72" s="10">
        <f>IF($N72="Exclude",0,VLOOKUP($A72,'inputs¦Engineering'!$E$4:$AN$75,H$16+6,FALSE))</f>
        <v>0</v>
      </c>
      <c r="I72" s="10">
        <f>IF($N72="Exclude",0,VLOOKUP($A72,'inputs¦Engineering'!$E$4:$AN$75,I$16+6,FALSE))</f>
        <v>0</v>
      </c>
      <c r="J72" s="8" t="str">
        <f>VLOOKUP($A72,'inputs¦Engineering'!$E$4:$AN$100,21,FALSE)</f>
        <v>MEJ</v>
      </c>
      <c r="K72" s="8" t="str">
        <f>VLOOKUP($A72,'inputs¦Engineering'!$E$4:$AN$100,33,FALSE)</f>
        <v>Easement</v>
      </c>
      <c r="L72" s="8">
        <f>VLOOKUP($A72,'inputs¦Engineering'!$E$4:$AN$100,29,FALSE)</f>
        <v>0</v>
      </c>
      <c r="M72" s="8" t="str">
        <f>VLOOKUP($A72,'inputs¦Engineering'!$E$4:$AN$100,33,FALSE)</f>
        <v>Easement</v>
      </c>
      <c r="N72" s="94" t="str">
        <f t="shared" si="5"/>
        <v>Exclude</v>
      </c>
      <c r="O72" s="7" t="str">
        <f t="shared" si="6"/>
        <v>MEJ</v>
      </c>
      <c r="P72" s="7">
        <f t="shared" si="7"/>
        <v>0</v>
      </c>
      <c r="Q72" s="11" t="str">
        <f t="shared" si="8"/>
        <v>0</v>
      </c>
      <c r="R72" s="9"/>
      <c r="S72" s="9"/>
      <c r="T72" s="9"/>
      <c r="U72" s="9"/>
      <c r="V72" s="9">
        <v>1</v>
      </c>
      <c r="W72" s="9"/>
      <c r="X72" s="9"/>
      <c r="Y72" s="9"/>
      <c r="Z72" s="9"/>
      <c r="AA72" s="9"/>
      <c r="AB72" s="9"/>
      <c r="AC72" s="26">
        <f t="shared" si="9"/>
        <v>1</v>
      </c>
      <c r="AD72" s="6" t="s">
        <v>76</v>
      </c>
    </row>
    <row r="73" spans="1:30" ht="14.25" x14ac:dyDescent="0.3">
      <c r="A73" s="97" t="str">
        <f>'inputs¦Engineering'!E61</f>
        <v>SCOTIA / WOODROYD VENT EXTENSION</v>
      </c>
      <c r="B73" s="8" t="str">
        <f>VLOOKUP($A73,'inputs¦Engineering'!$E$4:$AN$75,34,FALSE)</f>
        <v>RBP</v>
      </c>
      <c r="C73" s="8" t="str">
        <f>VLOOKUP($A73,'inputs¦Engineering'!$E$4:$AN$75,3,FALSE)</f>
        <v>Extend vent lines above roof</v>
      </c>
      <c r="D73" s="10">
        <f>IF($N73="Exclude",0,VLOOKUP($A73,'inputs¦Engineering'!$E$4:$AN$75,D$16+6,FALSE))</f>
        <v>0</v>
      </c>
      <c r="E73" s="10">
        <f>IF($N73="Exclude",0,VLOOKUP($A73,'inputs¦Engineering'!$E$4:$AN$75,E$16+6,FALSE))</f>
        <v>30000</v>
      </c>
      <c r="F73" s="10">
        <f>IF($N73="Exclude",0,VLOOKUP($A73,'inputs¦Engineering'!$E$4:$AN$75,F$16+6,FALSE))</f>
        <v>0</v>
      </c>
      <c r="G73" s="10">
        <f>IF($N73="Exclude",0,VLOOKUP($A73,'inputs¦Engineering'!$E$4:$AN$75,G$16+6,FALSE))</f>
        <v>0</v>
      </c>
      <c r="H73" s="10">
        <f>IF($N73="Exclude",0,VLOOKUP($A73,'inputs¦Engineering'!$E$4:$AN$75,H$16+6,FALSE))</f>
        <v>0</v>
      </c>
      <c r="I73" s="10">
        <f>IF($N73="Exclude",0,VLOOKUP($A73,'inputs¦Engineering'!$E$4:$AN$75,I$16+6,FALSE))</f>
        <v>0</v>
      </c>
      <c r="J73" s="8" t="str">
        <f>VLOOKUP($A73,'inputs¦Engineering'!$E$4:$AN$100,21,FALSE)</f>
        <v>SIB</v>
      </c>
      <c r="K73" s="8" t="str">
        <f>VLOOKUP($A73,'inputs¦Engineering'!$E$4:$AN$100,33,FALSE)</f>
        <v>Station</v>
      </c>
      <c r="L73" s="8">
        <f>VLOOKUP($A73,'inputs¦Engineering'!$E$4:$AN$100,29,FALSE)</f>
        <v>0</v>
      </c>
      <c r="M73" s="8" t="str">
        <f>VLOOKUP($A73,'inputs¦Engineering'!$E$4:$AN$100,33,FALSE)</f>
        <v>Station</v>
      </c>
      <c r="N73" s="94" t="str">
        <f t="shared" si="5"/>
        <v>Stay in Business</v>
      </c>
      <c r="O73" s="7" t="str">
        <f t="shared" si="6"/>
        <v>SIB</v>
      </c>
      <c r="P73" s="7">
        <f t="shared" si="7"/>
        <v>30000</v>
      </c>
      <c r="Q73" s="11" t="str">
        <f t="shared" si="8"/>
        <v>0</v>
      </c>
      <c r="R73" s="9">
        <v>1</v>
      </c>
      <c r="S73" s="9"/>
      <c r="T73" s="9"/>
      <c r="U73" s="9"/>
      <c r="V73" s="9"/>
      <c r="W73" s="9"/>
      <c r="X73" s="9"/>
      <c r="Y73" s="9"/>
      <c r="Z73" s="9"/>
      <c r="AA73" s="9"/>
      <c r="AB73" s="9"/>
      <c r="AC73" s="26">
        <f t="shared" si="9"/>
        <v>1</v>
      </c>
      <c r="AD73" s="6" t="s">
        <v>76</v>
      </c>
    </row>
    <row r="74" spans="1:30" ht="14.25" x14ac:dyDescent="0.3">
      <c r="A74" s="97" t="str">
        <f>'inputs¦Engineering'!E62</f>
        <v>SIS demand/test tracking system</v>
      </c>
      <c r="B74" s="8" t="str">
        <f>VLOOKUP($A74,'inputs¦Engineering'!$E$4:$AN$75,34,FALSE)</f>
        <v>QLD</v>
      </c>
      <c r="C74" s="8" t="str">
        <f>VLOOKUP($A74,'inputs¦Engineering'!$E$4:$AN$75,3,FALSE)</f>
        <v xml:space="preserve">System and process for capturing trip tests and real system demands on the safety instrumented systems (SIS) across the sites. RBP will only pay a proportion of software costs. </v>
      </c>
      <c r="D74" s="10">
        <f>IF($N74="Exclude",0,VLOOKUP($A74,'inputs¦Engineering'!$E$4:$AN$75,D$16+6,FALSE))</f>
        <v>0</v>
      </c>
      <c r="E74" s="10">
        <f>IF($N74="Exclude",0,VLOOKUP($A74,'inputs¦Engineering'!$E$4:$AN$75,E$16+6,FALSE))</f>
        <v>50000</v>
      </c>
      <c r="F74" s="10">
        <f>IF($N74="Exclude",0,VLOOKUP($A74,'inputs¦Engineering'!$E$4:$AN$75,F$16+6,FALSE))</f>
        <v>0</v>
      </c>
      <c r="G74" s="10">
        <f>IF($N74="Exclude",0,VLOOKUP($A74,'inputs¦Engineering'!$E$4:$AN$75,G$16+6,FALSE))</f>
        <v>0</v>
      </c>
      <c r="H74" s="10">
        <f>IF($N74="Exclude",0,VLOOKUP($A74,'inputs¦Engineering'!$E$4:$AN$75,H$16+6,FALSE))</f>
        <v>0</v>
      </c>
      <c r="I74" s="10">
        <f>IF($N74="Exclude",0,VLOOKUP($A74,'inputs¦Engineering'!$E$4:$AN$75,I$16+6,FALSE))</f>
        <v>0</v>
      </c>
      <c r="J74" s="8" t="str">
        <f>VLOOKUP($A74,'inputs¦Engineering'!$E$4:$AN$100,21,FALSE)</f>
        <v>SIB</v>
      </c>
      <c r="K74" s="8" t="str">
        <f>VLOOKUP($A74,'inputs¦Engineering'!$E$4:$AN$100,33,FALSE)</f>
        <v>Station</v>
      </c>
      <c r="L74" s="8">
        <f>VLOOKUP($A74,'inputs¦Engineering'!$E$4:$AN$100,29,FALSE)</f>
        <v>0</v>
      </c>
      <c r="M74" s="8" t="str">
        <f>VLOOKUP($A74,'inputs¦Engineering'!$E$4:$AN$100,33,FALSE)</f>
        <v>Station</v>
      </c>
      <c r="N74" s="94" t="str">
        <f t="shared" si="5"/>
        <v>Stay in Business</v>
      </c>
      <c r="O74" s="7" t="str">
        <f t="shared" si="6"/>
        <v>SIB</v>
      </c>
      <c r="P74" s="7">
        <f t="shared" si="7"/>
        <v>50000</v>
      </c>
      <c r="Q74" s="11" t="str">
        <f t="shared" si="8"/>
        <v>0</v>
      </c>
      <c r="R74" s="9"/>
      <c r="S74" s="9"/>
      <c r="T74" s="9"/>
      <c r="U74" s="9"/>
      <c r="V74" s="9"/>
      <c r="W74" s="9"/>
      <c r="X74" s="9"/>
      <c r="Y74" s="9"/>
      <c r="Z74" s="9"/>
      <c r="AA74" s="9">
        <v>1</v>
      </c>
      <c r="AB74" s="9"/>
      <c r="AC74" s="26">
        <f t="shared" si="9"/>
        <v>1</v>
      </c>
      <c r="AD74" s="6" t="s">
        <v>76</v>
      </c>
    </row>
    <row r="75" spans="1:30" ht="14.25" x14ac:dyDescent="0.3">
      <c r="A75" s="97" t="str">
        <f>'inputs¦Engineering'!E63</f>
        <v>SIS improvement program FEED and Implementation</v>
      </c>
      <c r="B75" s="8" t="str">
        <f>VLOOKUP($A75,'inputs¦Engineering'!$E$4:$AN$75,34,FALSE)</f>
        <v>QLD</v>
      </c>
      <c r="C75" s="8" t="str">
        <f>VLOOKUP($A75,'inputs¦Engineering'!$E$4:$AN$75,3,FALSE)</f>
        <v>APA's process safety risks across QLD assets, as well as the safety instrumented system (SIS) installed to mitigate those risks can be refined. This means we have difficulty managing those safety functions, to ensure they are effective.</v>
      </c>
      <c r="D75" s="10">
        <f>IF($N75="Exclude",0,VLOOKUP($A75,'inputs¦Engineering'!$E$4:$AN$75,D$16+6,FALSE))</f>
        <v>50000</v>
      </c>
      <c r="E75" s="10">
        <f>IF($N75="Exclude",0,VLOOKUP($A75,'inputs¦Engineering'!$E$4:$AN$75,E$16+6,FALSE))</f>
        <v>0</v>
      </c>
      <c r="F75" s="10">
        <f>IF($N75="Exclude",0,VLOOKUP($A75,'inputs¦Engineering'!$E$4:$AN$75,F$16+6,FALSE))</f>
        <v>0</v>
      </c>
      <c r="G75" s="10">
        <f>IF($N75="Exclude",0,VLOOKUP($A75,'inputs¦Engineering'!$E$4:$AN$75,G$16+6,FALSE))</f>
        <v>0</v>
      </c>
      <c r="H75" s="10">
        <f>IF($N75="Exclude",0,VLOOKUP($A75,'inputs¦Engineering'!$E$4:$AN$75,H$16+6,FALSE))</f>
        <v>0</v>
      </c>
      <c r="I75" s="10">
        <f>IF($N75="Exclude",0,VLOOKUP($A75,'inputs¦Engineering'!$E$4:$AN$75,I$16+6,FALSE))</f>
        <v>0</v>
      </c>
      <c r="J75" s="8" t="str">
        <f>VLOOKUP($A75,'inputs¦Engineering'!$E$4:$AN$100,21,FALSE)</f>
        <v>BAU</v>
      </c>
      <c r="K75" s="8" t="str">
        <f>VLOOKUP($A75,'inputs¦Engineering'!$E$4:$AN$100,33,FALSE)</f>
        <v>Station</v>
      </c>
      <c r="L75" s="8">
        <f>VLOOKUP($A75,'inputs¦Engineering'!$E$4:$AN$100,29,FALSE)</f>
        <v>0</v>
      </c>
      <c r="M75" s="8" t="str">
        <f>VLOOKUP($A75,'inputs¦Engineering'!$E$4:$AN$100,33,FALSE)</f>
        <v>Station</v>
      </c>
      <c r="N75" s="94" t="str">
        <f t="shared" si="5"/>
        <v>Stay in Business</v>
      </c>
      <c r="O75" s="7" t="str">
        <f t="shared" si="6"/>
        <v>BAU</v>
      </c>
      <c r="P75" s="7">
        <f t="shared" si="7"/>
        <v>50000</v>
      </c>
      <c r="Q75" s="11" t="str">
        <f t="shared" si="8"/>
        <v>0</v>
      </c>
      <c r="R75" s="9"/>
      <c r="S75" s="9"/>
      <c r="T75" s="9"/>
      <c r="U75" s="9"/>
      <c r="V75" s="9"/>
      <c r="W75" s="9"/>
      <c r="X75" s="9"/>
      <c r="Y75" s="9"/>
      <c r="Z75" s="9"/>
      <c r="AA75" s="9">
        <v>1</v>
      </c>
      <c r="AB75" s="9"/>
      <c r="AC75" s="26">
        <f t="shared" si="9"/>
        <v>1</v>
      </c>
      <c r="AD75" s="6" t="s">
        <v>76</v>
      </c>
    </row>
    <row r="76" spans="1:30" ht="14.25" x14ac:dyDescent="0.3">
      <c r="A76" s="97" t="str">
        <f>'inputs¦Engineering'!E64</f>
        <v xml:space="preserve">SMS Reviews - QLD </v>
      </c>
      <c r="B76" s="8" t="str">
        <f>VLOOKUP($A76,'inputs¦Engineering'!$E$4:$AN$75,34,FALSE)</f>
        <v>QLD</v>
      </c>
      <c r="C76" s="8" t="str">
        <f>VLOOKUP($A76,'inputs¦Engineering'!$E$4:$AN$75,3,FALSE)</f>
        <v>5 yearly review required</v>
      </c>
      <c r="D76" s="10">
        <f>IF($N76="Exclude",0,VLOOKUP($A76,'inputs¦Engineering'!$E$4:$AN$75,D$16+6,FALSE))</f>
        <v>10000</v>
      </c>
      <c r="E76" s="10">
        <f>IF($N76="Exclude",0,VLOOKUP($A76,'inputs¦Engineering'!$E$4:$AN$75,E$16+6,FALSE))</f>
        <v>0</v>
      </c>
      <c r="F76" s="10">
        <f>IF($N76="Exclude",0,VLOOKUP($A76,'inputs¦Engineering'!$E$4:$AN$75,F$16+6,FALSE))</f>
        <v>0</v>
      </c>
      <c r="G76" s="10">
        <f>IF($N76="Exclude",0,VLOOKUP($A76,'inputs¦Engineering'!$E$4:$AN$75,G$16+6,FALSE))</f>
        <v>0</v>
      </c>
      <c r="H76" s="10">
        <f>IF($N76="Exclude",0,VLOOKUP($A76,'inputs¦Engineering'!$E$4:$AN$75,H$16+6,FALSE))</f>
        <v>0</v>
      </c>
      <c r="I76" s="10">
        <f>IF($N76="Exclude",0,VLOOKUP($A76,'inputs¦Engineering'!$E$4:$AN$75,I$16+6,FALSE))</f>
        <v>0</v>
      </c>
      <c r="J76" s="8" t="str">
        <f>VLOOKUP($A76,'inputs¦Engineering'!$E$4:$AN$100,21,FALSE)</f>
        <v>BAU</v>
      </c>
      <c r="K76" s="8" t="str">
        <f>VLOOKUP($A76,'inputs¦Engineering'!$E$4:$AN$100,33,FALSE)</f>
        <v>Pipeline</v>
      </c>
      <c r="L76" s="8">
        <f>VLOOKUP($A76,'inputs¦Engineering'!$E$4:$AN$100,29,FALSE)</f>
        <v>0</v>
      </c>
      <c r="M76" s="8" t="str">
        <f>VLOOKUP($A76,'inputs¦Engineering'!$E$4:$AN$100,33,FALSE)</f>
        <v>Pipeline</v>
      </c>
      <c r="N76" s="94" t="str">
        <f t="shared" si="5"/>
        <v>Stay in Business</v>
      </c>
      <c r="O76" s="7" t="str">
        <f t="shared" si="6"/>
        <v>BAU</v>
      </c>
      <c r="P76" s="7">
        <f t="shared" si="7"/>
        <v>10000</v>
      </c>
      <c r="Q76" s="11" t="str">
        <f t="shared" si="8"/>
        <v>0</v>
      </c>
      <c r="R76" s="9"/>
      <c r="S76" s="9"/>
      <c r="T76" s="9"/>
      <c r="U76" s="9"/>
      <c r="V76" s="9"/>
      <c r="W76" s="9"/>
      <c r="X76" s="9"/>
      <c r="Y76" s="9"/>
      <c r="Z76" s="9"/>
      <c r="AA76" s="9">
        <v>1</v>
      </c>
      <c r="AB76" s="9"/>
      <c r="AC76" s="26">
        <f t="shared" si="9"/>
        <v>1</v>
      </c>
      <c r="AD76" s="6" t="s">
        <v>76</v>
      </c>
    </row>
    <row r="77" spans="1:30" ht="14.25" x14ac:dyDescent="0.3">
      <c r="A77" s="97" t="str">
        <f>'inputs¦Engineering'!E65</f>
        <v>SMS, RLR, MEJ project review</v>
      </c>
      <c r="B77" s="8" t="str">
        <f>VLOOKUP($A77,'inputs¦Engineering'!$E$4:$AN$75,34,FALSE)</f>
        <v>QLD</v>
      </c>
      <c r="C77" s="8" t="str">
        <f>VLOOKUP($A77,'inputs¦Engineering'!$E$4:$AN$75,3,FALSE)</f>
        <v>Review compliance register and include in the MEJ plan</v>
      </c>
      <c r="D77" s="10">
        <f>IF($N77="Exclude",0,VLOOKUP($A77,'inputs¦Engineering'!$E$4:$AN$75,D$16+6,FALSE))</f>
        <v>0</v>
      </c>
      <c r="E77" s="10">
        <f>IF($N77="Exclude",0,VLOOKUP($A77,'inputs¦Engineering'!$E$4:$AN$75,E$16+6,FALSE))</f>
        <v>0</v>
      </c>
      <c r="F77" s="10">
        <f>IF($N77="Exclude",0,VLOOKUP($A77,'inputs¦Engineering'!$E$4:$AN$75,F$16+6,FALSE))</f>
        <v>0</v>
      </c>
      <c r="G77" s="10">
        <f>IF($N77="Exclude",0,VLOOKUP($A77,'inputs¦Engineering'!$E$4:$AN$75,G$16+6,FALSE))</f>
        <v>0</v>
      </c>
      <c r="H77" s="10">
        <f>IF($N77="Exclude",0,VLOOKUP($A77,'inputs¦Engineering'!$E$4:$AN$75,H$16+6,FALSE))</f>
        <v>0</v>
      </c>
      <c r="I77" s="10">
        <f>IF($N77="Exclude",0,VLOOKUP($A77,'inputs¦Engineering'!$E$4:$AN$75,I$16+6,FALSE))</f>
        <v>0</v>
      </c>
      <c r="J77" s="8" t="str">
        <f>VLOOKUP($A77,'inputs¦Engineering'!$E$4:$AN$100,21,FALSE)</f>
        <v>BAU</v>
      </c>
      <c r="K77" s="8" t="str">
        <f>VLOOKUP($A77,'inputs¦Engineering'!$E$4:$AN$100,33,FALSE)</f>
        <v>Pipeline</v>
      </c>
      <c r="L77" s="8">
        <f>VLOOKUP($A77,'inputs¦Engineering'!$E$4:$AN$100,29,FALSE)</f>
        <v>0</v>
      </c>
      <c r="M77" s="8" t="str">
        <f>VLOOKUP($A77,'inputs¦Engineering'!$E$4:$AN$100,33,FALSE)</f>
        <v>Pipeline</v>
      </c>
      <c r="N77" s="94" t="str">
        <f t="shared" si="5"/>
        <v>Stay in Business</v>
      </c>
      <c r="O77" s="7" t="str">
        <f t="shared" si="6"/>
        <v>BAU</v>
      </c>
      <c r="P77" s="7">
        <f t="shared" si="7"/>
        <v>0</v>
      </c>
      <c r="Q77" s="11" t="str">
        <f t="shared" si="8"/>
        <v>0</v>
      </c>
      <c r="R77" s="9"/>
      <c r="S77" s="9"/>
      <c r="T77" s="9"/>
      <c r="U77" s="9"/>
      <c r="V77" s="9"/>
      <c r="W77" s="9"/>
      <c r="X77" s="9"/>
      <c r="Y77" s="9"/>
      <c r="Z77" s="9"/>
      <c r="AA77" s="9">
        <v>1</v>
      </c>
      <c r="AB77" s="9"/>
      <c r="AC77" s="26">
        <f t="shared" si="9"/>
        <v>1</v>
      </c>
      <c r="AD77" s="6" t="s">
        <v>76</v>
      </c>
    </row>
    <row r="78" spans="1:30" ht="14.25" x14ac:dyDescent="0.3">
      <c r="A78" s="97" t="str">
        <f>'inputs¦Engineering'!E66</f>
        <v>SOLAR S20 Unit Control Panel Upgrade FEED</v>
      </c>
      <c r="B78" s="8" t="str">
        <f>VLOOKUP($A78,'inputs¦Engineering'!$E$4:$AN$75,34,FALSE)</f>
        <v>RBP</v>
      </c>
      <c r="C78" s="8" t="str">
        <f>VLOOKUP($A78,'inputs¦Engineering'!$E$4:$AN$75,3,FALSE)</f>
        <v xml:space="preserve">SATURN  20 Panels Upgrade - may be driven out of nationals ESD requirements and operating philosophy. </v>
      </c>
      <c r="D78" s="10">
        <f>IF($N78="Exclude",0,VLOOKUP($A78,'inputs¦Engineering'!$E$4:$AN$75,D$16+6,FALSE))</f>
        <v>0</v>
      </c>
      <c r="E78" s="10">
        <f>IF($N78="Exclude",0,VLOOKUP($A78,'inputs¦Engineering'!$E$4:$AN$75,E$16+6,FALSE))</f>
        <v>0</v>
      </c>
      <c r="F78" s="10">
        <f>IF($N78="Exclude",0,VLOOKUP($A78,'inputs¦Engineering'!$E$4:$AN$75,F$16+6,FALSE))</f>
        <v>0</v>
      </c>
      <c r="G78" s="10">
        <f>IF($N78="Exclude",0,VLOOKUP($A78,'inputs¦Engineering'!$E$4:$AN$75,G$16+6,FALSE))</f>
        <v>0</v>
      </c>
      <c r="H78" s="10">
        <f>IF($N78="Exclude",0,VLOOKUP($A78,'inputs¦Engineering'!$E$4:$AN$75,H$16+6,FALSE))</f>
        <v>0</v>
      </c>
      <c r="I78" s="10">
        <f>IF($N78="Exclude",0,VLOOKUP($A78,'inputs¦Engineering'!$E$4:$AN$75,I$16+6,FALSE))</f>
        <v>0</v>
      </c>
      <c r="J78" s="8" t="str">
        <f>VLOOKUP($A78,'inputs¦Engineering'!$E$4:$AN$100,21,FALSE)</f>
        <v>BAU</v>
      </c>
      <c r="K78" s="8" t="str">
        <f>VLOOKUP($A78,'inputs¦Engineering'!$E$4:$AN$100,33,FALSE)</f>
        <v>Station</v>
      </c>
      <c r="L78" s="8">
        <f>VLOOKUP($A78,'inputs¦Engineering'!$E$4:$AN$100,29,FALSE)</f>
        <v>0</v>
      </c>
      <c r="M78" s="8" t="str">
        <f>VLOOKUP($A78,'inputs¦Engineering'!$E$4:$AN$100,33,FALSE)</f>
        <v>Station</v>
      </c>
      <c r="N78" s="94" t="str">
        <f t="shared" si="5"/>
        <v>Stay in Business</v>
      </c>
      <c r="O78" s="7" t="str">
        <f t="shared" si="6"/>
        <v>BAU</v>
      </c>
      <c r="P78" s="7">
        <f t="shared" si="7"/>
        <v>0</v>
      </c>
      <c r="Q78" s="11" t="str">
        <f t="shared" si="8"/>
        <v>0</v>
      </c>
      <c r="R78" s="9"/>
      <c r="S78" s="9"/>
      <c r="T78" s="9">
        <v>1</v>
      </c>
      <c r="U78" s="9"/>
      <c r="V78" s="9"/>
      <c r="W78" s="9"/>
      <c r="X78" s="9"/>
      <c r="Y78" s="9"/>
      <c r="Z78" s="9"/>
      <c r="AA78" s="9"/>
      <c r="AB78" s="9"/>
      <c r="AC78" s="26">
        <f t="shared" si="9"/>
        <v>1</v>
      </c>
      <c r="AD78" s="6" t="s">
        <v>76</v>
      </c>
    </row>
    <row r="79" spans="1:30" ht="14.25" x14ac:dyDescent="0.3">
      <c r="A79" s="97" t="str">
        <f>'inputs¦Engineering'!E67</f>
        <v>Station Remaining Life Review</v>
      </c>
      <c r="B79" s="8" t="str">
        <f>VLOOKUP($A79,'inputs¦Engineering'!$E$4:$AN$75,34,FALSE)</f>
        <v>RBP</v>
      </c>
      <c r="C79" s="8">
        <f>VLOOKUP($A79,'inputs¦Engineering'!$E$4:$AN$75,3,FALSE)</f>
        <v>0</v>
      </c>
      <c r="D79" s="10">
        <f>IF($N79="Exclude",0,VLOOKUP($A79,'inputs¦Engineering'!$E$4:$AN$75,D$16+6,FALSE))</f>
        <v>0</v>
      </c>
      <c r="E79" s="10">
        <f>IF($N79="Exclude",0,VLOOKUP($A79,'inputs¦Engineering'!$E$4:$AN$75,E$16+6,FALSE))</f>
        <v>0</v>
      </c>
      <c r="F79" s="10">
        <f>IF($N79="Exclude",0,VLOOKUP($A79,'inputs¦Engineering'!$E$4:$AN$75,F$16+6,FALSE))</f>
        <v>0</v>
      </c>
      <c r="G79" s="10">
        <f>IF($N79="Exclude",0,VLOOKUP($A79,'inputs¦Engineering'!$E$4:$AN$75,G$16+6,FALSE))</f>
        <v>0</v>
      </c>
      <c r="H79" s="10">
        <f>IF($N79="Exclude",0,VLOOKUP($A79,'inputs¦Engineering'!$E$4:$AN$75,H$16+6,FALSE))</f>
        <v>0</v>
      </c>
      <c r="I79" s="10">
        <f>IF($N79="Exclude",0,VLOOKUP($A79,'inputs¦Engineering'!$E$4:$AN$75,I$16+6,FALSE))</f>
        <v>0</v>
      </c>
      <c r="J79" s="8">
        <f>VLOOKUP($A79,'inputs¦Engineering'!$E$4:$AN$100,21,FALSE)</f>
        <v>0</v>
      </c>
      <c r="K79" s="8" t="str">
        <f>VLOOKUP($A79,'inputs¦Engineering'!$E$4:$AN$100,33,FALSE)</f>
        <v>Station</v>
      </c>
      <c r="L79" s="8">
        <f>VLOOKUP($A79,'inputs¦Engineering'!$E$4:$AN$100,29,FALSE)</f>
        <v>0</v>
      </c>
      <c r="M79" s="8" t="str">
        <f>VLOOKUP($A79,'inputs¦Engineering'!$E$4:$AN$100,33,FALSE)</f>
        <v>Station</v>
      </c>
      <c r="N79" s="94" t="str">
        <f t="shared" si="5"/>
        <v>Exclude</v>
      </c>
      <c r="O79" s="7">
        <f t="shared" si="6"/>
        <v>0</v>
      </c>
      <c r="P79" s="7">
        <f t="shared" si="7"/>
        <v>0</v>
      </c>
      <c r="Q79" s="11" t="str">
        <f t="shared" si="8"/>
        <v>0</v>
      </c>
      <c r="R79" s="9"/>
      <c r="S79" s="9"/>
      <c r="T79" s="9"/>
      <c r="U79" s="9"/>
      <c r="V79" s="9"/>
      <c r="W79" s="9"/>
      <c r="X79" s="9"/>
      <c r="Y79" s="9"/>
      <c r="Z79" s="9"/>
      <c r="AA79" s="9">
        <v>1</v>
      </c>
      <c r="AB79" s="9"/>
      <c r="AC79" s="26">
        <f t="shared" si="9"/>
        <v>1</v>
      </c>
      <c r="AD79" s="6" t="s">
        <v>76</v>
      </c>
    </row>
    <row r="80" spans="1:30" ht="14.25" x14ac:dyDescent="0.3">
      <c r="A80" s="97" t="str">
        <f>'inputs¦Engineering'!E68</f>
        <v>SWANBANK ISOLATION VALVE</v>
      </c>
      <c r="B80" s="8" t="str">
        <f>VLOOKUP($A80,'inputs¦Engineering'!$E$4:$AN$75,34,FALSE)</f>
        <v>RBP</v>
      </c>
      <c r="C80" s="8" t="str">
        <f>VLOOKUP($A80,'inputs¦Engineering'!$E$4:$AN$75,3,FALSE)</f>
        <v>plan with shutdown works - bring procurement forward. Moved to Fy16 P4 item. FEED and procurement FY16.</v>
      </c>
      <c r="D80" s="10">
        <f>IF($N80="Exclude",0,VLOOKUP($A80,'inputs¦Engineering'!$E$4:$AN$75,D$16+6,FALSE))</f>
        <v>50000</v>
      </c>
      <c r="E80" s="10">
        <f>IF($N80="Exclude",0,VLOOKUP($A80,'inputs¦Engineering'!$E$4:$AN$75,E$16+6,FALSE))</f>
        <v>0</v>
      </c>
      <c r="F80" s="10">
        <f>IF($N80="Exclude",0,VLOOKUP($A80,'inputs¦Engineering'!$E$4:$AN$75,F$16+6,FALSE))</f>
        <v>0</v>
      </c>
      <c r="G80" s="10">
        <f>IF($N80="Exclude",0,VLOOKUP($A80,'inputs¦Engineering'!$E$4:$AN$75,G$16+6,FALSE))</f>
        <v>0</v>
      </c>
      <c r="H80" s="10">
        <f>IF($N80="Exclude",0,VLOOKUP($A80,'inputs¦Engineering'!$E$4:$AN$75,H$16+6,FALSE))</f>
        <v>0</v>
      </c>
      <c r="I80" s="10">
        <f>IF($N80="Exclude",0,VLOOKUP($A80,'inputs¦Engineering'!$E$4:$AN$75,I$16+6,FALSE))</f>
        <v>0</v>
      </c>
      <c r="J80" s="8" t="str">
        <f>VLOOKUP($A80,'inputs¦Engineering'!$E$4:$AN$100,21,FALSE)</f>
        <v>SIB</v>
      </c>
      <c r="K80" s="8" t="str">
        <f>VLOOKUP($A80,'inputs¦Engineering'!$E$4:$AN$100,33,FALSE)</f>
        <v>Station</v>
      </c>
      <c r="L80" s="8">
        <f>VLOOKUP($A80,'inputs¦Engineering'!$E$4:$AN$100,29,FALSE)</f>
        <v>0</v>
      </c>
      <c r="M80" s="8" t="str">
        <f>VLOOKUP($A80,'inputs¦Engineering'!$E$4:$AN$100,33,FALSE)</f>
        <v>Station</v>
      </c>
      <c r="N80" s="94" t="str">
        <f t="shared" si="5"/>
        <v>Stay in Business</v>
      </c>
      <c r="O80" s="7" t="str">
        <f t="shared" si="6"/>
        <v>SIB</v>
      </c>
      <c r="P80" s="7">
        <f t="shared" si="7"/>
        <v>50000</v>
      </c>
      <c r="Q80" s="11" t="str">
        <f t="shared" si="8"/>
        <v>0</v>
      </c>
      <c r="R80" s="9"/>
      <c r="S80" s="9"/>
      <c r="T80" s="9"/>
      <c r="U80" s="9"/>
      <c r="V80" s="9"/>
      <c r="W80" s="9"/>
      <c r="X80" s="9"/>
      <c r="Y80" s="9"/>
      <c r="Z80" s="9"/>
      <c r="AA80" s="9">
        <v>1</v>
      </c>
      <c r="AB80" s="9"/>
      <c r="AC80" s="26">
        <f t="shared" si="9"/>
        <v>1</v>
      </c>
      <c r="AD80" s="6" t="s">
        <v>76</v>
      </c>
    </row>
    <row r="81" spans="1:30" ht="14.25" x14ac:dyDescent="0.3">
      <c r="A81" s="97" t="str">
        <f>'inputs¦Engineering'!E69</f>
        <v>TOOWOOMBA DN250 RAIL CROSSING</v>
      </c>
      <c r="B81" s="8" t="str">
        <f>VLOOKUP($A81,'inputs¦Engineering'!$E$4:$AN$75,34,FALSE)</f>
        <v>RBP</v>
      </c>
      <c r="C81" s="8" t="str">
        <f>VLOOKUP($A81,'inputs¦Engineering'!$E$4:$AN$75,3,FALSE)</f>
        <v xml:space="preserve">Design Life finish in 2017; Requires pigging to be re-run by 2019. </v>
      </c>
      <c r="D81" s="10">
        <f>IF($N81="Exclude",0,VLOOKUP($A81,'inputs¦Engineering'!$E$4:$AN$75,D$16+6,FALSE))</f>
        <v>0</v>
      </c>
      <c r="E81" s="10">
        <f>IF($N81="Exclude",0,VLOOKUP($A81,'inputs¦Engineering'!$E$4:$AN$75,E$16+6,FALSE))</f>
        <v>11000000</v>
      </c>
      <c r="F81" s="10">
        <f>IF($N81="Exclude",0,VLOOKUP($A81,'inputs¦Engineering'!$E$4:$AN$75,F$16+6,FALSE))</f>
        <v>3500000</v>
      </c>
      <c r="G81" s="10">
        <f>IF($N81="Exclude",0,VLOOKUP($A81,'inputs¦Engineering'!$E$4:$AN$75,G$16+6,FALSE))</f>
        <v>0</v>
      </c>
      <c r="H81" s="10">
        <f>IF($N81="Exclude",0,VLOOKUP($A81,'inputs¦Engineering'!$E$4:$AN$75,H$16+6,FALSE))</f>
        <v>0</v>
      </c>
      <c r="I81" s="10">
        <f>IF($N81="Exclude",0,VLOOKUP($A81,'inputs¦Engineering'!$E$4:$AN$75,I$16+6,FALSE))</f>
        <v>0</v>
      </c>
      <c r="J81" s="8" t="str">
        <f>VLOOKUP($A81,'inputs¦Engineering'!$E$4:$AN$100,21,FALSE)</f>
        <v>SIB</v>
      </c>
      <c r="K81" s="8" t="str">
        <f>VLOOKUP($A81,'inputs¦Engineering'!$E$4:$AN$100,33,FALSE)</f>
        <v>Pipeline</v>
      </c>
      <c r="L81" s="8" t="str">
        <f>VLOOKUP($A81,'inputs¦Engineering'!$E$4:$AN$100,29,FALSE)</f>
        <v>AA-06</v>
      </c>
      <c r="M81" s="8" t="str">
        <f>VLOOKUP($A81,'inputs¦Engineering'!$E$4:$AN$100,33,FALSE)</f>
        <v>Pipeline</v>
      </c>
      <c r="N81" s="94" t="str">
        <f t="shared" ref="N81:N87" si="10">IF(J81="SIB","Stay in Business",IF(J81="BAU","Stay in Business","Exclude"))</f>
        <v>Stay in Business</v>
      </c>
      <c r="O81" s="7" t="str">
        <f t="shared" ref="O81:O87" si="11">J81</f>
        <v>SIB</v>
      </c>
      <c r="P81" s="7">
        <f t="shared" ref="P81:P87" si="12">SUM(D81:I81)</f>
        <v>14500000</v>
      </c>
      <c r="Q81" s="11" t="str">
        <f t="shared" ref="Q81:Q87" si="13">LEFT(L81,2)</f>
        <v>AA</v>
      </c>
      <c r="R81" s="9">
        <v>0.5</v>
      </c>
      <c r="S81" s="9">
        <v>0.5</v>
      </c>
      <c r="T81" s="9"/>
      <c r="U81" s="9"/>
      <c r="V81" s="9"/>
      <c r="W81" s="9"/>
      <c r="X81" s="9"/>
      <c r="Y81" s="9"/>
      <c r="Z81" s="9"/>
      <c r="AA81" s="9"/>
      <c r="AB81" s="9"/>
      <c r="AC81" s="26">
        <f t="shared" ref="AC81:AC87" si="14">SUM(R81:AB81)</f>
        <v>1</v>
      </c>
      <c r="AD81" s="6" t="s">
        <v>76</v>
      </c>
    </row>
    <row r="82" spans="1:30" ht="14.25" x14ac:dyDescent="0.3">
      <c r="A82" s="97" t="str">
        <f>'inputs¦Engineering'!E70</f>
        <v>TOOWOOMBA RANGE SLOPE MONITORING WORKS</v>
      </c>
      <c r="B82" s="8" t="str">
        <f>VLOOKUP($A82,'inputs¦Engineering'!$E$4:$AN$75,34,FALSE)</f>
        <v>RBP</v>
      </c>
      <c r="C82" s="8" t="str">
        <f>VLOOKUP($A82,'inputs¦Engineering'!$E$4:$AN$75,3,FALSE)</f>
        <v>Linked to road project and ongoing survey data; being investigated in 2015 (NL). Further monitoring measures to be implemented. .</v>
      </c>
      <c r="D82" s="10">
        <f>IF($N82="Exclude",0,VLOOKUP($A82,'inputs¦Engineering'!$E$4:$AN$75,D$16+6,FALSE))</f>
        <v>300000</v>
      </c>
      <c r="E82" s="10">
        <f>IF($N82="Exclude",0,VLOOKUP($A82,'inputs¦Engineering'!$E$4:$AN$75,E$16+6,FALSE))</f>
        <v>650000</v>
      </c>
      <c r="F82" s="10">
        <f>IF($N82="Exclude",0,VLOOKUP($A82,'inputs¦Engineering'!$E$4:$AN$75,F$16+6,FALSE))</f>
        <v>0</v>
      </c>
      <c r="G82" s="10">
        <f>IF($N82="Exclude",0,VLOOKUP($A82,'inputs¦Engineering'!$E$4:$AN$75,G$16+6,FALSE))</f>
        <v>0</v>
      </c>
      <c r="H82" s="10">
        <f>IF($N82="Exclude",0,VLOOKUP($A82,'inputs¦Engineering'!$E$4:$AN$75,H$16+6,FALSE))</f>
        <v>0</v>
      </c>
      <c r="I82" s="10">
        <f>IF($N82="Exclude",0,VLOOKUP($A82,'inputs¦Engineering'!$E$4:$AN$75,I$16+6,FALSE))</f>
        <v>0</v>
      </c>
      <c r="J82" s="8" t="str">
        <f>VLOOKUP($A82,'inputs¦Engineering'!$E$4:$AN$100,21,FALSE)</f>
        <v>SIB</v>
      </c>
      <c r="K82" s="8" t="str">
        <f>VLOOKUP($A82,'inputs¦Engineering'!$E$4:$AN$100,33,FALSE)</f>
        <v>Pipeline</v>
      </c>
      <c r="L82" s="8" t="str">
        <f>VLOOKUP($A82,'inputs¦Engineering'!$E$4:$AN$100,29,FALSE)</f>
        <v>AA-06</v>
      </c>
      <c r="M82" s="8" t="str">
        <f>VLOOKUP($A82,'inputs¦Engineering'!$E$4:$AN$100,33,FALSE)</f>
        <v>Pipeline</v>
      </c>
      <c r="N82" s="94" t="str">
        <f t="shared" si="10"/>
        <v>Stay in Business</v>
      </c>
      <c r="O82" s="7" t="str">
        <f t="shared" si="11"/>
        <v>SIB</v>
      </c>
      <c r="P82" s="7">
        <f t="shared" si="12"/>
        <v>950000</v>
      </c>
      <c r="Q82" s="11" t="str">
        <f t="shared" si="13"/>
        <v>AA</v>
      </c>
      <c r="R82" s="9">
        <v>0.5</v>
      </c>
      <c r="S82" s="9">
        <v>0.5</v>
      </c>
      <c r="T82" s="9"/>
      <c r="U82" s="9"/>
      <c r="V82" s="9"/>
      <c r="W82" s="9"/>
      <c r="X82" s="9"/>
      <c r="Y82" s="9"/>
      <c r="Z82" s="9"/>
      <c r="AA82" s="9"/>
      <c r="AB82" s="9"/>
      <c r="AC82" s="26">
        <f t="shared" si="14"/>
        <v>1</v>
      </c>
      <c r="AD82" s="6" t="s">
        <v>76</v>
      </c>
    </row>
    <row r="83" spans="1:30" ht="14.25" x14ac:dyDescent="0.3">
      <c r="A83" s="97" t="str">
        <f>'inputs¦Engineering'!E71</f>
        <v>Toowoomba Slope Management</v>
      </c>
      <c r="B83" s="8" t="str">
        <f>VLOOKUP($A83,'inputs¦Engineering'!$E$4:$AN$75,34,FALSE)</f>
        <v>RBP</v>
      </c>
      <c r="C83" s="8">
        <f>VLOOKUP($A83,'inputs¦Engineering'!$E$4:$AN$75,3,FALSE)</f>
        <v>0</v>
      </c>
      <c r="D83" s="10">
        <f>IF($N83="Exclude",0,VLOOKUP($A83,'inputs¦Engineering'!$E$4:$AN$75,D$16+6,FALSE))</f>
        <v>0</v>
      </c>
      <c r="E83" s="10">
        <f>IF($N83="Exclude",0,VLOOKUP($A83,'inputs¦Engineering'!$E$4:$AN$75,E$16+6,FALSE))</f>
        <v>0</v>
      </c>
      <c r="F83" s="10">
        <f>IF($N83="Exclude",0,VLOOKUP($A83,'inputs¦Engineering'!$E$4:$AN$75,F$16+6,FALSE))</f>
        <v>0</v>
      </c>
      <c r="G83" s="10">
        <f>IF($N83="Exclude",0,VLOOKUP($A83,'inputs¦Engineering'!$E$4:$AN$75,G$16+6,FALSE))</f>
        <v>0</v>
      </c>
      <c r="H83" s="10">
        <f>IF($N83="Exclude",0,VLOOKUP($A83,'inputs¦Engineering'!$E$4:$AN$75,H$16+6,FALSE))</f>
        <v>0</v>
      </c>
      <c r="I83" s="10">
        <f>IF($N83="Exclude",0,VLOOKUP($A83,'inputs¦Engineering'!$E$4:$AN$75,I$16+6,FALSE))</f>
        <v>0</v>
      </c>
      <c r="J83" s="8" t="str">
        <f>VLOOKUP($A83,'inputs¦Engineering'!$E$4:$AN$100,21,FALSE)</f>
        <v>BAU</v>
      </c>
      <c r="K83" s="8" t="str">
        <f>VLOOKUP($A83,'inputs¦Engineering'!$E$4:$AN$100,33,FALSE)</f>
        <v>Easement</v>
      </c>
      <c r="L83" s="8">
        <f>VLOOKUP($A83,'inputs¦Engineering'!$E$4:$AN$100,29,FALSE)</f>
        <v>0</v>
      </c>
      <c r="M83" s="8" t="str">
        <f>VLOOKUP($A83,'inputs¦Engineering'!$E$4:$AN$100,33,FALSE)</f>
        <v>Easement</v>
      </c>
      <c r="N83" s="94" t="str">
        <f t="shared" si="10"/>
        <v>Stay in Business</v>
      </c>
      <c r="O83" s="7" t="str">
        <f t="shared" si="11"/>
        <v>BAU</v>
      </c>
      <c r="P83" s="7">
        <f t="shared" si="12"/>
        <v>0</v>
      </c>
      <c r="Q83" s="11" t="str">
        <f t="shared" si="13"/>
        <v>0</v>
      </c>
      <c r="R83" s="9">
        <v>0.5</v>
      </c>
      <c r="S83" s="9">
        <v>0.5</v>
      </c>
      <c r="T83" s="9"/>
      <c r="U83" s="9"/>
      <c r="V83" s="9"/>
      <c r="W83" s="9"/>
      <c r="X83" s="9"/>
      <c r="Y83" s="9"/>
      <c r="Z83" s="9"/>
      <c r="AA83" s="9"/>
      <c r="AB83" s="9"/>
      <c r="AC83" s="26">
        <f t="shared" si="14"/>
        <v>1</v>
      </c>
      <c r="AD83" s="6" t="s">
        <v>76</v>
      </c>
    </row>
    <row r="84" spans="1:30" ht="14.25" x14ac:dyDescent="0.3">
      <c r="A84" s="98" t="str">
        <f>'inputs¦Engineering'!E72</f>
        <v>TOOWOOMBA STATION HEATER INSTALLATION</v>
      </c>
      <c r="B84" s="99" t="str">
        <f>VLOOKUP($A84,'inputs¦Engineering'!$E$4:$AN$75,34,FALSE)</f>
        <v>RBP</v>
      </c>
      <c r="C84" s="99" t="str">
        <f>VLOOKUP($A84,'inputs¦Engineering'!$E$4:$AN$75,3,FALSE)</f>
        <v>Heater installation at Toowoomba MS. Recent upgrade project on Toowoomba Station</v>
      </c>
      <c r="D84" s="100">
        <f>IF($N84="Exclude",0,VLOOKUP($A84,'inputs¦Engineering'!$E$4:$AN$75,D$16+6,FALSE))</f>
        <v>0</v>
      </c>
      <c r="E84" s="100">
        <f>IF($N84="Exclude",0,VLOOKUP($A84,'inputs¦Engineering'!$E$4:$AN$75,E$16+6,FALSE))</f>
        <v>250000</v>
      </c>
      <c r="F84" s="100">
        <f>IF($N84="Exclude",0,VLOOKUP($A84,'inputs¦Engineering'!$E$4:$AN$75,F$16+6,FALSE))</f>
        <v>0</v>
      </c>
      <c r="G84" s="100">
        <f>IF($N84="Exclude",0,VLOOKUP($A84,'inputs¦Engineering'!$E$4:$AN$75,G$16+6,FALSE))</f>
        <v>0</v>
      </c>
      <c r="H84" s="100">
        <f>IF($N84="Exclude",0,VLOOKUP($A84,'inputs¦Engineering'!$E$4:$AN$75,H$16+6,FALSE))</f>
        <v>0</v>
      </c>
      <c r="I84" s="100">
        <f>IF($N84="Exclude",0,VLOOKUP($A84,'inputs¦Engineering'!$E$4:$AN$75,I$16+6,FALSE))</f>
        <v>0</v>
      </c>
      <c r="J84" s="8" t="str">
        <f>VLOOKUP($A84,'inputs¦Engineering'!$E$4:$AN$100,21,FALSE)</f>
        <v>SIB</v>
      </c>
      <c r="K84" s="8" t="str">
        <f>VLOOKUP($A84,'inputs¦Engineering'!$E$4:$AN$100,33,FALSE)</f>
        <v>Station</v>
      </c>
      <c r="L84" s="8">
        <f>VLOOKUP($A84,'inputs¦Engineering'!$E$4:$AN$100,29,FALSE)</f>
        <v>0</v>
      </c>
      <c r="M84" s="8" t="str">
        <f>VLOOKUP($A84,'inputs¦Engineering'!$E$4:$AN$100,33,FALSE)</f>
        <v>Station</v>
      </c>
      <c r="N84" s="94" t="str">
        <f t="shared" si="10"/>
        <v>Stay in Business</v>
      </c>
      <c r="O84" s="7" t="str">
        <f t="shared" si="11"/>
        <v>SIB</v>
      </c>
      <c r="P84" s="7">
        <f t="shared" si="12"/>
        <v>250000</v>
      </c>
      <c r="Q84" s="11" t="str">
        <f t="shared" si="13"/>
        <v>0</v>
      </c>
      <c r="R84" s="9"/>
      <c r="S84" s="9"/>
      <c r="T84" s="9"/>
      <c r="U84" s="9">
        <v>1</v>
      </c>
      <c r="V84" s="9"/>
      <c r="W84" s="9"/>
      <c r="X84" s="9"/>
      <c r="Y84" s="9"/>
      <c r="Z84" s="9"/>
      <c r="AA84" s="9"/>
      <c r="AB84" s="9"/>
      <c r="AC84" s="26">
        <f t="shared" si="14"/>
        <v>1</v>
      </c>
      <c r="AD84" s="6" t="s">
        <v>76</v>
      </c>
    </row>
    <row r="85" spans="1:30" ht="14.25" x14ac:dyDescent="0.3">
      <c r="A85" s="97" t="str">
        <f>'inputs¦Engineering'!E73</f>
        <v>Turbine overhauls - Dalby</v>
      </c>
      <c r="B85" s="8" t="str">
        <f>VLOOKUP($A85,'inputs¦Engineering'!$E$4:$AN$75,34,FALSE)</f>
        <v>RBP</v>
      </c>
      <c r="C85" s="8" t="str">
        <f>VLOOKUP($A85,'inputs¦Engineering'!$E$4:$AN$75,3,FALSE)</f>
        <v>50,000hrs major overhaul as per EAM regime - intermittent usage up to 4000 hrs per year - currently at approx 20000hrs</v>
      </c>
      <c r="D85" s="10">
        <f>IF($N85="Exclude",0,VLOOKUP($A85,'inputs¦Engineering'!$E$4:$AN$75,D$16+6,FALSE))</f>
        <v>0</v>
      </c>
      <c r="E85" s="10">
        <f>IF($N85="Exclude",0,VLOOKUP($A85,'inputs¦Engineering'!$E$4:$AN$75,E$16+6,FALSE))</f>
        <v>0</v>
      </c>
      <c r="F85" s="10">
        <f>IF($N85="Exclude",0,VLOOKUP($A85,'inputs¦Engineering'!$E$4:$AN$75,F$16+6,FALSE))</f>
        <v>0</v>
      </c>
      <c r="G85" s="10">
        <f>IF($N85="Exclude",0,VLOOKUP($A85,'inputs¦Engineering'!$E$4:$AN$75,G$16+6,FALSE))</f>
        <v>0</v>
      </c>
      <c r="H85" s="10">
        <f>IF($N85="Exclude",0,VLOOKUP($A85,'inputs¦Engineering'!$E$4:$AN$75,H$16+6,FALSE))</f>
        <v>0</v>
      </c>
      <c r="I85" s="10">
        <f>IF($N85="Exclude",0,VLOOKUP($A85,'inputs¦Engineering'!$E$4:$AN$75,I$16+6,FALSE))</f>
        <v>1300000</v>
      </c>
      <c r="J85" s="8" t="str">
        <f>VLOOKUP($A85,'inputs¦Engineering'!$E$4:$AN$100,21,FALSE)</f>
        <v>SIB</v>
      </c>
      <c r="K85" s="8" t="str">
        <f>VLOOKUP($A85,'inputs¦Engineering'!$E$4:$AN$100,33,FALSE)</f>
        <v>Station</v>
      </c>
      <c r="L85" s="8" t="str">
        <f>VLOOKUP($A85,'inputs¦Engineering'!$E$4:$AN$100,29,FALSE)</f>
        <v>AA-08</v>
      </c>
      <c r="M85" s="8" t="str">
        <f>VLOOKUP($A85,'inputs¦Engineering'!$E$4:$AN$100,33,FALSE)</f>
        <v>Station</v>
      </c>
      <c r="N85" s="94" t="str">
        <f t="shared" si="10"/>
        <v>Stay in Business</v>
      </c>
      <c r="O85" s="7" t="str">
        <f t="shared" si="11"/>
        <v>SIB</v>
      </c>
      <c r="P85" s="7">
        <f t="shared" si="12"/>
        <v>1300000</v>
      </c>
      <c r="Q85" s="11" t="str">
        <f t="shared" si="13"/>
        <v>AA</v>
      </c>
      <c r="R85" s="9"/>
      <c r="S85" s="9"/>
      <c r="T85" s="9">
        <v>1</v>
      </c>
      <c r="U85" s="9"/>
      <c r="V85" s="9"/>
      <c r="W85" s="9"/>
      <c r="X85" s="9"/>
      <c r="Y85" s="9"/>
      <c r="Z85" s="9"/>
      <c r="AA85" s="9"/>
      <c r="AB85" s="9"/>
      <c r="AC85" s="26">
        <f t="shared" si="14"/>
        <v>1</v>
      </c>
      <c r="AD85" s="6" t="s">
        <v>76</v>
      </c>
    </row>
    <row r="86" spans="1:30" ht="14.25" x14ac:dyDescent="0.3">
      <c r="A86" s="97" t="str">
        <f>'inputs¦Engineering'!E74</f>
        <v>VEHICLE PURCHASES</v>
      </c>
      <c r="B86" s="8" t="str">
        <f>VLOOKUP($A86,'inputs¦Engineering'!$E$4:$AN$75,34,FALSE)</f>
        <v>RBP</v>
      </c>
      <c r="C86" s="8" t="str">
        <f>VLOOKUP($A86,'inputs¦Engineering'!$E$4:$AN$75,3,FALSE)</f>
        <v>Status of existing vehicles and purchase dates</v>
      </c>
      <c r="D86" s="10">
        <f>IF($N86="Exclude",0,VLOOKUP($A86,'inputs¦Engineering'!$E$4:$AN$75,D$16+6,FALSE))</f>
        <v>0</v>
      </c>
      <c r="E86" s="10">
        <f>IF($N86="Exclude",0,VLOOKUP($A86,'inputs¦Engineering'!$E$4:$AN$75,E$16+6,FALSE))</f>
        <v>0</v>
      </c>
      <c r="F86" s="10">
        <f>IF($N86="Exclude",0,VLOOKUP($A86,'inputs¦Engineering'!$E$4:$AN$75,F$16+6,FALSE))</f>
        <v>0</v>
      </c>
      <c r="G86" s="10">
        <f>IF($N86="Exclude",0,VLOOKUP($A86,'inputs¦Engineering'!$E$4:$AN$75,G$16+6,FALSE))</f>
        <v>0</v>
      </c>
      <c r="H86" s="10">
        <f>IF($N86="Exclude",0,VLOOKUP($A86,'inputs¦Engineering'!$E$4:$AN$75,H$16+6,FALSE))</f>
        <v>0</v>
      </c>
      <c r="I86" s="10">
        <f>IF($N86="Exclude",0,VLOOKUP($A86,'inputs¦Engineering'!$E$4:$AN$75,I$16+6,FALSE))</f>
        <v>0</v>
      </c>
      <c r="J86" s="8" t="str">
        <f>VLOOKUP($A86,'inputs¦Engineering'!$E$4:$AN$100,21,FALSE)</f>
        <v>SIB</v>
      </c>
      <c r="K86" s="8" t="str">
        <f>VLOOKUP($A86,'inputs¦Engineering'!$E$4:$AN$100,33,FALSE)</f>
        <v>Operations</v>
      </c>
      <c r="L86" s="8">
        <f>VLOOKUP($A86,'inputs¦Engineering'!$E$4:$AN$100,29,FALSE)</f>
        <v>0</v>
      </c>
      <c r="M86" s="8" t="str">
        <f>VLOOKUP($A86,'inputs¦Engineering'!$E$4:$AN$100,33,FALSE)</f>
        <v>Operations</v>
      </c>
      <c r="N86" s="94" t="str">
        <f t="shared" si="10"/>
        <v>Stay in Business</v>
      </c>
      <c r="O86" s="7" t="str">
        <f t="shared" si="11"/>
        <v>SIB</v>
      </c>
      <c r="P86" s="7">
        <f t="shared" si="12"/>
        <v>0</v>
      </c>
      <c r="Q86" s="11" t="str">
        <f t="shared" si="13"/>
        <v>0</v>
      </c>
      <c r="R86" s="9"/>
      <c r="S86" s="9"/>
      <c r="T86" s="9"/>
      <c r="U86" s="9"/>
      <c r="V86" s="9"/>
      <c r="W86" s="9"/>
      <c r="X86" s="9"/>
      <c r="Y86" s="9"/>
      <c r="Z86" s="9"/>
      <c r="AA86" s="9">
        <v>1</v>
      </c>
      <c r="AB86" s="9"/>
      <c r="AC86" s="26">
        <f t="shared" si="14"/>
        <v>1</v>
      </c>
      <c r="AD86" s="6" t="s">
        <v>76</v>
      </c>
    </row>
    <row r="87" spans="1:30" ht="14.25" x14ac:dyDescent="0.3">
      <c r="A87" s="97" t="str">
        <f>'inputs¦Engineering'!E75</f>
        <v>Wallumbilla MS Upgrade</v>
      </c>
      <c r="B87" s="8" t="str">
        <f>VLOOKUP($A87,'inputs¦Engineering'!$E$4:$AN$75,34,FALSE)</f>
        <v>RBP</v>
      </c>
      <c r="C87" s="8" t="str">
        <f>VLOOKUP($A87,'inputs¦Engineering'!$E$4:$AN$75,3,FALSE)</f>
        <v>General site deterioration as per site visit and email pre-Christmas - poor wiring, PSVs without tail etc</v>
      </c>
      <c r="D87" s="10">
        <f>IF($N87="Exclude",0,VLOOKUP($A87,'inputs¦Engineering'!$E$4:$AN$75,D$16+6,FALSE))</f>
        <v>0</v>
      </c>
      <c r="E87" s="10">
        <f>IF($N87="Exclude",0,VLOOKUP($A87,'inputs¦Engineering'!$E$4:$AN$75,E$16+6,FALSE))</f>
        <v>0</v>
      </c>
      <c r="F87" s="10">
        <f>IF($N87="Exclude",0,VLOOKUP($A87,'inputs¦Engineering'!$E$4:$AN$75,F$16+6,FALSE))</f>
        <v>0</v>
      </c>
      <c r="G87" s="10">
        <f>IF($N87="Exclude",0,VLOOKUP($A87,'inputs¦Engineering'!$E$4:$AN$75,G$16+6,FALSE))</f>
        <v>0</v>
      </c>
      <c r="H87" s="10">
        <f>IF($N87="Exclude",0,VLOOKUP($A87,'inputs¦Engineering'!$E$4:$AN$75,H$16+6,FALSE))</f>
        <v>0</v>
      </c>
      <c r="I87" s="10">
        <f>IF($N87="Exclude",0,VLOOKUP($A87,'inputs¦Engineering'!$E$4:$AN$75,I$16+6,FALSE))</f>
        <v>0</v>
      </c>
      <c r="J87" s="8" t="str">
        <f>VLOOKUP($A87,'inputs¦Engineering'!$E$4:$AN$100,21,FALSE)</f>
        <v>BAU</v>
      </c>
      <c r="K87" s="8" t="str">
        <f>VLOOKUP($A87,'inputs¦Engineering'!$E$4:$AN$100,33,FALSE)</f>
        <v>Station</v>
      </c>
      <c r="L87" s="8">
        <f>VLOOKUP($A87,'inputs¦Engineering'!$E$4:$AN$100,29,FALSE)</f>
        <v>0</v>
      </c>
      <c r="M87" s="8" t="str">
        <f>VLOOKUP($A87,'inputs¦Engineering'!$E$4:$AN$100,33,FALSE)</f>
        <v>Station</v>
      </c>
      <c r="N87" s="94" t="str">
        <f t="shared" si="10"/>
        <v>Stay in Business</v>
      </c>
      <c r="O87" s="7" t="str">
        <f t="shared" si="11"/>
        <v>BAU</v>
      </c>
      <c r="P87" s="7">
        <f t="shared" si="12"/>
        <v>0</v>
      </c>
      <c r="Q87" s="11" t="str">
        <f t="shared" si="13"/>
        <v>0</v>
      </c>
      <c r="R87" s="9"/>
      <c r="S87" s="9"/>
      <c r="T87" s="9"/>
      <c r="U87" s="9">
        <v>1</v>
      </c>
      <c r="V87" s="9"/>
      <c r="W87" s="9"/>
      <c r="X87" s="9"/>
      <c r="Y87" s="9"/>
      <c r="Z87" s="9"/>
      <c r="AA87" s="9"/>
      <c r="AB87" s="9"/>
      <c r="AC87" s="26">
        <f t="shared" si="14"/>
        <v>1</v>
      </c>
      <c r="AD87" s="6" t="s">
        <v>76</v>
      </c>
    </row>
    <row r="88" spans="1:30" s="16" customFormat="1" ht="16.5" x14ac:dyDescent="0.3">
      <c r="A88" s="6" t="s">
        <v>112</v>
      </c>
      <c r="B88" s="6" t="s">
        <v>79</v>
      </c>
      <c r="C88" s="6" t="s">
        <v>114</v>
      </c>
      <c r="D88" s="17"/>
      <c r="E88" s="17">
        <v>6900000</v>
      </c>
      <c r="F88" s="17">
        <v>8620000</v>
      </c>
      <c r="G88" s="17">
        <v>6900000</v>
      </c>
      <c r="H88" s="17">
        <v>8620000</v>
      </c>
      <c r="I88" s="17">
        <v>6900000</v>
      </c>
      <c r="J88" s="6" t="s">
        <v>116</v>
      </c>
      <c r="K88" s="6" t="s">
        <v>77</v>
      </c>
      <c r="L88" s="6" t="s">
        <v>117</v>
      </c>
      <c r="M88" s="6" t="s">
        <v>77</v>
      </c>
      <c r="N88" s="8" t="s">
        <v>119</v>
      </c>
      <c r="O88" s="7" t="str">
        <f t="shared" ref="O88:O118" si="15">J88</f>
        <v>SIB</v>
      </c>
      <c r="P88" s="7">
        <f t="shared" ref="P88:P118" si="16">SUM(D88:I88)</f>
        <v>37940000</v>
      </c>
      <c r="Q88" s="11" t="str">
        <f t="shared" ref="Q88:Q118" si="17">LEFT(L88,2)</f>
        <v>RB</v>
      </c>
      <c r="R88" s="6"/>
      <c r="S88" s="6"/>
      <c r="T88" s="6"/>
      <c r="U88" s="6"/>
      <c r="V88" s="6"/>
      <c r="W88" s="6"/>
      <c r="X88" s="6"/>
      <c r="Y88" s="6"/>
      <c r="Z88" s="24">
        <v>1</v>
      </c>
      <c r="AA88" s="6"/>
      <c r="AB88" s="24"/>
      <c r="AC88" s="26">
        <f t="shared" ref="AC88:AC111" si="18">SUM(R88:AB88)</f>
        <v>1</v>
      </c>
      <c r="AD88" s="6" t="s">
        <v>190</v>
      </c>
    </row>
    <row r="89" spans="1:30" ht="14.25" x14ac:dyDescent="0.3">
      <c r="A89" s="6" t="s">
        <v>113</v>
      </c>
      <c r="B89" s="6" t="s">
        <v>79</v>
      </c>
      <c r="C89" s="6" t="s">
        <v>115</v>
      </c>
      <c r="D89" s="17"/>
      <c r="E89" s="17">
        <v>2250000</v>
      </c>
      <c r="F89" s="17">
        <v>750000</v>
      </c>
      <c r="G89" s="17">
        <v>750000</v>
      </c>
      <c r="H89" s="17">
        <v>750000</v>
      </c>
      <c r="I89" s="17"/>
      <c r="J89" s="6" t="s">
        <v>116</v>
      </c>
      <c r="K89" s="6" t="s">
        <v>77</v>
      </c>
      <c r="L89" s="6" t="s">
        <v>118</v>
      </c>
      <c r="M89" s="6" t="s">
        <v>77</v>
      </c>
      <c r="N89" s="8" t="s">
        <v>119</v>
      </c>
      <c r="O89" s="7" t="str">
        <f t="shared" si="15"/>
        <v>SIB</v>
      </c>
      <c r="P89" s="7">
        <f t="shared" si="16"/>
        <v>4500000</v>
      </c>
      <c r="Q89" s="11" t="str">
        <f t="shared" si="17"/>
        <v>RB</v>
      </c>
      <c r="R89" s="6"/>
      <c r="S89" s="6"/>
      <c r="T89" s="6"/>
      <c r="U89" s="6"/>
      <c r="V89" s="6"/>
      <c r="W89" s="6"/>
      <c r="X89" s="6"/>
      <c r="Y89" s="6"/>
      <c r="Z89" s="24">
        <v>1</v>
      </c>
      <c r="AA89" s="6"/>
      <c r="AB89" s="24"/>
      <c r="AC89" s="26">
        <f t="shared" si="18"/>
        <v>1</v>
      </c>
      <c r="AD89" s="6" t="s">
        <v>190</v>
      </c>
    </row>
    <row r="90" spans="1:30" ht="14.25" x14ac:dyDescent="0.3">
      <c r="A90" s="6" t="s">
        <v>127</v>
      </c>
      <c r="B90" s="6" t="s">
        <v>137</v>
      </c>
      <c r="C90" s="6" t="s">
        <v>128</v>
      </c>
      <c r="D90" s="17">
        <v>891355.52</v>
      </c>
      <c r="E90" s="17">
        <v>70875.350000000006</v>
      </c>
      <c r="F90" s="17">
        <v>0</v>
      </c>
      <c r="G90" s="17">
        <v>0</v>
      </c>
      <c r="H90" s="17">
        <v>58008.08</v>
      </c>
      <c r="I90" s="17">
        <f>D90</f>
        <v>891355.52</v>
      </c>
      <c r="J90" s="6" t="s">
        <v>116</v>
      </c>
      <c r="K90" s="6" t="s">
        <v>120</v>
      </c>
      <c r="L90" s="6">
        <v>0</v>
      </c>
      <c r="M90" s="6" t="s">
        <v>59</v>
      </c>
      <c r="N90" s="8" t="s">
        <v>119</v>
      </c>
      <c r="O90" s="7" t="str">
        <f t="shared" si="15"/>
        <v>SIB</v>
      </c>
      <c r="P90" s="7">
        <f t="shared" si="16"/>
        <v>1911594.47</v>
      </c>
      <c r="Q90" s="11" t="str">
        <f t="shared" si="17"/>
        <v>0</v>
      </c>
      <c r="R90" s="6"/>
      <c r="S90" s="6"/>
      <c r="T90" s="6"/>
      <c r="U90" s="24"/>
      <c r="V90" s="6"/>
      <c r="W90" s="6"/>
      <c r="X90" s="6"/>
      <c r="Y90" s="24">
        <v>1</v>
      </c>
      <c r="Z90" s="24"/>
      <c r="AA90" s="6"/>
      <c r="AB90" s="24"/>
      <c r="AC90" s="26">
        <f t="shared" si="18"/>
        <v>1</v>
      </c>
      <c r="AD90" s="6" t="s">
        <v>76</v>
      </c>
    </row>
    <row r="91" spans="1:30" ht="14.25" x14ac:dyDescent="0.3">
      <c r="A91" s="8" t="str">
        <f>'inputs¦BandT'!$A14</f>
        <v>Remote Vehicle Comms - Journey Management</v>
      </c>
      <c r="B91" s="8" t="str">
        <f>VLOOKUP($A91,'inputs¦BandT'!A12:K43,2,FALSE)</f>
        <v>Transmission</v>
      </c>
      <c r="C91" s="8"/>
      <c r="D91" s="10">
        <f>VLOOKUP($A91,'inputs¦BandT'!$A$13:$K$50,D$16-12,FALSE)</f>
        <v>26315</v>
      </c>
      <c r="E91" s="10">
        <f>VLOOKUP($A91,'inputs¦BandT'!$A$13:$K$50,E$16-12,FALSE)</f>
        <v>0</v>
      </c>
      <c r="F91" s="10">
        <f>VLOOKUP($A91,'inputs¦BandT'!$A$13:$K$50,F$16-12,FALSE)</f>
        <v>0</v>
      </c>
      <c r="G91" s="10">
        <f>VLOOKUP($A91,'inputs¦BandT'!$A$13:$K$50,G$16-12,FALSE)</f>
        <v>0</v>
      </c>
      <c r="H91" s="10">
        <f>VLOOKUP($A91,'inputs¦BandT'!$A$13:$K$50,H$16-12,FALSE)</f>
        <v>0</v>
      </c>
      <c r="I91" s="10">
        <f>VLOOKUP($A91,'inputs¦BandT'!$A$13:$K$50,I$16-12,FALSE)</f>
        <v>0</v>
      </c>
      <c r="J91" s="6" t="s">
        <v>116</v>
      </c>
      <c r="K91" s="6" t="s">
        <v>77</v>
      </c>
      <c r="L91" s="6">
        <v>0</v>
      </c>
      <c r="M91" s="6" t="s">
        <v>77</v>
      </c>
      <c r="N91" s="8" t="s">
        <v>119</v>
      </c>
      <c r="O91" s="7" t="str">
        <f t="shared" si="15"/>
        <v>SIB</v>
      </c>
      <c r="P91" s="7">
        <f t="shared" si="16"/>
        <v>26315</v>
      </c>
      <c r="Q91" s="11" t="str">
        <f t="shared" si="17"/>
        <v>0</v>
      </c>
      <c r="R91" s="6"/>
      <c r="S91" s="6"/>
      <c r="T91" s="6"/>
      <c r="U91" s="24"/>
      <c r="V91" s="6"/>
      <c r="W91" s="6"/>
      <c r="X91" s="6"/>
      <c r="Y91" s="24"/>
      <c r="Z91" s="24">
        <v>1</v>
      </c>
      <c r="AA91" s="6"/>
      <c r="AB91" s="24"/>
      <c r="AC91" s="26">
        <f t="shared" si="18"/>
        <v>1</v>
      </c>
      <c r="AD91" s="6" t="s">
        <v>76</v>
      </c>
    </row>
    <row r="92" spans="1:30" ht="14.25" x14ac:dyDescent="0.3">
      <c r="A92" s="8" t="str">
        <f>'inputs¦BandT'!$A15</f>
        <v>Satellite Strategy</v>
      </c>
      <c r="B92" s="8" t="str">
        <f>VLOOKUP($A92,'inputs¦BandT'!A13:K44,2,FALSE)</f>
        <v>APA</v>
      </c>
      <c r="C92" s="8"/>
      <c r="D92" s="10">
        <f>VLOOKUP($A92,'inputs¦BandT'!$A$13:$K$50,D$16-12,FALSE)</f>
        <v>1592834</v>
      </c>
      <c r="E92" s="10">
        <f>VLOOKUP($A92,'inputs¦BandT'!$A$13:$K$50,E$16-12,FALSE)</f>
        <v>0</v>
      </c>
      <c r="F92" s="10">
        <f>VLOOKUP($A92,'inputs¦BandT'!$A$13:$K$50,F$16-12,FALSE)</f>
        <v>0</v>
      </c>
      <c r="G92" s="10">
        <f>VLOOKUP($A92,'inputs¦BandT'!$A$13:$K$50,G$16-12,FALSE)</f>
        <v>0</v>
      </c>
      <c r="H92" s="10">
        <f>VLOOKUP($A92,'inputs¦BandT'!$A$13:$K$50,H$16-12,FALSE)</f>
        <v>0</v>
      </c>
      <c r="I92" s="10">
        <f>VLOOKUP($A92,'inputs¦BandT'!$A$13:$K$50,I$16-12,FALSE)</f>
        <v>0</v>
      </c>
      <c r="J92" s="6" t="s">
        <v>116</v>
      </c>
      <c r="K92" s="6" t="s">
        <v>77</v>
      </c>
      <c r="L92" s="6">
        <v>0</v>
      </c>
      <c r="M92" s="6" t="s">
        <v>77</v>
      </c>
      <c r="N92" s="8" t="s">
        <v>119</v>
      </c>
      <c r="O92" s="7" t="str">
        <f t="shared" si="15"/>
        <v>SIB</v>
      </c>
      <c r="P92" s="7">
        <f t="shared" si="16"/>
        <v>1592834</v>
      </c>
      <c r="Q92" s="11" t="str">
        <f t="shared" si="17"/>
        <v>0</v>
      </c>
      <c r="R92" s="6"/>
      <c r="S92" s="6"/>
      <c r="T92" s="6"/>
      <c r="U92" s="24"/>
      <c r="V92" s="6"/>
      <c r="W92" s="6"/>
      <c r="X92" s="6"/>
      <c r="Y92" s="24"/>
      <c r="Z92" s="24">
        <v>1</v>
      </c>
      <c r="AA92" s="6"/>
      <c r="AB92" s="24"/>
      <c r="AC92" s="26">
        <f t="shared" si="18"/>
        <v>1</v>
      </c>
      <c r="AD92" s="6" t="s">
        <v>76</v>
      </c>
    </row>
    <row r="93" spans="1:30" ht="14.25" x14ac:dyDescent="0.3">
      <c r="A93" s="8" t="str">
        <f>'inputs¦BandT'!$A16</f>
        <v>Enterprise Content Management</v>
      </c>
      <c r="B93" s="8" t="str">
        <f>VLOOKUP($A93,'inputs¦BandT'!A14:K45,2,FALSE)</f>
        <v>APA</v>
      </c>
      <c r="C93" s="8"/>
      <c r="D93" s="10">
        <f>VLOOKUP($A93,'inputs¦BandT'!$A$13:$K$50,D$16-12,FALSE)</f>
        <v>4766127.9321800116</v>
      </c>
      <c r="E93" s="10">
        <f>VLOOKUP($A93,'inputs¦BandT'!$A$13:$K$50,E$16-12,FALSE)</f>
        <v>0</v>
      </c>
      <c r="F93" s="10">
        <f>VLOOKUP($A93,'inputs¦BandT'!$A$13:$K$50,F$16-12,FALSE)</f>
        <v>0</v>
      </c>
      <c r="G93" s="10">
        <f>VLOOKUP($A93,'inputs¦BandT'!$A$13:$K$50,G$16-12,FALSE)</f>
        <v>0</v>
      </c>
      <c r="H93" s="10">
        <f>VLOOKUP($A93,'inputs¦BandT'!$A$13:$K$50,H$16-12,FALSE)</f>
        <v>0</v>
      </c>
      <c r="I93" s="10">
        <f>VLOOKUP($A93,'inputs¦BandT'!$A$13:$K$50,I$16-12,FALSE)</f>
        <v>0</v>
      </c>
      <c r="J93" s="6" t="s">
        <v>116</v>
      </c>
      <c r="K93" s="6" t="s">
        <v>77</v>
      </c>
      <c r="L93" s="6">
        <v>0</v>
      </c>
      <c r="M93" s="6" t="s">
        <v>77</v>
      </c>
      <c r="N93" s="8" t="s">
        <v>119</v>
      </c>
      <c r="O93" s="7" t="str">
        <f t="shared" si="15"/>
        <v>SIB</v>
      </c>
      <c r="P93" s="7">
        <f t="shared" si="16"/>
        <v>4766127.9321800116</v>
      </c>
      <c r="Q93" s="11" t="str">
        <f t="shared" si="17"/>
        <v>0</v>
      </c>
      <c r="R93" s="6"/>
      <c r="S93" s="6"/>
      <c r="T93" s="6"/>
      <c r="U93" s="24"/>
      <c r="V93" s="6"/>
      <c r="W93" s="6"/>
      <c r="X93" s="6"/>
      <c r="Y93" s="24"/>
      <c r="Z93" s="24">
        <v>1</v>
      </c>
      <c r="AA93" s="6"/>
      <c r="AB93" s="24"/>
      <c r="AC93" s="26">
        <f t="shared" si="18"/>
        <v>1</v>
      </c>
      <c r="AD93" s="6" t="s">
        <v>76</v>
      </c>
    </row>
    <row r="94" spans="1:30" ht="14.25" x14ac:dyDescent="0.3">
      <c r="A94" s="8" t="str">
        <f>'inputs¦BandT'!$A17</f>
        <v>APA Website Project</v>
      </c>
      <c r="B94" s="8" t="str">
        <f>VLOOKUP($A94,'inputs¦BandT'!A15:K46,2,FALSE)</f>
        <v>APA</v>
      </c>
      <c r="C94" s="8"/>
      <c r="D94" s="10">
        <f>VLOOKUP($A94,'inputs¦BandT'!$A$13:$K$50,D$16-12,FALSE)</f>
        <v>0</v>
      </c>
      <c r="E94" s="10">
        <f>VLOOKUP($A94,'inputs¦BandT'!$A$13:$K$50,E$16-12,FALSE)</f>
        <v>0</v>
      </c>
      <c r="F94" s="10">
        <f>VLOOKUP($A94,'inputs¦BandT'!$A$13:$K$50,F$16-12,FALSE)</f>
        <v>0</v>
      </c>
      <c r="G94" s="10">
        <f>VLOOKUP($A94,'inputs¦BandT'!$A$13:$K$50,G$16-12,FALSE)</f>
        <v>0</v>
      </c>
      <c r="H94" s="10">
        <f>VLOOKUP($A94,'inputs¦BandT'!$A$13:$K$50,H$16-12,FALSE)</f>
        <v>0</v>
      </c>
      <c r="I94" s="10">
        <f>VLOOKUP($A94,'inputs¦BandT'!$A$13:$K$50,I$16-12,FALSE)</f>
        <v>0</v>
      </c>
      <c r="J94" s="6" t="s">
        <v>116</v>
      </c>
      <c r="K94" s="6" t="s">
        <v>77</v>
      </c>
      <c r="L94" s="6">
        <v>0</v>
      </c>
      <c r="M94" s="6" t="s">
        <v>77</v>
      </c>
      <c r="N94" s="8" t="s">
        <v>119</v>
      </c>
      <c r="O94" s="7" t="str">
        <f t="shared" si="15"/>
        <v>SIB</v>
      </c>
      <c r="P94" s="7">
        <f t="shared" si="16"/>
        <v>0</v>
      </c>
      <c r="Q94" s="11" t="str">
        <f t="shared" si="17"/>
        <v>0</v>
      </c>
      <c r="R94" s="6"/>
      <c r="S94" s="6"/>
      <c r="T94" s="6"/>
      <c r="U94" s="24"/>
      <c r="V94" s="6"/>
      <c r="W94" s="6"/>
      <c r="X94" s="6"/>
      <c r="Y94" s="24"/>
      <c r="Z94" s="24">
        <v>1</v>
      </c>
      <c r="AA94" s="6"/>
      <c r="AB94" s="24"/>
      <c r="AC94" s="26">
        <f t="shared" si="18"/>
        <v>1</v>
      </c>
      <c r="AD94" s="6" t="s">
        <v>76</v>
      </c>
    </row>
    <row r="95" spans="1:30" ht="14.25" x14ac:dyDescent="0.3">
      <c r="A95" s="8" t="str">
        <f>'inputs¦BandT'!$A18</f>
        <v>BI - Asset Datamart</v>
      </c>
      <c r="B95" s="8" t="str">
        <f>VLOOKUP($A95,'inputs¦BandT'!A16:K47,2,FALSE)</f>
        <v>APA</v>
      </c>
      <c r="C95" s="8"/>
      <c r="D95" s="10">
        <f>VLOOKUP($A95,'inputs¦BandT'!$A$13:$K$50,D$16-12,FALSE)</f>
        <v>0</v>
      </c>
      <c r="E95" s="10">
        <f>VLOOKUP($A95,'inputs¦BandT'!$A$13:$K$50,E$16-12,FALSE)</f>
        <v>0</v>
      </c>
      <c r="F95" s="10">
        <f>VLOOKUP($A95,'inputs¦BandT'!$A$13:$K$50,F$16-12,FALSE)</f>
        <v>0</v>
      </c>
      <c r="G95" s="10">
        <f>VLOOKUP($A95,'inputs¦BandT'!$A$13:$K$50,G$16-12,FALSE)</f>
        <v>0</v>
      </c>
      <c r="H95" s="10">
        <f>VLOOKUP($A95,'inputs¦BandT'!$A$13:$K$50,H$16-12,FALSE)</f>
        <v>0</v>
      </c>
      <c r="I95" s="10">
        <f>VLOOKUP($A95,'inputs¦BandT'!$A$13:$K$50,I$16-12,FALSE)</f>
        <v>0</v>
      </c>
      <c r="J95" s="6" t="s">
        <v>116</v>
      </c>
      <c r="K95" s="6" t="s">
        <v>77</v>
      </c>
      <c r="L95" s="6">
        <v>0</v>
      </c>
      <c r="M95" s="6" t="s">
        <v>77</v>
      </c>
      <c r="N95" s="8" t="s">
        <v>119</v>
      </c>
      <c r="O95" s="7" t="str">
        <f t="shared" si="15"/>
        <v>SIB</v>
      </c>
      <c r="P95" s="7">
        <f t="shared" si="16"/>
        <v>0</v>
      </c>
      <c r="Q95" s="11" t="str">
        <f t="shared" si="17"/>
        <v>0</v>
      </c>
      <c r="R95" s="6"/>
      <c r="S95" s="6"/>
      <c r="T95" s="6"/>
      <c r="U95" s="24"/>
      <c r="V95" s="6"/>
      <c r="W95" s="6"/>
      <c r="X95" s="6"/>
      <c r="Y95" s="24"/>
      <c r="Z95" s="24">
        <v>1</v>
      </c>
      <c r="AA95" s="6"/>
      <c r="AB95" s="24"/>
      <c r="AC95" s="26">
        <f t="shared" si="18"/>
        <v>1</v>
      </c>
      <c r="AD95" s="6" t="s">
        <v>76</v>
      </c>
    </row>
    <row r="96" spans="1:30" ht="14.25" x14ac:dyDescent="0.3">
      <c r="A96" s="8" t="str">
        <f>'inputs¦BandT'!$A19</f>
        <v>APA Grid - Energy Components Upgrade</v>
      </c>
      <c r="B96" s="8" t="str">
        <f>VLOOKUP($A96,'inputs¦BandT'!A17:K48,2,FALSE)</f>
        <v>APA</v>
      </c>
      <c r="C96" s="8"/>
      <c r="D96" s="10">
        <f>VLOOKUP($A96,'inputs¦BandT'!$A$13:$K$50,D$16-12,FALSE)</f>
        <v>2548065</v>
      </c>
      <c r="E96" s="10">
        <f>VLOOKUP($A96,'inputs¦BandT'!$A$13:$K$50,E$16-12,FALSE)</f>
        <v>0</v>
      </c>
      <c r="F96" s="10">
        <f>VLOOKUP($A96,'inputs¦BandT'!$A$13:$K$50,F$16-12,FALSE)</f>
        <v>0</v>
      </c>
      <c r="G96" s="10">
        <f>VLOOKUP($A96,'inputs¦BandT'!$A$13:$K$50,G$16-12,FALSE)</f>
        <v>0</v>
      </c>
      <c r="H96" s="10">
        <f>VLOOKUP($A96,'inputs¦BandT'!$A$13:$K$50,H$16-12,FALSE)</f>
        <v>0</v>
      </c>
      <c r="I96" s="10">
        <f>VLOOKUP($A96,'inputs¦BandT'!$A$13:$K$50,I$16-12,FALSE)</f>
        <v>0</v>
      </c>
      <c r="J96" s="6" t="s">
        <v>116</v>
      </c>
      <c r="K96" s="6" t="s">
        <v>77</v>
      </c>
      <c r="L96" s="6">
        <v>0</v>
      </c>
      <c r="M96" s="6" t="s">
        <v>77</v>
      </c>
      <c r="N96" s="8" t="s">
        <v>119</v>
      </c>
      <c r="O96" s="7" t="str">
        <f t="shared" si="15"/>
        <v>SIB</v>
      </c>
      <c r="P96" s="7">
        <f t="shared" si="16"/>
        <v>2548065</v>
      </c>
      <c r="Q96" s="11" t="str">
        <f t="shared" si="17"/>
        <v>0</v>
      </c>
      <c r="R96" s="6"/>
      <c r="S96" s="6"/>
      <c r="T96" s="6"/>
      <c r="U96" s="24"/>
      <c r="V96" s="6"/>
      <c r="W96" s="6"/>
      <c r="X96" s="6"/>
      <c r="Y96" s="24"/>
      <c r="Z96" s="24">
        <v>1</v>
      </c>
      <c r="AA96" s="6"/>
      <c r="AB96" s="24"/>
      <c r="AC96" s="26">
        <f t="shared" si="18"/>
        <v>1</v>
      </c>
      <c r="AD96" s="6" t="s">
        <v>76</v>
      </c>
    </row>
    <row r="97" spans="1:30" ht="14.25" x14ac:dyDescent="0.3">
      <c r="A97" s="8" t="str">
        <f>'inputs¦BandT'!$A20</f>
        <v>Hyperion Upgrade to v 11-1-2-4</v>
      </c>
      <c r="B97" s="8" t="str">
        <f>VLOOKUP($A97,'inputs¦BandT'!A18:K49,2,FALSE)</f>
        <v>APA</v>
      </c>
      <c r="C97" s="8"/>
      <c r="D97" s="10">
        <f>VLOOKUP($A97,'inputs¦BandT'!$A$13:$K$50,D$16-12,FALSE)</f>
        <v>700397</v>
      </c>
      <c r="E97" s="10">
        <f>VLOOKUP($A97,'inputs¦BandT'!$A$13:$K$50,E$16-12,FALSE)</f>
        <v>0</v>
      </c>
      <c r="F97" s="10">
        <f>VLOOKUP($A97,'inputs¦BandT'!$A$13:$K$50,F$16-12,FALSE)</f>
        <v>0</v>
      </c>
      <c r="G97" s="10">
        <f>VLOOKUP($A97,'inputs¦BandT'!$A$13:$K$50,G$16-12,FALSE)</f>
        <v>0</v>
      </c>
      <c r="H97" s="10">
        <f>VLOOKUP($A97,'inputs¦BandT'!$A$13:$K$50,H$16-12,FALSE)</f>
        <v>0</v>
      </c>
      <c r="I97" s="10">
        <f>VLOOKUP($A97,'inputs¦BandT'!$A$13:$K$50,I$16-12,FALSE)</f>
        <v>0</v>
      </c>
      <c r="J97" s="6" t="s">
        <v>116</v>
      </c>
      <c r="K97" s="6" t="s">
        <v>77</v>
      </c>
      <c r="L97" s="6">
        <v>0</v>
      </c>
      <c r="M97" s="6" t="s">
        <v>77</v>
      </c>
      <c r="N97" s="8" t="s">
        <v>119</v>
      </c>
      <c r="O97" s="7" t="str">
        <f t="shared" si="15"/>
        <v>SIB</v>
      </c>
      <c r="P97" s="7">
        <f t="shared" si="16"/>
        <v>700397</v>
      </c>
      <c r="Q97" s="11" t="str">
        <f t="shared" si="17"/>
        <v>0</v>
      </c>
      <c r="R97" s="6"/>
      <c r="S97" s="6"/>
      <c r="T97" s="6"/>
      <c r="U97" s="24"/>
      <c r="V97" s="6"/>
      <c r="W97" s="6"/>
      <c r="X97" s="6"/>
      <c r="Y97" s="24"/>
      <c r="Z97" s="24">
        <v>1</v>
      </c>
      <c r="AA97" s="6"/>
      <c r="AB97" s="24"/>
      <c r="AC97" s="26">
        <f t="shared" si="18"/>
        <v>1</v>
      </c>
      <c r="AD97" s="6" t="s">
        <v>76</v>
      </c>
    </row>
    <row r="98" spans="1:30" ht="14.25" x14ac:dyDescent="0.3">
      <c r="A98" s="8" t="str">
        <f>'inputs¦BandT'!$A21</f>
        <v>APA Grid Services Initiatives Program</v>
      </c>
      <c r="B98" s="8" t="str">
        <f>VLOOKUP($A98,'inputs¦BandT'!A19:K50,2,FALSE)</f>
        <v>Transmission</v>
      </c>
      <c r="C98" s="8"/>
      <c r="D98" s="10">
        <f>VLOOKUP($A98,'inputs¦BandT'!$A$13:$K$50,D$16-12,FALSE)</f>
        <v>738522.71651200054</v>
      </c>
      <c r="E98" s="10">
        <f>VLOOKUP($A98,'inputs¦BandT'!$A$13:$K$50,E$16-12,FALSE)</f>
        <v>0</v>
      </c>
      <c r="F98" s="10">
        <f>VLOOKUP($A98,'inputs¦BandT'!$A$13:$K$50,F$16-12,FALSE)</f>
        <v>0</v>
      </c>
      <c r="G98" s="10">
        <f>VLOOKUP($A98,'inputs¦BandT'!$A$13:$K$50,G$16-12,FALSE)</f>
        <v>0</v>
      </c>
      <c r="H98" s="10">
        <f>VLOOKUP($A98,'inputs¦BandT'!$A$13:$K$50,H$16-12,FALSE)</f>
        <v>0</v>
      </c>
      <c r="I98" s="10">
        <f>VLOOKUP($A98,'inputs¦BandT'!$A$13:$K$50,I$16-12,FALSE)</f>
        <v>0</v>
      </c>
      <c r="J98" s="6" t="s">
        <v>116</v>
      </c>
      <c r="K98" s="6" t="s">
        <v>77</v>
      </c>
      <c r="L98" s="6">
        <v>0</v>
      </c>
      <c r="M98" s="6" t="s">
        <v>77</v>
      </c>
      <c r="N98" s="8" t="s">
        <v>119</v>
      </c>
      <c r="O98" s="7" t="str">
        <f t="shared" si="15"/>
        <v>SIB</v>
      </c>
      <c r="P98" s="7">
        <f t="shared" si="16"/>
        <v>738522.71651200054</v>
      </c>
      <c r="Q98" s="11" t="str">
        <f t="shared" si="17"/>
        <v>0</v>
      </c>
      <c r="R98" s="6"/>
      <c r="S98" s="6"/>
      <c r="T98" s="6"/>
      <c r="U98" s="24"/>
      <c r="V98" s="6"/>
      <c r="W98" s="6"/>
      <c r="X98" s="6"/>
      <c r="Y98" s="24"/>
      <c r="Z98" s="24">
        <v>1</v>
      </c>
      <c r="AA98" s="6"/>
      <c r="AB98" s="24"/>
      <c r="AC98" s="26">
        <f t="shared" si="18"/>
        <v>1</v>
      </c>
      <c r="AD98" s="6" t="s">
        <v>76</v>
      </c>
    </row>
    <row r="99" spans="1:30" ht="14.25" x14ac:dyDescent="0.3">
      <c r="A99" s="8" t="str">
        <f>'inputs¦BandT'!$A22</f>
        <v>APA Grid Extend</v>
      </c>
      <c r="B99" s="8" t="str">
        <f>VLOOKUP($A99,'inputs¦BandT'!A20:K51,2,FALSE)</f>
        <v>Transmission</v>
      </c>
      <c r="C99" s="8"/>
      <c r="D99" s="10">
        <f>VLOOKUP($A99,'inputs¦BandT'!$A$13:$K$50,D$16-12,FALSE)</f>
        <v>7080567</v>
      </c>
      <c r="E99" s="10">
        <f>VLOOKUP($A99,'inputs¦BandT'!$A$13:$K$50,E$16-12,FALSE)</f>
        <v>1571587</v>
      </c>
      <c r="F99" s="10">
        <f>VLOOKUP($A99,'inputs¦BandT'!$A$13:$K$50,F$16-12,FALSE)</f>
        <v>0</v>
      </c>
      <c r="G99" s="10">
        <f>VLOOKUP($A99,'inputs¦BandT'!$A$13:$K$50,G$16-12,FALSE)</f>
        <v>0</v>
      </c>
      <c r="H99" s="10">
        <f>VLOOKUP($A99,'inputs¦BandT'!$A$13:$K$50,H$16-12,FALSE)</f>
        <v>0</v>
      </c>
      <c r="I99" s="10">
        <f>VLOOKUP($A99,'inputs¦BandT'!$A$13:$K$50,I$16-12,FALSE)</f>
        <v>0</v>
      </c>
      <c r="J99" s="6" t="s">
        <v>116</v>
      </c>
      <c r="K99" s="6" t="s">
        <v>77</v>
      </c>
      <c r="L99" s="6">
        <v>0</v>
      </c>
      <c r="M99" s="6" t="s">
        <v>77</v>
      </c>
      <c r="N99" s="8" t="s">
        <v>119</v>
      </c>
      <c r="O99" s="7" t="str">
        <f t="shared" si="15"/>
        <v>SIB</v>
      </c>
      <c r="P99" s="7">
        <f t="shared" si="16"/>
        <v>8652154</v>
      </c>
      <c r="Q99" s="11" t="str">
        <f t="shared" si="17"/>
        <v>0</v>
      </c>
      <c r="R99" s="6"/>
      <c r="S99" s="6"/>
      <c r="T99" s="6"/>
      <c r="U99" s="24"/>
      <c r="V99" s="6"/>
      <c r="W99" s="6"/>
      <c r="X99" s="6"/>
      <c r="Y99" s="24"/>
      <c r="Z99" s="24">
        <v>1</v>
      </c>
      <c r="AA99" s="6"/>
      <c r="AB99" s="24"/>
      <c r="AC99" s="26">
        <f t="shared" si="18"/>
        <v>1</v>
      </c>
      <c r="AD99" s="6" t="s">
        <v>76</v>
      </c>
    </row>
    <row r="100" spans="1:30" ht="14.25" x14ac:dyDescent="0.3">
      <c r="A100" s="8" t="str">
        <f>'inputs¦BandT'!$A24</f>
        <v>BI - Transmission Dashboard</v>
      </c>
      <c r="B100" s="8" t="str">
        <f>VLOOKUP($A100,'inputs¦BandT'!A21:K52,2,FALSE)</f>
        <v>APA</v>
      </c>
      <c r="C100" s="8"/>
      <c r="D100" s="10">
        <f>VLOOKUP($A100,'inputs¦BandT'!$A$13:$K$50,D$16-12,FALSE)</f>
        <v>977526.446</v>
      </c>
      <c r="E100" s="10">
        <f>VLOOKUP($A100,'inputs¦BandT'!$A$13:$K$50,E$16-12,FALSE)</f>
        <v>0</v>
      </c>
      <c r="F100" s="10">
        <f>VLOOKUP($A100,'inputs¦BandT'!$A$13:$K$50,F$16-12,FALSE)</f>
        <v>0</v>
      </c>
      <c r="G100" s="10">
        <f>VLOOKUP($A100,'inputs¦BandT'!$A$13:$K$50,G$16-12,FALSE)</f>
        <v>0</v>
      </c>
      <c r="H100" s="10">
        <f>VLOOKUP($A100,'inputs¦BandT'!$A$13:$K$50,H$16-12,FALSE)</f>
        <v>0</v>
      </c>
      <c r="I100" s="10">
        <f>VLOOKUP($A100,'inputs¦BandT'!$A$13:$K$50,I$16-12,FALSE)</f>
        <v>0</v>
      </c>
      <c r="J100" s="6" t="s">
        <v>116</v>
      </c>
      <c r="K100" s="6" t="s">
        <v>77</v>
      </c>
      <c r="L100" s="6">
        <v>0</v>
      </c>
      <c r="M100" s="6" t="s">
        <v>77</v>
      </c>
      <c r="N100" s="8" t="s">
        <v>119</v>
      </c>
      <c r="O100" s="7" t="str">
        <f t="shared" si="15"/>
        <v>SIB</v>
      </c>
      <c r="P100" s="7">
        <f t="shared" si="16"/>
        <v>977526.446</v>
      </c>
      <c r="Q100" s="11" t="str">
        <f t="shared" si="17"/>
        <v>0</v>
      </c>
      <c r="R100" s="6"/>
      <c r="S100" s="6"/>
      <c r="T100" s="6"/>
      <c r="U100" s="24"/>
      <c r="V100" s="6"/>
      <c r="W100" s="6"/>
      <c r="X100" s="6"/>
      <c r="Y100" s="24"/>
      <c r="Z100" s="24">
        <v>1</v>
      </c>
      <c r="AA100" s="6"/>
      <c r="AB100" s="24"/>
      <c r="AC100" s="26">
        <f t="shared" si="18"/>
        <v>1</v>
      </c>
      <c r="AD100" s="6" t="s">
        <v>76</v>
      </c>
    </row>
    <row r="101" spans="1:30" ht="14.25" x14ac:dyDescent="0.3">
      <c r="A101" s="8" t="str">
        <f>'inputs¦BandT'!$A25</f>
        <v>HR Systems Refresh</v>
      </c>
      <c r="B101" s="8" t="str">
        <f>VLOOKUP($A101,'inputs¦BandT'!A22:K53,2,FALSE)</f>
        <v>APA</v>
      </c>
      <c r="C101" s="8"/>
      <c r="D101" s="10">
        <f>VLOOKUP($A101,'inputs¦BandT'!$A$13:$K$50,D$16-12,FALSE)</f>
        <v>880580.00005999941</v>
      </c>
      <c r="E101" s="10">
        <f>VLOOKUP($A101,'inputs¦BandT'!$A$13:$K$50,E$16-12,FALSE)</f>
        <v>4659928.7999600014</v>
      </c>
      <c r="F101" s="10">
        <f>VLOOKUP($A101,'inputs¦BandT'!$A$13:$K$50,F$16-12,FALSE)</f>
        <v>58565.599999999999</v>
      </c>
      <c r="G101" s="10">
        <f>VLOOKUP($A101,'inputs¦BandT'!$A$13:$K$50,G$16-12,FALSE)</f>
        <v>0</v>
      </c>
      <c r="H101" s="10">
        <f>VLOOKUP($A101,'inputs¦BandT'!$A$13:$K$50,H$16-12,FALSE)</f>
        <v>0</v>
      </c>
      <c r="I101" s="10">
        <f>VLOOKUP($A101,'inputs¦BandT'!$A$13:$K$50,I$16-12,FALSE)</f>
        <v>0</v>
      </c>
      <c r="J101" s="6" t="s">
        <v>116</v>
      </c>
      <c r="K101" s="6" t="s">
        <v>77</v>
      </c>
      <c r="L101" s="6">
        <v>0</v>
      </c>
      <c r="M101" s="6" t="s">
        <v>77</v>
      </c>
      <c r="N101" s="8" t="s">
        <v>119</v>
      </c>
      <c r="O101" s="7" t="str">
        <f t="shared" si="15"/>
        <v>SIB</v>
      </c>
      <c r="P101" s="7">
        <f t="shared" si="16"/>
        <v>5599074.4000200005</v>
      </c>
      <c r="Q101" s="11" t="str">
        <f t="shared" si="17"/>
        <v>0</v>
      </c>
      <c r="R101" s="6"/>
      <c r="S101" s="6"/>
      <c r="T101" s="6"/>
      <c r="U101" s="24"/>
      <c r="V101" s="6"/>
      <c r="W101" s="6"/>
      <c r="X101" s="6"/>
      <c r="Y101" s="24"/>
      <c r="Z101" s="24">
        <v>1</v>
      </c>
      <c r="AA101" s="6"/>
      <c r="AB101" s="24"/>
      <c r="AC101" s="26">
        <f t="shared" si="18"/>
        <v>1</v>
      </c>
      <c r="AD101" s="6" t="s">
        <v>76</v>
      </c>
    </row>
    <row r="102" spans="1:30" ht="14.25" x14ac:dyDescent="0.3">
      <c r="A102" s="8" t="str">
        <f>'inputs¦BandT'!$A26</f>
        <v>SharePoint Upgrade</v>
      </c>
      <c r="B102" s="8" t="str">
        <f>VLOOKUP($A102,'inputs¦BandT'!A23:K54,2,FALSE)</f>
        <v>APA</v>
      </c>
      <c r="C102" s="8"/>
      <c r="D102" s="10">
        <f>VLOOKUP($A102,'inputs¦BandT'!$A$13:$K$50,D$16-12,FALSE)</f>
        <v>1046427.4362179998</v>
      </c>
      <c r="E102" s="10">
        <f>VLOOKUP($A102,'inputs¦BandT'!$A$13:$K$50,E$16-12,FALSE)</f>
        <v>697320.56377499807</v>
      </c>
      <c r="F102" s="10">
        <f>VLOOKUP($A102,'inputs¦BandT'!$A$13:$K$50,F$16-12,FALSE)</f>
        <v>0</v>
      </c>
      <c r="G102" s="10">
        <f>VLOOKUP($A102,'inputs¦BandT'!$A$13:$K$50,G$16-12,FALSE)</f>
        <v>0</v>
      </c>
      <c r="H102" s="10">
        <f>VLOOKUP($A102,'inputs¦BandT'!$A$13:$K$50,H$16-12,FALSE)</f>
        <v>0</v>
      </c>
      <c r="I102" s="10">
        <f>VLOOKUP($A102,'inputs¦BandT'!$A$13:$K$50,I$16-12,FALSE)</f>
        <v>0</v>
      </c>
      <c r="J102" s="6" t="s">
        <v>116</v>
      </c>
      <c r="K102" s="6" t="s">
        <v>77</v>
      </c>
      <c r="L102" s="6">
        <v>0</v>
      </c>
      <c r="M102" s="6" t="s">
        <v>77</v>
      </c>
      <c r="N102" s="8" t="s">
        <v>119</v>
      </c>
      <c r="O102" s="7" t="str">
        <f t="shared" si="15"/>
        <v>SIB</v>
      </c>
      <c r="P102" s="7">
        <f t="shared" si="16"/>
        <v>1743747.9999929979</v>
      </c>
      <c r="Q102" s="11" t="str">
        <f t="shared" si="17"/>
        <v>0</v>
      </c>
      <c r="R102" s="6"/>
      <c r="S102" s="6"/>
      <c r="T102" s="6"/>
      <c r="U102" s="24"/>
      <c r="V102" s="6"/>
      <c r="W102" s="6"/>
      <c r="X102" s="6"/>
      <c r="Y102" s="24"/>
      <c r="Z102" s="24">
        <v>1</v>
      </c>
      <c r="AA102" s="6"/>
      <c r="AB102" s="24"/>
      <c r="AC102" s="26">
        <f t="shared" si="18"/>
        <v>1</v>
      </c>
      <c r="AD102" s="6" t="s">
        <v>76</v>
      </c>
    </row>
    <row r="103" spans="1:30" ht="14.25" x14ac:dyDescent="0.3">
      <c r="A103" s="8" t="str">
        <f>'inputs¦BandT'!$A27</f>
        <v>SQL Server Upgrade</v>
      </c>
      <c r="B103" s="8" t="str">
        <f>VLOOKUP($A103,'inputs¦BandT'!A24:K55,2,FALSE)</f>
        <v>APA</v>
      </c>
      <c r="C103" s="8"/>
      <c r="D103" s="10">
        <f>VLOOKUP($A103,'inputs¦BandT'!$A$13:$K$50,D$16-12,FALSE)</f>
        <v>930084.53334699967</v>
      </c>
      <c r="E103" s="10">
        <f>VLOOKUP($A103,'inputs¦BandT'!$A$13:$K$50,E$16-12,FALSE)</f>
        <v>60930.466673000046</v>
      </c>
      <c r="F103" s="10">
        <f>VLOOKUP($A103,'inputs¦BandT'!$A$13:$K$50,F$16-12,FALSE)</f>
        <v>0</v>
      </c>
      <c r="G103" s="10">
        <f>VLOOKUP($A103,'inputs¦BandT'!$A$13:$K$50,G$16-12,FALSE)</f>
        <v>0</v>
      </c>
      <c r="H103" s="10">
        <f>VLOOKUP($A103,'inputs¦BandT'!$A$13:$K$50,H$16-12,FALSE)</f>
        <v>0</v>
      </c>
      <c r="I103" s="10">
        <f>VLOOKUP($A103,'inputs¦BandT'!$A$13:$K$50,I$16-12,FALSE)</f>
        <v>0</v>
      </c>
      <c r="J103" s="6" t="s">
        <v>116</v>
      </c>
      <c r="K103" s="6" t="s">
        <v>77</v>
      </c>
      <c r="L103" s="6">
        <v>0</v>
      </c>
      <c r="M103" s="6" t="s">
        <v>77</v>
      </c>
      <c r="N103" s="8" t="s">
        <v>119</v>
      </c>
      <c r="O103" s="7" t="str">
        <f t="shared" si="15"/>
        <v>SIB</v>
      </c>
      <c r="P103" s="7">
        <f t="shared" si="16"/>
        <v>991015.00001999969</v>
      </c>
      <c r="Q103" s="11" t="str">
        <f t="shared" si="17"/>
        <v>0</v>
      </c>
      <c r="R103" s="6"/>
      <c r="S103" s="6"/>
      <c r="T103" s="6"/>
      <c r="U103" s="24"/>
      <c r="V103" s="6"/>
      <c r="W103" s="6"/>
      <c r="X103" s="6"/>
      <c r="Y103" s="24"/>
      <c r="Z103" s="24">
        <v>1</v>
      </c>
      <c r="AA103" s="6"/>
      <c r="AB103" s="24"/>
      <c r="AC103" s="26">
        <f t="shared" si="18"/>
        <v>1</v>
      </c>
      <c r="AD103" s="6" t="s">
        <v>76</v>
      </c>
    </row>
    <row r="104" spans="1:30" ht="14.25" x14ac:dyDescent="0.3">
      <c r="A104" s="8" t="str">
        <f>'inputs¦BandT'!$A28</f>
        <v>Upgrade Enterprise OSI PI Historian</v>
      </c>
      <c r="B104" s="8" t="str">
        <f>VLOOKUP($A104,'inputs¦BandT'!A25:K56,2,FALSE)</f>
        <v>Pipelines</v>
      </c>
      <c r="C104" s="8"/>
      <c r="D104" s="10">
        <f>VLOOKUP($A104,'inputs¦BandT'!$A$13:$K$50,D$16-12,FALSE)</f>
        <v>242399.20000000054</v>
      </c>
      <c r="E104" s="10">
        <f>VLOOKUP($A104,'inputs¦BandT'!$A$13:$K$50,E$16-12,FALSE)</f>
        <v>3290.8000000000006</v>
      </c>
      <c r="F104" s="10">
        <f>VLOOKUP($A104,'inputs¦BandT'!$A$13:$K$50,F$16-12,FALSE)</f>
        <v>0</v>
      </c>
      <c r="G104" s="10">
        <f>VLOOKUP($A104,'inputs¦BandT'!$A$13:$K$50,G$16-12,FALSE)</f>
        <v>0</v>
      </c>
      <c r="H104" s="10">
        <f>VLOOKUP($A104,'inputs¦BandT'!$A$13:$K$50,H$16-12,FALSE)</f>
        <v>0</v>
      </c>
      <c r="I104" s="10">
        <f>VLOOKUP($A104,'inputs¦BandT'!$A$13:$K$50,I$16-12,FALSE)</f>
        <v>0</v>
      </c>
      <c r="J104" s="6" t="s">
        <v>116</v>
      </c>
      <c r="K104" s="6" t="s">
        <v>77</v>
      </c>
      <c r="L104" s="6">
        <v>0</v>
      </c>
      <c r="M104" s="6" t="s">
        <v>77</v>
      </c>
      <c r="N104" s="8" t="s">
        <v>119</v>
      </c>
      <c r="O104" s="7" t="str">
        <f t="shared" si="15"/>
        <v>SIB</v>
      </c>
      <c r="P104" s="7">
        <f t="shared" si="16"/>
        <v>245690.00000000052</v>
      </c>
      <c r="Q104" s="11" t="str">
        <f t="shared" si="17"/>
        <v>0</v>
      </c>
      <c r="R104" s="6"/>
      <c r="S104" s="6"/>
      <c r="T104" s="6"/>
      <c r="U104" s="24"/>
      <c r="V104" s="6"/>
      <c r="W104" s="6"/>
      <c r="X104" s="6"/>
      <c r="Y104" s="24"/>
      <c r="Z104" s="24">
        <v>1</v>
      </c>
      <c r="AA104" s="6"/>
      <c r="AB104" s="24"/>
      <c r="AC104" s="26">
        <f t="shared" si="18"/>
        <v>1</v>
      </c>
      <c r="AD104" s="6" t="s">
        <v>76</v>
      </c>
    </row>
    <row r="105" spans="1:30" ht="14.25" x14ac:dyDescent="0.3">
      <c r="A105" s="8" t="str">
        <f>'inputs¦BandT'!$A29</f>
        <v>Hazardous Area Platform</v>
      </c>
      <c r="B105" s="8" t="str">
        <f>VLOOKUP($A105,'inputs¦BandT'!A26:K57,2,FALSE)</f>
        <v>Pipelines</v>
      </c>
      <c r="C105" s="8"/>
      <c r="D105" s="10">
        <f>VLOOKUP($A105,'inputs¦BandT'!$A$13:$K$50,D$16-12,FALSE)</f>
        <v>269310.80000000005</v>
      </c>
      <c r="E105" s="10">
        <f>VLOOKUP($A105,'inputs¦BandT'!$A$13:$K$50,E$16-12,FALSE)</f>
        <v>1557287.1999780005</v>
      </c>
      <c r="F105" s="10">
        <f>VLOOKUP($A105,'inputs¦BandT'!$A$13:$K$50,F$16-12,FALSE)</f>
        <v>0</v>
      </c>
      <c r="G105" s="10">
        <f>VLOOKUP($A105,'inputs¦BandT'!$A$13:$K$50,G$16-12,FALSE)</f>
        <v>0</v>
      </c>
      <c r="H105" s="10">
        <f>VLOOKUP($A105,'inputs¦BandT'!$A$13:$K$50,H$16-12,FALSE)</f>
        <v>0</v>
      </c>
      <c r="I105" s="10">
        <f>VLOOKUP($A105,'inputs¦BandT'!$A$13:$K$50,I$16-12,FALSE)</f>
        <v>0</v>
      </c>
      <c r="J105" s="6" t="s">
        <v>116</v>
      </c>
      <c r="K105" s="6" t="s">
        <v>77</v>
      </c>
      <c r="L105" s="6">
        <v>0</v>
      </c>
      <c r="M105" s="6" t="s">
        <v>77</v>
      </c>
      <c r="N105" s="8" t="s">
        <v>119</v>
      </c>
      <c r="O105" s="7" t="str">
        <f t="shared" si="15"/>
        <v>SIB</v>
      </c>
      <c r="P105" s="7">
        <f t="shared" si="16"/>
        <v>1826597.9999780005</v>
      </c>
      <c r="Q105" s="11" t="str">
        <f t="shared" si="17"/>
        <v>0</v>
      </c>
      <c r="R105" s="6"/>
      <c r="S105" s="6"/>
      <c r="T105" s="6"/>
      <c r="U105" s="24"/>
      <c r="V105" s="6"/>
      <c r="W105" s="6"/>
      <c r="X105" s="6"/>
      <c r="Y105" s="24"/>
      <c r="Z105" s="24">
        <v>1</v>
      </c>
      <c r="AA105" s="6"/>
      <c r="AB105" s="24"/>
      <c r="AC105" s="26">
        <f t="shared" si="18"/>
        <v>1</v>
      </c>
      <c r="AD105" s="6" t="s">
        <v>76</v>
      </c>
    </row>
    <row r="106" spans="1:30" ht="14.25" x14ac:dyDescent="0.3">
      <c r="A106" s="8" t="str">
        <f>'inputs¦BandT'!$A30</f>
        <v>Form Digitisation Project</v>
      </c>
      <c r="B106" s="8" t="str">
        <f>VLOOKUP($A106,'inputs¦BandT'!A27:K58,2,FALSE)</f>
        <v>APA</v>
      </c>
      <c r="C106" s="8"/>
      <c r="D106" s="10">
        <f>VLOOKUP($A106,'inputs¦BandT'!$A$13:$K$50,D$16-12,FALSE)</f>
        <v>168732.0000000002</v>
      </c>
      <c r="E106" s="10">
        <f>VLOOKUP($A106,'inputs¦BandT'!$A$13:$K$50,E$16-12,FALSE)</f>
        <v>1276736.0000400003</v>
      </c>
      <c r="F106" s="10">
        <f>VLOOKUP($A106,'inputs¦BandT'!$A$13:$K$50,F$16-12,FALSE)</f>
        <v>0</v>
      </c>
      <c r="G106" s="10">
        <f>VLOOKUP($A106,'inputs¦BandT'!$A$13:$K$50,G$16-12,FALSE)</f>
        <v>0</v>
      </c>
      <c r="H106" s="10">
        <f>VLOOKUP($A106,'inputs¦BandT'!$A$13:$K$50,H$16-12,FALSE)</f>
        <v>0</v>
      </c>
      <c r="I106" s="10">
        <f>VLOOKUP($A106,'inputs¦BandT'!$A$13:$K$50,I$16-12,FALSE)</f>
        <v>0</v>
      </c>
      <c r="J106" s="6" t="s">
        <v>116</v>
      </c>
      <c r="K106" s="6" t="s">
        <v>77</v>
      </c>
      <c r="L106" s="6">
        <v>0</v>
      </c>
      <c r="M106" s="6" t="s">
        <v>77</v>
      </c>
      <c r="N106" s="8" t="s">
        <v>119</v>
      </c>
      <c r="O106" s="7" t="str">
        <f t="shared" si="15"/>
        <v>SIB</v>
      </c>
      <c r="P106" s="7">
        <f t="shared" si="16"/>
        <v>1445468.0000400005</v>
      </c>
      <c r="Q106" s="11" t="str">
        <f t="shared" si="17"/>
        <v>0</v>
      </c>
      <c r="R106" s="6"/>
      <c r="S106" s="6"/>
      <c r="T106" s="6"/>
      <c r="U106" s="24"/>
      <c r="V106" s="6"/>
      <c r="W106" s="6"/>
      <c r="X106" s="6"/>
      <c r="Y106" s="24"/>
      <c r="Z106" s="24">
        <v>1</v>
      </c>
      <c r="AA106" s="6"/>
      <c r="AB106" s="24"/>
      <c r="AC106" s="26">
        <f t="shared" si="18"/>
        <v>1</v>
      </c>
      <c r="AD106" s="6" t="s">
        <v>76</v>
      </c>
    </row>
    <row r="107" spans="1:30" ht="14.25" x14ac:dyDescent="0.3">
      <c r="A107" s="8" t="str">
        <f>'inputs¦BandT'!$A31</f>
        <v>Enterprise Asset Management Upgrade FY18</v>
      </c>
      <c r="B107" s="8" t="str">
        <f>VLOOKUP($A107,'inputs¦BandT'!A28:K59,2,FALSE)</f>
        <v>Pipelines</v>
      </c>
      <c r="C107" s="8"/>
      <c r="D107" s="10">
        <f>VLOOKUP($A107,'inputs¦BandT'!$A$13:$K$50,D$16-12,FALSE)</f>
        <v>133163.88889</v>
      </c>
      <c r="E107" s="10">
        <f>VLOOKUP($A107,'inputs¦BandT'!$A$13:$K$50,E$16-12,FALSE)</f>
        <v>2728842.6985899941</v>
      </c>
      <c r="F107" s="10">
        <f>VLOOKUP($A107,'inputs¦BandT'!$A$13:$K$50,F$16-12,FALSE)</f>
        <v>0</v>
      </c>
      <c r="G107" s="10">
        <f>VLOOKUP($A107,'inputs¦BandT'!$A$13:$K$50,G$16-12,FALSE)</f>
        <v>0</v>
      </c>
      <c r="H107" s="10">
        <f>VLOOKUP($A107,'inputs¦BandT'!$A$13:$K$50,H$16-12,FALSE)</f>
        <v>0</v>
      </c>
      <c r="I107" s="10">
        <f>VLOOKUP($A107,'inputs¦BandT'!$A$13:$K$50,I$16-12,FALSE)</f>
        <v>0</v>
      </c>
      <c r="J107" s="6" t="s">
        <v>116</v>
      </c>
      <c r="K107" s="6" t="s">
        <v>77</v>
      </c>
      <c r="L107" s="6">
        <v>0</v>
      </c>
      <c r="M107" s="6" t="s">
        <v>77</v>
      </c>
      <c r="N107" s="8" t="s">
        <v>119</v>
      </c>
      <c r="O107" s="7" t="str">
        <f t="shared" si="15"/>
        <v>SIB</v>
      </c>
      <c r="P107" s="7">
        <f t="shared" si="16"/>
        <v>2862006.5874799942</v>
      </c>
      <c r="Q107" s="11" t="str">
        <f t="shared" si="17"/>
        <v>0</v>
      </c>
      <c r="R107" s="6"/>
      <c r="S107" s="6"/>
      <c r="T107" s="6"/>
      <c r="U107" s="24"/>
      <c r="V107" s="6"/>
      <c r="W107" s="6"/>
      <c r="X107" s="6"/>
      <c r="Y107" s="24"/>
      <c r="Z107" s="24">
        <v>1</v>
      </c>
      <c r="AA107" s="6"/>
      <c r="AB107" s="24"/>
      <c r="AC107" s="26">
        <f t="shared" si="18"/>
        <v>1</v>
      </c>
      <c r="AD107" s="6" t="s">
        <v>76</v>
      </c>
    </row>
    <row r="108" spans="1:30" ht="14.25" x14ac:dyDescent="0.3">
      <c r="A108" s="8" t="str">
        <f>'inputs¦BandT'!$A32</f>
        <v>PPM Refresh</v>
      </c>
      <c r="B108" s="8" t="str">
        <f>VLOOKUP($A108,'inputs¦BandT'!A29:K60,2,FALSE)</f>
        <v>APA</v>
      </c>
      <c r="C108" s="8"/>
      <c r="D108" s="10">
        <f>VLOOKUP($A108,'inputs¦BandT'!$A$13:$K$50,D$16-12,FALSE)</f>
        <v>23940</v>
      </c>
      <c r="E108" s="10">
        <f>VLOOKUP($A108,'inputs¦BandT'!$A$13:$K$50,E$16-12,FALSE)</f>
        <v>839189.50001999945</v>
      </c>
      <c r="F108" s="10">
        <f>VLOOKUP($A108,'inputs¦BandT'!$A$13:$K$50,F$16-12,FALSE)</f>
        <v>0</v>
      </c>
      <c r="G108" s="10">
        <f>VLOOKUP($A108,'inputs¦BandT'!$A$13:$K$50,G$16-12,FALSE)</f>
        <v>0</v>
      </c>
      <c r="H108" s="10">
        <f>VLOOKUP($A108,'inputs¦BandT'!$A$13:$K$50,H$16-12,FALSE)</f>
        <v>0</v>
      </c>
      <c r="I108" s="10">
        <f>VLOOKUP($A108,'inputs¦BandT'!$A$13:$K$50,I$16-12,FALSE)</f>
        <v>0</v>
      </c>
      <c r="J108" s="6" t="s">
        <v>116</v>
      </c>
      <c r="K108" s="6" t="s">
        <v>77</v>
      </c>
      <c r="L108" s="6">
        <v>0</v>
      </c>
      <c r="M108" s="6" t="s">
        <v>77</v>
      </c>
      <c r="N108" s="8" t="s">
        <v>119</v>
      </c>
      <c r="O108" s="7" t="str">
        <f t="shared" si="15"/>
        <v>SIB</v>
      </c>
      <c r="P108" s="7">
        <f t="shared" si="16"/>
        <v>863129.50001999945</v>
      </c>
      <c r="Q108" s="11" t="str">
        <f t="shared" si="17"/>
        <v>0</v>
      </c>
      <c r="R108" s="6"/>
      <c r="S108" s="6"/>
      <c r="T108" s="6"/>
      <c r="U108" s="24"/>
      <c r="V108" s="6"/>
      <c r="W108" s="6"/>
      <c r="X108" s="6"/>
      <c r="Y108" s="24"/>
      <c r="Z108" s="24">
        <v>1</v>
      </c>
      <c r="AA108" s="6"/>
      <c r="AB108" s="24"/>
      <c r="AC108" s="26">
        <f t="shared" si="18"/>
        <v>1</v>
      </c>
      <c r="AD108" s="6" t="s">
        <v>76</v>
      </c>
    </row>
    <row r="109" spans="1:30" ht="14.25" x14ac:dyDescent="0.3">
      <c r="A109" s="8" t="str">
        <f>'inputs¦BandT'!$A33</f>
        <v>BizTalk System Upgrade FY18</v>
      </c>
      <c r="B109" s="8" t="str">
        <f>VLOOKUP($A109,'inputs¦BandT'!A30:K61,2,FALSE)</f>
        <v>APA</v>
      </c>
      <c r="C109" s="8"/>
      <c r="D109" s="10">
        <f>VLOOKUP($A109,'inputs¦BandT'!$A$13:$K$50,D$16-12,FALSE)</f>
        <v>0</v>
      </c>
      <c r="E109" s="10">
        <f>VLOOKUP($A109,'inputs¦BandT'!$A$13:$K$50,E$16-12,FALSE)</f>
        <v>791311.20000000193</v>
      </c>
      <c r="F109" s="10">
        <f>VLOOKUP($A109,'inputs¦BandT'!$A$13:$K$50,F$16-12,FALSE)</f>
        <v>0</v>
      </c>
      <c r="G109" s="10">
        <f>VLOOKUP($A109,'inputs¦BandT'!$A$13:$K$50,G$16-12,FALSE)</f>
        <v>0</v>
      </c>
      <c r="H109" s="10">
        <f>VLOOKUP($A109,'inputs¦BandT'!$A$13:$K$50,H$16-12,FALSE)</f>
        <v>0</v>
      </c>
      <c r="I109" s="10">
        <f>VLOOKUP($A109,'inputs¦BandT'!$A$13:$K$50,I$16-12,FALSE)</f>
        <v>0</v>
      </c>
      <c r="J109" s="6" t="s">
        <v>116</v>
      </c>
      <c r="K109" s="6" t="s">
        <v>77</v>
      </c>
      <c r="L109" s="6">
        <v>0</v>
      </c>
      <c r="M109" s="6" t="s">
        <v>77</v>
      </c>
      <c r="N109" s="8" t="s">
        <v>119</v>
      </c>
      <c r="O109" s="7" t="str">
        <f t="shared" si="15"/>
        <v>SIB</v>
      </c>
      <c r="P109" s="7">
        <f t="shared" si="16"/>
        <v>791311.20000000193</v>
      </c>
      <c r="Q109" s="11" t="str">
        <f t="shared" si="17"/>
        <v>0</v>
      </c>
      <c r="R109" s="6"/>
      <c r="S109" s="6"/>
      <c r="T109" s="6"/>
      <c r="U109" s="24"/>
      <c r="V109" s="6"/>
      <c r="W109" s="6"/>
      <c r="X109" s="6"/>
      <c r="Y109" s="24"/>
      <c r="Z109" s="24">
        <v>1</v>
      </c>
      <c r="AA109" s="6"/>
      <c r="AB109" s="24"/>
      <c r="AC109" s="26">
        <f t="shared" si="18"/>
        <v>1</v>
      </c>
      <c r="AD109" s="6" t="s">
        <v>76</v>
      </c>
    </row>
    <row r="110" spans="1:30" ht="14.25" x14ac:dyDescent="0.3">
      <c r="A110" s="8" t="str">
        <f>'inputs¦BandT'!$A34</f>
        <v>Automated Testing Tool</v>
      </c>
      <c r="B110" s="8" t="str">
        <f>VLOOKUP($A110,'inputs¦BandT'!A31:K62,2,FALSE)</f>
        <v>APA</v>
      </c>
      <c r="C110" s="8"/>
      <c r="D110" s="10">
        <f>VLOOKUP($A110,'inputs¦BandT'!$A$13:$K$50,D$16-12,FALSE)</f>
        <v>0</v>
      </c>
      <c r="E110" s="10">
        <f>VLOOKUP($A110,'inputs¦BandT'!$A$13:$K$50,E$16-12,FALSE)</f>
        <v>421469.99995999981</v>
      </c>
      <c r="F110" s="10">
        <f>VLOOKUP($A110,'inputs¦BandT'!$A$13:$K$50,F$16-12,FALSE)</f>
        <v>0</v>
      </c>
      <c r="G110" s="10">
        <f>VLOOKUP($A110,'inputs¦BandT'!$A$13:$K$50,G$16-12,FALSE)</f>
        <v>0</v>
      </c>
      <c r="H110" s="10">
        <f>VLOOKUP($A110,'inputs¦BandT'!$A$13:$K$50,H$16-12,FALSE)</f>
        <v>0</v>
      </c>
      <c r="I110" s="10">
        <f>VLOOKUP($A110,'inputs¦BandT'!$A$13:$K$50,I$16-12,FALSE)</f>
        <v>0</v>
      </c>
      <c r="J110" s="6" t="s">
        <v>116</v>
      </c>
      <c r="K110" s="6" t="s">
        <v>77</v>
      </c>
      <c r="L110" s="6">
        <v>0</v>
      </c>
      <c r="M110" s="6" t="s">
        <v>77</v>
      </c>
      <c r="N110" s="8" t="s">
        <v>119</v>
      </c>
      <c r="O110" s="7" t="str">
        <f t="shared" si="15"/>
        <v>SIB</v>
      </c>
      <c r="P110" s="7">
        <f t="shared" si="16"/>
        <v>421469.99995999981</v>
      </c>
      <c r="Q110" s="11" t="str">
        <f t="shared" si="17"/>
        <v>0</v>
      </c>
      <c r="R110" s="6"/>
      <c r="S110" s="6"/>
      <c r="T110" s="6"/>
      <c r="U110" s="24"/>
      <c r="V110" s="6"/>
      <c r="W110" s="6"/>
      <c r="X110" s="6"/>
      <c r="Y110" s="24"/>
      <c r="Z110" s="24">
        <v>1</v>
      </c>
      <c r="AA110" s="6"/>
      <c r="AB110" s="24"/>
      <c r="AC110" s="26">
        <f t="shared" si="18"/>
        <v>1</v>
      </c>
      <c r="AD110" s="6" t="s">
        <v>76</v>
      </c>
    </row>
    <row r="111" spans="1:30" ht="14.25" x14ac:dyDescent="0.3">
      <c r="A111" s="8" t="str">
        <f>'inputs¦BandT'!$A35</f>
        <v>Oracle eBS Upgrade to v12 2</v>
      </c>
      <c r="B111" s="8" t="str">
        <f>VLOOKUP($A111,'inputs¦BandT'!A32:K63,2,FALSE)</f>
        <v>APA</v>
      </c>
      <c r="C111" s="8"/>
      <c r="D111" s="10">
        <f>VLOOKUP($A111,'inputs¦BandT'!$A$13:$K$50,D$16-12,FALSE)</f>
        <v>0</v>
      </c>
      <c r="E111" s="10">
        <f>VLOOKUP($A111,'inputs¦BandT'!$A$13:$K$50,E$16-12,FALSE)</f>
        <v>916998.77638899942</v>
      </c>
      <c r="F111" s="10">
        <f>VLOOKUP($A111,'inputs¦BandT'!$A$13:$K$50,F$16-12,FALSE)</f>
        <v>0</v>
      </c>
      <c r="G111" s="10">
        <f>VLOOKUP($A111,'inputs¦BandT'!$A$13:$K$50,G$16-12,FALSE)</f>
        <v>0</v>
      </c>
      <c r="H111" s="10">
        <f>VLOOKUP($A111,'inputs¦BandT'!$A$13:$K$50,H$16-12,FALSE)</f>
        <v>0</v>
      </c>
      <c r="I111" s="10">
        <f>VLOOKUP($A111,'inputs¦BandT'!$A$13:$K$50,I$16-12,FALSE)</f>
        <v>0</v>
      </c>
      <c r="J111" s="6" t="s">
        <v>116</v>
      </c>
      <c r="K111" s="6" t="s">
        <v>77</v>
      </c>
      <c r="L111" s="6">
        <v>0</v>
      </c>
      <c r="M111" s="6" t="s">
        <v>77</v>
      </c>
      <c r="N111" s="8" t="s">
        <v>119</v>
      </c>
      <c r="O111" s="7" t="str">
        <f t="shared" si="15"/>
        <v>SIB</v>
      </c>
      <c r="P111" s="7">
        <f t="shared" si="16"/>
        <v>916998.77638899942</v>
      </c>
      <c r="Q111" s="11" t="str">
        <f t="shared" si="17"/>
        <v>0</v>
      </c>
      <c r="R111" s="6"/>
      <c r="S111" s="6"/>
      <c r="T111" s="6"/>
      <c r="U111" s="24"/>
      <c r="V111" s="6"/>
      <c r="W111" s="6"/>
      <c r="X111" s="6"/>
      <c r="Y111" s="24"/>
      <c r="Z111" s="24">
        <v>1</v>
      </c>
      <c r="AA111" s="6"/>
      <c r="AB111" s="24"/>
      <c r="AC111" s="26">
        <f t="shared" si="18"/>
        <v>1</v>
      </c>
      <c r="AD111" s="6" t="s">
        <v>76</v>
      </c>
    </row>
    <row r="112" spans="1:30" ht="14.25" x14ac:dyDescent="0.3">
      <c r="A112" s="8" t="str">
        <f>'inputs¦BandT'!$A36</f>
        <v>CRM Upgrade</v>
      </c>
      <c r="B112" s="8" t="str">
        <f>VLOOKUP($A112,'inputs¦BandT'!A33:K64,2,FALSE)</f>
        <v>Transmission</v>
      </c>
      <c r="C112" s="8"/>
      <c r="D112" s="10">
        <f>VLOOKUP($A112,'inputs¦BandT'!$A$13:$K$50,D$16-12,FALSE)</f>
        <v>0</v>
      </c>
      <c r="E112" s="10">
        <f>VLOOKUP($A112,'inputs¦BandT'!$A$13:$K$50,E$16-12,FALSE)</f>
        <v>594865.89998000045</v>
      </c>
      <c r="F112" s="10">
        <f>VLOOKUP($A112,'inputs¦BandT'!$A$13:$K$50,F$16-12,FALSE)</f>
        <v>0</v>
      </c>
      <c r="G112" s="10">
        <f>VLOOKUP($A112,'inputs¦BandT'!$A$13:$K$50,G$16-12,FALSE)</f>
        <v>0</v>
      </c>
      <c r="H112" s="10">
        <f>VLOOKUP($A112,'inputs¦BandT'!$A$13:$K$50,H$16-12,FALSE)</f>
        <v>0</v>
      </c>
      <c r="I112" s="10">
        <f>VLOOKUP($A112,'inputs¦BandT'!$A$13:$K$50,I$16-12,FALSE)</f>
        <v>0</v>
      </c>
      <c r="J112" s="6" t="s">
        <v>116</v>
      </c>
      <c r="K112" s="6" t="s">
        <v>77</v>
      </c>
      <c r="L112" s="6">
        <v>0</v>
      </c>
      <c r="M112" s="6" t="s">
        <v>77</v>
      </c>
      <c r="N112" s="8" t="s">
        <v>119</v>
      </c>
      <c r="O112" s="7" t="str">
        <f t="shared" si="15"/>
        <v>SIB</v>
      </c>
      <c r="P112" s="7">
        <f t="shared" si="16"/>
        <v>594865.89998000045</v>
      </c>
      <c r="Q112" s="11" t="str">
        <f t="shared" si="17"/>
        <v>0</v>
      </c>
      <c r="R112" s="6"/>
      <c r="S112" s="6"/>
      <c r="T112" s="6"/>
      <c r="U112" s="24"/>
      <c r="V112" s="6"/>
      <c r="W112" s="6"/>
      <c r="X112" s="6"/>
      <c r="Y112" s="24"/>
      <c r="Z112" s="24">
        <v>1</v>
      </c>
      <c r="AA112" s="6"/>
      <c r="AB112" s="24"/>
      <c r="AC112" s="26">
        <f t="shared" ref="AC112:AC118" si="19">SUM(R112:AB112)</f>
        <v>1</v>
      </c>
      <c r="AD112" s="6" t="s">
        <v>76</v>
      </c>
    </row>
    <row r="113" spans="1:30" ht="14.25" x14ac:dyDescent="0.3">
      <c r="A113" s="8" t="str">
        <f>'inputs¦BandT'!$A37</f>
        <v>X-Info Aware Version 2</v>
      </c>
      <c r="B113" s="8" t="str">
        <f>VLOOKUP($A113,'inputs¦BandT'!A34:K65,2,FALSE)</f>
        <v>Transmission</v>
      </c>
      <c r="C113" s="8"/>
      <c r="D113" s="10">
        <f>VLOOKUP($A113,'inputs¦BandT'!$A$13:$K$50,D$16-12,FALSE)</f>
        <v>0</v>
      </c>
      <c r="E113" s="10">
        <f>VLOOKUP($A113,'inputs¦BandT'!$A$13:$K$50,E$16-12,FALSE)</f>
        <v>270771</v>
      </c>
      <c r="F113" s="10">
        <f>VLOOKUP($A113,'inputs¦BandT'!$A$13:$K$50,F$16-12,FALSE)</f>
        <v>0</v>
      </c>
      <c r="G113" s="10">
        <f>VLOOKUP($A113,'inputs¦BandT'!$A$13:$K$50,G$16-12,FALSE)</f>
        <v>0</v>
      </c>
      <c r="H113" s="10">
        <f>VLOOKUP($A113,'inputs¦BandT'!$A$13:$K$50,H$16-12,FALSE)</f>
        <v>0</v>
      </c>
      <c r="I113" s="10">
        <f>VLOOKUP($A113,'inputs¦BandT'!$A$13:$K$50,I$16-12,FALSE)</f>
        <v>0</v>
      </c>
      <c r="J113" s="6" t="s">
        <v>116</v>
      </c>
      <c r="K113" s="6" t="s">
        <v>77</v>
      </c>
      <c r="L113" s="6">
        <v>0</v>
      </c>
      <c r="M113" s="6" t="s">
        <v>77</v>
      </c>
      <c r="N113" s="8" t="s">
        <v>119</v>
      </c>
      <c r="O113" s="7" t="str">
        <f t="shared" si="15"/>
        <v>SIB</v>
      </c>
      <c r="P113" s="7">
        <f t="shared" si="16"/>
        <v>270771</v>
      </c>
      <c r="Q113" s="11" t="str">
        <f t="shared" si="17"/>
        <v>0</v>
      </c>
      <c r="R113" s="6"/>
      <c r="S113" s="6"/>
      <c r="T113" s="6"/>
      <c r="U113" s="24"/>
      <c r="V113" s="6"/>
      <c r="W113" s="6"/>
      <c r="X113" s="6"/>
      <c r="Y113" s="24"/>
      <c r="Z113" s="24">
        <v>1</v>
      </c>
      <c r="AA113" s="6"/>
      <c r="AB113" s="24"/>
      <c r="AC113" s="26">
        <f t="shared" si="19"/>
        <v>1</v>
      </c>
      <c r="AD113" s="6" t="s">
        <v>76</v>
      </c>
    </row>
    <row r="114" spans="1:30" ht="14.25" x14ac:dyDescent="0.3">
      <c r="A114" s="8" t="str">
        <f>'inputs¦BandT'!$A38</f>
        <v>ID Procurement Data</v>
      </c>
      <c r="B114" s="8" t="str">
        <f>VLOOKUP($A114,'inputs¦BandT'!A35:K66,2,FALSE)</f>
        <v>Pipelines</v>
      </c>
      <c r="C114" s="8"/>
      <c r="D114" s="10">
        <f>VLOOKUP($A114,'inputs¦BandT'!$A$13:$K$50,D$16-12,FALSE)</f>
        <v>0</v>
      </c>
      <c r="E114" s="10">
        <f>VLOOKUP($A114,'inputs¦BandT'!$A$13:$K$50,E$16-12,FALSE)</f>
        <v>289761.99997999985</v>
      </c>
      <c r="F114" s="10">
        <f>VLOOKUP($A114,'inputs¦BandT'!$A$13:$K$50,F$16-12,FALSE)</f>
        <v>15720.599999999995</v>
      </c>
      <c r="G114" s="10">
        <f>VLOOKUP($A114,'inputs¦BandT'!$A$13:$K$50,G$16-12,FALSE)</f>
        <v>0</v>
      </c>
      <c r="H114" s="10">
        <f>VLOOKUP($A114,'inputs¦BandT'!$A$13:$K$50,H$16-12,FALSE)</f>
        <v>0</v>
      </c>
      <c r="I114" s="10">
        <f>VLOOKUP($A114,'inputs¦BandT'!$A$13:$K$50,I$16-12,FALSE)</f>
        <v>0</v>
      </c>
      <c r="J114" s="6" t="s">
        <v>116</v>
      </c>
      <c r="K114" s="6" t="s">
        <v>77</v>
      </c>
      <c r="L114" s="6">
        <v>0</v>
      </c>
      <c r="M114" s="6" t="s">
        <v>77</v>
      </c>
      <c r="N114" s="8" t="s">
        <v>119</v>
      </c>
      <c r="O114" s="7" t="str">
        <f t="shared" si="15"/>
        <v>SIB</v>
      </c>
      <c r="P114" s="7">
        <f t="shared" si="16"/>
        <v>305482.59997999982</v>
      </c>
      <c r="Q114" s="11" t="str">
        <f t="shared" si="17"/>
        <v>0</v>
      </c>
      <c r="R114" s="6"/>
      <c r="S114" s="6"/>
      <c r="T114" s="6"/>
      <c r="U114" s="24"/>
      <c r="V114" s="6"/>
      <c r="W114" s="6"/>
      <c r="X114" s="6"/>
      <c r="Y114" s="24"/>
      <c r="Z114" s="24">
        <v>1</v>
      </c>
      <c r="AA114" s="6"/>
      <c r="AB114" s="24"/>
      <c r="AC114" s="26">
        <f t="shared" si="19"/>
        <v>1</v>
      </c>
      <c r="AD114" s="6" t="s">
        <v>76</v>
      </c>
    </row>
    <row r="115" spans="1:30" ht="14.25" x14ac:dyDescent="0.3">
      <c r="A115" s="8" t="str">
        <f>'inputs¦BandT'!$A39</f>
        <v>Upgrade Enterprise OSI PI Historian 2017</v>
      </c>
      <c r="B115" s="8" t="str">
        <f>VLOOKUP($A115,'inputs¦BandT'!A36:K67,2,FALSE)</f>
        <v>Pipelines</v>
      </c>
      <c r="C115" s="8"/>
      <c r="D115" s="10">
        <f>VLOOKUP($A115,'inputs¦BandT'!$A$13:$K$50,D$16-12,FALSE)</f>
        <v>17723.199999999997</v>
      </c>
      <c r="E115" s="10">
        <f>VLOOKUP($A115,'inputs¦BandT'!$A$13:$K$50,E$16-12,FALSE)</f>
        <v>128386.80000000006</v>
      </c>
      <c r="F115" s="10">
        <f>VLOOKUP($A115,'inputs¦BandT'!$A$13:$K$50,F$16-12,FALSE)</f>
        <v>0</v>
      </c>
      <c r="G115" s="10">
        <f>VLOOKUP($A115,'inputs¦BandT'!$A$13:$K$50,G$16-12,FALSE)</f>
        <v>0</v>
      </c>
      <c r="H115" s="10">
        <f>VLOOKUP($A115,'inputs¦BandT'!$A$13:$K$50,H$16-12,FALSE)</f>
        <v>0</v>
      </c>
      <c r="I115" s="10">
        <f>VLOOKUP($A115,'inputs¦BandT'!$A$13:$K$50,I$16-12,FALSE)</f>
        <v>0</v>
      </c>
      <c r="J115" s="6" t="s">
        <v>116</v>
      </c>
      <c r="K115" s="6" t="s">
        <v>77</v>
      </c>
      <c r="L115" s="6">
        <v>0</v>
      </c>
      <c r="M115" s="6" t="s">
        <v>77</v>
      </c>
      <c r="N115" s="8" t="s">
        <v>119</v>
      </c>
      <c r="O115" s="7" t="str">
        <f t="shared" si="15"/>
        <v>SIB</v>
      </c>
      <c r="P115" s="7">
        <f t="shared" si="16"/>
        <v>146110.00000000006</v>
      </c>
      <c r="Q115" s="11" t="str">
        <f t="shared" si="17"/>
        <v>0</v>
      </c>
      <c r="R115" s="6"/>
      <c r="S115" s="6"/>
      <c r="T115" s="6"/>
      <c r="U115" s="24"/>
      <c r="V115" s="6"/>
      <c r="W115" s="6"/>
      <c r="X115" s="6"/>
      <c r="Y115" s="24"/>
      <c r="Z115" s="24">
        <v>1</v>
      </c>
      <c r="AA115" s="6"/>
      <c r="AB115" s="24"/>
      <c r="AC115" s="26">
        <f t="shared" si="19"/>
        <v>1</v>
      </c>
      <c r="AD115" s="6" t="s">
        <v>76</v>
      </c>
    </row>
    <row r="116" spans="1:30" ht="14.25" x14ac:dyDescent="0.3">
      <c r="A116" s="8" t="str">
        <f>'inputs¦BandT'!$A40</f>
        <v>Supplier Qualification and Compliance</v>
      </c>
      <c r="B116" s="8" t="str">
        <f>VLOOKUP($A116,'inputs¦BandT'!A37:K68,2,FALSE)</f>
        <v>APA</v>
      </c>
      <c r="C116" s="8"/>
      <c r="D116" s="10">
        <f>VLOOKUP($A116,'inputs¦BandT'!$A$13:$K$50,D$16-12,FALSE)</f>
        <v>0</v>
      </c>
      <c r="E116" s="10">
        <f>VLOOKUP($A116,'inputs¦BandT'!$A$13:$K$50,E$16-12,FALSE)</f>
        <v>112070.80000000016</v>
      </c>
      <c r="F116" s="10">
        <f>VLOOKUP($A116,'inputs¦BandT'!$A$13:$K$50,F$16-12,FALSE)</f>
        <v>123703.36000000012</v>
      </c>
      <c r="G116" s="10">
        <f>VLOOKUP($A116,'inputs¦BandT'!$A$13:$K$50,G$16-12,FALSE)</f>
        <v>0</v>
      </c>
      <c r="H116" s="10">
        <f>VLOOKUP($A116,'inputs¦BandT'!$A$13:$K$50,H$16-12,FALSE)</f>
        <v>0</v>
      </c>
      <c r="I116" s="10">
        <f>VLOOKUP($A116,'inputs¦BandT'!$A$13:$K$50,I$16-12,FALSE)</f>
        <v>0</v>
      </c>
      <c r="J116" s="6" t="s">
        <v>116</v>
      </c>
      <c r="K116" s="6" t="s">
        <v>77</v>
      </c>
      <c r="L116" s="6">
        <v>0</v>
      </c>
      <c r="M116" s="6" t="s">
        <v>77</v>
      </c>
      <c r="N116" s="8" t="s">
        <v>119</v>
      </c>
      <c r="O116" s="7" t="str">
        <f t="shared" si="15"/>
        <v>SIB</v>
      </c>
      <c r="P116" s="7">
        <f t="shared" si="16"/>
        <v>235774.16000000027</v>
      </c>
      <c r="Q116" s="11" t="str">
        <f t="shared" si="17"/>
        <v>0</v>
      </c>
      <c r="R116" s="6"/>
      <c r="S116" s="6"/>
      <c r="T116" s="6"/>
      <c r="U116" s="24"/>
      <c r="V116" s="6"/>
      <c r="W116" s="6"/>
      <c r="X116" s="6"/>
      <c r="Y116" s="24"/>
      <c r="Z116" s="24">
        <v>1</v>
      </c>
      <c r="AA116" s="6"/>
      <c r="AB116" s="24"/>
      <c r="AC116" s="26">
        <f t="shared" si="19"/>
        <v>1</v>
      </c>
      <c r="AD116" s="6" t="s">
        <v>76</v>
      </c>
    </row>
    <row r="117" spans="1:30" ht="14.25" x14ac:dyDescent="0.3">
      <c r="A117" s="8" t="str">
        <f>'inputs¦BandT'!$A41</f>
        <v>BizTalk System Upgrade FY20</v>
      </c>
      <c r="B117" s="8" t="str">
        <f>VLOOKUP($A117,'inputs¦BandT'!A38:K69,2,FALSE)</f>
        <v>APA</v>
      </c>
      <c r="C117" s="8"/>
      <c r="D117" s="10">
        <f>VLOOKUP($A117,'inputs¦BandT'!$A$13:$K$50,D$16-12,FALSE)</f>
        <v>0</v>
      </c>
      <c r="E117" s="10">
        <f>VLOOKUP($A117,'inputs¦BandT'!$A$13:$K$50,E$16-12,FALSE)</f>
        <v>0</v>
      </c>
      <c r="F117" s="10">
        <f>VLOOKUP($A117,'inputs¦BandT'!$A$13:$K$50,F$16-12,FALSE)</f>
        <v>0</v>
      </c>
      <c r="G117" s="10">
        <f>VLOOKUP($A117,'inputs¦BandT'!$A$13:$K$50,G$16-12,FALSE)</f>
        <v>201049.3360850015</v>
      </c>
      <c r="H117" s="10">
        <f>VLOOKUP($A117,'inputs¦BandT'!$A$13:$K$50,H$16-12,FALSE)</f>
        <v>0</v>
      </c>
      <c r="I117" s="10">
        <f>VLOOKUP($A117,'inputs¦BandT'!$A$13:$K$50,I$16-12,FALSE)</f>
        <v>0</v>
      </c>
      <c r="J117" s="6" t="s">
        <v>116</v>
      </c>
      <c r="K117" s="6" t="s">
        <v>77</v>
      </c>
      <c r="L117" s="6">
        <v>0</v>
      </c>
      <c r="M117" s="6" t="s">
        <v>77</v>
      </c>
      <c r="N117" s="8" t="s">
        <v>119</v>
      </c>
      <c r="O117" s="7" t="str">
        <f t="shared" si="15"/>
        <v>SIB</v>
      </c>
      <c r="P117" s="7">
        <f t="shared" si="16"/>
        <v>201049.3360850015</v>
      </c>
      <c r="Q117" s="11" t="str">
        <f t="shared" si="17"/>
        <v>0</v>
      </c>
      <c r="R117" s="6"/>
      <c r="S117" s="6"/>
      <c r="T117" s="6"/>
      <c r="U117" s="24"/>
      <c r="V117" s="6"/>
      <c r="W117" s="6"/>
      <c r="X117" s="6"/>
      <c r="Y117" s="24"/>
      <c r="Z117" s="24">
        <v>1</v>
      </c>
      <c r="AA117" s="6"/>
      <c r="AB117" s="24"/>
      <c r="AC117" s="26">
        <f t="shared" si="19"/>
        <v>1</v>
      </c>
      <c r="AD117" s="6" t="s">
        <v>76</v>
      </c>
    </row>
    <row r="118" spans="1:30" ht="14.25" x14ac:dyDescent="0.3">
      <c r="A118" s="8" t="str">
        <f>'inputs¦BandT'!$A42</f>
        <v>Enterprise Asset Management Upgrade FY21</v>
      </c>
      <c r="B118" s="8" t="str">
        <f>VLOOKUP($A118,'inputs¦BandT'!A39:K70,2,FALSE)</f>
        <v>Pipelines</v>
      </c>
      <c r="C118" s="8"/>
      <c r="D118" s="10">
        <f>VLOOKUP($A118,'inputs¦BandT'!$A$13:$K$50,D$16-12,FALSE)</f>
        <v>0</v>
      </c>
      <c r="E118" s="10">
        <f>VLOOKUP($A118,'inputs¦BandT'!$A$13:$K$50,E$16-12,FALSE)</f>
        <v>0</v>
      </c>
      <c r="F118" s="10">
        <f>VLOOKUP($A118,'inputs¦BandT'!$A$13:$K$50,F$16-12,FALSE)</f>
        <v>0</v>
      </c>
      <c r="G118" s="10">
        <f>VLOOKUP($A118,'inputs¦BandT'!$A$13:$K$50,G$16-12,FALSE)</f>
        <v>117290.33333400001</v>
      </c>
      <c r="H118" s="10">
        <f>VLOOKUP($A118,'inputs¦BandT'!$A$13:$K$50,H$16-12,FALSE)</f>
        <v>939791.69166300003</v>
      </c>
      <c r="I118" s="10">
        <f>VLOOKUP($A118,'inputs¦BandT'!$A$13:$K$50,I$16-12,FALSE)</f>
        <v>0</v>
      </c>
      <c r="J118" s="6" t="s">
        <v>116</v>
      </c>
      <c r="K118" s="6" t="s">
        <v>77</v>
      </c>
      <c r="L118" s="6">
        <v>0</v>
      </c>
      <c r="M118" s="6" t="s">
        <v>77</v>
      </c>
      <c r="N118" s="8" t="s">
        <v>119</v>
      </c>
      <c r="O118" s="7" t="str">
        <f t="shared" si="15"/>
        <v>SIB</v>
      </c>
      <c r="P118" s="7">
        <f t="shared" si="16"/>
        <v>1057082.0249970001</v>
      </c>
      <c r="Q118" s="11" t="str">
        <f t="shared" si="17"/>
        <v>0</v>
      </c>
      <c r="R118" s="6"/>
      <c r="S118" s="6"/>
      <c r="T118" s="6"/>
      <c r="U118" s="24"/>
      <c r="V118" s="6"/>
      <c r="W118" s="6"/>
      <c r="X118" s="6"/>
      <c r="Y118" s="24"/>
      <c r="Z118" s="24">
        <v>1</v>
      </c>
      <c r="AA118" s="6"/>
      <c r="AB118" s="24"/>
      <c r="AC118" s="26">
        <f t="shared" si="19"/>
        <v>1</v>
      </c>
      <c r="AD118" s="6" t="s">
        <v>76</v>
      </c>
    </row>
    <row r="119" spans="1:30" ht="14.25" x14ac:dyDescent="0.3">
      <c r="A119" s="6"/>
      <c r="B119" s="6"/>
      <c r="C119" s="6"/>
      <c r="D119" s="17"/>
      <c r="E119" s="17"/>
      <c r="F119" s="17"/>
      <c r="G119" s="17"/>
      <c r="H119" s="17"/>
      <c r="I119" s="17"/>
      <c r="J119" s="6"/>
      <c r="K119" s="6"/>
      <c r="L119" s="6"/>
      <c r="M119" s="6"/>
      <c r="N119" s="8"/>
      <c r="O119" s="7"/>
      <c r="P119" s="7"/>
      <c r="Q119" s="11"/>
      <c r="R119" s="6"/>
      <c r="S119" s="6"/>
      <c r="T119" s="6"/>
      <c r="U119" s="24"/>
      <c r="V119" s="6"/>
      <c r="W119" s="6"/>
      <c r="X119" s="6"/>
      <c r="Y119" s="24"/>
      <c r="Z119" s="24"/>
      <c r="AA119" s="6"/>
      <c r="AB119" s="24"/>
      <c r="AC119" s="26"/>
      <c r="AD119" s="6"/>
    </row>
    <row r="120" spans="1:30" ht="14.25" x14ac:dyDescent="0.3">
      <c r="A120" s="6"/>
      <c r="B120" s="6"/>
      <c r="C120" s="6"/>
      <c r="D120" s="17"/>
      <c r="E120" s="17"/>
      <c r="F120" s="17"/>
      <c r="G120" s="17"/>
      <c r="H120" s="17"/>
      <c r="I120" s="17"/>
      <c r="J120" s="6"/>
      <c r="K120" s="6"/>
      <c r="L120" s="6"/>
      <c r="M120" s="6"/>
      <c r="N120" s="8"/>
      <c r="O120" s="7"/>
      <c r="P120" s="7"/>
      <c r="Q120" s="6"/>
      <c r="R120" s="6"/>
      <c r="S120" s="6"/>
      <c r="T120" s="6"/>
      <c r="U120" s="24"/>
      <c r="V120" s="6"/>
      <c r="W120" s="6"/>
      <c r="X120" s="6"/>
      <c r="Y120" s="24"/>
      <c r="Z120" s="24"/>
      <c r="AA120" s="6"/>
      <c r="AB120" s="24"/>
      <c r="AC120" s="26"/>
      <c r="AD120" s="6"/>
    </row>
    <row r="121" spans="1:30" ht="14.25" x14ac:dyDescent="0.3">
      <c r="A121" s="6"/>
      <c r="B121" s="6"/>
      <c r="C121" s="6"/>
      <c r="D121" s="17"/>
      <c r="E121" s="17"/>
      <c r="F121" s="17"/>
      <c r="G121" s="17"/>
      <c r="H121" s="17"/>
      <c r="I121" s="17"/>
      <c r="J121" s="6"/>
      <c r="K121" s="6"/>
      <c r="L121" s="6"/>
      <c r="M121" s="6"/>
      <c r="N121" s="8"/>
      <c r="O121" s="7"/>
      <c r="P121" s="7"/>
      <c r="Q121" s="6"/>
      <c r="R121" s="6"/>
      <c r="S121" s="6"/>
      <c r="T121" s="6"/>
      <c r="U121" s="24"/>
      <c r="V121" s="6"/>
      <c r="W121" s="6"/>
      <c r="X121" s="6"/>
      <c r="Y121" s="24"/>
      <c r="Z121" s="24"/>
      <c r="AA121" s="6"/>
      <c r="AB121" s="24"/>
      <c r="AC121" s="26"/>
      <c r="AD121" s="6"/>
    </row>
    <row r="123" spans="1:30" ht="16.5"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6.5"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6.5"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ht="16.5"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ht="16.5"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6.5"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spans="1:30" ht="16.5"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6.5"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ht="16.5"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ht="16.5"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6.5"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6.5"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6.5"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6.5"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6.5"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6.5"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6.5"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6.5"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6.5"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6.5"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6.5"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ht="16.5"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spans="1:30" ht="16.5"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16.5"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spans="1:30" ht="16.5"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6.5"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6.5"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6.5"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6.5"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6.5"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6.5"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6.5"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6.5"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sheetData>
  <sortState ref="A17:AD87">
    <sortCondition ref="A17:A87"/>
  </sortState>
  <mergeCells count="2">
    <mergeCell ref="A13:K13"/>
    <mergeCell ref="S15:AB15"/>
  </mergeCells>
  <conditionalFormatting sqref="N16:N118">
    <cfRule type="cellIs" dxfId="0" priority="1" operator="equal">
      <formula>"Exclude"</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BEAFA8"/>
  </sheetPr>
  <dimension ref="A1:Z1048576"/>
  <sheetViews>
    <sheetView topLeftCell="A12" zoomScale="85" zoomScaleNormal="85" workbookViewId="0">
      <selection activeCell="D14" sqref="D14"/>
    </sheetView>
  </sheetViews>
  <sheetFormatPr defaultColWidth="9" defaultRowHeight="13.5" x14ac:dyDescent="0.25"/>
  <cols>
    <col min="1" max="1" width="56.625" style="1" customWidth="1"/>
    <col min="2" max="2" width="7.625" style="1" bestFit="1" customWidth="1"/>
    <col min="3" max="3" width="9" style="1"/>
    <col min="4" max="9" width="11.75" style="1" customWidth="1"/>
    <col min="10" max="11" width="10.5" style="1" customWidth="1"/>
    <col min="12" max="12" width="11.5" style="1" customWidth="1"/>
    <col min="13" max="13" width="24.25" style="1" bestFit="1" customWidth="1"/>
    <col min="14" max="14" width="16.25" style="1" bestFit="1" customWidth="1"/>
    <col min="15" max="15" width="12.625" style="1" bestFit="1" customWidth="1"/>
    <col min="16" max="16" width="11.625" style="1" bestFit="1" customWidth="1"/>
    <col min="17" max="17" width="12.625" style="1" bestFit="1" customWidth="1"/>
    <col min="18" max="18" width="21.625" style="1" bestFit="1" customWidth="1"/>
    <col min="19" max="19" width="10.5" style="1" bestFit="1" customWidth="1"/>
    <col min="20" max="20" width="16.625" style="1" bestFit="1" customWidth="1"/>
    <col min="21" max="21" width="8.5" style="1" bestFit="1" customWidth="1"/>
    <col min="22" max="22" width="31.375" style="1" bestFit="1" customWidth="1"/>
    <col min="23" max="23" width="8.5" style="1" bestFit="1" customWidth="1"/>
    <col min="24" max="24" width="10.25" style="1" bestFit="1" customWidth="1"/>
    <col min="25" max="16384" width="9" style="1"/>
  </cols>
  <sheetData>
    <row r="1" spans="1:26" s="2" customFormat="1" x14ac:dyDescent="0.25"/>
    <row r="2" spans="1:26" s="2" customFormat="1" x14ac:dyDescent="0.25"/>
    <row r="3" spans="1:26" s="2" customFormat="1" x14ac:dyDescent="0.25"/>
    <row r="4" spans="1:26" s="2" customFormat="1" x14ac:dyDescent="0.25"/>
    <row r="5" spans="1:26" s="2" customFormat="1" x14ac:dyDescent="0.25"/>
    <row r="6" spans="1:26" s="2" customFormat="1" x14ac:dyDescent="0.25"/>
    <row r="7" spans="1:26" s="2" customFormat="1" x14ac:dyDescent="0.25"/>
    <row r="8" spans="1:26" s="2" customFormat="1" x14ac:dyDescent="0.25"/>
    <row r="9" spans="1:26" s="2" customFormat="1" x14ac:dyDescent="0.25"/>
    <row r="10" spans="1:26" s="4" customFormat="1" ht="20.25" x14ac:dyDescent="0.3">
      <c r="A10" s="12" t="str">
        <f ca="1">RIGHT(CELL("filename",A1),LEN(CELL("filename",A1))-FIND("]",CELL("filename",A1)))</f>
        <v>calculation¦RBP capex</v>
      </c>
      <c r="T10" s="16"/>
    </row>
    <row r="12" spans="1:26" ht="15" x14ac:dyDescent="0.25">
      <c r="A12" s="13" t="s">
        <v>86</v>
      </c>
      <c r="D12" s="271"/>
      <c r="E12" s="271"/>
      <c r="F12" s="271"/>
      <c r="G12" s="271"/>
      <c r="H12" s="271"/>
    </row>
    <row r="13" spans="1:26" ht="15" x14ac:dyDescent="0.25">
      <c r="A13" s="14" t="s">
        <v>67</v>
      </c>
      <c r="B13" s="1" t="s">
        <v>96</v>
      </c>
      <c r="C13" s="14" t="s">
        <v>68</v>
      </c>
      <c r="D13" s="14">
        <f>'calculation¦capex'!D16</f>
        <v>17</v>
      </c>
      <c r="E13" s="14">
        <f>'calculation¦capex'!E16</f>
        <v>18</v>
      </c>
      <c r="F13" s="14">
        <f>'calculation¦capex'!F16</f>
        <v>19</v>
      </c>
      <c r="G13" s="14">
        <f>'calculation¦capex'!G16</f>
        <v>20</v>
      </c>
      <c r="H13" s="14">
        <f>'calculation¦capex'!H16</f>
        <v>21</v>
      </c>
      <c r="I13" s="14">
        <f>'calculation¦capex'!I16</f>
        <v>22</v>
      </c>
      <c r="M13" s="14" t="str">
        <f>AssetClass1</f>
        <v>Original Pipeline</v>
      </c>
      <c r="N13" s="14" t="str">
        <f>AssetClass2</f>
        <v>Pipelines</v>
      </c>
      <c r="O13" s="14" t="str">
        <f>AssetClass5</f>
        <v>Compressors</v>
      </c>
      <c r="P13" s="14" t="str">
        <f>AssetClass6</f>
        <v>Regulators and meters</v>
      </c>
      <c r="Q13" s="14" t="str">
        <f>AssetClass7</f>
        <v>Easements</v>
      </c>
      <c r="R13" s="14" t="str">
        <f>AssetClass8</f>
        <v>Communications</v>
      </c>
      <c r="S13" s="14" t="str">
        <f>AssetClass9</f>
        <v>Other</v>
      </c>
      <c r="T13" s="14" t="str">
        <f>AssetClass10</f>
        <v>Capitalised AA costs</v>
      </c>
      <c r="U13" s="14" t="str">
        <f>AssetClass11</f>
        <v>Group IT</v>
      </c>
      <c r="V13" s="14" t="str">
        <f>AssetClass12</f>
        <v>SIB Capex</v>
      </c>
      <c r="W13" s="14" t="str">
        <f>AssetClass13</f>
        <v>PMA</v>
      </c>
      <c r="X13" s="14" t="s">
        <v>62</v>
      </c>
      <c r="Z13" s="31" t="s">
        <v>65</v>
      </c>
    </row>
    <row r="14" spans="1:26" ht="16.5" x14ac:dyDescent="0.3">
      <c r="A14" s="95" t="str">
        <f>'calculation¦capex'!A17</f>
        <v>ALARM RATIONALISATION</v>
      </c>
      <c r="B14" s="8" t="str">
        <f>IFERROR(VLOOKUP($A14,'calculation¦capex'!$A$16:$AF$216,30,FALSE),"")</f>
        <v>$2015/16</v>
      </c>
      <c r="C14" s="8" t="str">
        <f>IFERROR(VLOOKUP(A14,'calculation¦capex'!A16:Q216,2,FALSE),"")</f>
        <v>QLD</v>
      </c>
      <c r="D14" s="23">
        <f>(VLOOKUP($A14,'calculation¦capex'!$A$16:$Q$216,D$13-13,FALSE)/1000*VLOOKUP($C14,corporateallocation,3,FALSE))</f>
        <v>27.903954669975882</v>
      </c>
      <c r="E14" s="23">
        <f>(VLOOKUP($A14,'calculation¦capex'!$A$16:$Q$216,E$13-13,FALSE)/1000*VLOOKUP($C14,corporateallocation,3,FALSE))</f>
        <v>0</v>
      </c>
      <c r="F14" s="23">
        <f>(VLOOKUP($A14,'calculation¦capex'!$A$16:$Q$216,F$13-13,FALSE)/1000*VLOOKUP($C14,corporateallocation,3,FALSE))</f>
        <v>0</v>
      </c>
      <c r="G14" s="23">
        <f>(VLOOKUP($A14,'calculation¦capex'!$A$16:$Q$216,G$13-13,FALSE)/1000*VLOOKUP($C14,corporateallocation,3,FALSE))</f>
        <v>0</v>
      </c>
      <c r="H14" s="23">
        <f>(VLOOKUP($A14,'calculation¦capex'!$A$16:$Q$216,H$13-13,FALSE)/1000*VLOOKUP($C14,corporateallocation,3,FALSE))</f>
        <v>0</v>
      </c>
      <c r="I14" s="23">
        <f>(VLOOKUP($A14,'calculation¦capex'!$A$16:$Q$216,I$13-13,FALSE)/1000*VLOOKUP($C14,corporateallocation,3,FALSE))</f>
        <v>0</v>
      </c>
      <c r="J14" s="8">
        <f>VLOOKUP(A14,'calculation¦capex'!$A$16:$AD$121,12,FALSE)</f>
        <v>0</v>
      </c>
      <c r="L14" s="14">
        <f>'calculation¦RBP capex'!$D$13</f>
        <v>17</v>
      </c>
      <c r="M14" s="10">
        <f>SUMPRODUCT('calculation¦capex'!R$17:R$217,'calculation¦RBP capex'!$D$14:$D$214)</f>
        <v>13764.5</v>
      </c>
      <c r="N14" s="10">
        <f>SUMPRODUCT('calculation¦capex'!S$17:S$217,'calculation¦RBP capex'!$D$14:$D$214)</f>
        <v>872.73163735980711</v>
      </c>
      <c r="O14" s="10">
        <f>SUMPRODUCT('calculation¦capex'!T$17:T$217,'calculation¦RBP capex'!$D$14:$D$214)</f>
        <v>0</v>
      </c>
      <c r="P14" s="10">
        <f>SUMPRODUCT('calculation¦capex'!U$17:U$217,'calculation¦RBP capex'!$D$14:$D$214)</f>
        <v>0</v>
      </c>
      <c r="Q14" s="10">
        <f>SUMPRODUCT('calculation¦capex'!V$17:V$217,'calculation¦RBP capex'!$D$14:$D$214)</f>
        <v>0</v>
      </c>
      <c r="R14" s="10">
        <f>SUMPRODUCT('calculation¦capex'!W$17:W$217,'calculation¦RBP capex'!$D$14:$D$214)</f>
        <v>0</v>
      </c>
      <c r="S14" s="10">
        <f>SUMPRODUCT('calculation¦capex'!X$17:X$217,'calculation¦RBP capex'!$D$14:$D$214)</f>
        <v>0</v>
      </c>
      <c r="T14" s="10">
        <f>SUMPRODUCT('calculation¦capex'!Y$17:Y$217,'calculation¦RBP capex'!$D$14:$D$214)</f>
        <v>891.35552000000007</v>
      </c>
      <c r="U14" s="10">
        <f>SUMPRODUCT('calculation¦capex'!Z$17:Z$217,'calculation¦RBP capex'!$D$14:$D$214)</f>
        <v>1378.6800156984436</v>
      </c>
      <c r="V14" s="10">
        <f>SUMPRODUCT('calculation¦capex'!AA$17:AA$217,'calculation¦RBP capex'!$D$14:$D$214)</f>
        <v>902.95649628883848</v>
      </c>
      <c r="W14" s="10">
        <f>SUMPRODUCT('calculation¦capex'!AB$17:AB$217,'calculation¦RBP capex'!$D$14:$D$214)</f>
        <v>0</v>
      </c>
      <c r="X14" s="10">
        <f t="shared" ref="X14:X19" si="0">SUM(M14:W14)</f>
        <v>17810.223669347091</v>
      </c>
      <c r="Z14" s="32" t="b">
        <f>SUM($D$14:$D$217)=X14</f>
        <v>1</v>
      </c>
    </row>
    <row r="15" spans="1:26" ht="16.5" x14ac:dyDescent="0.3">
      <c r="A15" s="16" t="str">
        <f>'calculation¦capex'!A18</f>
        <v>ANODE BED EASEMENTS PROGRAM</v>
      </c>
      <c r="B15" s="8" t="str">
        <f>IFERROR(VLOOKUP($A15,'calculation¦capex'!$A$16:$AF$216,30,FALSE),"")</f>
        <v>$2015/16</v>
      </c>
      <c r="C15" s="8" t="str">
        <f>IFERROR(VLOOKUP(A15,'calculation¦capex'!A17:Q217,2,FALSE),"")</f>
        <v>RBP</v>
      </c>
      <c r="D15" s="23">
        <f>(VLOOKUP($A15,'calculation¦capex'!$A$16:$Q$216,D$13-13,FALSE)/1000*VLOOKUP($C15,corporateallocation,3,FALSE))</f>
        <v>210</v>
      </c>
      <c r="E15" s="23">
        <f>(VLOOKUP($A15,'calculation¦capex'!$A$16:$Q$216,E$13-13,FALSE)/1000*VLOOKUP($C15,corporateallocation,3,FALSE))</f>
        <v>215</v>
      </c>
      <c r="F15" s="23">
        <f>(VLOOKUP($A15,'calculation¦capex'!$A$16:$Q$216,F$13-13,FALSE)/1000*VLOOKUP($C15,corporateallocation,3,FALSE))</f>
        <v>220</v>
      </c>
      <c r="G15" s="23">
        <f>(VLOOKUP($A15,'calculation¦capex'!$A$16:$Q$216,G$13-13,FALSE)/1000*VLOOKUP($C15,corporateallocation,3,FALSE))</f>
        <v>225</v>
      </c>
      <c r="H15" s="23">
        <f>(VLOOKUP($A15,'calculation¦capex'!$A$16:$Q$216,H$13-13,FALSE)/1000*VLOOKUP($C15,corporateallocation,3,FALSE))</f>
        <v>230</v>
      </c>
      <c r="I15" s="23">
        <f>(VLOOKUP($A15,'calculation¦capex'!$A$16:$Q$216,I$13-13,FALSE)/1000*VLOOKUP($C15,corporateallocation,3,FALSE))</f>
        <v>235</v>
      </c>
      <c r="J15" s="8" t="str">
        <f>VLOOKUP(A15,'calculation¦capex'!$A$16:$AD$121,12,FALSE)</f>
        <v>AA-03</v>
      </c>
      <c r="L15" s="14">
        <f>'calculation¦RBP capex'!$E$13</f>
        <v>18</v>
      </c>
      <c r="M15" s="10">
        <f>SUMPRODUCT('calculation¦capex'!R$17:R$217,'calculation¦RBP capex'!$E$14:$E$214)</f>
        <v>15461.5</v>
      </c>
      <c r="N15" s="10">
        <f>SUMPRODUCT('calculation¦capex'!S$17:S$217,'calculation¦RBP capex'!$E$14:$E$214)</f>
        <v>6868.5</v>
      </c>
      <c r="O15" s="10">
        <f>SUMPRODUCT('calculation¦capex'!T$17:T$217,'calculation¦RBP capex'!$E$14:$E$214)</f>
        <v>100</v>
      </c>
      <c r="P15" s="10">
        <f>SUMPRODUCT('calculation¦capex'!U$17:U$217,'calculation¦RBP capex'!$E$14:$E$214)</f>
        <v>255.58079093399519</v>
      </c>
      <c r="Q15" s="10">
        <f>SUMPRODUCT('calculation¦capex'!V$17:V$217,'calculation¦RBP capex'!$E$14:$E$214)</f>
        <v>0</v>
      </c>
      <c r="R15" s="10">
        <f>SUMPRODUCT('calculation¦capex'!W$17:W$217,'calculation¦RBP capex'!$E$14:$E$214)</f>
        <v>0</v>
      </c>
      <c r="S15" s="10">
        <f>SUMPRODUCT('calculation¦capex'!X$17:X$217,'calculation¦RBP capex'!$E$14:$E$214)</f>
        <v>0</v>
      </c>
      <c r="T15" s="10">
        <f>SUMPRODUCT('calculation¦capex'!Y$17:Y$217,'calculation¦RBP capex'!$E$14:$E$214)</f>
        <v>70.875350000000012</v>
      </c>
      <c r="U15" s="10">
        <f>SUMPRODUCT('calculation¦capex'!Z$17:Z$217,'calculation¦RBP capex'!$E$14:$E$214)</f>
        <v>1570.8371988653466</v>
      </c>
      <c r="V15" s="10">
        <f>SUMPRODUCT('calculation¦capex'!AA$17:AA$217,'calculation¦RBP capex'!$E$14:$E$214)</f>
        <v>1004.5197733498794</v>
      </c>
      <c r="W15" s="10">
        <f>SUMPRODUCT('calculation¦capex'!AB$17:AB$217,'calculation¦RBP capex'!$E$14:$E$214)</f>
        <v>0</v>
      </c>
      <c r="X15" s="10">
        <f t="shared" si="0"/>
        <v>25331.813113149219</v>
      </c>
      <c r="Z15" s="32" t="b">
        <f>SUM($E$14:$E$214)=X15</f>
        <v>1</v>
      </c>
    </row>
    <row r="16" spans="1:26" ht="16.5" x14ac:dyDescent="0.3">
      <c r="A16" s="16" t="str">
        <f>'calculation¦capex'!A19</f>
        <v>BELLBIRD PARK STATION UPGRADE</v>
      </c>
      <c r="B16" s="8" t="str">
        <f>IFERROR(VLOOKUP($A16,'calculation¦capex'!$A$16:$AF$216,30,FALSE),"")</f>
        <v>$2015/16</v>
      </c>
      <c r="C16" s="8" t="str">
        <f>IFERROR(VLOOKUP(A16,'calculation¦capex'!A18:Q218,2,FALSE),"")</f>
        <v>RBP</v>
      </c>
      <c r="D16" s="23">
        <f>(VLOOKUP($A16,'calculation¦capex'!$A$16:$Q$216,D$13-13,FALSE)/1000*VLOOKUP($C16,corporateallocation,3,FALSE))</f>
        <v>0</v>
      </c>
      <c r="E16" s="23">
        <f>(VLOOKUP($A16,'calculation¦capex'!$A$16:$Q$216,E$13-13,FALSE)/1000*VLOOKUP($C16,corporateallocation,3,FALSE))</f>
        <v>0</v>
      </c>
      <c r="F16" s="23">
        <f>(VLOOKUP($A16,'calculation¦capex'!$A$16:$Q$216,F$13-13,FALSE)/1000*VLOOKUP($C16,corporateallocation,3,FALSE))</f>
        <v>0</v>
      </c>
      <c r="G16" s="23">
        <f>(VLOOKUP($A16,'calculation¦capex'!$A$16:$Q$216,G$13-13,FALSE)/1000*VLOOKUP($C16,corporateallocation,3,FALSE))</f>
        <v>0</v>
      </c>
      <c r="H16" s="23">
        <f>(VLOOKUP($A16,'calculation¦capex'!$A$16:$Q$216,H$13-13,FALSE)/1000*VLOOKUP($C16,corporateallocation,3,FALSE))</f>
        <v>0</v>
      </c>
      <c r="I16" s="23">
        <f>(VLOOKUP($A16,'calculation¦capex'!$A$16:$Q$216,I$13-13,FALSE)/1000*VLOOKUP($C16,corporateallocation,3,FALSE))</f>
        <v>0</v>
      </c>
      <c r="J16" s="8">
        <f>VLOOKUP(A16,'calculation¦capex'!$A$16:$AD$121,12,FALSE)</f>
        <v>0</v>
      </c>
      <c r="L16" s="14">
        <f>'calculation¦RBP capex'!$F$13</f>
        <v>19</v>
      </c>
      <c r="M16" s="10">
        <f>SUMPRODUCT('calculation¦capex'!R$17:R$217,'calculation¦RBP capex'!$F$14:$F$214)</f>
        <v>11329</v>
      </c>
      <c r="N16" s="10">
        <f>SUMPRODUCT('calculation¦capex'!S$17:S$217,'calculation¦RBP capex'!$F$14:$F$214)</f>
        <v>2489</v>
      </c>
      <c r="O16" s="10">
        <f>SUMPRODUCT('calculation¦capex'!T$17:T$217,'calculation¦RBP capex'!$F$14:$F$214)</f>
        <v>100</v>
      </c>
      <c r="P16" s="10">
        <f>SUMPRODUCT('calculation¦capex'!U$17:U$217,'calculation¦RBP capex'!$F$14:$F$214)</f>
        <v>0</v>
      </c>
      <c r="Q16" s="10">
        <f>SUMPRODUCT('calculation¦capex'!V$17:V$217,'calculation¦RBP capex'!$F$14:$F$214)</f>
        <v>0</v>
      </c>
      <c r="R16" s="10">
        <f>SUMPRODUCT('calculation¦capex'!W$17:W$217,'calculation¦RBP capex'!$F$14:$F$214)</f>
        <v>0</v>
      </c>
      <c r="S16" s="10">
        <f>SUMPRODUCT('calculation¦capex'!X$17:X$217,'calculation¦RBP capex'!$F$14:$F$214)</f>
        <v>0</v>
      </c>
      <c r="T16" s="10">
        <f>SUMPRODUCT('calculation¦capex'!Y$17:Y$217,'calculation¦RBP capex'!$F$14:$F$214)</f>
        <v>0</v>
      </c>
      <c r="U16" s="10">
        <f>SUMPRODUCT('calculation¦capex'!Z$17:Z$217,'calculation¦RBP capex'!$F$14:$F$214)</f>
        <v>569.60399762829263</v>
      </c>
      <c r="V16" s="10">
        <f>SUMPRODUCT('calculation¦capex'!AA$17:AA$217,'calculation¦RBP capex'!$F$14:$F$214)</f>
        <v>1056.6158186799034</v>
      </c>
      <c r="W16" s="10">
        <f>SUMPRODUCT('calculation¦capex'!AB$17:AB$217,'calculation¦RBP capex'!$F$14:$F$214)</f>
        <v>0</v>
      </c>
      <c r="X16" s="10">
        <f t="shared" si="0"/>
        <v>15544.219816308196</v>
      </c>
      <c r="Z16" s="32" t="b">
        <f>SUM($F$14:$F$214)=X16</f>
        <v>1</v>
      </c>
    </row>
    <row r="17" spans="1:26" ht="16.5" x14ac:dyDescent="0.3">
      <c r="A17" s="16" t="str">
        <f>'calculation¦capex'!A20</f>
        <v>COMMISSION LEGAL ADVICE FOR ENCROACHMENT MANAGEMENT</v>
      </c>
      <c r="B17" s="8" t="str">
        <f>IFERROR(VLOOKUP($A17,'calculation¦capex'!$A$16:$AF$216,30,FALSE),"")</f>
        <v>$2015/16</v>
      </c>
      <c r="C17" s="8" t="str">
        <f>IFERROR(VLOOKUP(A17,'calculation¦capex'!A19:Q219,2,FALSE),"")</f>
        <v>RBP</v>
      </c>
      <c r="D17" s="23">
        <f>(VLOOKUP($A17,'calculation¦capex'!$A$16:$Q$216,D$13-13,FALSE)/1000*VLOOKUP($C17,corporateallocation,3,FALSE))</f>
        <v>0</v>
      </c>
      <c r="E17" s="23">
        <f>(VLOOKUP($A17,'calculation¦capex'!$A$16:$Q$216,E$13-13,FALSE)/1000*VLOOKUP($C17,corporateallocation,3,FALSE))</f>
        <v>0</v>
      </c>
      <c r="F17" s="23">
        <f>(VLOOKUP($A17,'calculation¦capex'!$A$16:$Q$216,F$13-13,FALSE)/1000*VLOOKUP($C17,corporateallocation,3,FALSE))</f>
        <v>0</v>
      </c>
      <c r="G17" s="23">
        <f>(VLOOKUP($A17,'calculation¦capex'!$A$16:$Q$216,G$13-13,FALSE)/1000*VLOOKUP($C17,corporateallocation,3,FALSE))</f>
        <v>0</v>
      </c>
      <c r="H17" s="23">
        <f>(VLOOKUP($A17,'calculation¦capex'!$A$16:$Q$216,H$13-13,FALSE)/1000*VLOOKUP($C17,corporateallocation,3,FALSE))</f>
        <v>0</v>
      </c>
      <c r="I17" s="23">
        <f>(VLOOKUP($A17,'calculation¦capex'!$A$16:$Q$216,I$13-13,FALSE)/1000*VLOOKUP($C17,corporateallocation,3,FALSE))</f>
        <v>0</v>
      </c>
      <c r="J17" s="8">
        <f>VLOOKUP(A17,'calculation¦capex'!$A$16:$AD$121,12,FALSE)</f>
        <v>0</v>
      </c>
      <c r="L17" s="14">
        <f>'calculation¦RBP capex'!$G$13</f>
        <v>20</v>
      </c>
      <c r="M17" s="10">
        <f>SUMPRODUCT('calculation¦capex'!R$17:R$217,'calculation¦RBP capex'!$G$14:$G$214)</f>
        <v>4791.5</v>
      </c>
      <c r="N17" s="10">
        <f>SUMPRODUCT('calculation¦capex'!S$17:S$217,'calculation¦RBP capex'!$G$14:$G$214)</f>
        <v>841.5</v>
      </c>
      <c r="O17" s="10">
        <f>SUMPRODUCT('calculation¦capex'!T$17:T$217,'calculation¦RBP capex'!$G$14:$G$214)</f>
        <v>0</v>
      </c>
      <c r="P17" s="10">
        <f>SUMPRODUCT('calculation¦capex'!U$17:U$217,'calculation¦RBP capex'!$G$14:$G$214)</f>
        <v>80</v>
      </c>
      <c r="Q17" s="10">
        <f>SUMPRODUCT('calculation¦capex'!V$17:V$217,'calculation¦RBP capex'!$G$14:$G$214)</f>
        <v>0</v>
      </c>
      <c r="R17" s="10">
        <f>SUMPRODUCT('calculation¦capex'!W$17:W$217,'calculation¦RBP capex'!$G$14:$G$214)</f>
        <v>0</v>
      </c>
      <c r="S17" s="10">
        <f>SUMPRODUCT('calculation¦capex'!X$17:X$217,'calculation¦RBP capex'!$G$14:$G$214)</f>
        <v>0</v>
      </c>
      <c r="T17" s="10">
        <f>SUMPRODUCT('calculation¦capex'!Y$17:Y$217,'calculation¦RBP capex'!$G$14:$G$214)</f>
        <v>0</v>
      </c>
      <c r="U17" s="10">
        <f>SUMPRODUCT('calculation¦capex'!Z$17:Z$217,'calculation¦RBP capex'!$G$14:$G$214)</f>
        <v>474.3732318789414</v>
      </c>
      <c r="V17" s="10">
        <f>SUMPRODUCT('calculation¦capex'!AA$17:AA$217,'calculation¦RBP capex'!$G$14:$G$214)</f>
        <v>516.61581867990355</v>
      </c>
      <c r="W17" s="10">
        <f>SUMPRODUCT('calculation¦capex'!AB$17:AB$217,'calculation¦RBP capex'!$G$14:$G$214)</f>
        <v>0</v>
      </c>
      <c r="X17" s="10">
        <f t="shared" si="0"/>
        <v>6703.9890505588455</v>
      </c>
      <c r="Z17" s="32" t="b">
        <f>SUM($G$14:$G$214)=X17</f>
        <v>1</v>
      </c>
    </row>
    <row r="18" spans="1:26" ht="16.5" x14ac:dyDescent="0.3">
      <c r="A18" s="16" t="str">
        <f>'calculation¦capex'!A21</f>
        <v>Condamine River Strain Excavation</v>
      </c>
      <c r="B18" s="8" t="str">
        <f>IFERROR(VLOOKUP($A18,'calculation¦capex'!$A$16:$AF$216,30,FALSE),"")</f>
        <v>$2015/16</v>
      </c>
      <c r="C18" s="8" t="str">
        <f>IFERROR(VLOOKUP(A18,'calculation¦capex'!A20:Q220,2,FALSE),"")</f>
        <v>RBP</v>
      </c>
      <c r="D18" s="23">
        <f>(VLOOKUP($A18,'calculation¦capex'!$A$16:$Q$216,D$13-13,FALSE)/1000*VLOOKUP($C18,corporateallocation,3,FALSE))</f>
        <v>0</v>
      </c>
      <c r="E18" s="23">
        <f>(VLOOKUP($A18,'calculation¦capex'!$A$16:$Q$216,E$13-13,FALSE)/1000*VLOOKUP($C18,corporateallocation,3,FALSE))</f>
        <v>200</v>
      </c>
      <c r="F18" s="23">
        <f>(VLOOKUP($A18,'calculation¦capex'!$A$16:$Q$216,F$13-13,FALSE)/1000*VLOOKUP($C18,corporateallocation,3,FALSE))</f>
        <v>0</v>
      </c>
      <c r="G18" s="23">
        <f>(VLOOKUP($A18,'calculation¦capex'!$A$16:$Q$216,G$13-13,FALSE)/1000*VLOOKUP($C18,corporateallocation,3,FALSE))</f>
        <v>0</v>
      </c>
      <c r="H18" s="23">
        <f>(VLOOKUP($A18,'calculation¦capex'!$A$16:$Q$216,H$13-13,FALSE)/1000*VLOOKUP($C18,corporateallocation,3,FALSE))</f>
        <v>0</v>
      </c>
      <c r="I18" s="23">
        <f>(VLOOKUP($A18,'calculation¦capex'!$A$16:$Q$216,I$13-13,FALSE)/1000*VLOOKUP($C18,corporateallocation,3,FALSE))</f>
        <v>0</v>
      </c>
      <c r="J18" s="8">
        <f>VLOOKUP(A18,'calculation¦capex'!$A$16:$AD$121,12,FALSE)</f>
        <v>0</v>
      </c>
      <c r="L18" s="14">
        <f>'calculation¦RBP capex'!$H$13</f>
        <v>21</v>
      </c>
      <c r="M18" s="10">
        <f>SUMPRODUCT('calculation¦capex'!R$17:R$217,'calculation¦RBP capex'!$H$14:$H$214)</f>
        <v>4569</v>
      </c>
      <c r="N18" s="10">
        <f>SUMPRODUCT('calculation¦capex'!S$17:S$217,'calculation¦RBP capex'!$H$14:$H$214)</f>
        <v>2389</v>
      </c>
      <c r="O18" s="10">
        <f>SUMPRODUCT('calculation¦capex'!T$17:T$217,'calculation¦RBP capex'!$H$14:$H$214)</f>
        <v>0</v>
      </c>
      <c r="P18" s="10">
        <f>SUMPRODUCT('calculation¦capex'!U$17:U$217,'calculation¦RBP capex'!$H$14:$H$214)</f>
        <v>0</v>
      </c>
      <c r="Q18" s="10">
        <f>SUMPRODUCT('calculation¦capex'!V$17:V$217,'calculation¦RBP capex'!$H$14:$H$214)</f>
        <v>0</v>
      </c>
      <c r="R18" s="10">
        <f>SUMPRODUCT('calculation¦capex'!W$17:W$217,'calculation¦RBP capex'!$H$14:$H$214)</f>
        <v>0</v>
      </c>
      <c r="S18" s="10">
        <f>SUMPRODUCT('calculation¦capex'!X$17:X$217,'calculation¦RBP capex'!$H$14:$H$214)</f>
        <v>0</v>
      </c>
      <c r="T18" s="10">
        <f>SUMPRODUCT('calculation¦capex'!Y$17:Y$217,'calculation¦RBP capex'!$H$14:$H$214)</f>
        <v>58.00808</v>
      </c>
      <c r="U18" s="10">
        <f>SUMPRODUCT('calculation¦capex'!Z$17:Z$217,'calculation¦RBP capex'!$H$14:$H$214)</f>
        <v>613.76515154623576</v>
      </c>
      <c r="V18" s="10">
        <f>SUMPRODUCT('calculation¦capex'!AA$17:AA$217,'calculation¦RBP capex'!$H$14:$H$214)</f>
        <v>541.61581867990355</v>
      </c>
      <c r="W18" s="10">
        <f>SUMPRODUCT('calculation¦capex'!AB$17:AB$217,'calculation¦RBP capex'!$H$14:$H$214)</f>
        <v>0</v>
      </c>
      <c r="X18" s="10">
        <f t="shared" si="0"/>
        <v>8171.3890502261393</v>
      </c>
      <c r="Z18" s="32" t="b">
        <f>ROUND(SUM($H$14:$H$214),2)=ROUND(X18,2)</f>
        <v>1</v>
      </c>
    </row>
    <row r="19" spans="1:26" ht="16.5" x14ac:dyDescent="0.3">
      <c r="A19" s="16" t="str">
        <f>'calculation¦capex'!A22</f>
        <v>CP INTERFERENCE TESTING AND MITIGATION</v>
      </c>
      <c r="B19" s="8" t="str">
        <f>IFERROR(VLOOKUP($A19,'calculation¦capex'!$A$16:$AF$216,30,FALSE),"")</f>
        <v>$2015/16</v>
      </c>
      <c r="C19" s="8" t="str">
        <f>IFERROR(VLOOKUP(A19,'calculation¦capex'!A21:Q221,2,FALSE),"")</f>
        <v>RBP</v>
      </c>
      <c r="D19" s="23">
        <f>(VLOOKUP($A19,'calculation¦capex'!$A$16:$Q$216,D$13-13,FALSE)/1000*VLOOKUP($C19,corporateallocation,3,FALSE))</f>
        <v>0</v>
      </c>
      <c r="E19" s="23">
        <f>(VLOOKUP($A19,'calculation¦capex'!$A$16:$Q$216,E$13-13,FALSE)/1000*VLOOKUP($C19,corporateallocation,3,FALSE))</f>
        <v>0</v>
      </c>
      <c r="F19" s="23">
        <f>(VLOOKUP($A19,'calculation¦capex'!$A$16:$Q$216,F$13-13,FALSE)/1000*VLOOKUP($C19,corporateallocation,3,FALSE))</f>
        <v>0</v>
      </c>
      <c r="G19" s="23">
        <f>(VLOOKUP($A19,'calculation¦capex'!$A$16:$Q$216,G$13-13,FALSE)/1000*VLOOKUP($C19,corporateallocation,3,FALSE))</f>
        <v>0</v>
      </c>
      <c r="H19" s="23">
        <f>(VLOOKUP($A19,'calculation¦capex'!$A$16:$Q$216,H$13-13,FALSE)/1000*VLOOKUP($C19,corporateallocation,3,FALSE))</f>
        <v>0</v>
      </c>
      <c r="I19" s="23">
        <f>(VLOOKUP($A19,'calculation¦capex'!$A$16:$Q$216,I$13-13,FALSE)/1000*VLOOKUP($C19,corporateallocation,3,FALSE))</f>
        <v>0</v>
      </c>
      <c r="J19" s="8">
        <f>VLOOKUP(A19,'calculation¦capex'!$A$16:$AD$121,12,FALSE)</f>
        <v>0</v>
      </c>
      <c r="L19" s="14">
        <f>'calculation¦RBP capex'!$I$13</f>
        <v>22</v>
      </c>
      <c r="M19" s="10">
        <f>SUMPRODUCT('calculation¦capex'!R$17:R$217,'calculation¦RBP capex'!$I$14:$I$214)</f>
        <v>6092.5</v>
      </c>
      <c r="N19" s="10">
        <f>SUMPRODUCT('calculation¦capex'!S$17:S$217,'calculation¦RBP capex'!$I$14:$I$214)</f>
        <v>441.5</v>
      </c>
      <c r="O19" s="10">
        <f>SUMPRODUCT('calculation¦capex'!T$17:T$217,'calculation¦RBP capex'!$I$14:$I$214)</f>
        <v>1300</v>
      </c>
      <c r="P19" s="10">
        <f>SUMPRODUCT('calculation¦capex'!U$17:U$217,'calculation¦RBP capex'!$I$14:$I$214)</f>
        <v>0</v>
      </c>
      <c r="Q19" s="10">
        <f>SUMPRODUCT('calculation¦capex'!V$17:V$217,'calculation¦RBP capex'!$I$14:$I$214)</f>
        <v>0</v>
      </c>
      <c r="R19" s="10">
        <f>SUMPRODUCT('calculation¦capex'!W$17:W$217,'calculation¦RBP capex'!$I$14:$I$214)</f>
        <v>0</v>
      </c>
      <c r="S19" s="10">
        <f>SUMPRODUCT('calculation¦capex'!X$17:X$217,'calculation¦RBP capex'!$I$14:$I$214)</f>
        <v>0</v>
      </c>
      <c r="T19" s="10">
        <f>SUMPRODUCT('calculation¦capex'!Y$17:Y$217,'calculation¦RBP capex'!$I$14:$I$214)</f>
        <v>891.35552000000007</v>
      </c>
      <c r="U19" s="10">
        <f>SUMPRODUCT('calculation¦capex'!Z$17:Z$217,'calculation¦RBP capex'!$I$14:$I$214)</f>
        <v>410.77256188344114</v>
      </c>
      <c r="V19" s="10">
        <f>SUMPRODUCT('calculation¦capex'!AA$17:AA$217,'calculation¦RBP capex'!$I$14:$I$214)</f>
        <v>291.61581867990355</v>
      </c>
      <c r="W19" s="10">
        <f>SUMPRODUCT('calculation¦capex'!AB$17:AB$217,'calculation¦RBP capex'!$I$14:$I$214)</f>
        <v>0</v>
      </c>
      <c r="X19" s="10">
        <f t="shared" si="0"/>
        <v>9427.743900563346</v>
      </c>
      <c r="Z19" s="32" t="b">
        <f>SUM($I$14:$I$214)=X19</f>
        <v>1</v>
      </c>
    </row>
    <row r="20" spans="1:26" ht="16.5" x14ac:dyDescent="0.3">
      <c r="A20" s="16" t="str">
        <f>'calculation¦capex'!A23</f>
        <v>DN200 &amp; 300 METRO ANNUAL EXCAVATION PROGRAM</v>
      </c>
      <c r="B20" s="8" t="str">
        <f>IFERROR(VLOOKUP($A20,'calculation¦capex'!$A$16:$AF$216,30,FALSE),"")</f>
        <v>$2015/16</v>
      </c>
      <c r="C20" s="8" t="str">
        <f>IFERROR(VLOOKUP(A20,'calculation¦capex'!A22:Q222,2,FALSE),"")</f>
        <v>RBP</v>
      </c>
      <c r="D20" s="23">
        <f>(VLOOKUP($A20,'calculation¦capex'!$A$16:$Q$216,D$13-13,FALSE)/1000*VLOOKUP($C20,corporateallocation,3,FALSE))</f>
        <v>0</v>
      </c>
      <c r="E20" s="23">
        <f>(VLOOKUP($A20,'calculation¦capex'!$A$16:$Q$216,E$13-13,FALSE)/1000*VLOOKUP($C20,corporateallocation,3,FALSE))</f>
        <v>0</v>
      </c>
      <c r="F20" s="23">
        <f>(VLOOKUP($A20,'calculation¦capex'!$A$16:$Q$216,F$13-13,FALSE)/1000*VLOOKUP($C20,corporateallocation,3,FALSE))</f>
        <v>0</v>
      </c>
      <c r="G20" s="23">
        <f>(VLOOKUP($A20,'calculation¦capex'!$A$16:$Q$216,G$13-13,FALSE)/1000*VLOOKUP($C20,corporateallocation,3,FALSE))</f>
        <v>0</v>
      </c>
      <c r="H20" s="23">
        <f>(VLOOKUP($A20,'calculation¦capex'!$A$16:$Q$216,H$13-13,FALSE)/1000*VLOOKUP($C20,corporateallocation,3,FALSE))</f>
        <v>0</v>
      </c>
      <c r="I20" s="23">
        <f>(VLOOKUP($A20,'calculation¦capex'!$A$16:$Q$216,I$13-13,FALSE)/1000*VLOOKUP($C20,corporateallocation,3,FALSE))</f>
        <v>0</v>
      </c>
      <c r="J20" s="8">
        <f>VLOOKUP(A20,'calculation¦capex'!$A$16:$AD$121,12,FALSE)</f>
        <v>0</v>
      </c>
      <c r="L20" s="16"/>
      <c r="M20" s="16"/>
      <c r="N20" s="16"/>
      <c r="O20" s="16"/>
      <c r="P20" s="16"/>
      <c r="Q20" s="16"/>
      <c r="R20" s="16"/>
      <c r="S20" s="16"/>
      <c r="T20" s="16"/>
      <c r="U20" s="16"/>
      <c r="V20" s="16"/>
      <c r="W20" s="16"/>
      <c r="X20" s="16"/>
    </row>
    <row r="21" spans="1:26" ht="16.5" x14ac:dyDescent="0.3">
      <c r="A21" s="16" t="str">
        <f>'calculation¦capex'!A24</f>
        <v>DN250 INTEGRITY UPGRADE PROGRAM</v>
      </c>
      <c r="B21" s="8" t="str">
        <f>IFERROR(VLOOKUP($A21,'calculation¦capex'!$A$16:$AF$216,30,FALSE),"")</f>
        <v>$2015/16</v>
      </c>
      <c r="C21" s="8" t="str">
        <f>IFERROR(VLOOKUP(A21,'calculation¦capex'!A23:Q223,2,FALSE),"")</f>
        <v>RBP</v>
      </c>
      <c r="D21" s="23">
        <f>(VLOOKUP($A21,'calculation¦capex'!$A$16:$Q$216,D$13-13,FALSE)/1000*VLOOKUP($C21,corporateallocation,3,FALSE))</f>
        <v>4900</v>
      </c>
      <c r="E21" s="23">
        <f>(VLOOKUP($A21,'calculation¦capex'!$A$16:$Q$216,E$13-13,FALSE)/1000*VLOOKUP($C21,corporateallocation,3,FALSE))</f>
        <v>5293</v>
      </c>
      <c r="F21" s="23">
        <f>(VLOOKUP($A21,'calculation¦capex'!$A$16:$Q$216,F$13-13,FALSE)/1000*VLOOKUP($C21,corporateallocation,3,FALSE))</f>
        <v>5970</v>
      </c>
      <c r="G21" s="23">
        <f>(VLOOKUP($A21,'calculation¦capex'!$A$16:$Q$216,G$13-13,FALSE)/1000*VLOOKUP($C21,corporateallocation,3,FALSE))</f>
        <v>3980</v>
      </c>
      <c r="H21" s="23">
        <f>(VLOOKUP($A21,'calculation¦capex'!$A$16:$Q$216,H$13-13,FALSE)/1000*VLOOKUP($C21,corporateallocation,3,FALSE))</f>
        <v>3680</v>
      </c>
      <c r="I21" s="23">
        <f>(VLOOKUP($A21,'calculation¦capex'!$A$16:$Q$216,I$13-13,FALSE)/1000*VLOOKUP($C21,corporateallocation,3,FALSE))</f>
        <v>4231</v>
      </c>
      <c r="J21" s="8" t="str">
        <f>VLOOKUP(A21,'calculation¦capex'!$A$16:$AD$121,12,FALSE)</f>
        <v>AA-03</v>
      </c>
      <c r="L21" s="16"/>
      <c r="M21" s="27">
        <f>SUM(M15:M20)</f>
        <v>42243.5</v>
      </c>
      <c r="N21" s="27">
        <f t="shared" ref="N21:U21" si="1">SUM(N15:N20)</f>
        <v>13029.5</v>
      </c>
      <c r="O21" s="27">
        <f t="shared" si="1"/>
        <v>1500</v>
      </c>
      <c r="P21" s="27">
        <f t="shared" si="1"/>
        <v>335.58079093399522</v>
      </c>
      <c r="Q21" s="27">
        <f t="shared" si="1"/>
        <v>0</v>
      </c>
      <c r="R21" s="27">
        <f t="shared" si="1"/>
        <v>0</v>
      </c>
      <c r="S21" s="27">
        <f t="shared" si="1"/>
        <v>0</v>
      </c>
      <c r="T21" s="27">
        <f t="shared" si="1"/>
        <v>1020.23895</v>
      </c>
      <c r="U21" s="27">
        <f t="shared" si="1"/>
        <v>3639.3521418022574</v>
      </c>
      <c r="V21" s="27">
        <f>SUM(V15:V20)</f>
        <v>3410.9830480694932</v>
      </c>
      <c r="W21" s="16"/>
      <c r="X21" s="27"/>
    </row>
    <row r="22" spans="1:26" ht="16.5" x14ac:dyDescent="0.3">
      <c r="A22" s="16" t="str">
        <f>'calculation¦capex'!A25</f>
        <v>DN250, DN300, DN200 Assessment of loss of cover and mitigation</v>
      </c>
      <c r="B22" s="8" t="str">
        <f>IFERROR(VLOOKUP($A22,'calculation¦capex'!$A$16:$AF$216,30,FALSE),"")</f>
        <v>$2015/16</v>
      </c>
      <c r="C22" s="8" t="str">
        <f>IFERROR(VLOOKUP(A22,'calculation¦capex'!A24:Q224,2,FALSE),"")</f>
        <v>RBP</v>
      </c>
      <c r="D22" s="23">
        <f>(VLOOKUP($A22,'calculation¦capex'!$A$16:$Q$216,D$13-13,FALSE)/1000*VLOOKUP($C22,corporateallocation,3,FALSE))</f>
        <v>0</v>
      </c>
      <c r="E22" s="23">
        <f>(VLOOKUP($A22,'calculation¦capex'!$A$16:$Q$216,E$13-13,FALSE)/1000*VLOOKUP($C22,corporateallocation,3,FALSE))</f>
        <v>0</v>
      </c>
      <c r="F22" s="23">
        <f>(VLOOKUP($A22,'calculation¦capex'!$A$16:$Q$216,F$13-13,FALSE)/1000*VLOOKUP($C22,corporateallocation,3,FALSE))</f>
        <v>0</v>
      </c>
      <c r="G22" s="23">
        <f>(VLOOKUP($A22,'calculation¦capex'!$A$16:$Q$216,G$13-13,FALSE)/1000*VLOOKUP($C22,corporateallocation,3,FALSE))</f>
        <v>0</v>
      </c>
      <c r="H22" s="23">
        <f>(VLOOKUP($A22,'calculation¦capex'!$A$16:$Q$216,H$13-13,FALSE)/1000*VLOOKUP($C22,corporateallocation,3,FALSE))</f>
        <v>0</v>
      </c>
      <c r="I22" s="23">
        <f>(VLOOKUP($A22,'calculation¦capex'!$A$16:$Q$216,I$13-13,FALSE)/1000*VLOOKUP($C22,corporateallocation,3,FALSE))</f>
        <v>0</v>
      </c>
      <c r="J22" s="8">
        <f>VLOOKUP(A22,'calculation¦capex'!$A$16:$AD$121,12,FALSE)</f>
        <v>0</v>
      </c>
    </row>
    <row r="23" spans="1:26" ht="16.5" x14ac:dyDescent="0.3">
      <c r="A23" s="16" t="str">
        <f>'calculation¦capex'!A26</f>
        <v>Earthing and Lightning protection design review (Stations)</v>
      </c>
      <c r="B23" s="8" t="str">
        <f>IFERROR(VLOOKUP($A23,'calculation¦capex'!$A$16:$AF$216,30,FALSE),"")</f>
        <v>$2015/16</v>
      </c>
      <c r="C23" s="8" t="str">
        <f>IFERROR(VLOOKUP(A23,'calculation¦capex'!A25:Q225,2,FALSE),"")</f>
        <v>QLD</v>
      </c>
      <c r="D23" s="23">
        <f>(VLOOKUP($A23,'calculation¦capex'!$A$16:$Q$216,D$13-13,FALSE)/1000*VLOOKUP($C23,corporateallocation,3,FALSE))</f>
        <v>0</v>
      </c>
      <c r="E23" s="23">
        <f>(VLOOKUP($A23,'calculation¦capex'!$A$16:$Q$216,E$13-13,FALSE)/1000*VLOOKUP($C23,corporateallocation,3,FALSE))</f>
        <v>0</v>
      </c>
      <c r="F23" s="23">
        <f>(VLOOKUP($A23,'calculation¦capex'!$A$16:$Q$216,F$13-13,FALSE)/1000*VLOOKUP($C23,corporateallocation,3,FALSE))</f>
        <v>0</v>
      </c>
      <c r="G23" s="23">
        <f>(VLOOKUP($A23,'calculation¦capex'!$A$16:$Q$216,G$13-13,FALSE)/1000*VLOOKUP($C23,corporateallocation,3,FALSE))</f>
        <v>0</v>
      </c>
      <c r="H23" s="23">
        <f>(VLOOKUP($A23,'calculation¦capex'!$A$16:$Q$216,H$13-13,FALSE)/1000*VLOOKUP($C23,corporateallocation,3,FALSE))</f>
        <v>0</v>
      </c>
      <c r="I23" s="23">
        <f>(VLOOKUP($A23,'calculation¦capex'!$A$16:$Q$216,I$13-13,FALSE)/1000*VLOOKUP($C23,corporateallocation,3,FALSE))</f>
        <v>0</v>
      </c>
      <c r="J23" s="8">
        <f>VLOOKUP(A23,'calculation¦capex'!$A$16:$AD$121,12,FALSE)</f>
        <v>0</v>
      </c>
      <c r="M23" s="15" t="s">
        <v>172</v>
      </c>
      <c r="O23" s="15"/>
      <c r="P23" s="15"/>
      <c r="Q23" s="15"/>
      <c r="R23" s="15"/>
    </row>
    <row r="24" spans="1:26" ht="16.5" x14ac:dyDescent="0.3">
      <c r="A24" s="16" t="str">
        <f>'calculation¦capex'!A27</f>
        <v>EMERGENCY STOPPLE FITTINGS FOR DN250 EMERGENCIES</v>
      </c>
      <c r="B24" s="8" t="str">
        <f>IFERROR(VLOOKUP($A24,'calculation¦capex'!$A$16:$AF$216,30,FALSE),"")</f>
        <v>$2015/16</v>
      </c>
      <c r="C24" s="8" t="str">
        <f>IFERROR(VLOOKUP(A24,'calculation¦capex'!A26:Q226,2,FALSE),"")</f>
        <v>RBP</v>
      </c>
      <c r="D24" s="23">
        <f>(VLOOKUP($A24,'calculation¦capex'!$A$16:$Q$216,D$13-13,FALSE)/1000*VLOOKUP($C24,corporateallocation,3,FALSE))</f>
        <v>0</v>
      </c>
      <c r="E24" s="23">
        <f>(VLOOKUP($A24,'calculation¦capex'!$A$16:$Q$216,E$13-13,FALSE)/1000*VLOOKUP($C24,corporateallocation,3,FALSE))</f>
        <v>0</v>
      </c>
      <c r="F24" s="23">
        <f>(VLOOKUP($A24,'calculation¦capex'!$A$16:$Q$216,F$13-13,FALSE)/1000*VLOOKUP($C24,corporateallocation,3,FALSE))</f>
        <v>0</v>
      </c>
      <c r="G24" s="23">
        <f>(VLOOKUP($A24,'calculation¦capex'!$A$16:$Q$216,G$13-13,FALSE)/1000*VLOOKUP($C24,corporateallocation,3,FALSE))</f>
        <v>0</v>
      </c>
      <c r="H24" s="23">
        <f>(VLOOKUP($A24,'calculation¦capex'!$A$16:$Q$216,H$13-13,FALSE)/1000*VLOOKUP($C24,corporateallocation,3,FALSE))</f>
        <v>0</v>
      </c>
      <c r="I24" s="23">
        <f>(VLOOKUP($A24,'calculation¦capex'!$A$16:$Q$216,I$13-13,FALSE)/1000*VLOOKUP($C24,corporateallocation,3,FALSE))</f>
        <v>0</v>
      </c>
      <c r="J24" s="8">
        <f>VLOOKUP(A24,'calculation¦capex'!$A$16:$AD$121,12,FALSE)</f>
        <v>0</v>
      </c>
      <c r="M24" s="14">
        <f t="shared" ref="M24:R24" si="2">D13</f>
        <v>17</v>
      </c>
      <c r="N24" s="14">
        <f t="shared" si="2"/>
        <v>18</v>
      </c>
      <c r="O24" s="14">
        <f t="shared" si="2"/>
        <v>19</v>
      </c>
      <c r="P24" s="14">
        <f t="shared" si="2"/>
        <v>20</v>
      </c>
      <c r="Q24" s="14">
        <f t="shared" si="2"/>
        <v>21</v>
      </c>
      <c r="R24" s="14">
        <f t="shared" si="2"/>
        <v>22</v>
      </c>
      <c r="S24" s="14" t="s">
        <v>62</v>
      </c>
      <c r="V24" s="14" t="s">
        <v>173</v>
      </c>
    </row>
    <row r="25" spans="1:26" ht="16.5" x14ac:dyDescent="0.3">
      <c r="A25" s="16" t="str">
        <f>'calculation¦capex'!A28</f>
        <v>Environmental Offset Strategy</v>
      </c>
      <c r="B25" s="8" t="str">
        <f>IFERROR(VLOOKUP($A25,'calculation¦capex'!$A$16:$AF$216,30,FALSE),"")</f>
        <v>$2015/16</v>
      </c>
      <c r="C25" s="8" t="str">
        <f>IFERROR(VLOOKUP(A25,'calculation¦capex'!A27:Q227,2,FALSE),"")</f>
        <v>QLD</v>
      </c>
      <c r="D25" s="23">
        <f>(VLOOKUP($A25,'calculation¦capex'!$A$16:$Q$216,D$13-13,FALSE)/1000*VLOOKUP($C25,corporateallocation,3,FALSE))</f>
        <v>0</v>
      </c>
      <c r="E25" s="23">
        <f>(VLOOKUP($A25,'calculation¦capex'!$A$16:$Q$216,E$13-13,FALSE)/1000*VLOOKUP($C25,corporateallocation,3,FALSE))</f>
        <v>0</v>
      </c>
      <c r="F25" s="23">
        <f>(VLOOKUP($A25,'calculation¦capex'!$A$16:$Q$216,F$13-13,FALSE)/1000*VLOOKUP($C25,corporateallocation,3,FALSE))</f>
        <v>0</v>
      </c>
      <c r="G25" s="23">
        <f>(VLOOKUP($A25,'calculation¦capex'!$A$16:$Q$216,G$13-13,FALSE)/1000*VLOOKUP($C25,corporateallocation,3,FALSE))</f>
        <v>0</v>
      </c>
      <c r="H25" s="23">
        <f>(VLOOKUP($A25,'calculation¦capex'!$A$16:$Q$216,H$13-13,FALSE)/1000*VLOOKUP($C25,corporateallocation,3,FALSE))</f>
        <v>0</v>
      </c>
      <c r="I25" s="23">
        <f>(VLOOKUP($A25,'calculation¦capex'!$A$16:$Q$216,I$13-13,FALSE)/1000*VLOOKUP($C25,corporateallocation,3,FALSE))</f>
        <v>0</v>
      </c>
      <c r="J25" s="8">
        <f>VLOOKUP(A25,'calculation¦capex'!$A$16:$AD$121,12,FALSE)</f>
        <v>0</v>
      </c>
      <c r="M25" s="10">
        <f t="shared" ref="M25:R25" si="3">SUM(D14:D214)</f>
        <v>17810.223669347088</v>
      </c>
      <c r="N25" s="10">
        <f t="shared" si="3"/>
        <v>25331.813113149212</v>
      </c>
      <c r="O25" s="10">
        <f t="shared" si="3"/>
        <v>15544.219816308196</v>
      </c>
      <c r="P25" s="10">
        <f t="shared" si="3"/>
        <v>6703.9890505588455</v>
      </c>
      <c r="Q25" s="10">
        <f t="shared" si="3"/>
        <v>8171.3890502261402</v>
      </c>
      <c r="R25" s="10">
        <f t="shared" si="3"/>
        <v>9427.743900563346</v>
      </c>
      <c r="S25" s="10">
        <f>SUM(M25:R25)</f>
        <v>82989.378600152835</v>
      </c>
      <c r="V25" s="33" t="b">
        <f>S25=(SUMIF('calculation¦capex'!$B$17:$B$217,'inputs¦other'!A26,'calculation¦capex'!$P$17:$P$217)*'inputs¦other'!C26+SUMIF('calculation¦capex'!$B$17:$B$217,'inputs¦other'!A27,'calculation¦capex'!$P$17:$P$217)*'inputs¦other'!C27+SUMIF('calculation¦capex'!$B$17:$B$217,'inputs¦other'!A28,'calculation¦capex'!$P$17:$P$217)*'inputs¦other'!C28+SUMIF('calculation¦capex'!$B$17:$B$217,'inputs¦other'!A29,'calculation¦capex'!$P$17:$P$217)*'inputs¦other'!C29+SUMIF('calculation¦capex'!$B$17:$B$217,'inputs¦other'!A30,'calculation¦capex'!$P$17:$P$217)*'inputs¦other'!C30+SUMIF('calculation¦capex'!$B$17:$B$217,'inputs¦other'!A31,'calculation¦capex'!$P$17:$P$217)*'inputs¦other'!C31)/1000</f>
        <v>1</v>
      </c>
    </row>
    <row r="26" spans="1:26" ht="16.5" x14ac:dyDescent="0.3">
      <c r="A26" s="16" t="str">
        <f>'calculation¦capex'!A29</f>
        <v>Files up to date on x-info</v>
      </c>
      <c r="B26" s="8" t="str">
        <f>IFERROR(VLOOKUP($A26,'calculation¦capex'!$A$16:$AF$216,30,FALSE),"")</f>
        <v>$2015/16</v>
      </c>
      <c r="C26" s="8" t="str">
        <f>IFERROR(VLOOKUP(A26,'calculation¦capex'!A28:Q228,2,FALSE),"")</f>
        <v>QLD</v>
      </c>
      <c r="D26" s="23">
        <f>(VLOOKUP($A26,'calculation¦capex'!$A$16:$Q$216,D$13-13,FALSE)/1000*VLOOKUP($C26,corporateallocation,3,FALSE))</f>
        <v>0</v>
      </c>
      <c r="E26" s="23">
        <f>(VLOOKUP($A26,'calculation¦capex'!$A$16:$Q$216,E$13-13,FALSE)/1000*VLOOKUP($C26,corporateallocation,3,FALSE))</f>
        <v>0</v>
      </c>
      <c r="F26" s="23">
        <f>(VLOOKUP($A26,'calculation¦capex'!$A$16:$Q$216,F$13-13,FALSE)/1000*VLOOKUP($C26,corporateallocation,3,FALSE))</f>
        <v>0</v>
      </c>
      <c r="G26" s="23">
        <f>(VLOOKUP($A26,'calculation¦capex'!$A$16:$Q$216,G$13-13,FALSE)/1000*VLOOKUP($C26,corporateallocation,3,FALSE))</f>
        <v>0</v>
      </c>
      <c r="H26" s="23">
        <f>(VLOOKUP($A26,'calculation¦capex'!$A$16:$Q$216,H$13-13,FALSE)/1000*VLOOKUP($C26,corporateallocation,3,FALSE))</f>
        <v>0</v>
      </c>
      <c r="I26" s="23">
        <f>(VLOOKUP($A26,'calculation¦capex'!$A$16:$Q$216,I$13-13,FALSE)/1000*VLOOKUP($C26,corporateallocation,3,FALSE))</f>
        <v>0</v>
      </c>
      <c r="J26" s="8">
        <f>VLOOKUP(A26,'calculation¦capex'!$A$16:$AD$121,12,FALSE)</f>
        <v>0</v>
      </c>
    </row>
    <row r="27" spans="1:26" ht="16.5" x14ac:dyDescent="0.3">
      <c r="A27" s="16" t="str">
        <f>'calculation¦capex'!A30</f>
        <v xml:space="preserve">Fire protection upgrades to RBP compressor stations (FM Global) </v>
      </c>
      <c r="B27" s="8" t="str">
        <f>IFERROR(VLOOKUP($A27,'calculation¦capex'!$A$16:$AF$216,30,FALSE),"")</f>
        <v>$2015/16</v>
      </c>
      <c r="C27" s="8" t="str">
        <f>IFERROR(VLOOKUP(A27,'calculation¦capex'!A29:Q229,2,FALSE),"")</f>
        <v>RBP</v>
      </c>
      <c r="D27" s="23">
        <f>(VLOOKUP($A27,'calculation¦capex'!$A$16:$Q$216,D$13-13,FALSE)/1000*VLOOKUP($C27,corporateallocation,3,FALSE))</f>
        <v>0</v>
      </c>
      <c r="E27" s="23">
        <f>(VLOOKUP($A27,'calculation¦capex'!$A$16:$Q$216,E$13-13,FALSE)/1000*VLOOKUP($C27,corporateallocation,3,FALSE))</f>
        <v>0</v>
      </c>
      <c r="F27" s="23">
        <f>(VLOOKUP($A27,'calculation¦capex'!$A$16:$Q$216,F$13-13,FALSE)/1000*VLOOKUP($C27,corporateallocation,3,FALSE))</f>
        <v>0</v>
      </c>
      <c r="G27" s="23">
        <f>(VLOOKUP($A27,'calculation¦capex'!$A$16:$Q$216,G$13-13,FALSE)/1000*VLOOKUP($C27,corporateallocation,3,FALSE))</f>
        <v>0</v>
      </c>
      <c r="H27" s="23">
        <f>(VLOOKUP($A27,'calculation¦capex'!$A$16:$Q$216,H$13-13,FALSE)/1000*VLOOKUP($C27,corporateallocation,3,FALSE))</f>
        <v>0</v>
      </c>
      <c r="I27" s="23">
        <f>(VLOOKUP($A27,'calculation¦capex'!$A$16:$Q$216,I$13-13,FALSE)/1000*VLOOKUP($C27,corporateallocation,3,FALSE))</f>
        <v>0</v>
      </c>
      <c r="J27" s="8">
        <f>VLOOKUP(A27,'calculation¦capex'!$A$16:$AD$121,12,FALSE)</f>
        <v>0</v>
      </c>
      <c r="V27" s="5"/>
    </row>
    <row r="28" spans="1:26" ht="16.5" x14ac:dyDescent="0.3">
      <c r="A28" s="16" t="str">
        <f>'calculation¦capex'!A31</f>
        <v>Gas Measurement Upgrade - including shades</v>
      </c>
      <c r="B28" s="8" t="str">
        <f>IFERROR(VLOOKUP($A28,'calculation¦capex'!$A$16:$AF$216,30,FALSE),"")</f>
        <v>$2015/16</v>
      </c>
      <c r="C28" s="8" t="str">
        <f>IFERROR(VLOOKUP(A28,'calculation¦capex'!A30:Q230,2,FALSE),"")</f>
        <v>RBP</v>
      </c>
      <c r="D28" s="23">
        <f>(VLOOKUP($A28,'calculation¦capex'!$A$16:$Q$216,D$13-13,FALSE)/1000*VLOOKUP($C28,corporateallocation,3,FALSE))</f>
        <v>0</v>
      </c>
      <c r="E28" s="23">
        <f>(VLOOKUP($A28,'calculation¦capex'!$A$16:$Q$216,E$13-13,FALSE)/1000*VLOOKUP($C28,corporateallocation,3,FALSE))</f>
        <v>0</v>
      </c>
      <c r="F28" s="23">
        <f>(VLOOKUP($A28,'calculation¦capex'!$A$16:$Q$216,F$13-13,FALSE)/1000*VLOOKUP($C28,corporateallocation,3,FALSE))</f>
        <v>0</v>
      </c>
      <c r="G28" s="23">
        <f>(VLOOKUP($A28,'calculation¦capex'!$A$16:$Q$216,G$13-13,FALSE)/1000*VLOOKUP($C28,corporateallocation,3,FALSE))</f>
        <v>50</v>
      </c>
      <c r="H28" s="23">
        <f>(VLOOKUP($A28,'calculation¦capex'!$A$16:$Q$216,H$13-13,FALSE)/1000*VLOOKUP($C28,corporateallocation,3,FALSE))</f>
        <v>50</v>
      </c>
      <c r="I28" s="23">
        <f>(VLOOKUP($A28,'calculation¦capex'!$A$16:$Q$216,I$13-13,FALSE)/1000*VLOOKUP($C28,corporateallocation,3,FALSE))</f>
        <v>0</v>
      </c>
      <c r="J28" s="8">
        <f>VLOOKUP(A28,'calculation¦capex'!$A$16:$AD$121,12,FALSE)</f>
        <v>0</v>
      </c>
    </row>
    <row r="29" spans="1:26" ht="16.5" x14ac:dyDescent="0.3">
      <c r="A29" s="16" t="str">
        <f>'calculation¦capex'!A32</f>
        <v>GIBSON ISLAND E/I REVIEW FEED</v>
      </c>
      <c r="B29" s="8" t="str">
        <f>IFERROR(VLOOKUP($A29,'calculation¦capex'!$A$16:$AF$216,30,FALSE),"")</f>
        <v>$2015/16</v>
      </c>
      <c r="C29" s="8" t="str">
        <f>IFERROR(VLOOKUP(A29,'calculation¦capex'!A31:Q231,2,FALSE),"")</f>
        <v>RBP</v>
      </c>
      <c r="D29" s="23">
        <f>(VLOOKUP($A29,'calculation¦capex'!$A$16:$Q$216,D$13-13,FALSE)/1000*VLOOKUP($C29,corporateallocation,3,FALSE))</f>
        <v>10</v>
      </c>
      <c r="E29" s="23">
        <f>(VLOOKUP($A29,'calculation¦capex'!$A$16:$Q$216,E$13-13,FALSE)/1000*VLOOKUP($C29,corporateallocation,3,FALSE))</f>
        <v>0</v>
      </c>
      <c r="F29" s="23">
        <f>(VLOOKUP($A29,'calculation¦capex'!$A$16:$Q$216,F$13-13,FALSE)/1000*VLOOKUP($C29,corporateallocation,3,FALSE))</f>
        <v>0</v>
      </c>
      <c r="G29" s="23">
        <f>(VLOOKUP($A29,'calculation¦capex'!$A$16:$Q$216,G$13-13,FALSE)/1000*VLOOKUP($C29,corporateallocation,3,FALSE))</f>
        <v>0</v>
      </c>
      <c r="H29" s="23">
        <f>(VLOOKUP($A29,'calculation¦capex'!$A$16:$Q$216,H$13-13,FALSE)/1000*VLOOKUP($C29,corporateallocation,3,FALSE))</f>
        <v>0</v>
      </c>
      <c r="I29" s="23">
        <f>(VLOOKUP($A29,'calculation¦capex'!$A$16:$Q$216,I$13-13,FALSE)/1000*VLOOKUP($C29,corporateallocation,3,FALSE))</f>
        <v>0</v>
      </c>
      <c r="J29" s="8">
        <f>VLOOKUP(A29,'calculation¦capex'!$A$16:$AD$121,12,FALSE)</f>
        <v>0</v>
      </c>
    </row>
    <row r="30" spans="1:26" ht="16.5" x14ac:dyDescent="0.3">
      <c r="A30" s="16" t="str">
        <f>'calculation¦capex'!A33</f>
        <v>Gibson Island Pressure Vessel platforms</v>
      </c>
      <c r="B30" s="8" t="str">
        <f>IFERROR(VLOOKUP($A30,'calculation¦capex'!$A$16:$AF$216,30,FALSE),"")</f>
        <v>$2015/16</v>
      </c>
      <c r="C30" s="8" t="str">
        <f>IFERROR(VLOOKUP(A30,'calculation¦capex'!A32:Q232,2,FALSE),"")</f>
        <v>RBP</v>
      </c>
      <c r="D30" s="23">
        <f>(VLOOKUP($A30,'calculation¦capex'!$A$16:$Q$216,D$13-13,FALSE)/1000*VLOOKUP($C30,corporateallocation,3,FALSE))</f>
        <v>0</v>
      </c>
      <c r="E30" s="23">
        <f>(VLOOKUP($A30,'calculation¦capex'!$A$16:$Q$216,E$13-13,FALSE)/1000*VLOOKUP($C30,corporateallocation,3,FALSE))</f>
        <v>0</v>
      </c>
      <c r="F30" s="23">
        <f>(VLOOKUP($A30,'calculation¦capex'!$A$16:$Q$216,F$13-13,FALSE)/1000*VLOOKUP($C30,corporateallocation,3,FALSE))</f>
        <v>0</v>
      </c>
      <c r="G30" s="23">
        <f>(VLOOKUP($A30,'calculation¦capex'!$A$16:$Q$216,G$13-13,FALSE)/1000*VLOOKUP($C30,corporateallocation,3,FALSE))</f>
        <v>80</v>
      </c>
      <c r="H30" s="23">
        <f>(VLOOKUP($A30,'calculation¦capex'!$A$16:$Q$216,H$13-13,FALSE)/1000*VLOOKUP($C30,corporateallocation,3,FALSE))</f>
        <v>0</v>
      </c>
      <c r="I30" s="23">
        <f>(VLOOKUP($A30,'calculation¦capex'!$A$16:$Q$216,I$13-13,FALSE)/1000*VLOOKUP($C30,corporateallocation,3,FALSE))</f>
        <v>0</v>
      </c>
      <c r="J30" s="8">
        <f>VLOOKUP(A30,'calculation¦capex'!$A$16:$AD$121,12,FALSE)</f>
        <v>0</v>
      </c>
    </row>
    <row r="31" spans="1:26" ht="16.5" x14ac:dyDescent="0.3">
      <c r="A31" s="16" t="str">
        <f>'calculation¦capex'!A34</f>
        <v>Lands Property Database</v>
      </c>
      <c r="B31" s="8" t="str">
        <f>IFERROR(VLOOKUP($A31,'calculation¦capex'!$A$16:$AF$216,30,FALSE),"")</f>
        <v>$2015/16</v>
      </c>
      <c r="C31" s="8" t="str">
        <f>IFERROR(VLOOKUP(A31,'calculation¦capex'!A33:Q233,2,FALSE),"")</f>
        <v>QLD</v>
      </c>
      <c r="D31" s="23">
        <f>(VLOOKUP($A31,'calculation¦capex'!$A$16:$Q$216,D$13-13,FALSE)/1000*VLOOKUP($C31,corporateallocation,3,FALSE))</f>
        <v>0</v>
      </c>
      <c r="E31" s="23">
        <f>(VLOOKUP($A31,'calculation¦capex'!$A$16:$Q$216,E$13-13,FALSE)/1000*VLOOKUP($C31,corporateallocation,3,FALSE))</f>
        <v>0</v>
      </c>
      <c r="F31" s="23">
        <f>(VLOOKUP($A31,'calculation¦capex'!$A$16:$Q$216,F$13-13,FALSE)/1000*VLOOKUP($C31,corporateallocation,3,FALSE))</f>
        <v>0</v>
      </c>
      <c r="G31" s="23">
        <f>(VLOOKUP($A31,'calculation¦capex'!$A$16:$Q$216,G$13-13,FALSE)/1000*VLOOKUP($C31,corporateallocation,3,FALSE))</f>
        <v>0</v>
      </c>
      <c r="H31" s="23">
        <f>(VLOOKUP($A31,'calculation¦capex'!$A$16:$Q$216,H$13-13,FALSE)/1000*VLOOKUP($C31,corporateallocation,3,FALSE))</f>
        <v>0</v>
      </c>
      <c r="I31" s="23">
        <f>(VLOOKUP($A31,'calculation¦capex'!$A$16:$Q$216,I$13-13,FALSE)/1000*VLOOKUP($C31,corporateallocation,3,FALSE))</f>
        <v>0</v>
      </c>
      <c r="J31" s="8">
        <f>VLOOKUP(A31,'calculation¦capex'!$A$16:$AD$121,12,FALSE)</f>
        <v>0</v>
      </c>
    </row>
    <row r="32" spans="1:26" ht="16.5" x14ac:dyDescent="0.3">
      <c r="A32" s="16" t="str">
        <f>'calculation¦capex'!A35</f>
        <v>Laser Scanner for Feature Assessment</v>
      </c>
      <c r="B32" s="8" t="str">
        <f>IFERROR(VLOOKUP($A32,'calculation¦capex'!$A$16:$AF$216,30,FALSE),"")</f>
        <v>$2015/16</v>
      </c>
      <c r="C32" s="8" t="str">
        <f>IFERROR(VLOOKUP(A32,'calculation¦capex'!A34:Q234,2,FALSE),"")</f>
        <v>RBP</v>
      </c>
      <c r="D32" s="23">
        <f>(VLOOKUP($A32,'calculation¦capex'!$A$16:$Q$216,D$13-13,FALSE)/1000*VLOOKUP($C32,corporateallocation,3,FALSE))</f>
        <v>0</v>
      </c>
      <c r="E32" s="23">
        <f>(VLOOKUP($A32,'calculation¦capex'!$A$16:$Q$216,E$13-13,FALSE)/1000*VLOOKUP($C32,corporateallocation,3,FALSE))</f>
        <v>0</v>
      </c>
      <c r="F32" s="23">
        <f>(VLOOKUP($A32,'calculation¦capex'!$A$16:$Q$216,F$13-13,FALSE)/1000*VLOOKUP($C32,corporateallocation,3,FALSE))</f>
        <v>0</v>
      </c>
      <c r="G32" s="23">
        <f>(VLOOKUP($A32,'calculation¦capex'!$A$16:$Q$216,G$13-13,FALSE)/1000*VLOOKUP($C32,corporateallocation,3,FALSE))</f>
        <v>0</v>
      </c>
      <c r="H32" s="23">
        <f>(VLOOKUP($A32,'calculation¦capex'!$A$16:$Q$216,H$13-13,FALSE)/1000*VLOOKUP($C32,corporateallocation,3,FALSE))</f>
        <v>150</v>
      </c>
      <c r="I32" s="23">
        <f>(VLOOKUP($A32,'calculation¦capex'!$A$16:$Q$216,I$13-13,FALSE)/1000*VLOOKUP($C32,corporateallocation,3,FALSE))</f>
        <v>0</v>
      </c>
      <c r="J32" s="8" t="str">
        <f>VLOOKUP(A32,'calculation¦capex'!$A$16:$AD$121,12,FALSE)</f>
        <v>AA-03</v>
      </c>
    </row>
    <row r="33" spans="1:10" ht="16.5" x14ac:dyDescent="0.3">
      <c r="A33" s="16" t="str">
        <f>'calculation¦capex'!A36</f>
        <v>LOSS OF SUPPLY DESIGN REVIEW</v>
      </c>
      <c r="B33" s="8" t="str">
        <f>IFERROR(VLOOKUP($A33,'calculation¦capex'!$A$16:$AF$216,30,FALSE),"")</f>
        <v>$2015/16</v>
      </c>
      <c r="C33" s="8" t="str">
        <f>IFERROR(VLOOKUP(A33,'calculation¦capex'!A35:Q235,2,FALSE),"")</f>
        <v>QLD</v>
      </c>
      <c r="D33" s="23">
        <f>(VLOOKUP($A33,'calculation¦capex'!$A$16:$Q$216,D$13-13,FALSE)/1000*VLOOKUP($C33,corporateallocation,3,FALSE))</f>
        <v>8.3711864009927659</v>
      </c>
      <c r="E33" s="23">
        <f>(VLOOKUP($A33,'calculation¦capex'!$A$16:$Q$216,E$13-13,FALSE)/1000*VLOOKUP($C33,corporateallocation,3,FALSE))</f>
        <v>0</v>
      </c>
      <c r="F33" s="23">
        <f>(VLOOKUP($A33,'calculation¦capex'!$A$16:$Q$216,F$13-13,FALSE)/1000*VLOOKUP($C33,corporateallocation,3,FALSE))</f>
        <v>0</v>
      </c>
      <c r="G33" s="23">
        <f>(VLOOKUP($A33,'calculation¦capex'!$A$16:$Q$216,G$13-13,FALSE)/1000*VLOOKUP($C33,corporateallocation,3,FALSE))</f>
        <v>0</v>
      </c>
      <c r="H33" s="23">
        <f>(VLOOKUP($A33,'calculation¦capex'!$A$16:$Q$216,H$13-13,FALSE)/1000*VLOOKUP($C33,corporateallocation,3,FALSE))</f>
        <v>0</v>
      </c>
      <c r="I33" s="23">
        <f>(VLOOKUP($A33,'calculation¦capex'!$A$16:$Q$216,I$13-13,FALSE)/1000*VLOOKUP($C33,corporateallocation,3,FALSE))</f>
        <v>0</v>
      </c>
      <c r="J33" s="8">
        <f>VLOOKUP(A33,'calculation¦capex'!$A$16:$AD$121,12,FALSE)</f>
        <v>0</v>
      </c>
    </row>
    <row r="34" spans="1:10" ht="16.5" x14ac:dyDescent="0.3">
      <c r="A34" s="16" t="str">
        <f>'calculation¦capex'!A37</f>
        <v>METER PERFORMANCE PROGRAM FEED</v>
      </c>
      <c r="B34" s="8" t="str">
        <f>IFERROR(VLOOKUP($A34,'calculation¦capex'!$A$16:$AF$216,30,FALSE),"")</f>
        <v>$2015/16</v>
      </c>
      <c r="C34" s="8" t="str">
        <f>IFERROR(VLOOKUP(A34,'calculation¦capex'!A36:Q236,2,FALSE),"")</f>
        <v>QLD</v>
      </c>
      <c r="D34" s="23">
        <f>(VLOOKUP($A34,'calculation¦capex'!$A$16:$Q$216,D$13-13,FALSE)/1000*VLOOKUP($C34,corporateallocation,3,FALSE))</f>
        <v>0</v>
      </c>
      <c r="E34" s="23">
        <f>(VLOOKUP($A34,'calculation¦capex'!$A$16:$Q$216,E$13-13,FALSE)/1000*VLOOKUP($C34,corporateallocation,3,FALSE))</f>
        <v>5.5807909339951767</v>
      </c>
      <c r="F34" s="23">
        <f>(VLOOKUP($A34,'calculation¦capex'!$A$16:$Q$216,F$13-13,FALSE)/1000*VLOOKUP($C34,corporateallocation,3,FALSE))</f>
        <v>0</v>
      </c>
      <c r="G34" s="23">
        <f>(VLOOKUP($A34,'calculation¦capex'!$A$16:$Q$216,G$13-13,FALSE)/1000*VLOOKUP($C34,corporateallocation,3,FALSE))</f>
        <v>0</v>
      </c>
      <c r="H34" s="23">
        <f>(VLOOKUP($A34,'calculation¦capex'!$A$16:$Q$216,H$13-13,FALSE)/1000*VLOOKUP($C34,corporateallocation,3,FALSE))</f>
        <v>0</v>
      </c>
      <c r="I34" s="23">
        <f>(VLOOKUP($A34,'calculation¦capex'!$A$16:$Q$216,I$13-13,FALSE)/1000*VLOOKUP($C34,corporateallocation,3,FALSE))</f>
        <v>0</v>
      </c>
      <c r="J34" s="8">
        <f>VLOOKUP(A34,'calculation¦capex'!$A$16:$AD$121,12,FALSE)</f>
        <v>0</v>
      </c>
    </row>
    <row r="35" spans="1:10" ht="16.5" x14ac:dyDescent="0.3">
      <c r="A35" s="16" t="str">
        <f>'calculation¦capex'!A38</f>
        <v>MP14 MLV Removal - study and implementation</v>
      </c>
      <c r="B35" s="8" t="str">
        <f>IFERROR(VLOOKUP($A35,'calculation¦capex'!$A$16:$AF$216,30,FALSE),"")</f>
        <v>$2015/16</v>
      </c>
      <c r="C35" s="8" t="str">
        <f>IFERROR(VLOOKUP(A35,'calculation¦capex'!A37:Q237,2,FALSE),"")</f>
        <v>RBP</v>
      </c>
      <c r="D35" s="23">
        <f>(VLOOKUP($A35,'calculation¦capex'!$A$16:$Q$216,D$13-13,FALSE)/1000*VLOOKUP($C35,corporateallocation,3,FALSE))</f>
        <v>0</v>
      </c>
      <c r="E35" s="23">
        <f>(VLOOKUP($A35,'calculation¦capex'!$A$16:$Q$216,E$13-13,FALSE)/1000*VLOOKUP($C35,corporateallocation,3,FALSE))</f>
        <v>0</v>
      </c>
      <c r="F35" s="23">
        <f>(VLOOKUP($A35,'calculation¦capex'!$A$16:$Q$216,F$13-13,FALSE)/1000*VLOOKUP($C35,corporateallocation,3,FALSE))</f>
        <v>0</v>
      </c>
      <c r="G35" s="23">
        <f>(VLOOKUP($A35,'calculation¦capex'!$A$16:$Q$216,G$13-13,FALSE)/1000*VLOOKUP($C35,corporateallocation,3,FALSE))</f>
        <v>0</v>
      </c>
      <c r="H35" s="23">
        <f>(VLOOKUP($A35,'calculation¦capex'!$A$16:$Q$216,H$13-13,FALSE)/1000*VLOOKUP($C35,corporateallocation,3,FALSE))</f>
        <v>0</v>
      </c>
      <c r="I35" s="23">
        <f>(VLOOKUP($A35,'calculation¦capex'!$A$16:$Q$216,I$13-13,FALSE)/1000*VLOOKUP($C35,corporateallocation,3,FALSE))</f>
        <v>0</v>
      </c>
      <c r="J35" s="8">
        <f>VLOOKUP(A35,'calculation¦capex'!$A$16:$AD$121,12,FALSE)</f>
        <v>0</v>
      </c>
    </row>
    <row r="36" spans="1:10" ht="16.5" x14ac:dyDescent="0.3">
      <c r="A36" s="16" t="str">
        <f>'calculation¦capex'!A39</f>
        <v>PEAT lateral cleaning pigging</v>
      </c>
      <c r="B36" s="8" t="str">
        <f>IFERROR(VLOOKUP($A36,'calculation¦capex'!$A$16:$AF$216,30,FALSE),"")</f>
        <v>$2015/16</v>
      </c>
      <c r="C36" s="8" t="str">
        <f>IFERROR(VLOOKUP(A36,'calculation¦capex'!A38:Q238,2,FALSE),"")</f>
        <v>RBP</v>
      </c>
      <c r="D36" s="23">
        <f>(VLOOKUP($A36,'calculation¦capex'!$A$16:$Q$216,D$13-13,FALSE)/1000*VLOOKUP($C36,corporateallocation,3,FALSE))</f>
        <v>15</v>
      </c>
      <c r="E36" s="23">
        <f>(VLOOKUP($A36,'calculation¦capex'!$A$16:$Q$216,E$13-13,FALSE)/1000*VLOOKUP($C36,corporateallocation,3,FALSE))</f>
        <v>0</v>
      </c>
      <c r="F36" s="23">
        <f>(VLOOKUP($A36,'calculation¦capex'!$A$16:$Q$216,F$13-13,FALSE)/1000*VLOOKUP($C36,corporateallocation,3,FALSE))</f>
        <v>0</v>
      </c>
      <c r="G36" s="23">
        <f>(VLOOKUP($A36,'calculation¦capex'!$A$16:$Q$216,G$13-13,FALSE)/1000*VLOOKUP($C36,corporateallocation,3,FALSE))</f>
        <v>0</v>
      </c>
      <c r="H36" s="23">
        <f>(VLOOKUP($A36,'calculation¦capex'!$A$16:$Q$216,H$13-13,FALSE)/1000*VLOOKUP($C36,corporateallocation,3,FALSE))</f>
        <v>0</v>
      </c>
      <c r="I36" s="23">
        <f>(VLOOKUP($A36,'calculation¦capex'!$A$16:$Q$216,I$13-13,FALSE)/1000*VLOOKUP($C36,corporateallocation,3,FALSE))</f>
        <v>0</v>
      </c>
      <c r="J36" s="8">
        <f>VLOOKUP(A36,'calculation¦capex'!$A$16:$AD$121,12,FALSE)</f>
        <v>0</v>
      </c>
    </row>
    <row r="37" spans="1:10" ht="16.5" x14ac:dyDescent="0.3">
      <c r="A37" s="16" t="str">
        <f>'calculation¦capex'!A40</f>
        <v xml:space="preserve">PEAT LATERAL ILI - DN250 </v>
      </c>
      <c r="B37" s="8" t="str">
        <f>IFERROR(VLOOKUP($A37,'calculation¦capex'!$A$16:$AF$216,30,FALSE),"")</f>
        <v>$2015/16</v>
      </c>
      <c r="C37" s="8" t="str">
        <f>IFERROR(VLOOKUP(A37,'calculation¦capex'!A39:Q239,2,FALSE),"")</f>
        <v>RBP</v>
      </c>
      <c r="D37" s="23">
        <f>(VLOOKUP($A37,'calculation¦capex'!$A$16:$Q$216,D$13-13,FALSE)/1000*VLOOKUP($C37,corporateallocation,3,FALSE))</f>
        <v>0</v>
      </c>
      <c r="E37" s="23">
        <f>(VLOOKUP($A37,'calculation¦capex'!$A$16:$Q$216,E$13-13,FALSE)/1000*VLOOKUP($C37,corporateallocation,3,FALSE))</f>
        <v>0</v>
      </c>
      <c r="F37" s="23">
        <f>(VLOOKUP($A37,'calculation¦capex'!$A$16:$Q$216,F$13-13,FALSE)/1000*VLOOKUP($C37,corporateallocation,3,FALSE))</f>
        <v>0</v>
      </c>
      <c r="G37" s="23">
        <f>(VLOOKUP($A37,'calculation¦capex'!$A$16:$Q$216,G$13-13,FALSE)/1000*VLOOKUP($C37,corporateallocation,3,FALSE))</f>
        <v>140</v>
      </c>
      <c r="H37" s="23">
        <f>(VLOOKUP($A37,'calculation¦capex'!$A$16:$Q$216,H$13-13,FALSE)/1000*VLOOKUP($C37,corporateallocation,3,FALSE))</f>
        <v>0</v>
      </c>
      <c r="I37" s="23">
        <f>(VLOOKUP($A37,'calculation¦capex'!$A$16:$Q$216,I$13-13,FALSE)/1000*VLOOKUP($C37,corporateallocation,3,FALSE))</f>
        <v>0</v>
      </c>
      <c r="J37" s="8" t="str">
        <f>VLOOKUP(A37,'calculation¦capex'!$A$16:$AD$121,12,FALSE)</f>
        <v>AA-03</v>
      </c>
    </row>
    <row r="38" spans="1:10" ht="16.5" x14ac:dyDescent="0.3">
      <c r="A38" s="16" t="str">
        <f>'calculation¦capex'!A41</f>
        <v xml:space="preserve">PEAT LATERAL LIQUIDS REMOVAL </v>
      </c>
      <c r="B38" s="8" t="str">
        <f>IFERROR(VLOOKUP($A38,'calculation¦capex'!$A$16:$AF$216,30,FALSE),"")</f>
        <v>$2015/16</v>
      </c>
      <c r="C38" s="8" t="str">
        <f>IFERROR(VLOOKUP(A38,'calculation¦capex'!A40:Q240,2,FALSE),"")</f>
        <v>RBP</v>
      </c>
      <c r="D38" s="23">
        <f>(VLOOKUP($A38,'calculation¦capex'!$A$16:$Q$216,D$13-13,FALSE)/1000*VLOOKUP($C38,corporateallocation,3,FALSE))</f>
        <v>0</v>
      </c>
      <c r="E38" s="23">
        <f>(VLOOKUP($A38,'calculation¦capex'!$A$16:$Q$216,E$13-13,FALSE)/1000*VLOOKUP($C38,corporateallocation,3,FALSE))</f>
        <v>300</v>
      </c>
      <c r="F38" s="23">
        <f>(VLOOKUP($A38,'calculation¦capex'!$A$16:$Q$216,F$13-13,FALSE)/1000*VLOOKUP($C38,corporateallocation,3,FALSE))</f>
        <v>0</v>
      </c>
      <c r="G38" s="23">
        <f>(VLOOKUP($A38,'calculation¦capex'!$A$16:$Q$216,G$13-13,FALSE)/1000*VLOOKUP($C38,corporateallocation,3,FALSE))</f>
        <v>0</v>
      </c>
      <c r="H38" s="23">
        <f>(VLOOKUP($A38,'calculation¦capex'!$A$16:$Q$216,H$13-13,FALSE)/1000*VLOOKUP($C38,corporateallocation,3,FALSE))</f>
        <v>0</v>
      </c>
      <c r="I38" s="23">
        <f>(VLOOKUP($A38,'calculation¦capex'!$A$16:$Q$216,I$13-13,FALSE)/1000*VLOOKUP($C38,corporateallocation,3,FALSE))</f>
        <v>0</v>
      </c>
      <c r="J38" s="8" t="str">
        <f>VLOOKUP(A38,'calculation¦capex'!$A$16:$AD$121,12,FALSE)</f>
        <v>AA-05</v>
      </c>
    </row>
    <row r="39" spans="1:10" ht="16.5" x14ac:dyDescent="0.3">
      <c r="A39" s="16" t="str">
        <f>'calculation¦capex'!A42</f>
        <v>PIPELINE REPAIR &amp; EXCAVATION PROGRAM (unplanned)</v>
      </c>
      <c r="B39" s="8" t="str">
        <f>IFERROR(VLOOKUP($A39,'calculation¦capex'!$A$16:$AF$216,30,FALSE),"")</f>
        <v>$2015/16</v>
      </c>
      <c r="C39" s="8" t="str">
        <f>IFERROR(VLOOKUP(A39,'calculation¦capex'!A41:Q241,2,FALSE),"")</f>
        <v>RBP</v>
      </c>
      <c r="D39" s="23">
        <f>(VLOOKUP($A39,'calculation¦capex'!$A$16:$Q$216,D$13-13,FALSE)/1000*VLOOKUP($C39,corporateallocation,3,FALSE))</f>
        <v>100</v>
      </c>
      <c r="E39" s="23">
        <f>(VLOOKUP($A39,'calculation¦capex'!$A$16:$Q$216,E$13-13,FALSE)/1000*VLOOKUP($C39,corporateallocation,3,FALSE))</f>
        <v>100</v>
      </c>
      <c r="F39" s="23">
        <f>(VLOOKUP($A39,'calculation¦capex'!$A$16:$Q$216,F$13-13,FALSE)/1000*VLOOKUP($C39,corporateallocation,3,FALSE))</f>
        <v>100</v>
      </c>
      <c r="G39" s="23">
        <f>(VLOOKUP($A39,'calculation¦capex'!$A$16:$Q$216,G$13-13,FALSE)/1000*VLOOKUP($C39,corporateallocation,3,FALSE))</f>
        <v>100</v>
      </c>
      <c r="H39" s="23">
        <f>(VLOOKUP($A39,'calculation¦capex'!$A$16:$Q$216,H$13-13,FALSE)/1000*VLOOKUP($C39,corporateallocation,3,FALSE))</f>
        <v>100</v>
      </c>
      <c r="I39" s="23">
        <f>(VLOOKUP($A39,'calculation¦capex'!$A$16:$Q$216,I$13-13,FALSE)/1000*VLOOKUP($C39,corporateallocation,3,FALSE))</f>
        <v>0</v>
      </c>
      <c r="J39" s="8">
        <f>VLOOKUP(A39,'calculation¦capex'!$A$16:$AD$121,12,FALSE)</f>
        <v>0</v>
      </c>
    </row>
    <row r="40" spans="1:10" ht="16.5" x14ac:dyDescent="0.3">
      <c r="A40" s="16" t="str">
        <f>'calculation¦capex'!A43</f>
        <v>Portable Slug Catcher - DN400</v>
      </c>
      <c r="B40" s="8" t="str">
        <f>IFERROR(VLOOKUP($A40,'calculation¦capex'!$A$16:$AF$216,30,FALSE),"")</f>
        <v>$2015/16</v>
      </c>
      <c r="C40" s="8" t="str">
        <f>IFERROR(VLOOKUP(A40,'calculation¦capex'!A42:Q242,2,FALSE),"")</f>
        <v>QLD</v>
      </c>
      <c r="D40" s="23">
        <f>(VLOOKUP($A40,'calculation¦capex'!$A$16:$Q$216,D$13-13,FALSE)/1000*VLOOKUP($C40,corporateallocation,3,FALSE))</f>
        <v>223.23163735980705</v>
      </c>
      <c r="E40" s="23">
        <f>(VLOOKUP($A40,'calculation¦capex'!$A$16:$Q$216,E$13-13,FALSE)/1000*VLOOKUP($C40,corporateallocation,3,FALSE))</f>
        <v>0</v>
      </c>
      <c r="F40" s="23">
        <f>(VLOOKUP($A40,'calculation¦capex'!$A$16:$Q$216,F$13-13,FALSE)/1000*VLOOKUP($C40,corporateallocation,3,FALSE))</f>
        <v>0</v>
      </c>
      <c r="G40" s="23">
        <f>(VLOOKUP($A40,'calculation¦capex'!$A$16:$Q$216,G$13-13,FALSE)/1000*VLOOKUP($C40,corporateallocation,3,FALSE))</f>
        <v>0</v>
      </c>
      <c r="H40" s="23">
        <f>(VLOOKUP($A40,'calculation¦capex'!$A$16:$Q$216,H$13-13,FALSE)/1000*VLOOKUP($C40,corporateallocation,3,FALSE))</f>
        <v>0</v>
      </c>
      <c r="I40" s="23">
        <f>(VLOOKUP($A40,'calculation¦capex'!$A$16:$Q$216,I$13-13,FALSE)/1000*VLOOKUP($C40,corporateallocation,3,FALSE))</f>
        <v>0</v>
      </c>
      <c r="J40" s="8" t="str">
        <f>VLOOKUP(A40,'calculation¦capex'!$A$16:$AD$121,12,FALSE)</f>
        <v>AA-05</v>
      </c>
    </row>
    <row r="41" spans="1:10" ht="16.5" x14ac:dyDescent="0.3">
      <c r="A41" s="16" t="str">
        <f>'calculation¦capex'!A44</f>
        <v>PURCHASE 3D SCANNER TOOL</v>
      </c>
      <c r="B41" s="8" t="str">
        <f>IFERROR(VLOOKUP($A41,'calculation¦capex'!$A$16:$AF$216,30,FALSE),"")</f>
        <v>$2015/16</v>
      </c>
      <c r="C41" s="8" t="str">
        <f>IFERROR(VLOOKUP(A41,'calculation¦capex'!A43:Q243,2,FALSE),"")</f>
        <v>RBP</v>
      </c>
      <c r="D41" s="23">
        <f>(VLOOKUP($A41,'calculation¦capex'!$A$16:$Q$216,D$13-13,FALSE)/1000*VLOOKUP($C41,corporateallocation,3,FALSE))</f>
        <v>0</v>
      </c>
      <c r="E41" s="23">
        <f>(VLOOKUP($A41,'calculation¦capex'!$A$16:$Q$216,E$13-13,FALSE)/1000*VLOOKUP($C41,corporateallocation,3,FALSE))</f>
        <v>0</v>
      </c>
      <c r="F41" s="23">
        <f>(VLOOKUP($A41,'calculation¦capex'!$A$16:$Q$216,F$13-13,FALSE)/1000*VLOOKUP($C41,corporateallocation,3,FALSE))</f>
        <v>0</v>
      </c>
      <c r="G41" s="23">
        <f>(VLOOKUP($A41,'calculation¦capex'!$A$16:$Q$216,G$13-13,FALSE)/1000*VLOOKUP($C41,corporateallocation,3,FALSE))</f>
        <v>0</v>
      </c>
      <c r="H41" s="23">
        <f>(VLOOKUP($A41,'calculation¦capex'!$A$16:$Q$216,H$13-13,FALSE)/1000*VLOOKUP($C41,corporateallocation,3,FALSE))</f>
        <v>0</v>
      </c>
      <c r="I41" s="23">
        <f>(VLOOKUP($A41,'calculation¦capex'!$A$16:$Q$216,I$13-13,FALSE)/1000*VLOOKUP($C41,corporateallocation,3,FALSE))</f>
        <v>0</v>
      </c>
      <c r="J41" s="8">
        <f>VLOOKUP(A41,'calculation¦capex'!$A$16:$AD$121,12,FALSE)</f>
        <v>0</v>
      </c>
    </row>
    <row r="42" spans="1:10" ht="16.5" x14ac:dyDescent="0.3">
      <c r="A42" s="16" t="str">
        <f>'calculation¦capex'!A45</f>
        <v>QLD OPERATIONS SIB FUNDING</v>
      </c>
      <c r="B42" s="8" t="str">
        <f>IFERROR(VLOOKUP($A42,'calculation¦capex'!$A$16:$AF$216,30,FALSE),"")</f>
        <v>$2015/16</v>
      </c>
      <c r="C42" s="8" t="str">
        <f>IFERROR(VLOOKUP(A42,'calculation¦capex'!A44:Q244,2,FALSE),"")</f>
        <v>QLD</v>
      </c>
      <c r="D42" s="23">
        <f>(VLOOKUP($A42,'calculation¦capex'!$A$16:$Q$216,D$13-13,FALSE)/1000*VLOOKUP($C42,corporateallocation,3,FALSE))</f>
        <v>117.19660961389872</v>
      </c>
      <c r="E42" s="23">
        <f>(VLOOKUP($A42,'calculation¦capex'!$A$16:$Q$216,E$13-13,FALSE)/1000*VLOOKUP($C42,corporateallocation,3,FALSE))</f>
        <v>111.61581867990353</v>
      </c>
      <c r="F42" s="23">
        <f>(VLOOKUP($A42,'calculation¦capex'!$A$16:$Q$216,F$13-13,FALSE)/1000*VLOOKUP($C42,corporateallocation,3,FALSE))</f>
        <v>111.61581867990353</v>
      </c>
      <c r="G42" s="23">
        <f>(VLOOKUP($A42,'calculation¦capex'!$A$16:$Q$216,G$13-13,FALSE)/1000*VLOOKUP($C42,corporateallocation,3,FALSE))</f>
        <v>111.61581867990353</v>
      </c>
      <c r="H42" s="23">
        <f>(VLOOKUP($A42,'calculation¦capex'!$A$16:$Q$216,H$13-13,FALSE)/1000*VLOOKUP($C42,corporateallocation,3,FALSE))</f>
        <v>111.61581867990353</v>
      </c>
      <c r="I42" s="23">
        <f>(VLOOKUP($A42,'calculation¦capex'!$A$16:$Q$216,I$13-13,FALSE)/1000*VLOOKUP($C42,corporateallocation,3,FALSE))</f>
        <v>111.61581867990353</v>
      </c>
      <c r="J42" s="8">
        <f>VLOOKUP(A42,'calculation¦capex'!$A$16:$AD$121,12,FALSE)</f>
        <v>0</v>
      </c>
    </row>
    <row r="43" spans="1:10" ht="16.5" x14ac:dyDescent="0.3">
      <c r="A43" s="16" t="str">
        <f>'calculation¦capex'!A46</f>
        <v xml:space="preserve">QLD Tenure Audit </v>
      </c>
      <c r="B43" s="8" t="str">
        <f>IFERROR(VLOOKUP($A43,'calculation¦capex'!$A$16:$AF$216,30,FALSE),"")</f>
        <v>$2015/16</v>
      </c>
      <c r="C43" s="8" t="str">
        <f>IFERROR(VLOOKUP(A43,'calculation¦capex'!A45:Q245,2,FALSE),"")</f>
        <v>QLD</v>
      </c>
      <c r="D43" s="23">
        <f>(VLOOKUP($A43,'calculation¦capex'!$A$16:$Q$216,D$13-13,FALSE)/1000*VLOOKUP($C43,corporateallocation,3,FALSE))</f>
        <v>0</v>
      </c>
      <c r="E43" s="23">
        <f>(VLOOKUP($A43,'calculation¦capex'!$A$16:$Q$216,E$13-13,FALSE)/1000*VLOOKUP($C43,corporateallocation,3,FALSE))</f>
        <v>0</v>
      </c>
      <c r="F43" s="23">
        <f>(VLOOKUP($A43,'calculation¦capex'!$A$16:$Q$216,F$13-13,FALSE)/1000*VLOOKUP($C43,corporateallocation,3,FALSE))</f>
        <v>0</v>
      </c>
      <c r="G43" s="23">
        <f>(VLOOKUP($A43,'calculation¦capex'!$A$16:$Q$216,G$13-13,FALSE)/1000*VLOOKUP($C43,corporateallocation,3,FALSE))</f>
        <v>0</v>
      </c>
      <c r="H43" s="23">
        <f>(VLOOKUP($A43,'calculation¦capex'!$A$16:$Q$216,H$13-13,FALSE)/1000*VLOOKUP($C43,corporateallocation,3,FALSE))</f>
        <v>0</v>
      </c>
      <c r="I43" s="23">
        <f>(VLOOKUP($A43,'calculation¦capex'!$A$16:$Q$216,I$13-13,FALSE)/1000*VLOOKUP($C43,corporateallocation,3,FALSE))</f>
        <v>0</v>
      </c>
      <c r="J43" s="8">
        <f>VLOOKUP(A43,'calculation¦capex'!$A$16:$AD$121,12,FALSE)</f>
        <v>0</v>
      </c>
    </row>
    <row r="44" spans="1:10" ht="16.5" x14ac:dyDescent="0.3">
      <c r="A44" s="16" t="str">
        <f>'calculation¦capex'!A47</f>
        <v>RBP - Security fencing upgrade for vent stacks</v>
      </c>
      <c r="B44" s="8" t="str">
        <f>IFERROR(VLOOKUP($A44,'calculation¦capex'!$A$16:$AF$216,30,FALSE),"")</f>
        <v>$2015/16</v>
      </c>
      <c r="C44" s="8" t="str">
        <f>IFERROR(VLOOKUP(A44,'calculation¦capex'!A46:Q246,2,FALSE),"")</f>
        <v>RBP</v>
      </c>
      <c r="D44" s="23">
        <f>(VLOOKUP($A44,'calculation¦capex'!$A$16:$Q$216,D$13-13,FALSE)/1000*VLOOKUP($C44,corporateallocation,3,FALSE))</f>
        <v>0</v>
      </c>
      <c r="E44" s="23">
        <f>(VLOOKUP($A44,'calculation¦capex'!$A$16:$Q$216,E$13-13,FALSE)/1000*VLOOKUP($C44,corporateallocation,3,FALSE))</f>
        <v>0</v>
      </c>
      <c r="F44" s="23">
        <f>(VLOOKUP($A44,'calculation¦capex'!$A$16:$Q$216,F$13-13,FALSE)/1000*VLOOKUP($C44,corporateallocation,3,FALSE))</f>
        <v>0</v>
      </c>
      <c r="G44" s="23">
        <f>(VLOOKUP($A44,'calculation¦capex'!$A$16:$Q$216,G$13-13,FALSE)/1000*VLOOKUP($C44,corporateallocation,3,FALSE))</f>
        <v>0</v>
      </c>
      <c r="H44" s="23">
        <f>(VLOOKUP($A44,'calculation¦capex'!$A$16:$Q$216,H$13-13,FALSE)/1000*VLOOKUP($C44,corporateallocation,3,FALSE))</f>
        <v>0</v>
      </c>
      <c r="I44" s="23">
        <f>(VLOOKUP($A44,'calculation¦capex'!$A$16:$Q$216,I$13-13,FALSE)/1000*VLOOKUP($C44,corporateallocation,3,FALSE))</f>
        <v>0</v>
      </c>
      <c r="J44" s="8">
        <f>VLOOKUP(A44,'calculation¦capex'!$A$16:$AD$121,12,FALSE)</f>
        <v>0</v>
      </c>
    </row>
    <row r="45" spans="1:10" ht="16.5" x14ac:dyDescent="0.3">
      <c r="A45" s="16" t="str">
        <f>'calculation¦capex'!A48</f>
        <v>RBP - Station painting program</v>
      </c>
      <c r="B45" s="8" t="str">
        <f>IFERROR(VLOOKUP($A45,'calculation¦capex'!$A$16:$AF$216,30,FALSE),"")</f>
        <v>$2015/16</v>
      </c>
      <c r="C45" s="8" t="str">
        <f>IFERROR(VLOOKUP(A45,'calculation¦capex'!A47:Q247,2,FALSE),"")</f>
        <v>RBP</v>
      </c>
      <c r="D45" s="23">
        <f>(VLOOKUP($A45,'calculation¦capex'!$A$16:$Q$216,D$13-13,FALSE)/1000*VLOOKUP($C45,corporateallocation,3,FALSE))</f>
        <v>80</v>
      </c>
      <c r="E45" s="23">
        <f>(VLOOKUP($A45,'calculation¦capex'!$A$16:$Q$216,E$13-13,FALSE)/1000*VLOOKUP($C45,corporateallocation,3,FALSE))</f>
        <v>80</v>
      </c>
      <c r="F45" s="23">
        <f>(VLOOKUP($A45,'calculation¦capex'!$A$16:$Q$216,F$13-13,FALSE)/1000*VLOOKUP($C45,corporateallocation,3,FALSE))</f>
        <v>80</v>
      </c>
      <c r="G45" s="23">
        <f>(VLOOKUP($A45,'calculation¦capex'!$A$16:$Q$216,G$13-13,FALSE)/1000*VLOOKUP($C45,corporateallocation,3,FALSE))</f>
        <v>80</v>
      </c>
      <c r="H45" s="23">
        <f>(VLOOKUP($A45,'calculation¦capex'!$A$16:$Q$216,H$13-13,FALSE)/1000*VLOOKUP($C45,corporateallocation,3,FALSE))</f>
        <v>80</v>
      </c>
      <c r="I45" s="23">
        <f>(VLOOKUP($A45,'calculation¦capex'!$A$16:$Q$216,I$13-13,FALSE)/1000*VLOOKUP($C45,corporateallocation,3,FALSE))</f>
        <v>80</v>
      </c>
      <c r="J45" s="8">
        <f>VLOOKUP(A45,'calculation¦capex'!$A$16:$AD$121,12,FALSE)</f>
        <v>0</v>
      </c>
    </row>
    <row r="46" spans="1:10" ht="16.5" x14ac:dyDescent="0.3">
      <c r="A46" s="16" t="str">
        <f>'calculation¦capex'!A49</f>
        <v xml:space="preserve">RBP - TYPE B GAS COMPLIANCE UPGRADES </v>
      </c>
      <c r="B46" s="8" t="str">
        <f>IFERROR(VLOOKUP($A46,'calculation¦capex'!$A$16:$AF$216,30,FALSE),"")</f>
        <v>$2015/16</v>
      </c>
      <c r="C46" s="8" t="str">
        <f>IFERROR(VLOOKUP(A46,'calculation¦capex'!A48:Q248,2,FALSE),"")</f>
        <v>RBP</v>
      </c>
      <c r="D46" s="23">
        <f>(VLOOKUP($A46,'calculation¦capex'!$A$16:$Q$216,D$13-13,FALSE)/1000*VLOOKUP($C46,corporateallocation,3,FALSE))</f>
        <v>25</v>
      </c>
      <c r="E46" s="23">
        <f>(VLOOKUP($A46,'calculation¦capex'!$A$16:$Q$216,E$13-13,FALSE)/1000*VLOOKUP($C46,corporateallocation,3,FALSE))</f>
        <v>110</v>
      </c>
      <c r="F46" s="23">
        <f>(VLOOKUP($A46,'calculation¦capex'!$A$16:$Q$216,F$13-13,FALSE)/1000*VLOOKUP($C46,corporateallocation,3,FALSE))</f>
        <v>110</v>
      </c>
      <c r="G46" s="23">
        <f>(VLOOKUP($A46,'calculation¦capex'!$A$16:$Q$216,G$13-13,FALSE)/1000*VLOOKUP($C46,corporateallocation,3,FALSE))</f>
        <v>0</v>
      </c>
      <c r="H46" s="23">
        <f>(VLOOKUP($A46,'calculation¦capex'!$A$16:$Q$216,H$13-13,FALSE)/1000*VLOOKUP($C46,corporateallocation,3,FALSE))</f>
        <v>0</v>
      </c>
      <c r="I46" s="23">
        <f>(VLOOKUP($A46,'calculation¦capex'!$A$16:$Q$216,I$13-13,FALSE)/1000*VLOOKUP($C46,corporateallocation,3,FALSE))</f>
        <v>0</v>
      </c>
      <c r="J46" s="8">
        <f>VLOOKUP(A46,'calculation¦capex'!$A$16:$AD$121,12,FALSE)</f>
        <v>0</v>
      </c>
    </row>
    <row r="47" spans="1:10" ht="16.5" x14ac:dyDescent="0.3">
      <c r="A47" s="16" t="str">
        <f>'calculation¦capex'!A50</f>
        <v>RBP &amp; PEAT ISOLATION PLAN UPGRADES</v>
      </c>
      <c r="B47" s="8" t="str">
        <f>IFERROR(VLOOKUP($A47,'calculation¦capex'!$A$16:$AF$216,30,FALSE),"")</f>
        <v>$2015/16</v>
      </c>
      <c r="C47" s="8" t="str">
        <f>IFERROR(VLOOKUP(A47,'calculation¦capex'!A49:Q249,2,FALSE),"")</f>
        <v>RBP</v>
      </c>
      <c r="D47" s="23">
        <f>(VLOOKUP($A47,'calculation¦capex'!$A$16:$Q$216,D$13-13,FALSE)/1000*VLOOKUP($C47,corporateallocation,3,FALSE))</f>
        <v>100</v>
      </c>
      <c r="E47" s="23">
        <f>(VLOOKUP($A47,'calculation¦capex'!$A$16:$Q$216,E$13-13,FALSE)/1000*VLOOKUP($C47,corporateallocation,3,FALSE))</f>
        <v>100</v>
      </c>
      <c r="F47" s="23">
        <f>(VLOOKUP($A47,'calculation¦capex'!$A$16:$Q$216,F$13-13,FALSE)/1000*VLOOKUP($C47,corporateallocation,3,FALSE))</f>
        <v>100</v>
      </c>
      <c r="G47" s="23">
        <f>(VLOOKUP($A47,'calculation¦capex'!$A$16:$Q$216,G$13-13,FALSE)/1000*VLOOKUP($C47,corporateallocation,3,FALSE))</f>
        <v>0</v>
      </c>
      <c r="H47" s="23">
        <f>(VLOOKUP($A47,'calculation¦capex'!$A$16:$Q$216,H$13-13,FALSE)/1000*VLOOKUP($C47,corporateallocation,3,FALSE))</f>
        <v>0</v>
      </c>
      <c r="I47" s="23">
        <f>(VLOOKUP($A47,'calculation¦capex'!$A$16:$Q$216,I$13-13,FALSE)/1000*VLOOKUP($C47,corporateallocation,3,FALSE))</f>
        <v>0</v>
      </c>
      <c r="J47" s="8">
        <f>VLOOKUP(A47,'calculation¦capex'!$A$16:$AD$121,12,FALSE)</f>
        <v>0</v>
      </c>
    </row>
    <row r="48" spans="1:10" ht="16.5" x14ac:dyDescent="0.3">
      <c r="A48" s="16" t="str">
        <f>'calculation¦capex'!A51</f>
        <v>RBP- AS4853 ELECTRICAL HAZARD UPGRADES</v>
      </c>
      <c r="B48" s="8" t="str">
        <f>IFERROR(VLOOKUP($A48,'calculation¦capex'!$A$16:$AF$216,30,FALSE),"")</f>
        <v>$2015/16</v>
      </c>
      <c r="C48" s="8" t="str">
        <f>IFERROR(VLOOKUP(A48,'calculation¦capex'!A50:Q250,2,FALSE),"")</f>
        <v>RBP</v>
      </c>
      <c r="D48" s="23">
        <f>(VLOOKUP($A48,'calculation¦capex'!$A$16:$Q$216,D$13-13,FALSE)/1000*VLOOKUP($C48,corporateallocation,3,FALSE))</f>
        <v>0</v>
      </c>
      <c r="E48" s="23">
        <f>(VLOOKUP($A48,'calculation¦capex'!$A$16:$Q$216,E$13-13,FALSE)/1000*VLOOKUP($C48,corporateallocation,3,FALSE))</f>
        <v>120</v>
      </c>
      <c r="F48" s="23">
        <f>(VLOOKUP($A48,'calculation¦capex'!$A$16:$Q$216,F$13-13,FALSE)/1000*VLOOKUP($C48,corporateallocation,3,FALSE))</f>
        <v>0</v>
      </c>
      <c r="G48" s="23">
        <f>(VLOOKUP($A48,'calculation¦capex'!$A$16:$Q$216,G$13-13,FALSE)/1000*VLOOKUP($C48,corporateallocation,3,FALSE))</f>
        <v>0</v>
      </c>
      <c r="H48" s="23">
        <f>(VLOOKUP($A48,'calculation¦capex'!$A$16:$Q$216,H$13-13,FALSE)/1000*VLOOKUP($C48,corporateallocation,3,FALSE))</f>
        <v>0</v>
      </c>
      <c r="I48" s="23">
        <f>(VLOOKUP($A48,'calculation¦capex'!$A$16:$Q$216,I$13-13,FALSE)/1000*VLOOKUP($C48,corporateallocation,3,FALSE))</f>
        <v>0</v>
      </c>
      <c r="J48" s="8">
        <f>VLOOKUP(A48,'calculation¦capex'!$A$16:$AD$121,12,FALSE)</f>
        <v>0</v>
      </c>
    </row>
    <row r="49" spans="1:10" ht="16.5" x14ac:dyDescent="0.3">
      <c r="A49" s="16" t="str">
        <f>'calculation¦capex'!A52</f>
        <v>RBP CE Lateral ILI - DN400</v>
      </c>
      <c r="B49" s="8" t="str">
        <f>IFERROR(VLOOKUP($A49,'calculation¦capex'!$A$16:$AF$216,30,FALSE),"")</f>
        <v>$2015/16</v>
      </c>
      <c r="C49" s="8" t="str">
        <f>IFERROR(VLOOKUP(A49,'calculation¦capex'!A51:Q251,2,FALSE),"")</f>
        <v>RBP</v>
      </c>
      <c r="D49" s="23">
        <f>(VLOOKUP($A49,'calculation¦capex'!$A$16:$Q$216,D$13-13,FALSE)/1000*VLOOKUP($C49,corporateallocation,3,FALSE))</f>
        <v>0</v>
      </c>
      <c r="E49" s="23">
        <f>(VLOOKUP($A49,'calculation¦capex'!$A$16:$Q$216,E$13-13,FALSE)/1000*VLOOKUP($C49,corporateallocation,3,FALSE))</f>
        <v>0</v>
      </c>
      <c r="F49" s="23">
        <f>(VLOOKUP($A49,'calculation¦capex'!$A$16:$Q$216,F$13-13,FALSE)/1000*VLOOKUP($C49,corporateallocation,3,FALSE))</f>
        <v>10</v>
      </c>
      <c r="G49" s="23">
        <f>(VLOOKUP($A49,'calculation¦capex'!$A$16:$Q$216,G$13-13,FALSE)/1000*VLOOKUP($C49,corporateallocation,3,FALSE))</f>
        <v>190</v>
      </c>
      <c r="H49" s="23">
        <f>(VLOOKUP($A49,'calculation¦capex'!$A$16:$Q$216,H$13-13,FALSE)/1000*VLOOKUP($C49,corporateallocation,3,FALSE))</f>
        <v>0</v>
      </c>
      <c r="I49" s="23">
        <f>(VLOOKUP($A49,'calculation¦capex'!$A$16:$Q$216,I$13-13,FALSE)/1000*VLOOKUP($C49,corporateallocation,3,FALSE))</f>
        <v>0</v>
      </c>
      <c r="J49" s="8" t="str">
        <f>VLOOKUP(A49,'calculation¦capex'!$A$16:$AD$121,12,FALSE)</f>
        <v>AA-03</v>
      </c>
    </row>
    <row r="50" spans="1:10" ht="16.5" x14ac:dyDescent="0.3">
      <c r="A50" s="16" t="str">
        <f>'calculation¦capex'!A53</f>
        <v>RBP Cleaning Program (DN400)</v>
      </c>
      <c r="B50" s="8" t="str">
        <f>IFERROR(VLOOKUP($A50,'calculation¦capex'!$A$16:$AF$216,30,FALSE),"")</f>
        <v>$2015/16</v>
      </c>
      <c r="C50" s="8" t="str">
        <f>IFERROR(VLOOKUP(A50,'calculation¦capex'!A52:Q252,2,FALSE),"")</f>
        <v>RBP</v>
      </c>
      <c r="D50" s="23">
        <f>(VLOOKUP($A50,'calculation¦capex'!$A$16:$Q$216,D$13-13,FALSE)/1000*VLOOKUP($C50,corporateallocation,3,FALSE))</f>
        <v>16</v>
      </c>
      <c r="E50" s="23">
        <f>(VLOOKUP($A50,'calculation¦capex'!$A$16:$Q$216,E$13-13,FALSE)/1000*VLOOKUP($C50,corporateallocation,3,FALSE))</f>
        <v>0</v>
      </c>
      <c r="F50" s="23">
        <f>(VLOOKUP($A50,'calculation¦capex'!$A$16:$Q$216,F$13-13,FALSE)/1000*VLOOKUP($C50,corporateallocation,3,FALSE))</f>
        <v>0</v>
      </c>
      <c r="G50" s="23">
        <f>(VLOOKUP($A50,'calculation¦capex'!$A$16:$Q$216,G$13-13,FALSE)/1000*VLOOKUP($C50,corporateallocation,3,FALSE))</f>
        <v>0</v>
      </c>
      <c r="H50" s="23">
        <f>(VLOOKUP($A50,'calculation¦capex'!$A$16:$Q$216,H$13-13,FALSE)/1000*VLOOKUP($C50,corporateallocation,3,FALSE))</f>
        <v>0</v>
      </c>
      <c r="I50" s="23">
        <f>(VLOOKUP($A50,'calculation¦capex'!$A$16:$Q$216,I$13-13,FALSE)/1000*VLOOKUP($C50,corporateallocation,3,FALSE))</f>
        <v>0</v>
      </c>
      <c r="J50" s="8">
        <f>VLOOKUP(A50,'calculation¦capex'!$A$16:$AD$121,12,FALSE)</f>
        <v>0</v>
      </c>
    </row>
    <row r="51" spans="1:10" ht="16.5" x14ac:dyDescent="0.3">
      <c r="A51" s="16" t="str">
        <f>'calculation¦capex'!A54</f>
        <v>RBP CP TELEMETRY UPGRADE</v>
      </c>
      <c r="B51" s="8" t="str">
        <f>IFERROR(VLOOKUP($A51,'calculation¦capex'!$A$16:$AF$216,30,FALSE),"")</f>
        <v>$2015/16</v>
      </c>
      <c r="C51" s="8" t="str">
        <f>IFERROR(VLOOKUP(A51,'calculation¦capex'!A53:Q253,2,FALSE),"")</f>
        <v>RBP</v>
      </c>
      <c r="D51" s="23">
        <f>(VLOOKUP($A51,'calculation¦capex'!$A$16:$Q$216,D$13-13,FALSE)/1000*VLOOKUP($C51,corporateallocation,3,FALSE))</f>
        <v>150</v>
      </c>
      <c r="E51" s="23">
        <f>(VLOOKUP($A51,'calculation¦capex'!$A$16:$Q$216,E$13-13,FALSE)/1000*VLOOKUP($C51,corporateallocation,3,FALSE))</f>
        <v>150</v>
      </c>
      <c r="F51" s="23">
        <f>(VLOOKUP($A51,'calculation¦capex'!$A$16:$Q$216,F$13-13,FALSE)/1000*VLOOKUP($C51,corporateallocation,3,FALSE))</f>
        <v>150</v>
      </c>
      <c r="G51" s="23">
        <f>(VLOOKUP($A51,'calculation¦capex'!$A$16:$Q$216,G$13-13,FALSE)/1000*VLOOKUP($C51,corporateallocation,3,FALSE))</f>
        <v>150</v>
      </c>
      <c r="H51" s="23">
        <f>(VLOOKUP($A51,'calculation¦capex'!$A$16:$Q$216,H$13-13,FALSE)/1000*VLOOKUP($C51,corporateallocation,3,FALSE))</f>
        <v>150</v>
      </c>
      <c r="I51" s="23">
        <f>(VLOOKUP($A51,'calculation¦capex'!$A$16:$Q$216,I$13-13,FALSE)/1000*VLOOKUP($C51,corporateallocation,3,FALSE))</f>
        <v>0</v>
      </c>
      <c r="J51" s="8" t="str">
        <f>VLOOKUP(A51,'calculation¦capex'!$A$16:$AD$121,12,FALSE)</f>
        <v>AA-03</v>
      </c>
    </row>
    <row r="52" spans="1:10" ht="16.5" x14ac:dyDescent="0.3">
      <c r="A52" s="16" t="str">
        <f>'calculation¦capex'!A55</f>
        <v>RBP CP UPGRADE PROGRAM</v>
      </c>
      <c r="B52" s="8" t="str">
        <f>IFERROR(VLOOKUP($A52,'calculation¦capex'!$A$16:$AF$216,30,FALSE),"")</f>
        <v>$2015/16</v>
      </c>
      <c r="C52" s="8" t="str">
        <f>IFERROR(VLOOKUP(A52,'calculation¦capex'!A54:Q254,2,FALSE),"")</f>
        <v>RBP</v>
      </c>
      <c r="D52" s="23">
        <f>(VLOOKUP($A52,'calculation¦capex'!$A$16:$Q$216,D$13-13,FALSE)/1000*VLOOKUP($C52,corporateallocation,3,FALSE))</f>
        <v>629</v>
      </c>
      <c r="E52" s="23">
        <f>(VLOOKUP($A52,'calculation¦capex'!$A$16:$Q$216,E$13-13,FALSE)/1000*VLOOKUP($C52,corporateallocation,3,FALSE))</f>
        <v>642</v>
      </c>
      <c r="F52" s="23">
        <f>(VLOOKUP($A52,'calculation¦capex'!$A$16:$Q$216,F$13-13,FALSE)/1000*VLOOKUP($C52,corporateallocation,3,FALSE))</f>
        <v>648</v>
      </c>
      <c r="G52" s="23">
        <f>(VLOOKUP($A52,'calculation¦capex'!$A$16:$Q$216,G$13-13,FALSE)/1000*VLOOKUP($C52,corporateallocation,3,FALSE))</f>
        <v>648</v>
      </c>
      <c r="H52" s="23">
        <f>(VLOOKUP($A52,'calculation¦capex'!$A$16:$Q$216,H$13-13,FALSE)/1000*VLOOKUP($C52,corporateallocation,3,FALSE))</f>
        <v>648</v>
      </c>
      <c r="I52" s="23">
        <f>(VLOOKUP($A52,'calculation¦capex'!$A$16:$Q$216,I$13-13,FALSE)/1000*VLOOKUP($C52,corporateallocation,3,FALSE))</f>
        <v>648</v>
      </c>
      <c r="J52" s="8" t="str">
        <f>VLOOKUP(A52,'calculation¦capex'!$A$16:$AD$121,12,FALSE)</f>
        <v>AA-03</v>
      </c>
    </row>
    <row r="53" spans="1:10" ht="16.5" x14ac:dyDescent="0.3">
      <c r="A53" s="16" t="str">
        <f>'calculation¦capex'!A56</f>
        <v>RBP DN400 Supply Offtakes</v>
      </c>
      <c r="B53" s="8" t="str">
        <f>IFERROR(VLOOKUP($A53,'calculation¦capex'!$A$16:$AF$216,30,FALSE),"")</f>
        <v>$2015/16</v>
      </c>
      <c r="C53" s="8" t="str">
        <f>IFERROR(VLOOKUP(A53,'calculation¦capex'!A55:Q255,2,FALSE),"")</f>
        <v>RBP</v>
      </c>
      <c r="D53" s="23">
        <f>(VLOOKUP($A53,'calculation¦capex'!$A$16:$Q$216,D$13-13,FALSE)/1000*VLOOKUP($C53,corporateallocation,3,FALSE))</f>
        <v>0</v>
      </c>
      <c r="E53" s="23">
        <f>(VLOOKUP($A53,'calculation¦capex'!$A$16:$Q$216,E$13-13,FALSE)/1000*VLOOKUP($C53,corporateallocation,3,FALSE))</f>
        <v>0</v>
      </c>
      <c r="F53" s="23">
        <f>(VLOOKUP($A53,'calculation¦capex'!$A$16:$Q$216,F$13-13,FALSE)/1000*VLOOKUP($C53,corporateallocation,3,FALSE))</f>
        <v>250</v>
      </c>
      <c r="G53" s="23">
        <f>(VLOOKUP($A53,'calculation¦capex'!$A$16:$Q$216,G$13-13,FALSE)/1000*VLOOKUP($C53,corporateallocation,3,FALSE))</f>
        <v>0</v>
      </c>
      <c r="H53" s="23">
        <f>(VLOOKUP($A53,'calculation¦capex'!$A$16:$Q$216,H$13-13,FALSE)/1000*VLOOKUP($C53,corporateallocation,3,FALSE))</f>
        <v>100</v>
      </c>
      <c r="I53" s="23">
        <f>(VLOOKUP($A53,'calculation¦capex'!$A$16:$Q$216,I$13-13,FALSE)/1000*VLOOKUP($C53,corporateallocation,3,FALSE))</f>
        <v>0</v>
      </c>
      <c r="J53" s="8">
        <f>VLOOKUP(A53,'calculation¦capex'!$A$16:$AD$121,12,FALSE)</f>
        <v>0</v>
      </c>
    </row>
    <row r="54" spans="1:10" ht="16.5" x14ac:dyDescent="0.3">
      <c r="A54" s="16" t="str">
        <f>'calculation¦capex'!A57</f>
        <v>RBP HA RECTIFICATION</v>
      </c>
      <c r="B54" s="8" t="str">
        <f>IFERROR(VLOOKUP($A54,'calculation¦capex'!$A$16:$AF$216,30,FALSE),"")</f>
        <v>$2015/16</v>
      </c>
      <c r="C54" s="8" t="str">
        <f>IFERROR(VLOOKUP(A54,'calculation¦capex'!A56:Q256,2,FALSE),"")</f>
        <v>RBP</v>
      </c>
      <c r="D54" s="23">
        <f>(VLOOKUP($A54,'calculation¦capex'!$A$16:$Q$216,D$13-13,FALSE)/1000*VLOOKUP($C54,corporateallocation,3,FALSE))</f>
        <v>150</v>
      </c>
      <c r="E54" s="23">
        <f>(VLOOKUP($A54,'calculation¦capex'!$A$16:$Q$216,E$13-13,FALSE)/1000*VLOOKUP($C54,corporateallocation,3,FALSE))</f>
        <v>50</v>
      </c>
      <c r="F54" s="23">
        <f>(VLOOKUP($A54,'calculation¦capex'!$A$16:$Q$216,F$13-13,FALSE)/1000*VLOOKUP($C54,corporateallocation,3,FALSE))</f>
        <v>0</v>
      </c>
      <c r="G54" s="23">
        <f>(VLOOKUP($A54,'calculation¦capex'!$A$16:$Q$216,G$13-13,FALSE)/1000*VLOOKUP($C54,corporateallocation,3,FALSE))</f>
        <v>0</v>
      </c>
      <c r="H54" s="23">
        <f>(VLOOKUP($A54,'calculation¦capex'!$A$16:$Q$216,H$13-13,FALSE)/1000*VLOOKUP($C54,corporateallocation,3,FALSE))</f>
        <v>0</v>
      </c>
      <c r="I54" s="23">
        <f>(VLOOKUP($A54,'calculation¦capex'!$A$16:$Q$216,I$13-13,FALSE)/1000*VLOOKUP($C54,corporateallocation,3,FALSE))</f>
        <v>100</v>
      </c>
      <c r="J54" s="8">
        <f>VLOOKUP(A54,'calculation¦capex'!$A$16:$AD$121,12,FALSE)</f>
        <v>0</v>
      </c>
    </row>
    <row r="55" spans="1:10" ht="16.5" x14ac:dyDescent="0.3">
      <c r="A55" s="16" t="str">
        <f>'calculation¦capex'!A58</f>
        <v>RBP LOOPING ILI - DN400</v>
      </c>
      <c r="B55" s="8" t="str">
        <f>IFERROR(VLOOKUP($A55,'calculation¦capex'!$A$16:$AF$216,30,FALSE),"")</f>
        <v>$2015/16</v>
      </c>
      <c r="C55" s="8" t="str">
        <f>IFERROR(VLOOKUP(A55,'calculation¦capex'!A57:Q257,2,FALSE),"")</f>
        <v>RBP</v>
      </c>
      <c r="D55" s="23">
        <f>(VLOOKUP($A55,'calculation¦capex'!$A$16:$Q$216,D$13-13,FALSE)/1000*VLOOKUP($C55,corporateallocation,3,FALSE))</f>
        <v>0</v>
      </c>
      <c r="E55" s="23">
        <f>(VLOOKUP($A55,'calculation¦capex'!$A$16:$Q$216,E$13-13,FALSE)/1000*VLOOKUP($C55,corporateallocation,3,FALSE))</f>
        <v>0</v>
      </c>
      <c r="F55" s="23">
        <f>(VLOOKUP($A55,'calculation¦capex'!$A$16:$Q$216,F$13-13,FALSE)/1000*VLOOKUP($C55,corporateallocation,3,FALSE))</f>
        <v>0</v>
      </c>
      <c r="G55" s="23">
        <f>(VLOOKUP($A55,'calculation¦capex'!$A$16:$Q$216,G$13-13,FALSE)/1000*VLOOKUP($C55,corporateallocation,3,FALSE))</f>
        <v>0</v>
      </c>
      <c r="H55" s="23">
        <f>(VLOOKUP($A55,'calculation¦capex'!$A$16:$Q$216,H$13-13,FALSE)/1000*VLOOKUP($C55,corporateallocation,3,FALSE))</f>
        <v>1800</v>
      </c>
      <c r="I55" s="23">
        <f>(VLOOKUP($A55,'calculation¦capex'!$A$16:$Q$216,I$13-13,FALSE)/1000*VLOOKUP($C55,corporateallocation,3,FALSE))</f>
        <v>0</v>
      </c>
      <c r="J55" s="8" t="str">
        <f>VLOOKUP(A55,'calculation¦capex'!$A$16:$AD$121,12,FALSE)</f>
        <v>AA-03</v>
      </c>
    </row>
    <row r="56" spans="1:10" ht="16.5" x14ac:dyDescent="0.3">
      <c r="A56" s="16" t="str">
        <f>'calculation¦capex'!A59</f>
        <v xml:space="preserve">RBP LYTTON LATERAL ILI - DN200 </v>
      </c>
      <c r="B56" s="8" t="str">
        <f>IFERROR(VLOOKUP($A56,'calculation¦capex'!$A$16:$AF$216,30,FALSE),"")</f>
        <v>$2015/16</v>
      </c>
      <c r="C56" s="8" t="str">
        <f>IFERROR(VLOOKUP(A56,'calculation¦capex'!A58:Q258,2,FALSE),"")</f>
        <v>RBP</v>
      </c>
      <c r="D56" s="23">
        <f>(VLOOKUP($A56,'calculation¦capex'!$A$16:$Q$216,D$13-13,FALSE)/1000*VLOOKUP($C56,corporateallocation,3,FALSE))</f>
        <v>5</v>
      </c>
      <c r="E56" s="23">
        <f>(VLOOKUP($A56,'calculation¦capex'!$A$16:$Q$216,E$13-13,FALSE)/1000*VLOOKUP($C56,corporateallocation,3,FALSE))</f>
        <v>140</v>
      </c>
      <c r="F56" s="23">
        <f>(VLOOKUP($A56,'calculation¦capex'!$A$16:$Q$216,F$13-13,FALSE)/1000*VLOOKUP($C56,corporateallocation,3,FALSE))</f>
        <v>0</v>
      </c>
      <c r="G56" s="23">
        <f>(VLOOKUP($A56,'calculation¦capex'!$A$16:$Q$216,G$13-13,FALSE)/1000*VLOOKUP($C56,corporateallocation,3,FALSE))</f>
        <v>0</v>
      </c>
      <c r="H56" s="23">
        <f>(VLOOKUP($A56,'calculation¦capex'!$A$16:$Q$216,H$13-13,FALSE)/1000*VLOOKUP($C56,corporateallocation,3,FALSE))</f>
        <v>0</v>
      </c>
      <c r="I56" s="23">
        <f>(VLOOKUP($A56,'calculation¦capex'!$A$16:$Q$216,I$13-13,FALSE)/1000*VLOOKUP($C56,corporateallocation,3,FALSE))</f>
        <v>0</v>
      </c>
      <c r="J56" s="8" t="str">
        <f>VLOOKUP(A56,'calculation¦capex'!$A$16:$AD$121,12,FALSE)</f>
        <v>AA-03</v>
      </c>
    </row>
    <row r="57" spans="1:10" ht="16.5" x14ac:dyDescent="0.3">
      <c r="A57" s="16" t="str">
        <f>'calculation¦capex'!A60</f>
        <v>RBP MAINLINE ILI PROGRAM - DN250</v>
      </c>
      <c r="B57" s="8" t="str">
        <f>IFERROR(VLOOKUP($A57,'calculation¦capex'!$A$16:$AF$216,30,FALSE),"")</f>
        <v>$2015/16</v>
      </c>
      <c r="C57" s="8" t="str">
        <f>IFERROR(VLOOKUP(A57,'calculation¦capex'!A59:Q259,2,FALSE),"")</f>
        <v>RBP</v>
      </c>
      <c r="D57" s="23">
        <f>(VLOOKUP($A57,'calculation¦capex'!$A$16:$Q$216,D$13-13,FALSE)/1000*VLOOKUP($C57,corporateallocation,3,FALSE))</f>
        <v>0</v>
      </c>
      <c r="E57" s="23">
        <f>(VLOOKUP($A57,'calculation¦capex'!$A$16:$Q$216,E$13-13,FALSE)/1000*VLOOKUP($C57,corporateallocation,3,FALSE))</f>
        <v>0</v>
      </c>
      <c r="F57" s="23">
        <f>(VLOOKUP($A57,'calculation¦capex'!$A$16:$Q$216,F$13-13,FALSE)/1000*VLOOKUP($C57,corporateallocation,3,FALSE))</f>
        <v>1500</v>
      </c>
      <c r="G57" s="23">
        <f>(VLOOKUP($A57,'calculation¦capex'!$A$16:$Q$216,G$13-13,FALSE)/1000*VLOOKUP($C57,corporateallocation,3,FALSE))</f>
        <v>0</v>
      </c>
      <c r="H57" s="23">
        <f>(VLOOKUP($A57,'calculation¦capex'!$A$16:$Q$216,H$13-13,FALSE)/1000*VLOOKUP($C57,corporateallocation,3,FALSE))</f>
        <v>0</v>
      </c>
      <c r="I57" s="23">
        <f>(VLOOKUP($A57,'calculation¦capex'!$A$16:$Q$216,I$13-13,FALSE)/1000*VLOOKUP($C57,corporateallocation,3,FALSE))</f>
        <v>0</v>
      </c>
      <c r="J57" s="8" t="str">
        <f>VLOOKUP(A57,'calculation¦capex'!$A$16:$AD$121,12,FALSE)</f>
        <v>AA-03</v>
      </c>
    </row>
    <row r="58" spans="1:10" ht="16.5" x14ac:dyDescent="0.3">
      <c r="A58" s="16" t="str">
        <f>'calculation¦capex'!A61</f>
        <v>RBP METRO (ORIGINAL) ILI - DN200</v>
      </c>
      <c r="B58" s="8" t="str">
        <f>IFERROR(VLOOKUP($A58,'calculation¦capex'!$A$16:$AF$216,30,FALSE),"")</f>
        <v>$2015/16</v>
      </c>
      <c r="C58" s="8" t="str">
        <f>IFERROR(VLOOKUP(A58,'calculation¦capex'!A60:Q260,2,FALSE),"")</f>
        <v>RBP</v>
      </c>
      <c r="D58" s="23">
        <f>(VLOOKUP($A58,'calculation¦capex'!$A$16:$Q$216,D$13-13,FALSE)/1000*VLOOKUP($C58,corporateallocation,3,FALSE))</f>
        <v>0</v>
      </c>
      <c r="E58" s="23">
        <f>(VLOOKUP($A58,'calculation¦capex'!$A$16:$Q$216,E$13-13,FALSE)/1000*VLOOKUP($C58,corporateallocation,3,FALSE))</f>
        <v>60</v>
      </c>
      <c r="F58" s="23">
        <f>(VLOOKUP($A58,'calculation¦capex'!$A$16:$Q$216,F$13-13,FALSE)/1000*VLOOKUP($C58,corporateallocation,3,FALSE))</f>
        <v>0</v>
      </c>
      <c r="G58" s="23">
        <f>(VLOOKUP($A58,'calculation¦capex'!$A$16:$Q$216,G$13-13,FALSE)/1000*VLOOKUP($C58,corporateallocation,3,FALSE))</f>
        <v>0</v>
      </c>
      <c r="H58" s="23">
        <f>(VLOOKUP($A58,'calculation¦capex'!$A$16:$Q$216,H$13-13,FALSE)/1000*VLOOKUP($C58,corporateallocation,3,FALSE))</f>
        <v>0</v>
      </c>
      <c r="I58" s="23">
        <f>(VLOOKUP($A58,'calculation¦capex'!$A$16:$Q$216,I$13-13,FALSE)/1000*VLOOKUP($C58,corporateallocation,3,FALSE))</f>
        <v>0</v>
      </c>
      <c r="J58" s="8" t="str">
        <f>VLOOKUP(A58,'calculation¦capex'!$A$16:$AD$121,12,FALSE)</f>
        <v>AA-03</v>
      </c>
    </row>
    <row r="59" spans="1:10" ht="16.5" x14ac:dyDescent="0.3">
      <c r="A59" s="16" t="str">
        <f>'calculation¦capex'!A62</f>
        <v>RBP METRO ILI - DN300</v>
      </c>
      <c r="B59" s="8" t="str">
        <f>IFERROR(VLOOKUP($A59,'calculation¦capex'!$A$16:$AF$216,30,FALSE),"")</f>
        <v>$2015/16</v>
      </c>
      <c r="C59" s="8" t="str">
        <f>IFERROR(VLOOKUP(A59,'calculation¦capex'!A61:Q261,2,FALSE),"")</f>
        <v>RBP</v>
      </c>
      <c r="D59" s="23">
        <f>(VLOOKUP($A59,'calculation¦capex'!$A$16:$Q$216,D$13-13,FALSE)/1000*VLOOKUP($C59,corporateallocation,3,FALSE))</f>
        <v>220</v>
      </c>
      <c r="E59" s="23">
        <f>(VLOOKUP($A59,'calculation¦capex'!$A$16:$Q$216,E$13-13,FALSE)/1000*VLOOKUP($C59,corporateallocation,3,FALSE))</f>
        <v>0</v>
      </c>
      <c r="F59" s="23">
        <f>(VLOOKUP($A59,'calculation¦capex'!$A$16:$Q$216,F$13-13,FALSE)/1000*VLOOKUP($C59,corporateallocation,3,FALSE))</f>
        <v>0</v>
      </c>
      <c r="G59" s="23">
        <f>(VLOOKUP($A59,'calculation¦capex'!$A$16:$Q$216,G$13-13,FALSE)/1000*VLOOKUP($C59,corporateallocation,3,FALSE))</f>
        <v>0</v>
      </c>
      <c r="H59" s="23">
        <f>(VLOOKUP($A59,'calculation¦capex'!$A$16:$Q$216,H$13-13,FALSE)/1000*VLOOKUP($C59,corporateallocation,3,FALSE))</f>
        <v>0</v>
      </c>
      <c r="I59" s="23">
        <f>(VLOOKUP($A59,'calculation¦capex'!$A$16:$Q$216,I$13-13,FALSE)/1000*VLOOKUP($C59,corporateallocation,3,FALSE))</f>
        <v>220</v>
      </c>
      <c r="J59" s="8" t="str">
        <f>VLOOKUP(A59,'calculation¦capex'!$A$16:$AD$121,12,FALSE)</f>
        <v>AA-03</v>
      </c>
    </row>
    <row r="60" spans="1:10" ht="16.5" x14ac:dyDescent="0.3">
      <c r="A60" s="16" t="str">
        <f>'calculation¦capex'!A63</f>
        <v xml:space="preserve">RBP METRO LOOP ILI - DN400 </v>
      </c>
      <c r="B60" s="8" t="str">
        <f>IFERROR(VLOOKUP($A60,'calculation¦capex'!$A$16:$AF$216,30,FALSE),"")</f>
        <v>$2015/16</v>
      </c>
      <c r="C60" s="8" t="str">
        <f>IFERROR(VLOOKUP(A60,'calculation¦capex'!A62:Q262,2,FALSE),"")</f>
        <v>RBP</v>
      </c>
      <c r="D60" s="23">
        <f>(VLOOKUP($A60,'calculation¦capex'!$A$16:$Q$216,D$13-13,FALSE)/1000*VLOOKUP($C60,corporateallocation,3,FALSE))</f>
        <v>0</v>
      </c>
      <c r="E60" s="23">
        <f>(VLOOKUP($A60,'calculation¦capex'!$A$16:$Q$216,E$13-13,FALSE)/1000*VLOOKUP($C60,corporateallocation,3,FALSE))</f>
        <v>0</v>
      </c>
      <c r="F60" s="23">
        <f>(VLOOKUP($A60,'calculation¦capex'!$A$16:$Q$216,F$13-13,FALSE)/1000*VLOOKUP($C60,corporateallocation,3,FALSE))</f>
        <v>120</v>
      </c>
      <c r="G60" s="23">
        <f>(VLOOKUP($A60,'calculation¦capex'!$A$16:$Q$216,G$13-13,FALSE)/1000*VLOOKUP($C60,corporateallocation,3,FALSE))</f>
        <v>0</v>
      </c>
      <c r="H60" s="23">
        <f>(VLOOKUP($A60,'calculation¦capex'!$A$16:$Q$216,H$13-13,FALSE)/1000*VLOOKUP($C60,corporateallocation,3,FALSE))</f>
        <v>0</v>
      </c>
      <c r="I60" s="23">
        <f>(VLOOKUP($A60,'calculation¦capex'!$A$16:$Q$216,I$13-13,FALSE)/1000*VLOOKUP($C60,corporateallocation,3,FALSE))</f>
        <v>0</v>
      </c>
      <c r="J60" s="8" t="str">
        <f>VLOOKUP(A60,'calculation¦capex'!$A$16:$AD$121,12,FALSE)</f>
        <v>AA-03</v>
      </c>
    </row>
    <row r="61" spans="1:10" ht="16.5" x14ac:dyDescent="0.3">
      <c r="A61" s="16" t="str">
        <f>'calculation¦capex'!A64</f>
        <v>RBP REPLACEMENT SPOOLS FOR DN250 CHECK VALVES</v>
      </c>
      <c r="B61" s="8" t="str">
        <f>IFERROR(VLOOKUP($A61,'calculation¦capex'!$A$16:$AF$216,30,FALSE),"")</f>
        <v>$2015/16</v>
      </c>
      <c r="C61" s="8" t="str">
        <f>IFERROR(VLOOKUP(A61,'calculation¦capex'!A63:Q263,2,FALSE),"")</f>
        <v>RBP</v>
      </c>
      <c r="D61" s="23">
        <f>(VLOOKUP($A61,'calculation¦capex'!$A$16:$Q$216,D$13-13,FALSE)/1000*VLOOKUP($C61,corporateallocation,3,FALSE))</f>
        <v>10</v>
      </c>
      <c r="E61" s="23">
        <f>(VLOOKUP($A61,'calculation¦capex'!$A$16:$Q$216,E$13-13,FALSE)/1000*VLOOKUP($C61,corporateallocation,3,FALSE))</f>
        <v>0</v>
      </c>
      <c r="F61" s="23">
        <f>(VLOOKUP($A61,'calculation¦capex'!$A$16:$Q$216,F$13-13,FALSE)/1000*VLOOKUP($C61,corporateallocation,3,FALSE))</f>
        <v>0</v>
      </c>
      <c r="G61" s="23">
        <f>(VLOOKUP($A61,'calculation¦capex'!$A$16:$Q$216,G$13-13,FALSE)/1000*VLOOKUP($C61,corporateallocation,3,FALSE))</f>
        <v>0</v>
      </c>
      <c r="H61" s="23">
        <f>(VLOOKUP($A61,'calculation¦capex'!$A$16:$Q$216,H$13-13,FALSE)/1000*VLOOKUP($C61,corporateallocation,3,FALSE))</f>
        <v>0</v>
      </c>
      <c r="I61" s="23">
        <f>(VLOOKUP($A61,'calculation¦capex'!$A$16:$Q$216,I$13-13,FALSE)/1000*VLOOKUP($C61,corporateallocation,3,FALSE))</f>
        <v>0</v>
      </c>
      <c r="J61" s="8">
        <f>VLOOKUP(A61,'calculation¦capex'!$A$16:$AD$121,12,FALSE)</f>
        <v>0</v>
      </c>
    </row>
    <row r="62" spans="1:10" ht="16.5" x14ac:dyDescent="0.3">
      <c r="A62" s="16" t="str">
        <f>'calculation¦capex'!A65</f>
        <v>RBP RISK MITIGATION - FEED and IMPLEMENTATION</v>
      </c>
      <c r="B62" s="8" t="str">
        <f>IFERROR(VLOOKUP($A62,'calculation¦capex'!$A$16:$AF$216,30,FALSE),"")</f>
        <v>$2015/16</v>
      </c>
      <c r="C62" s="8" t="str">
        <f>IFERROR(VLOOKUP(A62,'calculation¦capex'!A64:Q264,2,FALSE),"")</f>
        <v>RBP</v>
      </c>
      <c r="D62" s="23">
        <f>(VLOOKUP($A62,'calculation¦capex'!$A$16:$Q$216,D$13-13,FALSE)/1000*VLOOKUP($C62,corporateallocation,3,FALSE))</f>
        <v>8000</v>
      </c>
      <c r="E62" s="23">
        <f>(VLOOKUP($A62,'calculation¦capex'!$A$16:$Q$216,E$13-13,FALSE)/1000*VLOOKUP($C62,corporateallocation,3,FALSE))</f>
        <v>1650</v>
      </c>
      <c r="F62" s="23">
        <f>(VLOOKUP($A62,'calculation¦capex'!$A$16:$Q$216,F$13-13,FALSE)/1000*VLOOKUP($C62,corporateallocation,3,FALSE))</f>
        <v>300</v>
      </c>
      <c r="G62" s="23">
        <f>(VLOOKUP($A62,'calculation¦capex'!$A$16:$Q$216,G$13-13,FALSE)/1000*VLOOKUP($C62,corporateallocation,3,FALSE))</f>
        <v>300</v>
      </c>
      <c r="H62" s="23">
        <f>(VLOOKUP($A62,'calculation¦capex'!$A$16:$Q$216,H$13-13,FALSE)/1000*VLOOKUP($C62,corporateallocation,3,FALSE))</f>
        <v>300</v>
      </c>
      <c r="I62" s="23">
        <f>(VLOOKUP($A62,'calculation¦capex'!$A$16:$Q$216,I$13-13,FALSE)/1000*VLOOKUP($C62,corporateallocation,3,FALSE))</f>
        <v>300</v>
      </c>
      <c r="J62" s="8" t="str">
        <f>VLOOKUP(A62,'calculation¦capex'!$A$16:$AD$121,12,FALSE)</f>
        <v>AA-02</v>
      </c>
    </row>
    <row r="63" spans="1:10" ht="16.5" x14ac:dyDescent="0.3">
      <c r="A63" s="16" t="str">
        <f>'calculation¦capex'!A66</f>
        <v>RBP S20 Decommissioned Compressor Removal</v>
      </c>
      <c r="B63" s="8" t="str">
        <f>IFERROR(VLOOKUP($A63,'calculation¦capex'!$A$16:$AF$216,30,FALSE),"")</f>
        <v>$2015/16</v>
      </c>
      <c r="C63" s="8" t="str">
        <f>IFERROR(VLOOKUP(A63,'calculation¦capex'!A65:Q265,2,FALSE),"")</f>
        <v>RBP</v>
      </c>
      <c r="D63" s="23">
        <f>(VLOOKUP($A63,'calculation¦capex'!$A$16:$Q$216,D$13-13,FALSE)/1000*VLOOKUP($C63,corporateallocation,3,FALSE))</f>
        <v>0</v>
      </c>
      <c r="E63" s="23">
        <f>(VLOOKUP($A63,'calculation¦capex'!$A$16:$Q$216,E$13-13,FALSE)/1000*VLOOKUP($C63,corporateallocation,3,FALSE))</f>
        <v>100</v>
      </c>
      <c r="F63" s="23">
        <f>(VLOOKUP($A63,'calculation¦capex'!$A$16:$Q$216,F$13-13,FALSE)/1000*VLOOKUP($C63,corporateallocation,3,FALSE))</f>
        <v>100</v>
      </c>
      <c r="G63" s="23">
        <f>(VLOOKUP($A63,'calculation¦capex'!$A$16:$Q$216,G$13-13,FALSE)/1000*VLOOKUP($C63,corporateallocation,3,FALSE))</f>
        <v>0</v>
      </c>
      <c r="H63" s="23">
        <f>(VLOOKUP($A63,'calculation¦capex'!$A$16:$Q$216,H$13-13,FALSE)/1000*VLOOKUP($C63,corporateallocation,3,FALSE))</f>
        <v>0</v>
      </c>
      <c r="I63" s="23">
        <f>(VLOOKUP($A63,'calculation¦capex'!$A$16:$Q$216,I$13-13,FALSE)/1000*VLOOKUP($C63,corporateallocation,3,FALSE))</f>
        <v>0</v>
      </c>
      <c r="J63" s="8">
        <f>VLOOKUP(A63,'calculation¦capex'!$A$16:$AD$121,12,FALSE)</f>
        <v>0</v>
      </c>
    </row>
    <row r="64" spans="1:10" ht="16.5" x14ac:dyDescent="0.3">
      <c r="A64" s="16" t="str">
        <f>'calculation¦capex'!A67</f>
        <v>RBP SCC EMAT ILI - DN300</v>
      </c>
      <c r="B64" s="8" t="str">
        <f>IFERROR(VLOOKUP($A64,'calculation¦capex'!$A$16:$AF$216,30,FALSE),"")</f>
        <v>$2015/16</v>
      </c>
      <c r="C64" s="8" t="str">
        <f>IFERROR(VLOOKUP(A64,'calculation¦capex'!A66:Q266,2,FALSE),"")</f>
        <v>RBP</v>
      </c>
      <c r="D64" s="23">
        <f>(VLOOKUP($A64,'calculation¦capex'!$A$16:$Q$216,D$13-13,FALSE)/1000*VLOOKUP($C64,corporateallocation,3,FALSE))</f>
        <v>0</v>
      </c>
      <c r="E64" s="23">
        <f>(VLOOKUP($A64,'calculation¦capex'!$A$16:$Q$216,E$13-13,FALSE)/1000*VLOOKUP($C64,corporateallocation,3,FALSE))</f>
        <v>0</v>
      </c>
      <c r="F64" s="23">
        <f>(VLOOKUP($A64,'calculation¦capex'!$A$16:$Q$216,F$13-13,FALSE)/1000*VLOOKUP($C64,corporateallocation,3,FALSE))</f>
        <v>0</v>
      </c>
      <c r="G64" s="23">
        <f>(VLOOKUP($A64,'calculation¦capex'!$A$16:$Q$216,G$13-13,FALSE)/1000*VLOOKUP($C64,corporateallocation,3,FALSE))</f>
        <v>0</v>
      </c>
      <c r="H64" s="23">
        <f>(VLOOKUP($A64,'calculation¦capex'!$A$16:$Q$216,H$13-13,FALSE)/1000*VLOOKUP($C64,corporateallocation,3,FALSE))</f>
        <v>0</v>
      </c>
      <c r="I64" s="23">
        <f>(VLOOKUP($A64,'calculation¦capex'!$A$16:$Q$216,I$13-13,FALSE)/1000*VLOOKUP($C64,corporateallocation,3,FALSE))</f>
        <v>900</v>
      </c>
      <c r="J64" s="8" t="str">
        <f>VLOOKUP(A64,'calculation¦capex'!$A$16:$AD$121,12,FALSE)</f>
        <v>AA-03</v>
      </c>
    </row>
    <row r="65" spans="1:10" ht="16.5" x14ac:dyDescent="0.3">
      <c r="A65" s="16" t="str">
        <f>'calculation¦capex'!A68</f>
        <v xml:space="preserve">RBP SCCMP EMAT ILI - DN250 </v>
      </c>
      <c r="B65" s="8" t="str">
        <f>IFERROR(VLOOKUP($A65,'calculation¦capex'!$A$16:$AF$216,30,FALSE),"")</f>
        <v>$2015/16</v>
      </c>
      <c r="C65" s="8" t="str">
        <f>IFERROR(VLOOKUP(A65,'calculation¦capex'!A67:Q267,2,FALSE),"")</f>
        <v>RBP</v>
      </c>
      <c r="D65" s="23">
        <f>(VLOOKUP($A65,'calculation¦capex'!$A$16:$Q$216,D$13-13,FALSE)/1000*VLOOKUP($C65,corporateallocation,3,FALSE))</f>
        <v>0</v>
      </c>
      <c r="E65" s="23">
        <f>(VLOOKUP($A65,'calculation¦capex'!$A$16:$Q$216,E$13-13,FALSE)/1000*VLOOKUP($C65,corporateallocation,3,FALSE))</f>
        <v>1800</v>
      </c>
      <c r="F65" s="23">
        <f>(VLOOKUP($A65,'calculation¦capex'!$A$16:$Q$216,F$13-13,FALSE)/1000*VLOOKUP($C65,corporateallocation,3,FALSE))</f>
        <v>1200</v>
      </c>
      <c r="G65" s="23">
        <f>(VLOOKUP($A65,'calculation¦capex'!$A$16:$Q$216,G$13-13,FALSE)/1000*VLOOKUP($C65,corporateallocation,3,FALSE))</f>
        <v>0</v>
      </c>
      <c r="H65" s="23">
        <f>(VLOOKUP($A65,'calculation¦capex'!$A$16:$Q$216,H$13-13,FALSE)/1000*VLOOKUP($C65,corporateallocation,3,FALSE))</f>
        <v>0</v>
      </c>
      <c r="I65" s="23">
        <f>(VLOOKUP($A65,'calculation¦capex'!$A$16:$Q$216,I$13-13,FALSE)/1000*VLOOKUP($C65,corporateallocation,3,FALSE))</f>
        <v>0</v>
      </c>
      <c r="J65" s="8" t="str">
        <f>VLOOKUP(A65,'calculation¦capex'!$A$16:$AD$121,12,FALSE)</f>
        <v>AA-03</v>
      </c>
    </row>
    <row r="66" spans="1:10" ht="16.5" x14ac:dyDescent="0.3">
      <c r="A66" s="16" t="str">
        <f>'calculation¦capex'!A69</f>
        <v>RBP SCRAPER TRAP MODIFICATIONS</v>
      </c>
      <c r="B66" s="8" t="str">
        <f>IFERROR(VLOOKUP($A66,'calculation¦capex'!$A$16:$AF$216,30,FALSE),"")</f>
        <v>$2015/16</v>
      </c>
      <c r="C66" s="8" t="str">
        <f>IFERROR(VLOOKUP(A66,'calculation¦capex'!A68:Q268,2,FALSE),"")</f>
        <v>RBP</v>
      </c>
      <c r="D66" s="23">
        <f>(VLOOKUP($A66,'calculation¦capex'!$A$16:$Q$216,D$13-13,FALSE)/1000*VLOOKUP($C66,corporateallocation,3,FALSE))</f>
        <v>0</v>
      </c>
      <c r="E66" s="23">
        <f>(VLOOKUP($A66,'calculation¦capex'!$A$16:$Q$216,E$13-13,FALSE)/1000*VLOOKUP($C66,corporateallocation,3,FALSE))</f>
        <v>200</v>
      </c>
      <c r="F66" s="23">
        <f>(VLOOKUP($A66,'calculation¦capex'!$A$16:$Q$216,F$13-13,FALSE)/1000*VLOOKUP($C66,corporateallocation,3,FALSE))</f>
        <v>200</v>
      </c>
      <c r="G66" s="23">
        <f>(VLOOKUP($A66,'calculation¦capex'!$A$16:$Q$216,G$13-13,FALSE)/1000*VLOOKUP($C66,corporateallocation,3,FALSE))</f>
        <v>0</v>
      </c>
      <c r="H66" s="23">
        <f>(VLOOKUP($A66,'calculation¦capex'!$A$16:$Q$216,H$13-13,FALSE)/1000*VLOOKUP($C66,corporateallocation,3,FALSE))</f>
        <v>0</v>
      </c>
      <c r="I66" s="23">
        <f>(VLOOKUP($A66,'calculation¦capex'!$A$16:$Q$216,I$13-13,FALSE)/1000*VLOOKUP($C66,corporateallocation,3,FALSE))</f>
        <v>0</v>
      </c>
      <c r="J66" s="8" t="str">
        <f>VLOOKUP(A66,'calculation¦capex'!$A$16:$AD$121,12,FALSE)</f>
        <v>AA-03</v>
      </c>
    </row>
    <row r="67" spans="1:10" ht="16.5" x14ac:dyDescent="0.3">
      <c r="A67" s="16" t="str">
        <f>'calculation¦capex'!A70</f>
        <v>RBP STATION FIRE SUPRESSION UPGRADES - BELLBIRD PARK</v>
      </c>
      <c r="B67" s="8" t="str">
        <f>IFERROR(VLOOKUP($A67,'calculation¦capex'!$A$16:$AF$216,30,FALSE),"")</f>
        <v>$2015/16</v>
      </c>
      <c r="C67" s="8" t="str">
        <f>IFERROR(VLOOKUP(A67,'calculation¦capex'!A69:Q269,2,FALSE),"")</f>
        <v>RBP</v>
      </c>
      <c r="D67" s="23">
        <f>(VLOOKUP($A67,'calculation¦capex'!$A$16:$Q$216,D$13-13,FALSE)/1000*VLOOKUP($C67,corporateallocation,3,FALSE))</f>
        <v>0</v>
      </c>
      <c r="E67" s="23">
        <f>(VLOOKUP($A67,'calculation¦capex'!$A$16:$Q$216,E$13-13,FALSE)/1000*VLOOKUP($C67,corporateallocation,3,FALSE))</f>
        <v>0</v>
      </c>
      <c r="F67" s="23">
        <f>(VLOOKUP($A67,'calculation¦capex'!$A$16:$Q$216,F$13-13,FALSE)/1000*VLOOKUP($C67,corporateallocation,3,FALSE))</f>
        <v>0</v>
      </c>
      <c r="G67" s="23">
        <f>(VLOOKUP($A67,'calculation¦capex'!$A$16:$Q$216,G$13-13,FALSE)/1000*VLOOKUP($C67,corporateallocation,3,FALSE))</f>
        <v>75</v>
      </c>
      <c r="H67" s="23">
        <f>(VLOOKUP($A67,'calculation¦capex'!$A$16:$Q$216,H$13-13,FALSE)/1000*VLOOKUP($C67,corporateallocation,3,FALSE))</f>
        <v>0</v>
      </c>
      <c r="I67" s="23">
        <f>(VLOOKUP($A67,'calculation¦capex'!$A$16:$Q$216,I$13-13,FALSE)/1000*VLOOKUP($C67,corporateallocation,3,FALSE))</f>
        <v>0</v>
      </c>
      <c r="J67" s="8">
        <f>VLOOKUP(A67,'calculation¦capex'!$A$16:$AD$121,12,FALSE)</f>
        <v>0</v>
      </c>
    </row>
    <row r="68" spans="1:10" ht="16.5" x14ac:dyDescent="0.3">
      <c r="A68" s="16" t="str">
        <f>'calculation¦capex'!A71</f>
        <v>RBP STATION UPGRADES - HAZOP &amp; Other</v>
      </c>
      <c r="B68" s="8" t="str">
        <f>IFERROR(VLOOKUP($A68,'calculation¦capex'!$A$16:$AF$216,30,FALSE),"")</f>
        <v>$2015/16</v>
      </c>
      <c r="C68" s="8" t="str">
        <f>IFERROR(VLOOKUP(A68,'calculation¦capex'!A70:Q270,2,FALSE),"")</f>
        <v>RBP</v>
      </c>
      <c r="D68" s="23">
        <f>(VLOOKUP($A68,'calculation¦capex'!$A$16:$Q$216,D$13-13,FALSE)/1000*VLOOKUP($C68,corporateallocation,3,FALSE))</f>
        <v>160</v>
      </c>
      <c r="E68" s="23">
        <f>(VLOOKUP($A68,'calculation¦capex'!$A$16:$Q$216,E$13-13,FALSE)/1000*VLOOKUP($C68,corporateallocation,3,FALSE))</f>
        <v>305</v>
      </c>
      <c r="F68" s="23">
        <f>(VLOOKUP($A68,'calculation¦capex'!$A$16:$Q$216,F$13-13,FALSE)/1000*VLOOKUP($C68,corporateallocation,3,FALSE))</f>
        <v>305</v>
      </c>
      <c r="G68" s="23">
        <f>(VLOOKUP($A68,'calculation¦capex'!$A$16:$Q$216,G$13-13,FALSE)/1000*VLOOKUP($C68,corporateallocation,3,FALSE))</f>
        <v>100</v>
      </c>
      <c r="H68" s="23">
        <f>(VLOOKUP($A68,'calculation¦capex'!$A$16:$Q$216,H$13-13,FALSE)/1000*VLOOKUP($C68,corporateallocation,3,FALSE))</f>
        <v>100</v>
      </c>
      <c r="I68" s="23">
        <f>(VLOOKUP($A68,'calculation¦capex'!$A$16:$Q$216,I$13-13,FALSE)/1000*VLOOKUP($C68,corporateallocation,3,FALSE))</f>
        <v>0</v>
      </c>
      <c r="J68" s="8">
        <f>VLOOKUP(A68,'calculation¦capex'!$A$16:$AD$121,12,FALSE)</f>
        <v>0</v>
      </c>
    </row>
    <row r="69" spans="1:10" ht="16.5" x14ac:dyDescent="0.3">
      <c r="A69" s="16" t="str">
        <f>'calculation¦capex'!A72</f>
        <v xml:space="preserve">ROW Erosion Repairs - </v>
      </c>
      <c r="B69" s="8" t="str">
        <f>IFERROR(VLOOKUP($A69,'calculation¦capex'!$A$16:$AF$216,30,FALSE),"")</f>
        <v>$2015/16</v>
      </c>
      <c r="C69" s="8" t="str">
        <f>IFERROR(VLOOKUP(A69,'calculation¦capex'!A71:Q271,2,FALSE),"")</f>
        <v>RBP</v>
      </c>
      <c r="D69" s="23">
        <f>(VLOOKUP($A69,'calculation¦capex'!$A$16:$Q$216,D$13-13,FALSE)/1000*VLOOKUP($C69,corporateallocation,3,FALSE))</f>
        <v>0</v>
      </c>
      <c r="E69" s="23">
        <f>(VLOOKUP($A69,'calculation¦capex'!$A$16:$Q$216,E$13-13,FALSE)/1000*VLOOKUP($C69,corporateallocation,3,FALSE))</f>
        <v>0</v>
      </c>
      <c r="F69" s="23">
        <f>(VLOOKUP($A69,'calculation¦capex'!$A$16:$Q$216,F$13-13,FALSE)/1000*VLOOKUP($C69,corporateallocation,3,FALSE))</f>
        <v>0</v>
      </c>
      <c r="G69" s="23">
        <f>(VLOOKUP($A69,'calculation¦capex'!$A$16:$Q$216,G$13-13,FALSE)/1000*VLOOKUP($C69,corporateallocation,3,FALSE))</f>
        <v>0</v>
      </c>
      <c r="H69" s="23">
        <f>(VLOOKUP($A69,'calculation¦capex'!$A$16:$Q$216,H$13-13,FALSE)/1000*VLOOKUP($C69,corporateallocation,3,FALSE))</f>
        <v>0</v>
      </c>
      <c r="I69" s="23">
        <f>(VLOOKUP($A69,'calculation¦capex'!$A$16:$Q$216,I$13-13,FALSE)/1000*VLOOKUP($C69,corporateallocation,3,FALSE))</f>
        <v>0</v>
      </c>
      <c r="J69" s="8">
        <f>VLOOKUP(A69,'calculation¦capex'!$A$16:$AD$121,12,FALSE)</f>
        <v>0</v>
      </c>
    </row>
    <row r="70" spans="1:10" ht="16.5" x14ac:dyDescent="0.3">
      <c r="A70" s="16" t="str">
        <f>'calculation¦capex'!A73</f>
        <v>SCOTIA / WOODROYD VENT EXTENSION</v>
      </c>
      <c r="B70" s="8" t="str">
        <f>IFERROR(VLOOKUP($A70,'calculation¦capex'!$A$16:$AF$216,30,FALSE),"")</f>
        <v>$2015/16</v>
      </c>
      <c r="C70" s="8" t="str">
        <f>IFERROR(VLOOKUP(A70,'calculation¦capex'!A72:Q272,2,FALSE),"")</f>
        <v>RBP</v>
      </c>
      <c r="D70" s="23">
        <f>(VLOOKUP($A70,'calculation¦capex'!$A$16:$Q$216,D$13-13,FALSE)/1000*VLOOKUP($C70,corporateallocation,3,FALSE))</f>
        <v>0</v>
      </c>
      <c r="E70" s="23">
        <f>(VLOOKUP($A70,'calculation¦capex'!$A$16:$Q$216,E$13-13,FALSE)/1000*VLOOKUP($C70,corporateallocation,3,FALSE))</f>
        <v>30</v>
      </c>
      <c r="F70" s="23">
        <f>(VLOOKUP($A70,'calculation¦capex'!$A$16:$Q$216,F$13-13,FALSE)/1000*VLOOKUP($C70,corporateallocation,3,FALSE))</f>
        <v>0</v>
      </c>
      <c r="G70" s="23">
        <f>(VLOOKUP($A70,'calculation¦capex'!$A$16:$Q$216,G$13-13,FALSE)/1000*VLOOKUP($C70,corporateallocation,3,FALSE))</f>
        <v>0</v>
      </c>
      <c r="H70" s="23">
        <f>(VLOOKUP($A70,'calculation¦capex'!$A$16:$Q$216,H$13-13,FALSE)/1000*VLOOKUP($C70,corporateallocation,3,FALSE))</f>
        <v>0</v>
      </c>
      <c r="I70" s="23">
        <f>(VLOOKUP($A70,'calculation¦capex'!$A$16:$Q$216,I$13-13,FALSE)/1000*VLOOKUP($C70,corporateallocation,3,FALSE))</f>
        <v>0</v>
      </c>
      <c r="J70" s="8">
        <f>VLOOKUP(A70,'calculation¦capex'!$A$16:$AD$121,12,FALSE)</f>
        <v>0</v>
      </c>
    </row>
    <row r="71" spans="1:10" ht="16.5" x14ac:dyDescent="0.3">
      <c r="A71" s="16" t="str">
        <f>'calculation¦capex'!A74</f>
        <v>SIS demand/test tracking system</v>
      </c>
      <c r="B71" s="8" t="str">
        <f>IFERROR(VLOOKUP($A71,'calculation¦capex'!$A$16:$AF$216,30,FALSE),"")</f>
        <v>$2015/16</v>
      </c>
      <c r="C71" s="8" t="str">
        <f>IFERROR(VLOOKUP(A71,'calculation¦capex'!A73:Q273,2,FALSE),"")</f>
        <v>QLD</v>
      </c>
      <c r="D71" s="23">
        <f>(VLOOKUP($A71,'calculation¦capex'!$A$16:$Q$216,D$13-13,FALSE)/1000*VLOOKUP($C71,corporateallocation,3,FALSE))</f>
        <v>0</v>
      </c>
      <c r="E71" s="23">
        <f>(VLOOKUP($A71,'calculation¦capex'!$A$16:$Q$216,E$13-13,FALSE)/1000*VLOOKUP($C71,corporateallocation,3,FALSE))</f>
        <v>27.903954669975882</v>
      </c>
      <c r="F71" s="23">
        <f>(VLOOKUP($A71,'calculation¦capex'!$A$16:$Q$216,F$13-13,FALSE)/1000*VLOOKUP($C71,corporateallocation,3,FALSE))</f>
        <v>0</v>
      </c>
      <c r="G71" s="23">
        <f>(VLOOKUP($A71,'calculation¦capex'!$A$16:$Q$216,G$13-13,FALSE)/1000*VLOOKUP($C71,corporateallocation,3,FALSE))</f>
        <v>0</v>
      </c>
      <c r="H71" s="23">
        <f>(VLOOKUP($A71,'calculation¦capex'!$A$16:$Q$216,H$13-13,FALSE)/1000*VLOOKUP($C71,corporateallocation,3,FALSE))</f>
        <v>0</v>
      </c>
      <c r="I71" s="23">
        <f>(VLOOKUP($A71,'calculation¦capex'!$A$16:$Q$216,I$13-13,FALSE)/1000*VLOOKUP($C71,corporateallocation,3,FALSE))</f>
        <v>0</v>
      </c>
      <c r="J71" s="8">
        <f>VLOOKUP(A71,'calculation¦capex'!$A$16:$AD$121,12,FALSE)</f>
        <v>0</v>
      </c>
    </row>
    <row r="72" spans="1:10" ht="16.5" x14ac:dyDescent="0.3">
      <c r="A72" s="16" t="str">
        <f>'calculation¦capex'!A75</f>
        <v>SIS improvement program FEED and Implementation</v>
      </c>
      <c r="B72" s="8" t="str">
        <f>IFERROR(VLOOKUP($A72,'calculation¦capex'!$A$16:$AF$216,30,FALSE),"")</f>
        <v>$2015/16</v>
      </c>
      <c r="C72" s="8" t="str">
        <f>IFERROR(VLOOKUP(A72,'calculation¦capex'!A74:Q274,2,FALSE),"")</f>
        <v>QLD</v>
      </c>
      <c r="D72" s="23">
        <f>(VLOOKUP($A72,'calculation¦capex'!$A$16:$Q$216,D$13-13,FALSE)/1000*VLOOKUP($C72,corporateallocation,3,FALSE))</f>
        <v>27.903954669975882</v>
      </c>
      <c r="E72" s="23">
        <f>(VLOOKUP($A72,'calculation¦capex'!$A$16:$Q$216,E$13-13,FALSE)/1000*VLOOKUP($C72,corporateallocation,3,FALSE))</f>
        <v>0</v>
      </c>
      <c r="F72" s="23">
        <f>(VLOOKUP($A72,'calculation¦capex'!$A$16:$Q$216,F$13-13,FALSE)/1000*VLOOKUP($C72,corporateallocation,3,FALSE))</f>
        <v>0</v>
      </c>
      <c r="G72" s="23">
        <f>(VLOOKUP($A72,'calculation¦capex'!$A$16:$Q$216,G$13-13,FALSE)/1000*VLOOKUP($C72,corporateallocation,3,FALSE))</f>
        <v>0</v>
      </c>
      <c r="H72" s="23">
        <f>(VLOOKUP($A72,'calculation¦capex'!$A$16:$Q$216,H$13-13,FALSE)/1000*VLOOKUP($C72,corporateallocation,3,FALSE))</f>
        <v>0</v>
      </c>
      <c r="I72" s="23">
        <f>(VLOOKUP($A72,'calculation¦capex'!$A$16:$Q$216,I$13-13,FALSE)/1000*VLOOKUP($C72,corporateallocation,3,FALSE))</f>
        <v>0</v>
      </c>
      <c r="J72" s="8">
        <f>VLOOKUP(A72,'calculation¦capex'!$A$16:$AD$121,12,FALSE)</f>
        <v>0</v>
      </c>
    </row>
    <row r="73" spans="1:10" ht="16.5" x14ac:dyDescent="0.3">
      <c r="A73" s="16" t="str">
        <f>'calculation¦capex'!A76</f>
        <v xml:space="preserve">SMS Reviews - QLD </v>
      </c>
      <c r="B73" s="8" t="str">
        <f>IFERROR(VLOOKUP($A73,'calculation¦capex'!$A$16:$AF$216,30,FALSE),"")</f>
        <v>$2015/16</v>
      </c>
      <c r="C73" s="8" t="str">
        <f>IFERROR(VLOOKUP(A73,'calculation¦capex'!A75:Q275,2,FALSE),"")</f>
        <v>QLD</v>
      </c>
      <c r="D73" s="23">
        <f>(VLOOKUP($A73,'calculation¦capex'!$A$16:$Q$216,D$13-13,FALSE)/1000*VLOOKUP($C73,corporateallocation,3,FALSE))</f>
        <v>5.5807909339951767</v>
      </c>
      <c r="E73" s="23">
        <f>(VLOOKUP($A73,'calculation¦capex'!$A$16:$Q$216,E$13-13,FALSE)/1000*VLOOKUP($C73,corporateallocation,3,FALSE))</f>
        <v>0</v>
      </c>
      <c r="F73" s="23">
        <f>(VLOOKUP($A73,'calculation¦capex'!$A$16:$Q$216,F$13-13,FALSE)/1000*VLOOKUP($C73,corporateallocation,3,FALSE))</f>
        <v>0</v>
      </c>
      <c r="G73" s="23">
        <f>(VLOOKUP($A73,'calculation¦capex'!$A$16:$Q$216,G$13-13,FALSE)/1000*VLOOKUP($C73,corporateallocation,3,FALSE))</f>
        <v>0</v>
      </c>
      <c r="H73" s="23">
        <f>(VLOOKUP($A73,'calculation¦capex'!$A$16:$Q$216,H$13-13,FALSE)/1000*VLOOKUP($C73,corporateallocation,3,FALSE))</f>
        <v>0</v>
      </c>
      <c r="I73" s="23">
        <f>(VLOOKUP($A73,'calculation¦capex'!$A$16:$Q$216,I$13-13,FALSE)/1000*VLOOKUP($C73,corporateallocation,3,FALSE))</f>
        <v>0</v>
      </c>
      <c r="J73" s="8">
        <f>VLOOKUP(A73,'calculation¦capex'!$A$16:$AD$121,12,FALSE)</f>
        <v>0</v>
      </c>
    </row>
    <row r="74" spans="1:10" ht="16.5" x14ac:dyDescent="0.3">
      <c r="A74" s="16" t="str">
        <f>'calculation¦capex'!A77</f>
        <v>SMS, RLR, MEJ project review</v>
      </c>
      <c r="B74" s="8" t="str">
        <f>IFERROR(VLOOKUP($A74,'calculation¦capex'!$A$16:$AF$216,30,FALSE),"")</f>
        <v>$2015/16</v>
      </c>
      <c r="C74" s="8" t="str">
        <f>IFERROR(VLOOKUP(A74,'calculation¦capex'!A76:Q276,2,FALSE),"")</f>
        <v>QLD</v>
      </c>
      <c r="D74" s="23">
        <f>(VLOOKUP($A74,'calculation¦capex'!$A$16:$Q$216,D$13-13,FALSE)/1000*VLOOKUP($C74,corporateallocation,3,FALSE))</f>
        <v>0</v>
      </c>
      <c r="E74" s="23">
        <f>(VLOOKUP($A74,'calculation¦capex'!$A$16:$Q$216,E$13-13,FALSE)/1000*VLOOKUP($C74,corporateallocation,3,FALSE))</f>
        <v>0</v>
      </c>
      <c r="F74" s="23">
        <f>(VLOOKUP($A74,'calculation¦capex'!$A$16:$Q$216,F$13-13,FALSE)/1000*VLOOKUP($C74,corporateallocation,3,FALSE))</f>
        <v>0</v>
      </c>
      <c r="G74" s="23">
        <f>(VLOOKUP($A74,'calculation¦capex'!$A$16:$Q$216,G$13-13,FALSE)/1000*VLOOKUP($C74,corporateallocation,3,FALSE))</f>
        <v>0</v>
      </c>
      <c r="H74" s="23">
        <f>(VLOOKUP($A74,'calculation¦capex'!$A$16:$Q$216,H$13-13,FALSE)/1000*VLOOKUP($C74,corporateallocation,3,FALSE))</f>
        <v>0</v>
      </c>
      <c r="I74" s="23">
        <f>(VLOOKUP($A74,'calculation¦capex'!$A$16:$Q$216,I$13-13,FALSE)/1000*VLOOKUP($C74,corporateallocation,3,FALSE))</f>
        <v>0</v>
      </c>
      <c r="J74" s="8">
        <f>VLOOKUP(A74,'calculation¦capex'!$A$16:$AD$121,12,FALSE)</f>
        <v>0</v>
      </c>
    </row>
    <row r="75" spans="1:10" ht="16.5" x14ac:dyDescent="0.3">
      <c r="A75" s="16" t="str">
        <f>'calculation¦capex'!A78</f>
        <v>SOLAR S20 Unit Control Panel Upgrade FEED</v>
      </c>
      <c r="B75" s="8" t="str">
        <f>IFERROR(VLOOKUP($A75,'calculation¦capex'!$A$16:$AF$216,30,FALSE),"")</f>
        <v>$2015/16</v>
      </c>
      <c r="C75" s="8" t="str">
        <f>IFERROR(VLOOKUP(A75,'calculation¦capex'!A77:Q277,2,FALSE),"")</f>
        <v>RBP</v>
      </c>
      <c r="D75" s="23">
        <f>(VLOOKUP($A75,'calculation¦capex'!$A$16:$Q$216,D$13-13,FALSE)/1000*VLOOKUP($C75,corporateallocation,3,FALSE))</f>
        <v>0</v>
      </c>
      <c r="E75" s="23">
        <f>(VLOOKUP($A75,'calculation¦capex'!$A$16:$Q$216,E$13-13,FALSE)/1000*VLOOKUP($C75,corporateallocation,3,FALSE))</f>
        <v>0</v>
      </c>
      <c r="F75" s="23">
        <f>(VLOOKUP($A75,'calculation¦capex'!$A$16:$Q$216,F$13-13,FALSE)/1000*VLOOKUP($C75,corporateallocation,3,FALSE))</f>
        <v>0</v>
      </c>
      <c r="G75" s="23">
        <f>(VLOOKUP($A75,'calculation¦capex'!$A$16:$Q$216,G$13-13,FALSE)/1000*VLOOKUP($C75,corporateallocation,3,FALSE))</f>
        <v>0</v>
      </c>
      <c r="H75" s="23">
        <f>(VLOOKUP($A75,'calculation¦capex'!$A$16:$Q$216,H$13-13,FALSE)/1000*VLOOKUP($C75,corporateallocation,3,FALSE))</f>
        <v>0</v>
      </c>
      <c r="I75" s="23">
        <f>(VLOOKUP($A75,'calculation¦capex'!$A$16:$Q$216,I$13-13,FALSE)/1000*VLOOKUP($C75,corporateallocation,3,FALSE))</f>
        <v>0</v>
      </c>
      <c r="J75" s="8">
        <f>VLOOKUP(A75,'calculation¦capex'!$A$16:$AD$121,12,FALSE)</f>
        <v>0</v>
      </c>
    </row>
    <row r="76" spans="1:10" ht="16.5" x14ac:dyDescent="0.3">
      <c r="A76" s="16" t="str">
        <f>'calculation¦capex'!A79</f>
        <v>Station Remaining Life Review</v>
      </c>
      <c r="B76" s="8" t="str">
        <f>IFERROR(VLOOKUP($A76,'calculation¦capex'!$A$16:$AF$216,30,FALSE),"")</f>
        <v>$2015/16</v>
      </c>
      <c r="C76" s="8" t="str">
        <f>IFERROR(VLOOKUP(A76,'calculation¦capex'!A78:Q278,2,FALSE),"")</f>
        <v>RBP</v>
      </c>
      <c r="D76" s="23">
        <f>(VLOOKUP($A76,'calculation¦capex'!$A$16:$Q$216,D$13-13,FALSE)/1000*VLOOKUP($C76,corporateallocation,3,FALSE))</f>
        <v>0</v>
      </c>
      <c r="E76" s="23">
        <f>(VLOOKUP($A76,'calculation¦capex'!$A$16:$Q$216,E$13-13,FALSE)/1000*VLOOKUP($C76,corporateallocation,3,FALSE))</f>
        <v>0</v>
      </c>
      <c r="F76" s="23">
        <f>(VLOOKUP($A76,'calculation¦capex'!$A$16:$Q$216,F$13-13,FALSE)/1000*VLOOKUP($C76,corporateallocation,3,FALSE))</f>
        <v>0</v>
      </c>
      <c r="G76" s="23">
        <f>(VLOOKUP($A76,'calculation¦capex'!$A$16:$Q$216,G$13-13,FALSE)/1000*VLOOKUP($C76,corporateallocation,3,FALSE))</f>
        <v>0</v>
      </c>
      <c r="H76" s="23">
        <f>(VLOOKUP($A76,'calculation¦capex'!$A$16:$Q$216,H$13-13,FALSE)/1000*VLOOKUP($C76,corporateallocation,3,FALSE))</f>
        <v>0</v>
      </c>
      <c r="I76" s="23">
        <f>(VLOOKUP($A76,'calculation¦capex'!$A$16:$Q$216,I$13-13,FALSE)/1000*VLOOKUP($C76,corporateallocation,3,FALSE))</f>
        <v>0</v>
      </c>
      <c r="J76" s="8">
        <f>VLOOKUP(A76,'calculation¦capex'!$A$16:$AD$121,12,FALSE)</f>
        <v>0</v>
      </c>
    </row>
    <row r="77" spans="1:10" ht="16.5" x14ac:dyDescent="0.3">
      <c r="A77" s="16" t="str">
        <f>'calculation¦capex'!A80</f>
        <v>SWANBANK ISOLATION VALVE</v>
      </c>
      <c r="B77" s="8" t="str">
        <f>IFERROR(VLOOKUP($A77,'calculation¦capex'!$A$16:$AF$216,30,FALSE),"")</f>
        <v>$2015/16</v>
      </c>
      <c r="C77" s="8" t="str">
        <f>IFERROR(VLOOKUP(A77,'calculation¦capex'!A79:Q279,2,FALSE),"")</f>
        <v>RBP</v>
      </c>
      <c r="D77" s="23">
        <f>(VLOOKUP($A77,'calculation¦capex'!$A$16:$Q$216,D$13-13,FALSE)/1000*VLOOKUP($C77,corporateallocation,3,FALSE))</f>
        <v>50</v>
      </c>
      <c r="E77" s="23">
        <f>(VLOOKUP($A77,'calculation¦capex'!$A$16:$Q$216,E$13-13,FALSE)/1000*VLOOKUP($C77,corporateallocation,3,FALSE))</f>
        <v>0</v>
      </c>
      <c r="F77" s="23">
        <f>(VLOOKUP($A77,'calculation¦capex'!$A$16:$Q$216,F$13-13,FALSE)/1000*VLOOKUP($C77,corporateallocation,3,FALSE))</f>
        <v>0</v>
      </c>
      <c r="G77" s="23">
        <f>(VLOOKUP($A77,'calculation¦capex'!$A$16:$Q$216,G$13-13,FALSE)/1000*VLOOKUP($C77,corporateallocation,3,FALSE))</f>
        <v>0</v>
      </c>
      <c r="H77" s="23">
        <f>(VLOOKUP($A77,'calculation¦capex'!$A$16:$Q$216,H$13-13,FALSE)/1000*VLOOKUP($C77,corporateallocation,3,FALSE))</f>
        <v>0</v>
      </c>
      <c r="I77" s="23">
        <f>(VLOOKUP($A77,'calculation¦capex'!$A$16:$Q$216,I$13-13,FALSE)/1000*VLOOKUP($C77,corporateallocation,3,FALSE))</f>
        <v>0</v>
      </c>
      <c r="J77" s="8">
        <f>VLOOKUP(A77,'calculation¦capex'!$A$16:$AD$121,12,FALSE)</f>
        <v>0</v>
      </c>
    </row>
    <row r="78" spans="1:10" ht="16.5" x14ac:dyDescent="0.3">
      <c r="A78" s="16" t="str">
        <f>'calculation¦capex'!A81</f>
        <v>TOOWOOMBA DN250 RAIL CROSSING</v>
      </c>
      <c r="B78" s="8" t="str">
        <f>IFERROR(VLOOKUP($A78,'calculation¦capex'!$A$16:$AF$216,30,FALSE),"")</f>
        <v>$2015/16</v>
      </c>
      <c r="C78" s="8" t="str">
        <f>IFERROR(VLOOKUP(A78,'calculation¦capex'!A80:Q280,2,FALSE),"")</f>
        <v>RBP</v>
      </c>
      <c r="D78" s="23">
        <f>(VLOOKUP($A78,'calculation¦capex'!$A$16:$Q$216,D$13-13,FALSE)/1000*VLOOKUP($C78,corporateallocation,3,FALSE))</f>
        <v>0</v>
      </c>
      <c r="E78" s="23">
        <f>(VLOOKUP($A78,'calculation¦capex'!$A$16:$Q$216,E$13-13,FALSE)/1000*VLOOKUP($C78,corporateallocation,3,FALSE))</f>
        <v>11000</v>
      </c>
      <c r="F78" s="23">
        <f>(VLOOKUP($A78,'calculation¦capex'!$A$16:$Q$216,F$13-13,FALSE)/1000*VLOOKUP($C78,corporateallocation,3,FALSE))</f>
        <v>3500</v>
      </c>
      <c r="G78" s="23">
        <f>(VLOOKUP($A78,'calculation¦capex'!$A$16:$Q$216,G$13-13,FALSE)/1000*VLOOKUP($C78,corporateallocation,3,FALSE))</f>
        <v>0</v>
      </c>
      <c r="H78" s="23">
        <f>(VLOOKUP($A78,'calculation¦capex'!$A$16:$Q$216,H$13-13,FALSE)/1000*VLOOKUP($C78,corporateallocation,3,FALSE))</f>
        <v>0</v>
      </c>
      <c r="I78" s="23">
        <f>(VLOOKUP($A78,'calculation¦capex'!$A$16:$Q$216,I$13-13,FALSE)/1000*VLOOKUP($C78,corporateallocation,3,FALSE))</f>
        <v>0</v>
      </c>
      <c r="J78" s="8" t="str">
        <f>VLOOKUP(A78,'calculation¦capex'!$A$16:$AD$121,12,FALSE)</f>
        <v>AA-06</v>
      </c>
    </row>
    <row r="79" spans="1:10" ht="16.5" x14ac:dyDescent="0.3">
      <c r="A79" s="16" t="str">
        <f>'calculation¦capex'!A82</f>
        <v>TOOWOOMBA RANGE SLOPE MONITORING WORKS</v>
      </c>
      <c r="B79" s="8" t="str">
        <f>IFERROR(VLOOKUP($A79,'calculation¦capex'!$A$16:$AF$216,30,FALSE),"")</f>
        <v>$2015/16</v>
      </c>
      <c r="C79" s="8" t="str">
        <f>IFERROR(VLOOKUP(A79,'calculation¦capex'!A81:Q281,2,FALSE),"")</f>
        <v>RBP</v>
      </c>
      <c r="D79" s="23">
        <f>(VLOOKUP($A79,'calculation¦capex'!$A$16:$Q$216,D$13-13,FALSE)/1000*VLOOKUP($C79,corporateallocation,3,FALSE))</f>
        <v>300</v>
      </c>
      <c r="E79" s="23">
        <f>(VLOOKUP($A79,'calculation¦capex'!$A$16:$Q$216,E$13-13,FALSE)/1000*VLOOKUP($C79,corporateallocation,3,FALSE))</f>
        <v>650</v>
      </c>
      <c r="F79" s="23">
        <f>(VLOOKUP($A79,'calculation¦capex'!$A$16:$Q$216,F$13-13,FALSE)/1000*VLOOKUP($C79,corporateallocation,3,FALSE))</f>
        <v>0</v>
      </c>
      <c r="G79" s="23">
        <f>(VLOOKUP($A79,'calculation¦capex'!$A$16:$Q$216,G$13-13,FALSE)/1000*VLOOKUP($C79,corporateallocation,3,FALSE))</f>
        <v>0</v>
      </c>
      <c r="H79" s="23">
        <f>(VLOOKUP($A79,'calculation¦capex'!$A$16:$Q$216,H$13-13,FALSE)/1000*VLOOKUP($C79,corporateallocation,3,FALSE))</f>
        <v>0</v>
      </c>
      <c r="I79" s="23">
        <f>(VLOOKUP($A79,'calculation¦capex'!$A$16:$Q$216,I$13-13,FALSE)/1000*VLOOKUP($C79,corporateallocation,3,FALSE))</f>
        <v>0</v>
      </c>
      <c r="J79" s="8" t="str">
        <f>VLOOKUP(A79,'calculation¦capex'!$A$16:$AD$121,12,FALSE)</f>
        <v>AA-06</v>
      </c>
    </row>
    <row r="80" spans="1:10" ht="16.5" x14ac:dyDescent="0.3">
      <c r="A80" s="16" t="str">
        <f>'calculation¦capex'!A83</f>
        <v>Toowoomba Slope Management</v>
      </c>
      <c r="B80" s="8" t="str">
        <f>IFERROR(VLOOKUP($A80,'calculation¦capex'!$A$16:$AF$216,30,FALSE),"")</f>
        <v>$2015/16</v>
      </c>
      <c r="C80" s="8" t="str">
        <f>IFERROR(VLOOKUP(A80,'calculation¦capex'!A82:Q282,2,FALSE),"")</f>
        <v>RBP</v>
      </c>
      <c r="D80" s="23">
        <f>(VLOOKUP($A80,'calculation¦capex'!$A$16:$Q$216,D$13-13,FALSE)/1000*VLOOKUP($C80,corporateallocation,3,FALSE))</f>
        <v>0</v>
      </c>
      <c r="E80" s="23">
        <f>(VLOOKUP($A80,'calculation¦capex'!$A$16:$Q$216,E$13-13,FALSE)/1000*VLOOKUP($C80,corporateallocation,3,FALSE))</f>
        <v>0</v>
      </c>
      <c r="F80" s="23">
        <f>(VLOOKUP($A80,'calculation¦capex'!$A$16:$Q$216,F$13-13,FALSE)/1000*VLOOKUP($C80,corporateallocation,3,FALSE))</f>
        <v>0</v>
      </c>
      <c r="G80" s="23">
        <f>(VLOOKUP($A80,'calculation¦capex'!$A$16:$Q$216,G$13-13,FALSE)/1000*VLOOKUP($C80,corporateallocation,3,FALSE))</f>
        <v>0</v>
      </c>
      <c r="H80" s="23">
        <f>(VLOOKUP($A80,'calculation¦capex'!$A$16:$Q$216,H$13-13,FALSE)/1000*VLOOKUP($C80,corporateallocation,3,FALSE))</f>
        <v>0</v>
      </c>
      <c r="I80" s="23">
        <f>(VLOOKUP($A80,'calculation¦capex'!$A$16:$Q$216,I$13-13,FALSE)/1000*VLOOKUP($C80,corporateallocation,3,FALSE))</f>
        <v>0</v>
      </c>
      <c r="J80" s="8">
        <f>VLOOKUP(A80,'calculation¦capex'!$A$16:$AD$121,12,FALSE)</f>
        <v>0</v>
      </c>
    </row>
    <row r="81" spans="1:12" ht="16.5" x14ac:dyDescent="0.3">
      <c r="A81" s="16" t="str">
        <f>'calculation¦capex'!A84</f>
        <v>TOOWOOMBA STATION HEATER INSTALLATION</v>
      </c>
      <c r="B81" s="8" t="str">
        <f>IFERROR(VLOOKUP($A81,'calculation¦capex'!$A$16:$AF$216,30,FALSE),"")</f>
        <v>$2015/16</v>
      </c>
      <c r="C81" s="8" t="str">
        <f>IFERROR(VLOOKUP(A81,'calculation¦capex'!A83:Q283,2,FALSE),"")</f>
        <v>RBP</v>
      </c>
      <c r="D81" s="23">
        <f>(VLOOKUP($A81,'calculation¦capex'!$A$16:$Q$216,D$13-13,FALSE)/1000*VLOOKUP($C81,corporateallocation,3,FALSE))</f>
        <v>0</v>
      </c>
      <c r="E81" s="23">
        <f>(VLOOKUP($A81,'calculation¦capex'!$A$16:$Q$216,E$13-13,FALSE)/1000*VLOOKUP($C81,corporateallocation,3,FALSE))</f>
        <v>250</v>
      </c>
      <c r="F81" s="23">
        <f>(VLOOKUP($A81,'calculation¦capex'!$A$16:$Q$216,F$13-13,FALSE)/1000*VLOOKUP($C81,corporateallocation,3,FALSE))</f>
        <v>0</v>
      </c>
      <c r="G81" s="23">
        <f>(VLOOKUP($A81,'calculation¦capex'!$A$16:$Q$216,G$13-13,FALSE)/1000*VLOOKUP($C81,corporateallocation,3,FALSE))</f>
        <v>0</v>
      </c>
      <c r="H81" s="23">
        <f>(VLOOKUP($A81,'calculation¦capex'!$A$16:$Q$216,H$13-13,FALSE)/1000*VLOOKUP($C81,corporateallocation,3,FALSE))</f>
        <v>0</v>
      </c>
      <c r="I81" s="23">
        <f>(VLOOKUP($A81,'calculation¦capex'!$A$16:$Q$216,I$13-13,FALSE)/1000*VLOOKUP($C81,corporateallocation,3,FALSE))</f>
        <v>0</v>
      </c>
      <c r="J81" s="8">
        <f>VLOOKUP(A81,'calculation¦capex'!$A$16:$AD$121,12,FALSE)</f>
        <v>0</v>
      </c>
    </row>
    <row r="82" spans="1:12" ht="16.5" x14ac:dyDescent="0.3">
      <c r="A82" s="16" t="str">
        <f>'calculation¦capex'!A85</f>
        <v>Turbine overhauls - Dalby</v>
      </c>
      <c r="B82" s="8" t="str">
        <f>IFERROR(VLOOKUP($A82,'calculation¦capex'!$A$16:$AF$216,30,FALSE),"")</f>
        <v>$2015/16</v>
      </c>
      <c r="C82" s="8" t="str">
        <f>IFERROR(VLOOKUP(A82,'calculation¦capex'!A84:Q284,2,FALSE),"")</f>
        <v>RBP</v>
      </c>
      <c r="D82" s="23">
        <f>(VLOOKUP($A82,'calculation¦capex'!$A$16:$Q$216,D$13-13,FALSE)/1000*VLOOKUP($C82,corporateallocation,3,FALSE))</f>
        <v>0</v>
      </c>
      <c r="E82" s="23">
        <f>(VLOOKUP($A82,'calculation¦capex'!$A$16:$Q$216,E$13-13,FALSE)/1000*VLOOKUP($C82,corporateallocation,3,FALSE))</f>
        <v>0</v>
      </c>
      <c r="F82" s="23">
        <f>(VLOOKUP($A82,'calculation¦capex'!$A$16:$Q$216,F$13-13,FALSE)/1000*VLOOKUP($C82,corporateallocation,3,FALSE))</f>
        <v>0</v>
      </c>
      <c r="G82" s="23">
        <f>(VLOOKUP($A82,'calculation¦capex'!$A$16:$Q$216,G$13-13,FALSE)/1000*VLOOKUP($C82,corporateallocation,3,FALSE))</f>
        <v>0</v>
      </c>
      <c r="H82" s="23">
        <f>(VLOOKUP($A82,'calculation¦capex'!$A$16:$Q$216,H$13-13,FALSE)/1000*VLOOKUP($C82,corporateallocation,3,FALSE))</f>
        <v>0</v>
      </c>
      <c r="I82" s="23">
        <f>(VLOOKUP($A82,'calculation¦capex'!$A$16:$Q$216,I$13-13,FALSE)/1000*VLOOKUP($C82,corporateallocation,3,FALSE))</f>
        <v>1300</v>
      </c>
      <c r="J82" s="8" t="str">
        <f>VLOOKUP(A82,'calculation¦capex'!$A$16:$AD$121,12,FALSE)</f>
        <v>AA-08</v>
      </c>
    </row>
    <row r="83" spans="1:12" ht="16.5" x14ac:dyDescent="0.3">
      <c r="A83" s="16" t="str">
        <f>'calculation¦capex'!A86</f>
        <v>VEHICLE PURCHASES</v>
      </c>
      <c r="B83" s="8" t="str">
        <f>IFERROR(VLOOKUP($A83,'calculation¦capex'!$A$16:$AF$216,30,FALSE),"")</f>
        <v>$2015/16</v>
      </c>
      <c r="C83" s="8" t="str">
        <f>IFERROR(VLOOKUP(A83,'calculation¦capex'!A85:Q285,2,FALSE),"")</f>
        <v>RBP</v>
      </c>
      <c r="D83" s="23">
        <f>(VLOOKUP($A83,'calculation¦capex'!$A$16:$Q$216,D$13-13,FALSE)/1000*VLOOKUP($C83,corporateallocation,3,FALSE))</f>
        <v>0</v>
      </c>
      <c r="E83" s="23">
        <f>(VLOOKUP($A83,'calculation¦capex'!$A$16:$Q$216,E$13-13,FALSE)/1000*VLOOKUP($C83,corporateallocation,3,FALSE))</f>
        <v>0</v>
      </c>
      <c r="F83" s="23">
        <f>(VLOOKUP($A83,'calculation¦capex'!$A$16:$Q$216,F$13-13,FALSE)/1000*VLOOKUP($C83,corporateallocation,3,FALSE))</f>
        <v>0</v>
      </c>
      <c r="G83" s="23">
        <f>(VLOOKUP($A83,'calculation¦capex'!$A$16:$Q$216,G$13-13,FALSE)/1000*VLOOKUP($C83,corporateallocation,3,FALSE))</f>
        <v>0</v>
      </c>
      <c r="H83" s="23">
        <f>(VLOOKUP($A83,'calculation¦capex'!$A$16:$Q$216,H$13-13,FALSE)/1000*VLOOKUP($C83,corporateallocation,3,FALSE))</f>
        <v>0</v>
      </c>
      <c r="I83" s="23">
        <f>(VLOOKUP($A83,'calculation¦capex'!$A$16:$Q$216,I$13-13,FALSE)/1000*VLOOKUP($C83,corporateallocation,3,FALSE))</f>
        <v>0</v>
      </c>
      <c r="J83" s="8">
        <f>VLOOKUP(A83,'calculation¦capex'!$A$16:$AD$121,12,FALSE)</f>
        <v>0</v>
      </c>
    </row>
    <row r="84" spans="1:12" ht="16.5" x14ac:dyDescent="0.3">
      <c r="A84" s="16" t="str">
        <f>'calculation¦capex'!A87</f>
        <v>Wallumbilla MS Upgrade</v>
      </c>
      <c r="B84" s="8" t="str">
        <f>IFERROR(VLOOKUP($A84,'calculation¦capex'!$A$16:$AF$216,30,FALSE),"")</f>
        <v>$2015/16</v>
      </c>
      <c r="C84" s="8" t="str">
        <f>IFERROR(VLOOKUP(A84,'calculation¦capex'!A86:Q286,2,FALSE),"")</f>
        <v>RBP</v>
      </c>
      <c r="D84" s="23">
        <f>(VLOOKUP($A84,'calculation¦capex'!$A$16:$Q$216,D$13-13,FALSE)/1000*VLOOKUP($C84,corporateallocation,3,FALSE))</f>
        <v>0</v>
      </c>
      <c r="E84" s="23">
        <f>(VLOOKUP($A84,'calculation¦capex'!$A$16:$Q$216,E$13-13,FALSE)/1000*VLOOKUP($C84,corporateallocation,3,FALSE))</f>
        <v>0</v>
      </c>
      <c r="F84" s="23">
        <f>(VLOOKUP($A84,'calculation¦capex'!$A$16:$Q$216,F$13-13,FALSE)/1000*VLOOKUP($C84,corporateallocation,3,FALSE))</f>
        <v>0</v>
      </c>
      <c r="G84" s="23">
        <f>(VLOOKUP($A84,'calculation¦capex'!$A$16:$Q$216,G$13-13,FALSE)/1000*VLOOKUP($C84,corporateallocation,3,FALSE))</f>
        <v>0</v>
      </c>
      <c r="H84" s="23">
        <f>(VLOOKUP($A84,'calculation¦capex'!$A$16:$Q$216,H$13-13,FALSE)/1000*VLOOKUP($C84,corporateallocation,3,FALSE))</f>
        <v>0</v>
      </c>
      <c r="I84" s="23">
        <f>(VLOOKUP($A84,'calculation¦capex'!$A$16:$Q$216,I$13-13,FALSE)/1000*VLOOKUP($C84,corporateallocation,3,FALSE))</f>
        <v>0</v>
      </c>
      <c r="J84" s="8">
        <f>VLOOKUP(A84,'calculation¦capex'!$A$16:$AD$121,12,FALSE)</f>
        <v>0</v>
      </c>
    </row>
    <row r="85" spans="1:12" ht="16.5" x14ac:dyDescent="0.3">
      <c r="A85" s="16" t="str">
        <f>'calculation¦capex'!A88</f>
        <v>Applications and Renewals</v>
      </c>
      <c r="B85" s="8" t="str">
        <f>IFERROR(VLOOKUP($A85,'calculation¦capex'!$A$16:$AF$216,30,FALSE),"")</f>
        <v>$2014/15</v>
      </c>
      <c r="C85" s="8" t="str">
        <f>IFERROR(VLOOKUP(A85,'calculation¦capex'!A87:Q287,2,FALSE),"")</f>
        <v>APA</v>
      </c>
      <c r="D85" s="23">
        <f>(VLOOKUP($A85,'calculation¦capex'!$A$16:$Q$216,D$13-13,FALSE)/1000*VLOOKUP($C85,corporateallocation,3,FALSE))</f>
        <v>0</v>
      </c>
      <c r="E85" s="23">
        <f>(VLOOKUP($A85,'calculation¦capex'!$A$16:$Q$216,E$13-13,FALSE)/1000*VLOOKUP($C85,corporateallocation,3,FALSE))</f>
        <v>410.77256188344114</v>
      </c>
      <c r="F85" s="23">
        <f>(VLOOKUP($A85,'calculation¦capex'!$A$16:$Q$216,F$13-13,FALSE)/1000*VLOOKUP($C85,corporateallocation,3,FALSE))</f>
        <v>513.16804107757423</v>
      </c>
      <c r="G85" s="23">
        <f>(VLOOKUP($A85,'calculation¦capex'!$A$16:$Q$216,G$13-13,FALSE)/1000*VLOOKUP($C85,corporateallocation,3,FALSE))</f>
        <v>410.77256188344114</v>
      </c>
      <c r="H85" s="23">
        <f>(VLOOKUP($A85,'calculation¦capex'!$A$16:$Q$216,H$13-13,FALSE)/1000*VLOOKUP($C85,corporateallocation,3,FALSE))</f>
        <v>513.16804107757423</v>
      </c>
      <c r="I85" s="23">
        <f>(VLOOKUP($A85,'calculation¦capex'!$A$16:$Q$216,I$13-13,FALSE)/1000*VLOOKUP($C85,corporateallocation,3,FALSE))</f>
        <v>410.77256188344114</v>
      </c>
      <c r="J85" s="8" t="str">
        <f>VLOOKUP(A85,'calculation¦capex'!$A$16:$AD$121,12,FALSE)</f>
        <v>RBP01</v>
      </c>
      <c r="L85" s="20"/>
    </row>
    <row r="86" spans="1:12" ht="16.5" x14ac:dyDescent="0.3">
      <c r="A86" s="16" t="str">
        <f>'calculation¦capex'!A89</f>
        <v>Infrastructure Renewals</v>
      </c>
      <c r="B86" s="8" t="str">
        <f>IFERROR(VLOOKUP($A86,'calculation¦capex'!$A$16:$AF$216,30,FALSE),"")</f>
        <v>$2014/15</v>
      </c>
      <c r="C86" s="8" t="str">
        <f>IFERROR(VLOOKUP(A86,'calculation¦capex'!A88:Q288,2,FALSE),"")</f>
        <v>APA</v>
      </c>
      <c r="D86" s="23">
        <f>(VLOOKUP($A86,'calculation¦capex'!$A$16:$Q$216,D$13-13,FALSE)/1000*VLOOKUP($C86,corporateallocation,3,FALSE))</f>
        <v>0</v>
      </c>
      <c r="E86" s="23">
        <f>(VLOOKUP($A86,'calculation¦capex'!$A$16:$Q$216,E$13-13,FALSE)/1000*VLOOKUP($C86,corporateallocation,3,FALSE))</f>
        <v>133.94757452720907</v>
      </c>
      <c r="F86" s="23">
        <f>(VLOOKUP($A86,'calculation¦capex'!$A$16:$Q$216,F$13-13,FALSE)/1000*VLOOKUP($C86,corporateallocation,3,FALSE))</f>
        <v>44.649191509069688</v>
      </c>
      <c r="G86" s="23">
        <f>(VLOOKUP($A86,'calculation¦capex'!$A$16:$Q$216,G$13-13,FALSE)/1000*VLOOKUP($C86,corporateallocation,3,FALSE))</f>
        <v>44.649191509069688</v>
      </c>
      <c r="H86" s="23">
        <f>(VLOOKUP($A86,'calculation¦capex'!$A$16:$Q$216,H$13-13,FALSE)/1000*VLOOKUP($C86,corporateallocation,3,FALSE))</f>
        <v>44.649191509069688</v>
      </c>
      <c r="I86" s="23">
        <f>(VLOOKUP($A86,'calculation¦capex'!$A$16:$Q$216,I$13-13,FALSE)/1000*VLOOKUP($C86,corporateallocation,3,FALSE))</f>
        <v>0</v>
      </c>
      <c r="J86" s="8" t="str">
        <f>VLOOKUP(A86,'calculation¦capex'!$A$16:$AD$121,12,FALSE)</f>
        <v>RBP02</v>
      </c>
      <c r="K86" s="235"/>
    </row>
    <row r="87" spans="1:12" s="28" customFormat="1" ht="16.5" x14ac:dyDescent="0.3">
      <c r="A87" s="16" t="str">
        <f>'calculation¦capex'!A90</f>
        <v>AA Costs</v>
      </c>
      <c r="B87" s="8" t="str">
        <f>IFERROR(VLOOKUP($A87,'calculation¦capex'!$A$16:$AF$216,30,FALSE),"")</f>
        <v>$2015/16</v>
      </c>
      <c r="C87" s="8" t="str">
        <f>IFERROR(VLOOKUP(A87,'calculation¦capex'!A89:Q289,2,FALSE),"")</f>
        <v>Regulated</v>
      </c>
      <c r="D87" s="23">
        <f>(VLOOKUP($A87,'calculation¦capex'!$A$16:$Q$216,D$13-13,FALSE)/1000*VLOOKUP($C87,corporateallocation,3,FALSE))</f>
        <v>891.35552000000007</v>
      </c>
      <c r="E87" s="23">
        <f>(VLOOKUP($A87,'calculation¦capex'!$A$16:$Q$216,E$13-13,FALSE)/1000*VLOOKUP($C87,corporateallocation,3,FALSE))</f>
        <v>70.875350000000012</v>
      </c>
      <c r="F87" s="23">
        <f>(VLOOKUP($A87,'calculation¦capex'!$A$16:$Q$216,F$13-13,FALSE)/1000*VLOOKUP($C87,corporateallocation,3,FALSE))</f>
        <v>0</v>
      </c>
      <c r="G87" s="23">
        <f>(VLOOKUP($A87,'calculation¦capex'!$A$16:$Q$216,G$13-13,FALSE)/1000*VLOOKUP($C87,corporateallocation,3,FALSE))</f>
        <v>0</v>
      </c>
      <c r="H87" s="23">
        <f>(VLOOKUP($A87,'calculation¦capex'!$A$16:$Q$216,H$13-13,FALSE)/1000*VLOOKUP($C87,corporateallocation,3,FALSE))</f>
        <v>58.00808</v>
      </c>
      <c r="I87" s="23">
        <f>(VLOOKUP($A87,'calculation¦capex'!$A$16:$Q$216,I$13-13,FALSE)/1000*VLOOKUP($C87,corporateallocation,3,FALSE))</f>
        <v>891.35552000000007</v>
      </c>
      <c r="J87" s="8">
        <f>VLOOKUP(A87,'calculation¦capex'!$A$16:$AD$121,12,FALSE)</f>
        <v>0</v>
      </c>
    </row>
    <row r="88" spans="1:12" s="28" customFormat="1" ht="16.5" x14ac:dyDescent="0.3">
      <c r="A88" s="16" t="str">
        <f>'calculation¦capex'!A91</f>
        <v>Remote Vehicle Comms - Journey Management</v>
      </c>
      <c r="B88" s="8" t="str">
        <f>IFERROR(VLOOKUP($A88,'calculation¦capex'!$A$16:$AF$216,30,FALSE),"")</f>
        <v>$2015/16</v>
      </c>
      <c r="C88" s="8" t="str">
        <f>IFERROR(VLOOKUP(A88,'calculation¦capex'!A90:Q290,2,FALSE),"")</f>
        <v>Transmission</v>
      </c>
      <c r="D88" s="23">
        <f>(VLOOKUP($A88,'calculation¦capex'!$A$16:$Q$216,D$13-13,FALSE)/1000*VLOOKUP($C88,corporateallocation,3,FALSE))</f>
        <v>1.7694333706120002</v>
      </c>
      <c r="E88" s="23">
        <f>(VLOOKUP($A88,'calculation¦capex'!$A$16:$Q$216,E$13-13,FALSE)/1000*VLOOKUP($C88,corporateallocation,3,FALSE))</f>
        <v>0</v>
      </c>
      <c r="F88" s="23">
        <f>(VLOOKUP($A88,'calculation¦capex'!$A$16:$Q$216,F$13-13,FALSE)/1000*VLOOKUP($C88,corporateallocation,3,FALSE))</f>
        <v>0</v>
      </c>
      <c r="G88" s="23">
        <f>(VLOOKUP($A88,'calculation¦capex'!$A$16:$Q$216,G$13-13,FALSE)/1000*VLOOKUP($C88,corporateallocation,3,FALSE))</f>
        <v>0</v>
      </c>
      <c r="H88" s="23">
        <f>(VLOOKUP($A88,'calculation¦capex'!$A$16:$Q$216,H$13-13,FALSE)/1000*VLOOKUP($C88,corporateallocation,3,FALSE))</f>
        <v>0</v>
      </c>
      <c r="I88" s="23">
        <f>(VLOOKUP($A88,'calculation¦capex'!$A$16:$Q$216,I$13-13,FALSE)/1000*VLOOKUP($C88,corporateallocation,3,FALSE))</f>
        <v>0</v>
      </c>
      <c r="J88" s="8">
        <f>VLOOKUP(A88,'calculation¦capex'!$A$16:$AD$121,12,FALSE)</f>
        <v>0</v>
      </c>
    </row>
    <row r="89" spans="1:12" s="29" customFormat="1" ht="16.5" x14ac:dyDescent="0.3">
      <c r="A89" s="16" t="str">
        <f>'calculation¦capex'!A92</f>
        <v>Satellite Strategy</v>
      </c>
      <c r="B89" s="8" t="str">
        <f>IFERROR(VLOOKUP($A89,'calculation¦capex'!$A$16:$AF$216,30,FALSE),"")</f>
        <v>$2015/16</v>
      </c>
      <c r="C89" s="8" t="str">
        <f>IFERROR(VLOOKUP(A89,'calculation¦capex'!A91:Q291,2,FALSE),"")</f>
        <v>APA</v>
      </c>
      <c r="D89" s="23">
        <f>(VLOOKUP($A89,'calculation¦capex'!$A$16:$Q$216,D$13-13,FALSE)/1000*VLOOKUP($C89,corporateallocation,3,FALSE))</f>
        <v>94.825000410876683</v>
      </c>
      <c r="E89" s="23">
        <f>(VLOOKUP($A89,'calculation¦capex'!$A$16:$Q$216,E$13-13,FALSE)/1000*VLOOKUP($C89,corporateallocation,3,FALSE))</f>
        <v>0</v>
      </c>
      <c r="F89" s="23">
        <f>(VLOOKUP($A89,'calculation¦capex'!$A$16:$Q$216,F$13-13,FALSE)/1000*VLOOKUP($C89,corporateallocation,3,FALSE))</f>
        <v>0</v>
      </c>
      <c r="G89" s="23">
        <f>(VLOOKUP($A89,'calculation¦capex'!$A$16:$Q$216,G$13-13,FALSE)/1000*VLOOKUP($C89,corporateallocation,3,FALSE))</f>
        <v>0</v>
      </c>
      <c r="H89" s="23">
        <f>(VLOOKUP($A89,'calculation¦capex'!$A$16:$Q$216,H$13-13,FALSE)/1000*VLOOKUP($C89,corporateallocation,3,FALSE))</f>
        <v>0</v>
      </c>
      <c r="I89" s="23">
        <f>(VLOOKUP($A89,'calculation¦capex'!$A$16:$Q$216,I$13-13,FALSE)/1000*VLOOKUP($C89,corporateallocation,3,FALSE))</f>
        <v>0</v>
      </c>
      <c r="J89" s="8">
        <f>VLOOKUP(A89,'calculation¦capex'!$A$16:$AD$121,12,FALSE)</f>
        <v>0</v>
      </c>
    </row>
    <row r="90" spans="1:12" s="29" customFormat="1" ht="16.5" x14ac:dyDescent="0.3">
      <c r="A90" s="16" t="str">
        <f>'calculation¦capex'!A93</f>
        <v>Enterprise Content Management</v>
      </c>
      <c r="B90" s="8" t="str">
        <f>IFERROR(VLOOKUP($A90,'calculation¦capex'!$A$16:$AF$216,30,FALSE),"")</f>
        <v>$2015/16</v>
      </c>
      <c r="C90" s="8" t="str">
        <f>IFERROR(VLOOKUP(A90,'calculation¦capex'!A92:Q292,2,FALSE),"")</f>
        <v>APA</v>
      </c>
      <c r="D90" s="23">
        <f>(VLOOKUP($A90,'calculation¦capex'!$A$16:$Q$216,D$13-13,FALSE)/1000*VLOOKUP($C90,corporateallocation,3,FALSE))</f>
        <v>283.73834506750887</v>
      </c>
      <c r="E90" s="23">
        <f>(VLOOKUP($A90,'calculation¦capex'!$A$16:$Q$216,E$13-13,FALSE)/1000*VLOOKUP($C90,corporateallocation,3,FALSE))</f>
        <v>0</v>
      </c>
      <c r="F90" s="23">
        <f>(VLOOKUP($A90,'calculation¦capex'!$A$16:$Q$216,F$13-13,FALSE)/1000*VLOOKUP($C90,corporateallocation,3,FALSE))</f>
        <v>0</v>
      </c>
      <c r="G90" s="23">
        <f>(VLOOKUP($A90,'calculation¦capex'!$A$16:$Q$216,G$13-13,FALSE)/1000*VLOOKUP($C90,corporateallocation,3,FALSE))</f>
        <v>0</v>
      </c>
      <c r="H90" s="23">
        <f>(VLOOKUP($A90,'calculation¦capex'!$A$16:$Q$216,H$13-13,FALSE)/1000*VLOOKUP($C90,corporateallocation,3,FALSE))</f>
        <v>0</v>
      </c>
      <c r="I90" s="23">
        <f>(VLOOKUP($A90,'calculation¦capex'!$A$16:$Q$216,I$13-13,FALSE)/1000*VLOOKUP($C90,corporateallocation,3,FALSE))</f>
        <v>0</v>
      </c>
      <c r="J90" s="8">
        <f>VLOOKUP(A90,'calculation¦capex'!$A$16:$AD$121,12,FALSE)</f>
        <v>0</v>
      </c>
    </row>
    <row r="91" spans="1:12" s="29" customFormat="1" ht="16.5" x14ac:dyDescent="0.3">
      <c r="A91" s="16" t="str">
        <f>'calculation¦capex'!A94</f>
        <v>APA Website Project</v>
      </c>
      <c r="B91" s="8" t="str">
        <f>IFERROR(VLOOKUP($A91,'calculation¦capex'!$A$16:$AF$216,30,FALSE),"")</f>
        <v>$2015/16</v>
      </c>
      <c r="C91" s="8" t="str">
        <f>IFERROR(VLOOKUP(A91,'calculation¦capex'!A93:Q293,2,FALSE),"")</f>
        <v>APA</v>
      </c>
      <c r="D91" s="23">
        <f>(VLOOKUP($A91,'calculation¦capex'!$A$16:$Q$216,D$13-13,FALSE)/1000*VLOOKUP($C91,corporateallocation,3,FALSE))</f>
        <v>0</v>
      </c>
      <c r="E91" s="23">
        <f>(VLOOKUP($A91,'calculation¦capex'!$A$16:$Q$216,E$13-13,FALSE)/1000*VLOOKUP($C91,corporateallocation,3,FALSE))</f>
        <v>0</v>
      </c>
      <c r="F91" s="23">
        <f>(VLOOKUP($A91,'calculation¦capex'!$A$16:$Q$216,F$13-13,FALSE)/1000*VLOOKUP($C91,corporateallocation,3,FALSE))</f>
        <v>0</v>
      </c>
      <c r="G91" s="23">
        <f>(VLOOKUP($A91,'calculation¦capex'!$A$16:$Q$216,G$13-13,FALSE)/1000*VLOOKUP($C91,corporateallocation,3,FALSE))</f>
        <v>0</v>
      </c>
      <c r="H91" s="23">
        <f>(VLOOKUP($A91,'calculation¦capex'!$A$16:$Q$216,H$13-13,FALSE)/1000*VLOOKUP($C91,corporateallocation,3,FALSE))</f>
        <v>0</v>
      </c>
      <c r="I91" s="23">
        <f>(VLOOKUP($A91,'calculation¦capex'!$A$16:$Q$216,I$13-13,FALSE)/1000*VLOOKUP($C91,corporateallocation,3,FALSE))</f>
        <v>0</v>
      </c>
      <c r="J91" s="8">
        <f>VLOOKUP(A91,'calculation¦capex'!$A$16:$AD$121,12,FALSE)</f>
        <v>0</v>
      </c>
    </row>
    <row r="92" spans="1:12" s="29" customFormat="1" ht="16.5" x14ac:dyDescent="0.3">
      <c r="A92" s="16" t="str">
        <f>'calculation¦capex'!A95</f>
        <v>BI - Asset Datamart</v>
      </c>
      <c r="B92" s="8" t="str">
        <f>IFERROR(VLOOKUP($A92,'calculation¦capex'!$A$16:$AF$216,30,FALSE),"")</f>
        <v>$2015/16</v>
      </c>
      <c r="C92" s="8" t="str">
        <f>IFERROR(VLOOKUP(A92,'calculation¦capex'!A94:Q294,2,FALSE),"")</f>
        <v>APA</v>
      </c>
      <c r="D92" s="23">
        <f>(VLOOKUP($A92,'calculation¦capex'!$A$16:$Q$216,D$13-13,FALSE)/1000*VLOOKUP($C92,corporateallocation,3,FALSE))</f>
        <v>0</v>
      </c>
      <c r="E92" s="23">
        <f>(VLOOKUP($A92,'calculation¦capex'!$A$16:$Q$216,E$13-13,FALSE)/1000*VLOOKUP($C92,corporateallocation,3,FALSE))</f>
        <v>0</v>
      </c>
      <c r="F92" s="23">
        <f>(VLOOKUP($A92,'calculation¦capex'!$A$16:$Q$216,F$13-13,FALSE)/1000*VLOOKUP($C92,corporateallocation,3,FALSE))</f>
        <v>0</v>
      </c>
      <c r="G92" s="23">
        <f>(VLOOKUP($A92,'calculation¦capex'!$A$16:$Q$216,G$13-13,FALSE)/1000*VLOOKUP($C92,corporateallocation,3,FALSE))</f>
        <v>0</v>
      </c>
      <c r="H92" s="23">
        <f>(VLOOKUP($A92,'calculation¦capex'!$A$16:$Q$216,H$13-13,FALSE)/1000*VLOOKUP($C92,corporateallocation,3,FALSE))</f>
        <v>0</v>
      </c>
      <c r="I92" s="23">
        <f>(VLOOKUP($A92,'calculation¦capex'!$A$16:$Q$216,I$13-13,FALSE)/1000*VLOOKUP($C92,corporateallocation,3,FALSE))</f>
        <v>0</v>
      </c>
      <c r="J92" s="8">
        <f>VLOOKUP(A92,'calculation¦capex'!$A$16:$AD$121,12,FALSE)</f>
        <v>0</v>
      </c>
    </row>
    <row r="93" spans="1:12" s="29" customFormat="1" ht="16.5" x14ac:dyDescent="0.3">
      <c r="A93" s="16" t="str">
        <f>'calculation¦capex'!A96</f>
        <v>APA Grid - Energy Components Upgrade</v>
      </c>
      <c r="B93" s="8" t="str">
        <f>IFERROR(VLOOKUP($A93,'calculation¦capex'!$A$16:$AF$216,30,FALSE),"")</f>
        <v>$2015/16</v>
      </c>
      <c r="C93" s="8" t="str">
        <f>IFERROR(VLOOKUP(A93,'calculation¦capex'!A95:Q295,2,FALSE),"")</f>
        <v>APA</v>
      </c>
      <c r="D93" s="23">
        <f>(VLOOKUP($A93,'calculation¦capex'!$A$16:$Q$216,D$13-13,FALSE)/1000*VLOOKUP($C93,corporateallocation,3,FALSE))</f>
        <v>151.69205621674354</v>
      </c>
      <c r="E93" s="23">
        <f>(VLOOKUP($A93,'calculation¦capex'!$A$16:$Q$216,E$13-13,FALSE)/1000*VLOOKUP($C93,corporateallocation,3,FALSE))</f>
        <v>0</v>
      </c>
      <c r="F93" s="23">
        <f>(VLOOKUP($A93,'calculation¦capex'!$A$16:$Q$216,F$13-13,FALSE)/1000*VLOOKUP($C93,corporateallocation,3,FALSE))</f>
        <v>0</v>
      </c>
      <c r="G93" s="23">
        <f>(VLOOKUP($A93,'calculation¦capex'!$A$16:$Q$216,G$13-13,FALSE)/1000*VLOOKUP($C93,corporateallocation,3,FALSE))</f>
        <v>0</v>
      </c>
      <c r="H93" s="23">
        <f>(VLOOKUP($A93,'calculation¦capex'!$A$16:$Q$216,H$13-13,FALSE)/1000*VLOOKUP($C93,corporateallocation,3,FALSE))</f>
        <v>0</v>
      </c>
      <c r="I93" s="23">
        <f>(VLOOKUP($A93,'calculation¦capex'!$A$16:$Q$216,I$13-13,FALSE)/1000*VLOOKUP($C93,corporateallocation,3,FALSE))</f>
        <v>0</v>
      </c>
      <c r="J93" s="8">
        <f>VLOOKUP(A93,'calculation¦capex'!$A$16:$AD$121,12,FALSE)</f>
        <v>0</v>
      </c>
    </row>
    <row r="94" spans="1:12" s="29" customFormat="1" ht="16.5" x14ac:dyDescent="0.3">
      <c r="A94" s="16" t="str">
        <f>'calculation¦capex'!A97</f>
        <v>Hyperion Upgrade to v 11-1-2-4</v>
      </c>
      <c r="B94" s="8" t="str">
        <f>IFERROR(VLOOKUP($A94,'calculation¦capex'!$A$16:$AF$216,30,FALSE),"")</f>
        <v>$2015/16</v>
      </c>
      <c r="C94" s="8" t="str">
        <f>IFERROR(VLOOKUP(A94,'calculation¦capex'!A96:Q296,2,FALSE),"")</f>
        <v>APA</v>
      </c>
      <c r="D94" s="23">
        <f>(VLOOKUP($A94,'calculation¦capex'!$A$16:$Q$216,D$13-13,FALSE)/1000*VLOOKUP($C94,corporateallocation,3,FALSE))</f>
        <v>41.696213047170509</v>
      </c>
      <c r="E94" s="23">
        <f>(VLOOKUP($A94,'calculation¦capex'!$A$16:$Q$216,E$13-13,FALSE)/1000*VLOOKUP($C94,corporateallocation,3,FALSE))</f>
        <v>0</v>
      </c>
      <c r="F94" s="23">
        <f>(VLOOKUP($A94,'calculation¦capex'!$A$16:$Q$216,F$13-13,FALSE)/1000*VLOOKUP($C94,corporateallocation,3,FALSE))</f>
        <v>0</v>
      </c>
      <c r="G94" s="23">
        <f>(VLOOKUP($A94,'calculation¦capex'!$A$16:$Q$216,G$13-13,FALSE)/1000*VLOOKUP($C94,corporateallocation,3,FALSE))</f>
        <v>0</v>
      </c>
      <c r="H94" s="23">
        <f>(VLOOKUP($A94,'calculation¦capex'!$A$16:$Q$216,H$13-13,FALSE)/1000*VLOOKUP($C94,corporateallocation,3,FALSE))</f>
        <v>0</v>
      </c>
      <c r="I94" s="23">
        <f>(VLOOKUP($A94,'calculation¦capex'!$A$16:$Q$216,I$13-13,FALSE)/1000*VLOOKUP($C94,corporateallocation,3,FALSE))</f>
        <v>0</v>
      </c>
      <c r="J94" s="8">
        <f>VLOOKUP(A94,'calculation¦capex'!$A$16:$AD$121,12,FALSE)</f>
        <v>0</v>
      </c>
    </row>
    <row r="95" spans="1:12" s="29" customFormat="1" ht="16.5" x14ac:dyDescent="0.3">
      <c r="A95" s="16" t="str">
        <f>'calculation¦capex'!A98</f>
        <v>APA Grid Services Initiatives Program</v>
      </c>
      <c r="B95" s="8" t="str">
        <f>IFERROR(VLOOKUP($A95,'calculation¦capex'!$A$16:$AF$216,30,FALSE),"")</f>
        <v>$2015/16</v>
      </c>
      <c r="C95" s="8" t="str">
        <f>IFERROR(VLOOKUP(A95,'calculation¦capex'!A97:Q297,2,FALSE),"")</f>
        <v>Transmission</v>
      </c>
      <c r="D95" s="23">
        <f>(VLOOKUP($A95,'calculation¦capex'!$A$16:$Q$216,D$13-13,FALSE)/1000*VLOOKUP($C95,corporateallocation,3,FALSE))</f>
        <v>49.658625861727529</v>
      </c>
      <c r="E95" s="23">
        <f>(VLOOKUP($A95,'calculation¦capex'!$A$16:$Q$216,E$13-13,FALSE)/1000*VLOOKUP($C95,corporateallocation,3,FALSE))</f>
        <v>0</v>
      </c>
      <c r="F95" s="23">
        <f>(VLOOKUP($A95,'calculation¦capex'!$A$16:$Q$216,F$13-13,FALSE)/1000*VLOOKUP($C95,corporateallocation,3,FALSE))</f>
        <v>0</v>
      </c>
      <c r="G95" s="23">
        <f>(VLOOKUP($A95,'calculation¦capex'!$A$16:$Q$216,G$13-13,FALSE)/1000*VLOOKUP($C95,corporateallocation,3,FALSE))</f>
        <v>0</v>
      </c>
      <c r="H95" s="23">
        <f>(VLOOKUP($A95,'calculation¦capex'!$A$16:$Q$216,H$13-13,FALSE)/1000*VLOOKUP($C95,corporateallocation,3,FALSE))</f>
        <v>0</v>
      </c>
      <c r="I95" s="23">
        <f>(VLOOKUP($A95,'calculation¦capex'!$A$16:$Q$216,I$13-13,FALSE)/1000*VLOOKUP($C95,corporateallocation,3,FALSE))</f>
        <v>0</v>
      </c>
      <c r="J95" s="8">
        <f>VLOOKUP(A95,'calculation¦capex'!$A$16:$AD$121,12,FALSE)</f>
        <v>0</v>
      </c>
    </row>
    <row r="96" spans="1:12" ht="16.5" x14ac:dyDescent="0.3">
      <c r="A96" s="16" t="str">
        <f>'calculation¦capex'!A99</f>
        <v>APA Grid Extend</v>
      </c>
      <c r="B96" s="8" t="str">
        <f>IFERROR(VLOOKUP($A96,'calculation¦capex'!$A$16:$AF$216,30,FALSE),"")</f>
        <v>$2015/16</v>
      </c>
      <c r="C96" s="8" t="str">
        <f>IFERROR(VLOOKUP(A96,'calculation¦capex'!A98:Q298,2,FALSE),"")</f>
        <v>Transmission</v>
      </c>
      <c r="D96" s="23">
        <f>(VLOOKUP($A96,'calculation¦capex'!$A$16:$Q$216,D$13-13,FALSE)/1000*VLOOKUP($C96,corporateallocation,3,FALSE))</f>
        <v>476.10076126369364</v>
      </c>
      <c r="E96" s="23">
        <f>(VLOOKUP($A96,'calculation¦capex'!$A$16:$Q$216,E$13-13,FALSE)/1000*VLOOKUP($C96,corporateallocation,3,FALSE))</f>
        <v>105.67427256773709</v>
      </c>
      <c r="F96" s="23">
        <f>(VLOOKUP($A96,'calculation¦capex'!$A$16:$Q$216,F$13-13,FALSE)/1000*VLOOKUP($C96,corporateallocation,3,FALSE))</f>
        <v>0</v>
      </c>
      <c r="G96" s="23">
        <f>(VLOOKUP($A96,'calculation¦capex'!$A$16:$Q$216,G$13-13,FALSE)/1000*VLOOKUP($C96,corporateallocation,3,FALSE))</f>
        <v>0</v>
      </c>
      <c r="H96" s="23">
        <f>(VLOOKUP($A96,'calculation¦capex'!$A$16:$Q$216,H$13-13,FALSE)/1000*VLOOKUP($C96,corporateallocation,3,FALSE))</f>
        <v>0</v>
      </c>
      <c r="I96" s="23">
        <f>(VLOOKUP($A96,'calculation¦capex'!$A$16:$Q$216,I$13-13,FALSE)/1000*VLOOKUP($C96,corporateallocation,3,FALSE))</f>
        <v>0</v>
      </c>
      <c r="J96" s="8">
        <f>VLOOKUP(A96,'calculation¦capex'!$A$16:$AD$121,12,FALSE)</f>
        <v>0</v>
      </c>
    </row>
    <row r="97" spans="1:10" ht="16.5" x14ac:dyDescent="0.3">
      <c r="A97" s="16" t="str">
        <f>'calculation¦capex'!A100</f>
        <v>BI - Transmission Dashboard</v>
      </c>
      <c r="B97" s="8" t="str">
        <f>IFERROR(VLOOKUP($A97,'calculation¦capex'!$A$16:$AF$216,30,FALSE),"")</f>
        <v>$2015/16</v>
      </c>
      <c r="C97" s="8" t="str">
        <f>IFERROR(VLOOKUP(A97,'calculation¦capex'!A99:Q299,2,FALSE),"")</f>
        <v>APA</v>
      </c>
      <c r="D97" s="23">
        <f>(VLOOKUP($A97,'calculation¦capex'!$A$16:$Q$216,D$13-13,FALSE)/1000*VLOOKUP($C97,corporateallocation,3,FALSE))</f>
        <v>58.194353990179025</v>
      </c>
      <c r="E97" s="23">
        <f>(VLOOKUP($A97,'calculation¦capex'!$A$16:$Q$216,E$13-13,FALSE)/1000*VLOOKUP($C97,corporateallocation,3,FALSE))</f>
        <v>0</v>
      </c>
      <c r="F97" s="23">
        <f>(VLOOKUP($A97,'calculation¦capex'!$A$16:$Q$216,F$13-13,FALSE)/1000*VLOOKUP($C97,corporateallocation,3,FALSE))</f>
        <v>0</v>
      </c>
      <c r="G97" s="23">
        <f>(VLOOKUP($A97,'calculation¦capex'!$A$16:$Q$216,G$13-13,FALSE)/1000*VLOOKUP($C97,corporateallocation,3,FALSE))</f>
        <v>0</v>
      </c>
      <c r="H97" s="23">
        <f>(VLOOKUP($A97,'calculation¦capex'!$A$16:$Q$216,H$13-13,FALSE)/1000*VLOOKUP($C97,corporateallocation,3,FALSE))</f>
        <v>0</v>
      </c>
      <c r="I97" s="23">
        <f>(VLOOKUP($A97,'calculation¦capex'!$A$16:$Q$216,I$13-13,FALSE)/1000*VLOOKUP($C97,corporateallocation,3,FALSE))</f>
        <v>0</v>
      </c>
      <c r="J97" s="8">
        <f>VLOOKUP(A97,'calculation¦capex'!$A$16:$AD$121,12,FALSE)</f>
        <v>0</v>
      </c>
    </row>
    <row r="98" spans="1:10" ht="16.5" x14ac:dyDescent="0.3">
      <c r="A98" s="16" t="str">
        <f>'calculation¦capex'!A101</f>
        <v>HR Systems Refresh</v>
      </c>
      <c r="B98" s="8" t="str">
        <f>IFERROR(VLOOKUP($A98,'calculation¦capex'!$A$16:$AF$216,30,FALSE),"")</f>
        <v>$2015/16</v>
      </c>
      <c r="C98" s="8" t="str">
        <f>IFERROR(VLOOKUP(A98,'calculation¦capex'!A100:Q300,2,FALSE),"")</f>
        <v>APA</v>
      </c>
      <c r="D98" s="23">
        <f>(VLOOKUP($A98,'calculation¦capex'!$A$16:$Q$216,D$13-13,FALSE)/1000*VLOOKUP($C98,corporateallocation,3,FALSE))</f>
        <v>52.422913415647344</v>
      </c>
      <c r="E98" s="23">
        <f>(VLOOKUP($A98,'calculation¦capex'!$A$16:$Q$216,E$13-13,FALSE)/1000*VLOOKUP($C98,corporateallocation,3,FALSE))</f>
        <v>277.41607121072451</v>
      </c>
      <c r="F98" s="23">
        <f>(VLOOKUP($A98,'calculation¦capex'!$A$16:$Q$216,F$13-13,FALSE)/1000*VLOOKUP($C98,corporateallocation,3,FALSE))</f>
        <v>3.4865422536580954</v>
      </c>
      <c r="G98" s="23">
        <f>(VLOOKUP($A98,'calculation¦capex'!$A$16:$Q$216,G$13-13,FALSE)/1000*VLOOKUP($C98,corporateallocation,3,FALSE))</f>
        <v>0</v>
      </c>
      <c r="H98" s="23">
        <f>(VLOOKUP($A98,'calculation¦capex'!$A$16:$Q$216,H$13-13,FALSE)/1000*VLOOKUP($C98,corporateallocation,3,FALSE))</f>
        <v>0</v>
      </c>
      <c r="I98" s="23">
        <f>(VLOOKUP($A98,'calculation¦capex'!$A$16:$Q$216,I$13-13,FALSE)/1000*VLOOKUP($C98,corporateallocation,3,FALSE))</f>
        <v>0</v>
      </c>
      <c r="J98" s="8">
        <f>VLOOKUP(A98,'calculation¦capex'!$A$16:$AD$121,12,FALSE)</f>
        <v>0</v>
      </c>
    </row>
    <row r="99" spans="1:10" ht="16.5" x14ac:dyDescent="0.3">
      <c r="A99" s="16" t="str">
        <f>'calculation¦capex'!A102</f>
        <v>SharePoint Upgrade</v>
      </c>
      <c r="B99" s="8" t="str">
        <f>IFERROR(VLOOKUP($A99,'calculation¦capex'!$A$16:$AF$216,30,FALSE),"")</f>
        <v>$2015/16</v>
      </c>
      <c r="C99" s="8" t="str">
        <f>IFERROR(VLOOKUP(A99,'calculation¦capex'!A101:Q301,2,FALSE),"")</f>
        <v>APA</v>
      </c>
      <c r="D99" s="23">
        <f>(VLOOKUP($A99,'calculation¦capex'!$A$16:$Q$216,D$13-13,FALSE)/1000*VLOOKUP($C99,corporateallocation,3,FALSE))</f>
        <v>62.296185333389694</v>
      </c>
      <c r="E99" s="23">
        <f>(VLOOKUP($A99,'calculation¦capex'!$A$16:$Q$216,E$13-13,FALSE)/1000*VLOOKUP($C99,corporateallocation,3,FALSE))</f>
        <v>41.513065860269776</v>
      </c>
      <c r="F99" s="23">
        <f>(VLOOKUP($A99,'calculation¦capex'!$A$16:$Q$216,F$13-13,FALSE)/1000*VLOOKUP($C99,corporateallocation,3,FALSE))</f>
        <v>0</v>
      </c>
      <c r="G99" s="23">
        <f>(VLOOKUP($A99,'calculation¦capex'!$A$16:$Q$216,G$13-13,FALSE)/1000*VLOOKUP($C99,corporateallocation,3,FALSE))</f>
        <v>0</v>
      </c>
      <c r="H99" s="23">
        <f>(VLOOKUP($A99,'calculation¦capex'!$A$16:$Q$216,H$13-13,FALSE)/1000*VLOOKUP($C99,corporateallocation,3,FALSE))</f>
        <v>0</v>
      </c>
      <c r="I99" s="23">
        <f>(VLOOKUP($A99,'calculation¦capex'!$A$16:$Q$216,I$13-13,FALSE)/1000*VLOOKUP($C99,corporateallocation,3,FALSE))</f>
        <v>0</v>
      </c>
      <c r="J99" s="8">
        <f>VLOOKUP(A99,'calculation¦capex'!$A$16:$AD$121,12,FALSE)</f>
        <v>0</v>
      </c>
    </row>
    <row r="100" spans="1:10" ht="16.5" x14ac:dyDescent="0.3">
      <c r="A100" s="16" t="str">
        <f>'calculation¦capex'!A103</f>
        <v>SQL Server Upgrade</v>
      </c>
      <c r="B100" s="8" t="str">
        <f>IFERROR(VLOOKUP($A100,'calculation¦capex'!$A$16:$AF$216,30,FALSE),"")</f>
        <v>$2015/16</v>
      </c>
      <c r="C100" s="8" t="str">
        <f>IFERROR(VLOOKUP(A100,'calculation¦capex'!A102:Q302,2,FALSE),"")</f>
        <v>APA</v>
      </c>
      <c r="D100" s="23">
        <f>(VLOOKUP($A100,'calculation¦capex'!$A$16:$Q$216,D$13-13,FALSE)/1000*VLOOKUP($C100,corporateallocation,3,FALSE))</f>
        <v>55.370029932045199</v>
      </c>
      <c r="E100" s="23">
        <f>(VLOOKUP($A100,'calculation¦capex'!$A$16:$Q$216,E$13-13,FALSE)/1000*VLOOKUP($C100,corporateallocation,3,FALSE))</f>
        <v>3.6273281002930231</v>
      </c>
      <c r="F100" s="23">
        <f>(VLOOKUP($A100,'calculation¦capex'!$A$16:$Q$216,F$13-13,FALSE)/1000*VLOOKUP($C100,corporateallocation,3,FALSE))</f>
        <v>0</v>
      </c>
      <c r="G100" s="23">
        <f>(VLOOKUP($A100,'calculation¦capex'!$A$16:$Q$216,G$13-13,FALSE)/1000*VLOOKUP($C100,corporateallocation,3,FALSE))</f>
        <v>0</v>
      </c>
      <c r="H100" s="23">
        <f>(VLOOKUP($A100,'calculation¦capex'!$A$16:$Q$216,H$13-13,FALSE)/1000*VLOOKUP($C100,corporateallocation,3,FALSE))</f>
        <v>0</v>
      </c>
      <c r="I100" s="23">
        <f>(VLOOKUP($A100,'calculation¦capex'!$A$16:$Q$216,I$13-13,FALSE)/1000*VLOOKUP($C100,corporateallocation,3,FALSE))</f>
        <v>0</v>
      </c>
      <c r="J100" s="8">
        <f>VLOOKUP(A100,'calculation¦capex'!$A$16:$AD$121,12,FALSE)</f>
        <v>0</v>
      </c>
    </row>
    <row r="101" spans="1:10" ht="16.5" x14ac:dyDescent="0.3">
      <c r="A101" s="16" t="str">
        <f>'calculation¦capex'!A104</f>
        <v>Upgrade Enterprise OSI PI Historian</v>
      </c>
      <c r="B101" s="8" t="str">
        <f>IFERROR(VLOOKUP($A101,'calculation¦capex'!$A$16:$AF$216,30,FALSE),"")</f>
        <v>$2015/16</v>
      </c>
      <c r="C101" s="8" t="str">
        <f>IFERROR(VLOOKUP(A101,'calculation¦capex'!A103:Q303,2,FALSE),"")</f>
        <v>Pipelines</v>
      </c>
      <c r="D101" s="23">
        <f>(VLOOKUP($A101,'calculation¦capex'!$A$16:$Q$216,D$13-13,FALSE)/1000*VLOOKUP($C101,corporateallocation,3,FALSE))</f>
        <v>14.43057106992708</v>
      </c>
      <c r="E101" s="23">
        <f>(VLOOKUP($A101,'calculation¦capex'!$A$16:$Q$216,E$13-13,FALSE)/1000*VLOOKUP($C101,corporateallocation,3,FALSE))</f>
        <v>0.19590874589072876</v>
      </c>
      <c r="F101" s="23">
        <f>(VLOOKUP($A101,'calculation¦capex'!$A$16:$Q$216,F$13-13,FALSE)/1000*VLOOKUP($C101,corporateallocation,3,FALSE))</f>
        <v>0</v>
      </c>
      <c r="G101" s="23">
        <f>(VLOOKUP($A101,'calculation¦capex'!$A$16:$Q$216,G$13-13,FALSE)/1000*VLOOKUP($C101,corporateallocation,3,FALSE))</f>
        <v>0</v>
      </c>
      <c r="H101" s="23">
        <f>(VLOOKUP($A101,'calculation¦capex'!$A$16:$Q$216,H$13-13,FALSE)/1000*VLOOKUP($C101,corporateallocation,3,FALSE))</f>
        <v>0</v>
      </c>
      <c r="I101" s="23">
        <f>(VLOOKUP($A101,'calculation¦capex'!$A$16:$Q$216,I$13-13,FALSE)/1000*VLOOKUP($C101,corporateallocation,3,FALSE))</f>
        <v>0</v>
      </c>
      <c r="J101" s="8">
        <f>VLOOKUP(A101,'calculation¦capex'!$A$16:$AD$121,12,FALSE)</f>
        <v>0</v>
      </c>
    </row>
    <row r="102" spans="1:10" ht="16.5" x14ac:dyDescent="0.3">
      <c r="A102" s="16" t="str">
        <f>'calculation¦capex'!A105</f>
        <v>Hazardous Area Platform</v>
      </c>
      <c r="B102" s="8" t="str">
        <f>IFERROR(VLOOKUP($A102,'calculation¦capex'!$A$16:$AF$216,30,FALSE),"")</f>
        <v>$2015/16</v>
      </c>
      <c r="C102" s="8" t="str">
        <f>IFERROR(VLOOKUP(A102,'calculation¦capex'!A104:Q304,2,FALSE),"")</f>
        <v>Pipelines</v>
      </c>
      <c r="D102" s="23">
        <f>(VLOOKUP($A102,'calculation¦capex'!$A$16:$Q$216,D$13-13,FALSE)/1000*VLOOKUP($C102,corporateallocation,3,FALSE))</f>
        <v>16.032679312881022</v>
      </c>
      <c r="E102" s="23">
        <f>(VLOOKUP($A102,'calculation¦capex'!$A$16:$Q$216,E$13-13,FALSE)/1000*VLOOKUP($C102,corporateallocation,3,FALSE))</f>
        <v>92.708819235254197</v>
      </c>
      <c r="F102" s="23">
        <f>(VLOOKUP($A102,'calculation¦capex'!$A$16:$Q$216,F$13-13,FALSE)/1000*VLOOKUP($C102,corporateallocation,3,FALSE))</f>
        <v>0</v>
      </c>
      <c r="G102" s="23">
        <f>(VLOOKUP($A102,'calculation¦capex'!$A$16:$Q$216,G$13-13,FALSE)/1000*VLOOKUP($C102,corporateallocation,3,FALSE))</f>
        <v>0</v>
      </c>
      <c r="H102" s="23">
        <f>(VLOOKUP($A102,'calculation¦capex'!$A$16:$Q$216,H$13-13,FALSE)/1000*VLOOKUP($C102,corporateallocation,3,FALSE))</f>
        <v>0</v>
      </c>
      <c r="I102" s="23">
        <f>(VLOOKUP($A102,'calculation¦capex'!$A$16:$Q$216,I$13-13,FALSE)/1000*VLOOKUP($C102,corporateallocation,3,FALSE))</f>
        <v>0</v>
      </c>
      <c r="J102" s="8">
        <f>VLOOKUP(A102,'calculation¦capex'!$A$16:$AD$121,12,FALSE)</f>
        <v>0</v>
      </c>
    </row>
    <row r="103" spans="1:10" ht="16.5" x14ac:dyDescent="0.3">
      <c r="A103" s="16" t="str">
        <f>'calculation¦capex'!A106</f>
        <v>Form Digitisation Project</v>
      </c>
      <c r="B103" s="8" t="str">
        <f>IFERROR(VLOOKUP($A103,'calculation¦capex'!$A$16:$AF$216,30,FALSE),"")</f>
        <v>$2015/16</v>
      </c>
      <c r="C103" s="8" t="str">
        <f>IFERROR(VLOOKUP(A103,'calculation¦capex'!A105:Q305,2,FALSE),"")</f>
        <v>APA</v>
      </c>
      <c r="D103" s="23">
        <f>(VLOOKUP($A103,'calculation¦capex'!$A$16:$Q$216,D$13-13,FALSE)/1000*VLOOKUP($C103,corporateallocation,3,FALSE))</f>
        <v>10.044996508944473</v>
      </c>
      <c r="E103" s="23">
        <f>(VLOOKUP($A103,'calculation¦capex'!$A$16:$Q$216,E$13-13,FALSE)/1000*VLOOKUP($C103,corporateallocation,3,FALSE))</f>
        <v>76.006973563079441</v>
      </c>
      <c r="F103" s="23">
        <f>(VLOOKUP($A103,'calculation¦capex'!$A$16:$Q$216,F$13-13,FALSE)/1000*VLOOKUP($C103,corporateallocation,3,FALSE))</f>
        <v>0</v>
      </c>
      <c r="G103" s="23">
        <f>(VLOOKUP($A103,'calculation¦capex'!$A$16:$Q$216,G$13-13,FALSE)/1000*VLOOKUP($C103,corporateallocation,3,FALSE))</f>
        <v>0</v>
      </c>
      <c r="H103" s="23">
        <f>(VLOOKUP($A103,'calculation¦capex'!$A$16:$Q$216,H$13-13,FALSE)/1000*VLOOKUP($C103,corporateallocation,3,FALSE))</f>
        <v>0</v>
      </c>
      <c r="I103" s="23">
        <f>(VLOOKUP($A103,'calculation¦capex'!$A$16:$Q$216,I$13-13,FALSE)/1000*VLOOKUP($C103,corporateallocation,3,FALSE))</f>
        <v>0</v>
      </c>
      <c r="J103" s="8">
        <f>VLOOKUP(A103,'calculation¦capex'!$A$16:$AD$121,12,FALSE)</f>
        <v>0</v>
      </c>
    </row>
    <row r="104" spans="1:10" ht="16.5" x14ac:dyDescent="0.3">
      <c r="A104" s="16" t="str">
        <f>'calculation¦capex'!A107</f>
        <v>Enterprise Asset Management Upgrade FY18</v>
      </c>
      <c r="B104" s="8" t="str">
        <f>IFERROR(VLOOKUP($A104,'calculation¦capex'!$A$16:$AF$216,30,FALSE),"")</f>
        <v>$2015/16</v>
      </c>
      <c r="C104" s="8" t="str">
        <f>IFERROR(VLOOKUP(A104,'calculation¦capex'!A106:Q306,2,FALSE),"")</f>
        <v>Pipelines</v>
      </c>
      <c r="D104" s="23">
        <f>(VLOOKUP($A104,'calculation¦capex'!$A$16:$Q$216,D$13-13,FALSE)/1000*VLOOKUP($C104,corporateallocation,3,FALSE))</f>
        <v>7.92754663618945</v>
      </c>
      <c r="E104" s="23">
        <f>(VLOOKUP($A104,'calculation¦capex'!$A$16:$Q$216,E$13-13,FALSE)/1000*VLOOKUP($C104,corporateallocation,3,FALSE))</f>
        <v>162.45416032996158</v>
      </c>
      <c r="F104" s="23">
        <f>(VLOOKUP($A104,'calculation¦capex'!$A$16:$Q$216,F$13-13,FALSE)/1000*VLOOKUP($C104,corporateallocation,3,FALSE))</f>
        <v>0</v>
      </c>
      <c r="G104" s="23">
        <f>(VLOOKUP($A104,'calculation¦capex'!$A$16:$Q$216,G$13-13,FALSE)/1000*VLOOKUP($C104,corporateallocation,3,FALSE))</f>
        <v>0</v>
      </c>
      <c r="H104" s="23">
        <f>(VLOOKUP($A104,'calculation¦capex'!$A$16:$Q$216,H$13-13,FALSE)/1000*VLOOKUP($C104,corporateallocation,3,FALSE))</f>
        <v>0</v>
      </c>
      <c r="I104" s="23">
        <f>(VLOOKUP($A104,'calculation¦capex'!$A$16:$Q$216,I$13-13,FALSE)/1000*VLOOKUP($C104,corporateallocation,3,FALSE))</f>
        <v>0</v>
      </c>
      <c r="J104" s="8">
        <f>VLOOKUP(A104,'calculation¦capex'!$A$16:$AD$121,12,FALSE)</f>
        <v>0</v>
      </c>
    </row>
    <row r="105" spans="1:10" ht="16.5" x14ac:dyDescent="0.3">
      <c r="A105" s="16" t="str">
        <f>'calculation¦capex'!A108</f>
        <v>PPM Refresh</v>
      </c>
      <c r="B105" s="8" t="str">
        <f>IFERROR(VLOOKUP($A105,'calculation¦capex'!$A$16:$AF$216,30,FALSE),"")</f>
        <v>$2015/16</v>
      </c>
      <c r="C105" s="8" t="str">
        <f>IFERROR(VLOOKUP(A105,'calculation¦capex'!A107:Q307,2,FALSE),"")</f>
        <v>APA</v>
      </c>
      <c r="D105" s="23">
        <f>(VLOOKUP($A105,'calculation¦capex'!$A$16:$Q$216,D$13-13,FALSE)/1000*VLOOKUP($C105,corporateallocation,3,FALSE))</f>
        <v>1.4252021929695045</v>
      </c>
      <c r="E105" s="23">
        <f>(VLOOKUP($A105,'calculation¦capex'!$A$16:$Q$216,E$13-13,FALSE)/1000*VLOOKUP($C105,corporateallocation,3,FALSE))</f>
        <v>49.958843598391191</v>
      </c>
      <c r="F105" s="23">
        <f>(VLOOKUP($A105,'calculation¦capex'!$A$16:$Q$216,F$13-13,FALSE)/1000*VLOOKUP($C105,corporateallocation,3,FALSE))</f>
        <v>0</v>
      </c>
      <c r="G105" s="23">
        <f>(VLOOKUP($A105,'calculation¦capex'!$A$16:$Q$216,G$13-13,FALSE)/1000*VLOOKUP($C105,corporateallocation,3,FALSE))</f>
        <v>0</v>
      </c>
      <c r="H105" s="23">
        <f>(VLOOKUP($A105,'calculation¦capex'!$A$16:$Q$216,H$13-13,FALSE)/1000*VLOOKUP($C105,corporateallocation,3,FALSE))</f>
        <v>0</v>
      </c>
      <c r="I105" s="23">
        <f>(VLOOKUP($A105,'calculation¦capex'!$A$16:$Q$216,I$13-13,FALSE)/1000*VLOOKUP($C105,corporateallocation,3,FALSE))</f>
        <v>0</v>
      </c>
      <c r="J105" s="8">
        <f>VLOOKUP(A105,'calculation¦capex'!$A$16:$AD$121,12,FALSE)</f>
        <v>0</v>
      </c>
    </row>
    <row r="106" spans="1:10" ht="16.5" x14ac:dyDescent="0.3">
      <c r="A106" s="16" t="str">
        <f>'calculation¦capex'!A109</f>
        <v>BizTalk System Upgrade FY18</v>
      </c>
      <c r="B106" s="8" t="str">
        <f>IFERROR(VLOOKUP($A106,'calculation¦capex'!$A$16:$AF$216,30,FALSE),"")</f>
        <v>$2015/16</v>
      </c>
      <c r="C106" s="8" t="str">
        <f>IFERROR(VLOOKUP(A106,'calculation¦capex'!A108:Q308,2,FALSE),"")</f>
        <v>APA</v>
      </c>
      <c r="D106" s="23">
        <f>(VLOOKUP($A106,'calculation¦capex'!$A$16:$Q$216,D$13-13,FALSE)/1000*VLOOKUP($C106,corporateallocation,3,FALSE))</f>
        <v>0</v>
      </c>
      <c r="E106" s="23">
        <f>(VLOOKUP($A106,'calculation¦capex'!$A$16:$Q$216,E$13-13,FALSE)/1000*VLOOKUP($C106,corporateallocation,3,FALSE))</f>
        <v>47.108540416095771</v>
      </c>
      <c r="F106" s="23">
        <f>(VLOOKUP($A106,'calculation¦capex'!$A$16:$Q$216,F$13-13,FALSE)/1000*VLOOKUP($C106,corporateallocation,3,FALSE))</f>
        <v>0</v>
      </c>
      <c r="G106" s="23">
        <f>(VLOOKUP($A106,'calculation¦capex'!$A$16:$Q$216,G$13-13,FALSE)/1000*VLOOKUP($C106,corporateallocation,3,FALSE))</f>
        <v>0</v>
      </c>
      <c r="H106" s="23">
        <f>(VLOOKUP($A106,'calculation¦capex'!$A$16:$Q$216,H$13-13,FALSE)/1000*VLOOKUP($C106,corporateallocation,3,FALSE))</f>
        <v>0</v>
      </c>
      <c r="I106" s="23">
        <f>(VLOOKUP($A106,'calculation¦capex'!$A$16:$Q$216,I$13-13,FALSE)/1000*VLOOKUP($C106,corporateallocation,3,FALSE))</f>
        <v>0</v>
      </c>
      <c r="J106" s="8">
        <f>VLOOKUP(A106,'calculation¦capex'!$A$16:$AD$121,12,FALSE)</f>
        <v>0</v>
      </c>
    </row>
    <row r="107" spans="1:10" ht="16.5" x14ac:dyDescent="0.3">
      <c r="A107" s="16" t="str">
        <f>'calculation¦capex'!A110</f>
        <v>Automated Testing Tool</v>
      </c>
      <c r="B107" s="8" t="str">
        <f>IFERROR(VLOOKUP($A107,'calculation¦capex'!$A$16:$AF$216,30,FALSE),"")</f>
        <v>$2015/16</v>
      </c>
      <c r="C107" s="8" t="str">
        <f>IFERROR(VLOOKUP(A107,'calculation¦capex'!A109:Q309,2,FALSE),"")</f>
        <v>APA</v>
      </c>
      <c r="D107" s="23">
        <f>(VLOOKUP($A107,'calculation¦capex'!$A$16:$Q$216,D$13-13,FALSE)/1000*VLOOKUP($C107,corporateallocation,3,FALSE))</f>
        <v>0</v>
      </c>
      <c r="E107" s="23">
        <f>(VLOOKUP($A107,'calculation¦capex'!$A$16:$Q$216,E$13-13,FALSE)/1000*VLOOKUP($C107,corporateallocation,3,FALSE))</f>
        <v>25.091059658055499</v>
      </c>
      <c r="F107" s="23">
        <f>(VLOOKUP($A107,'calculation¦capex'!$A$16:$Q$216,F$13-13,FALSE)/1000*VLOOKUP($C107,corporateallocation,3,FALSE))</f>
        <v>0</v>
      </c>
      <c r="G107" s="23">
        <f>(VLOOKUP($A107,'calculation¦capex'!$A$16:$Q$216,G$13-13,FALSE)/1000*VLOOKUP($C107,corporateallocation,3,FALSE))</f>
        <v>0</v>
      </c>
      <c r="H107" s="23">
        <f>(VLOOKUP($A107,'calculation¦capex'!$A$16:$Q$216,H$13-13,FALSE)/1000*VLOOKUP($C107,corporateallocation,3,FALSE))</f>
        <v>0</v>
      </c>
      <c r="I107" s="23">
        <f>(VLOOKUP($A107,'calculation¦capex'!$A$16:$Q$216,I$13-13,FALSE)/1000*VLOOKUP($C107,corporateallocation,3,FALSE))</f>
        <v>0</v>
      </c>
      <c r="J107" s="8">
        <f>VLOOKUP(A107,'calculation¦capex'!$A$16:$AD$121,12,FALSE)</f>
        <v>0</v>
      </c>
    </row>
    <row r="108" spans="1:10" ht="16.5" x14ac:dyDescent="0.3">
      <c r="A108" s="16" t="str">
        <f>'calculation¦capex'!A111</f>
        <v>Oracle eBS Upgrade to v12 2</v>
      </c>
      <c r="B108" s="8" t="str">
        <f>IFERROR(VLOOKUP($A108,'calculation¦capex'!$A$16:$AF$216,30,FALSE),"")</f>
        <v>$2015/16</v>
      </c>
      <c r="C108" s="8" t="str">
        <f>IFERROR(VLOOKUP(A108,'calculation¦capex'!A110:Q310,2,FALSE),"")</f>
        <v>APA</v>
      </c>
      <c r="D108" s="23">
        <f>(VLOOKUP($A108,'calculation¦capex'!$A$16:$Q$216,D$13-13,FALSE)/1000*VLOOKUP($C108,corporateallocation,3,FALSE))</f>
        <v>0</v>
      </c>
      <c r="E108" s="23">
        <f>(VLOOKUP($A108,'calculation¦capex'!$A$16:$Q$216,E$13-13,FALSE)/1000*VLOOKUP($C108,corporateallocation,3,FALSE))</f>
        <v>54.591005307433342</v>
      </c>
      <c r="F108" s="23">
        <f>(VLOOKUP($A108,'calculation¦capex'!$A$16:$Q$216,F$13-13,FALSE)/1000*VLOOKUP($C108,corporateallocation,3,FALSE))</f>
        <v>0</v>
      </c>
      <c r="G108" s="23">
        <f>(VLOOKUP($A108,'calculation¦capex'!$A$16:$Q$216,G$13-13,FALSE)/1000*VLOOKUP($C108,corporateallocation,3,FALSE))</f>
        <v>0</v>
      </c>
      <c r="H108" s="23">
        <f>(VLOOKUP($A108,'calculation¦capex'!$A$16:$Q$216,H$13-13,FALSE)/1000*VLOOKUP($C108,corporateallocation,3,FALSE))</f>
        <v>0</v>
      </c>
      <c r="I108" s="23">
        <f>(VLOOKUP($A108,'calculation¦capex'!$A$16:$Q$216,I$13-13,FALSE)/1000*VLOOKUP($C108,corporateallocation,3,FALSE))</f>
        <v>0</v>
      </c>
      <c r="J108" s="8">
        <f>VLOOKUP(A108,'calculation¦capex'!$A$16:$AD$121,12,FALSE)</f>
        <v>0</v>
      </c>
    </row>
    <row r="109" spans="1:10" ht="16.5" x14ac:dyDescent="0.3">
      <c r="A109" s="16" t="str">
        <f>'calculation¦capex'!A112</f>
        <v>CRM Upgrade</v>
      </c>
      <c r="B109" s="8" t="str">
        <f>IFERROR(VLOOKUP($A109,'calculation¦capex'!$A$16:$AF$216,30,FALSE),"")</f>
        <v>$2015/16</v>
      </c>
      <c r="C109" s="8" t="str">
        <f>IFERROR(VLOOKUP(A109,'calculation¦capex'!A111:Q311,2,FALSE),"")</f>
        <v>Transmission</v>
      </c>
      <c r="D109" s="23">
        <f>(VLOOKUP($A109,'calculation¦capex'!$A$16:$Q$216,D$13-13,FALSE)/1000*VLOOKUP($C109,corporateallocation,3,FALSE))</f>
        <v>0</v>
      </c>
      <c r="E109" s="23">
        <f>(VLOOKUP($A109,'calculation¦capex'!$A$16:$Q$216,E$13-13,FALSE)/1000*VLOOKUP($C109,corporateallocation,3,FALSE))</f>
        <v>39.999071801776672</v>
      </c>
      <c r="F109" s="23">
        <f>(VLOOKUP($A109,'calculation¦capex'!$A$16:$Q$216,F$13-13,FALSE)/1000*VLOOKUP($C109,corporateallocation,3,FALSE))</f>
        <v>0</v>
      </c>
      <c r="G109" s="23">
        <f>(VLOOKUP($A109,'calculation¦capex'!$A$16:$Q$216,G$13-13,FALSE)/1000*VLOOKUP($C109,corporateallocation,3,FALSE))</f>
        <v>0</v>
      </c>
      <c r="H109" s="23">
        <f>(VLOOKUP($A109,'calculation¦capex'!$A$16:$Q$216,H$13-13,FALSE)/1000*VLOOKUP($C109,corporateallocation,3,FALSE))</f>
        <v>0</v>
      </c>
      <c r="I109" s="23">
        <f>(VLOOKUP($A109,'calculation¦capex'!$A$16:$Q$216,I$13-13,FALSE)/1000*VLOOKUP($C109,corporateallocation,3,FALSE))</f>
        <v>0</v>
      </c>
      <c r="J109" s="8">
        <f>VLOOKUP(A109,'calculation¦capex'!$A$16:$AD$121,12,FALSE)</f>
        <v>0</v>
      </c>
    </row>
    <row r="110" spans="1:10" ht="16.5" x14ac:dyDescent="0.3">
      <c r="A110" s="16" t="str">
        <f>'calculation¦capex'!A113</f>
        <v>X-Info Aware Version 2</v>
      </c>
      <c r="B110" s="8" t="str">
        <f>IFERROR(VLOOKUP($A110,'calculation¦capex'!$A$16:$AF$216,30,FALSE),"")</f>
        <v>$2015/16</v>
      </c>
      <c r="C110" s="8" t="str">
        <f>IFERROR(VLOOKUP(A110,'calculation¦capex'!A112:Q312,2,FALSE),"")</f>
        <v>Transmission</v>
      </c>
      <c r="D110" s="23">
        <f>(VLOOKUP($A110,'calculation¦capex'!$A$16:$Q$216,D$13-13,FALSE)/1000*VLOOKUP($C110,corporateallocation,3,FALSE))</f>
        <v>0</v>
      </c>
      <c r="E110" s="23">
        <f>(VLOOKUP($A110,'calculation¦capex'!$A$16:$Q$216,E$13-13,FALSE)/1000*VLOOKUP($C110,corporateallocation,3,FALSE))</f>
        <v>18.206773444574651</v>
      </c>
      <c r="F110" s="23">
        <f>(VLOOKUP($A110,'calculation¦capex'!$A$16:$Q$216,F$13-13,FALSE)/1000*VLOOKUP($C110,corporateallocation,3,FALSE))</f>
        <v>0</v>
      </c>
      <c r="G110" s="23">
        <f>(VLOOKUP($A110,'calculation¦capex'!$A$16:$Q$216,G$13-13,FALSE)/1000*VLOOKUP($C110,corporateallocation,3,FALSE))</f>
        <v>0</v>
      </c>
      <c r="H110" s="23">
        <f>(VLOOKUP($A110,'calculation¦capex'!$A$16:$Q$216,H$13-13,FALSE)/1000*VLOOKUP($C110,corporateallocation,3,FALSE))</f>
        <v>0</v>
      </c>
      <c r="I110" s="23">
        <f>(VLOOKUP($A110,'calculation¦capex'!$A$16:$Q$216,I$13-13,FALSE)/1000*VLOOKUP($C110,corporateallocation,3,FALSE))</f>
        <v>0</v>
      </c>
      <c r="J110" s="8">
        <f>VLOOKUP(A110,'calculation¦capex'!$A$16:$AD$121,12,FALSE)</f>
        <v>0</v>
      </c>
    </row>
    <row r="111" spans="1:10" ht="16.5" x14ac:dyDescent="0.3">
      <c r="A111" s="16" t="str">
        <f>'calculation¦capex'!A114</f>
        <v>ID Procurement Data</v>
      </c>
      <c r="B111" s="8" t="str">
        <f>IFERROR(VLOOKUP($A111,'calculation¦capex'!$A$16:$AF$216,30,FALSE),"")</f>
        <v>$2015/16</v>
      </c>
      <c r="C111" s="8" t="str">
        <f>IFERROR(VLOOKUP(A111,'calculation¦capex'!A113:Q313,2,FALSE),"")</f>
        <v>Pipelines</v>
      </c>
      <c r="D111" s="23">
        <f>(VLOOKUP($A111,'calculation¦capex'!$A$16:$Q$216,D$13-13,FALSE)/1000*VLOOKUP($C111,corporateallocation,3,FALSE))</f>
        <v>0</v>
      </c>
      <c r="E111" s="23">
        <f>(VLOOKUP($A111,'calculation¦capex'!$A$16:$Q$216,E$13-13,FALSE)/1000*VLOOKUP($C111,corporateallocation,3,FALSE))</f>
        <v>17.250185372210748</v>
      </c>
      <c r="F111" s="23">
        <f>(VLOOKUP($A111,'calculation¦capex'!$A$16:$Q$216,F$13-13,FALSE)/1000*VLOOKUP($C111,corporateallocation,3,FALSE))</f>
        <v>0.93588277338330761</v>
      </c>
      <c r="G111" s="23">
        <f>(VLOOKUP($A111,'calculation¦capex'!$A$16:$Q$216,G$13-13,FALSE)/1000*VLOOKUP($C111,corporateallocation,3,FALSE))</f>
        <v>0</v>
      </c>
      <c r="H111" s="23">
        <f>(VLOOKUP($A111,'calculation¦capex'!$A$16:$Q$216,H$13-13,FALSE)/1000*VLOOKUP($C111,corporateallocation,3,FALSE))</f>
        <v>0</v>
      </c>
      <c r="I111" s="23">
        <f>(VLOOKUP($A111,'calculation¦capex'!$A$16:$Q$216,I$13-13,FALSE)/1000*VLOOKUP($C111,corporateallocation,3,FALSE))</f>
        <v>0</v>
      </c>
      <c r="J111" s="8">
        <f>VLOOKUP(A111,'calculation¦capex'!$A$16:$AD$121,12,FALSE)</f>
        <v>0</v>
      </c>
    </row>
    <row r="112" spans="1:10" ht="16.5" x14ac:dyDescent="0.3">
      <c r="A112" s="16" t="str">
        <f>'calculation¦capex'!A115</f>
        <v>Upgrade Enterprise OSI PI Historian 2017</v>
      </c>
      <c r="B112" s="8" t="str">
        <f>IFERROR(VLOOKUP($A112,'calculation¦capex'!$A$16:$AF$216,30,FALSE),"")</f>
        <v>$2015/16</v>
      </c>
      <c r="C112" s="8" t="str">
        <f>IFERROR(VLOOKUP(A112,'calculation¦capex'!A114:Q314,2,FALSE),"")</f>
        <v>Pipelines</v>
      </c>
      <c r="D112" s="23">
        <f>(VLOOKUP($A112,'calculation¦capex'!$A$16:$Q$216,D$13-13,FALSE)/1000*VLOOKUP($C112,corporateallocation,3,FALSE))</f>
        <v>1.0551020679380585</v>
      </c>
      <c r="E112" s="23">
        <f>(VLOOKUP($A112,'calculation¦capex'!$A$16:$Q$216,E$13-13,FALSE)/1000*VLOOKUP($C112,corporateallocation,3,FALSE))</f>
        <v>7.6431557605821734</v>
      </c>
      <c r="F112" s="23">
        <f>(VLOOKUP($A112,'calculation¦capex'!$A$16:$Q$216,F$13-13,FALSE)/1000*VLOOKUP($C112,corporateallocation,3,FALSE))</f>
        <v>0</v>
      </c>
      <c r="G112" s="23">
        <f>(VLOOKUP($A112,'calculation¦capex'!$A$16:$Q$216,G$13-13,FALSE)/1000*VLOOKUP($C112,corporateallocation,3,FALSE))</f>
        <v>0</v>
      </c>
      <c r="H112" s="23">
        <f>(VLOOKUP($A112,'calculation¦capex'!$A$16:$Q$216,H$13-13,FALSE)/1000*VLOOKUP($C112,corporateallocation,3,FALSE))</f>
        <v>0</v>
      </c>
      <c r="I112" s="23">
        <f>(VLOOKUP($A112,'calculation¦capex'!$A$16:$Q$216,I$13-13,FALSE)/1000*VLOOKUP($C112,corporateallocation,3,FALSE))</f>
        <v>0</v>
      </c>
      <c r="J112" s="8">
        <f>VLOOKUP(A112,'calculation¦capex'!$A$16:$AD$121,12,FALSE)</f>
        <v>0</v>
      </c>
    </row>
    <row r="113" spans="1:10" ht="16.5" x14ac:dyDescent="0.3">
      <c r="A113" s="16" t="str">
        <f>'calculation¦capex'!A116</f>
        <v>Supplier Qualification and Compliance</v>
      </c>
      <c r="B113" s="8" t="str">
        <f>IFERROR(VLOOKUP($A113,'calculation¦capex'!$A$16:$AF$216,30,FALSE),"")</f>
        <v>$2015/16</v>
      </c>
      <c r="C113" s="8" t="str">
        <f>IFERROR(VLOOKUP(A113,'calculation¦capex'!A115:Q315,2,FALSE),"")</f>
        <v>APA</v>
      </c>
      <c r="D113" s="23">
        <f>(VLOOKUP($A113,'calculation¦capex'!$A$16:$Q$216,D$13-13,FALSE)/1000*VLOOKUP($C113,corporateallocation,3,FALSE))</f>
        <v>0</v>
      </c>
      <c r="E113" s="23">
        <f>(VLOOKUP($A113,'calculation¦capex'!$A$16:$Q$216,E$13-13,FALSE)/1000*VLOOKUP($C113,corporateallocation,3,FALSE))</f>
        <v>6.671827482366206</v>
      </c>
      <c r="F113" s="23">
        <f>(VLOOKUP($A113,'calculation¦capex'!$A$16:$Q$216,F$13-13,FALSE)/1000*VLOOKUP($C113,corporateallocation,3,FALSE))</f>
        <v>7.3643400146071949</v>
      </c>
      <c r="G113" s="23">
        <f>(VLOOKUP($A113,'calculation¦capex'!$A$16:$Q$216,G$13-13,FALSE)/1000*VLOOKUP($C113,corporateallocation,3,FALSE))</f>
        <v>0</v>
      </c>
      <c r="H113" s="23">
        <f>(VLOOKUP($A113,'calculation¦capex'!$A$16:$Q$216,H$13-13,FALSE)/1000*VLOOKUP($C113,corporateallocation,3,FALSE))</f>
        <v>0</v>
      </c>
      <c r="I113" s="23">
        <f>(VLOOKUP($A113,'calculation¦capex'!$A$16:$Q$216,I$13-13,FALSE)/1000*VLOOKUP($C113,corporateallocation,3,FALSE))</f>
        <v>0</v>
      </c>
      <c r="J113" s="8">
        <f>VLOOKUP(A113,'calculation¦capex'!$A$16:$AD$121,12,FALSE)</f>
        <v>0</v>
      </c>
    </row>
    <row r="114" spans="1:10" ht="16.5" x14ac:dyDescent="0.3">
      <c r="A114" s="16" t="str">
        <f>'calculation¦capex'!A117</f>
        <v>BizTalk System Upgrade FY20</v>
      </c>
      <c r="B114" s="8" t="str">
        <f>IFERROR(VLOOKUP($A114,'calculation¦capex'!$A$16:$AF$216,30,FALSE),"")</f>
        <v>$2015/16</v>
      </c>
      <c r="C114" s="8" t="str">
        <f>IFERROR(VLOOKUP(A114,'calculation¦capex'!A116:Q316,2,FALSE),"")</f>
        <v>APA</v>
      </c>
      <c r="D114" s="23">
        <f>(VLOOKUP($A114,'calculation¦capex'!$A$16:$Q$216,D$13-13,FALSE)/1000*VLOOKUP($C114,corporateallocation,3,FALSE))</f>
        <v>0</v>
      </c>
      <c r="E114" s="23">
        <f>(VLOOKUP($A114,'calculation¦capex'!$A$16:$Q$216,E$13-13,FALSE)/1000*VLOOKUP($C114,corporateallocation,3,FALSE))</f>
        <v>0</v>
      </c>
      <c r="F114" s="23">
        <f>(VLOOKUP($A114,'calculation¦capex'!$A$16:$Q$216,F$13-13,FALSE)/1000*VLOOKUP($C114,corporateallocation,3,FALSE))</f>
        <v>0</v>
      </c>
      <c r="G114" s="23">
        <f>(VLOOKUP($A114,'calculation¦capex'!$A$16:$Q$216,G$13-13,FALSE)/1000*VLOOKUP($C114,corporateallocation,3,FALSE))</f>
        <v>11.968920412840729</v>
      </c>
      <c r="H114" s="23">
        <f>(VLOOKUP($A114,'calculation¦capex'!$A$16:$Q$216,H$13-13,FALSE)/1000*VLOOKUP($C114,corporateallocation,3,FALSE))</f>
        <v>0</v>
      </c>
      <c r="I114" s="23">
        <f>(VLOOKUP($A114,'calculation¦capex'!$A$16:$Q$216,I$13-13,FALSE)/1000*VLOOKUP($C114,corporateallocation,3,FALSE))</f>
        <v>0</v>
      </c>
      <c r="J114" s="8">
        <f>VLOOKUP(A114,'calculation¦capex'!$A$16:$AD$121,12,FALSE)</f>
        <v>0</v>
      </c>
    </row>
    <row r="115" spans="1:10" ht="16.5" x14ac:dyDescent="0.3">
      <c r="A115" s="16" t="str">
        <f>'calculation¦capex'!A118</f>
        <v>Enterprise Asset Management Upgrade FY21</v>
      </c>
      <c r="B115" s="8" t="str">
        <f>IFERROR(VLOOKUP($A115,'calculation¦capex'!$A$16:$AF$216,30,FALSE),"")</f>
        <v>$2015/16</v>
      </c>
      <c r="C115" s="8" t="str">
        <f>IFERROR(VLOOKUP(A115,'calculation¦capex'!A117:Q317,2,FALSE),"")</f>
        <v>Pipelines</v>
      </c>
      <c r="D115" s="23">
        <f>(VLOOKUP($A115,'calculation¦capex'!$A$16:$Q$216,D$13-13,FALSE)/1000*VLOOKUP($C115,corporateallocation,3,FALSE))</f>
        <v>0</v>
      </c>
      <c r="E115" s="23">
        <f>(VLOOKUP($A115,'calculation¦capex'!$A$16:$Q$216,E$13-13,FALSE)/1000*VLOOKUP($C115,corporateallocation,3,FALSE))</f>
        <v>0</v>
      </c>
      <c r="F115" s="23">
        <f>(VLOOKUP($A115,'calculation¦capex'!$A$16:$Q$216,F$13-13,FALSE)/1000*VLOOKUP($C115,corporateallocation,3,FALSE))</f>
        <v>0</v>
      </c>
      <c r="G115" s="23">
        <f>(VLOOKUP($A115,'calculation¦capex'!$A$16:$Q$216,G$13-13,FALSE)/1000*VLOOKUP($C115,corporateallocation,3,FALSE))</f>
        <v>6.9825580735898489</v>
      </c>
      <c r="H115" s="23">
        <f>(VLOOKUP($A115,'calculation¦capex'!$A$16:$Q$216,H$13-13,FALSE)/1000*VLOOKUP($C115,corporateallocation,3,FALSE))</f>
        <v>55.94791895959181</v>
      </c>
      <c r="I115" s="23">
        <f>(VLOOKUP($A115,'calculation¦capex'!$A$16:$Q$216,I$13-13,FALSE)/1000*VLOOKUP($C115,corporateallocation,3,FALSE))</f>
        <v>0</v>
      </c>
      <c r="J115" s="8">
        <f>VLOOKUP(A115,'calculation¦capex'!$A$16:$AD$121,12,FALSE)</f>
        <v>0</v>
      </c>
    </row>
    <row r="116" spans="1:10" ht="16.5" x14ac:dyDescent="0.3">
      <c r="A116" s="16"/>
      <c r="B116" s="8"/>
      <c r="C116" s="8"/>
      <c r="D116" s="23"/>
      <c r="E116" s="23"/>
      <c r="F116" s="23"/>
      <c r="G116" s="23"/>
      <c r="H116" s="23"/>
      <c r="I116" s="23"/>
    </row>
    <row r="117" spans="1:10" ht="16.5" x14ac:dyDescent="0.3">
      <c r="A117" s="16"/>
      <c r="B117" s="8"/>
      <c r="C117" s="8"/>
      <c r="D117" s="23"/>
      <c r="E117" s="23"/>
      <c r="F117" s="23"/>
      <c r="G117" s="23"/>
      <c r="H117" s="23"/>
      <c r="I117" s="23"/>
    </row>
    <row r="118" spans="1:10" ht="16.5" x14ac:dyDescent="0.3">
      <c r="A118" s="16"/>
      <c r="B118" s="16"/>
      <c r="C118" s="16"/>
      <c r="D118" s="16"/>
      <c r="E118" s="16"/>
      <c r="F118" s="16"/>
      <c r="G118" s="16"/>
      <c r="H118" s="16"/>
      <c r="I118" s="16"/>
    </row>
    <row r="119" spans="1:10" ht="16.5" x14ac:dyDescent="0.3">
      <c r="A119" s="16"/>
      <c r="B119" s="16"/>
      <c r="C119" s="16"/>
      <c r="D119" s="16"/>
      <c r="E119" s="16"/>
      <c r="F119" s="16"/>
      <c r="G119" s="16"/>
      <c r="H119" s="16"/>
      <c r="I119" s="16"/>
    </row>
    <row r="120" spans="1:10" ht="16.5" x14ac:dyDescent="0.3">
      <c r="A120" s="16"/>
      <c r="B120" s="16"/>
      <c r="C120" s="16"/>
      <c r="D120" s="16"/>
      <c r="E120" s="16"/>
      <c r="F120" s="16"/>
      <c r="G120" s="16"/>
      <c r="H120" s="16"/>
      <c r="I120" s="16"/>
    </row>
    <row r="121" spans="1:10" ht="16.5" x14ac:dyDescent="0.3">
      <c r="A121" s="16"/>
      <c r="B121" s="16"/>
      <c r="C121" s="16"/>
      <c r="D121" s="16"/>
      <c r="E121" s="16"/>
      <c r="F121" s="16"/>
      <c r="G121" s="16"/>
      <c r="H121" s="16"/>
      <c r="I121" s="16"/>
    </row>
    <row r="122" spans="1:10" ht="16.5" x14ac:dyDescent="0.3">
      <c r="A122" s="16"/>
    </row>
    <row r="123" spans="1:10" ht="16.5" x14ac:dyDescent="0.3">
      <c r="A123" s="16"/>
    </row>
    <row r="124" spans="1:10" ht="16.5" x14ac:dyDescent="0.3">
      <c r="A124" s="16"/>
    </row>
    <row r="125" spans="1:10" ht="16.5" x14ac:dyDescent="0.3">
      <c r="A125" s="16"/>
    </row>
    <row r="126" spans="1:10" ht="16.5" x14ac:dyDescent="0.3">
      <c r="A126" s="16"/>
    </row>
    <row r="127" spans="1:10" ht="16.5" x14ac:dyDescent="0.3">
      <c r="A127" s="16"/>
    </row>
    <row r="128" spans="1:10" ht="16.5" x14ac:dyDescent="0.3">
      <c r="A128" s="16"/>
    </row>
    <row r="150" spans="12:12" x14ac:dyDescent="0.25">
      <c r="L150" s="5"/>
    </row>
    <row r="1048576" spans="26:26" x14ac:dyDescent="0.25">
      <c r="Z1048576" s="5"/>
    </row>
  </sheetData>
  <mergeCells count="1">
    <mergeCell ref="D12:H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AFA8"/>
  </sheetPr>
  <dimension ref="A1:AD114"/>
  <sheetViews>
    <sheetView topLeftCell="A10" workbookViewId="0">
      <selection activeCell="C14" sqref="C14"/>
    </sheetView>
  </sheetViews>
  <sheetFormatPr defaultRowHeight="16.5" x14ac:dyDescent="0.3"/>
  <cols>
    <col min="1" max="1" width="27.375" customWidth="1"/>
    <col min="4" max="4" width="9.625" bestFit="1" customWidth="1"/>
    <col min="5" max="9" width="8.75" bestFit="1" customWidth="1"/>
    <col min="10" max="10" width="10.125" bestFit="1" customWidth="1"/>
    <col min="11" max="11" width="11.125" bestFit="1" customWidth="1"/>
    <col min="13" max="13" width="11.125" bestFit="1" customWidth="1"/>
    <col min="15" max="15" width="11.125" bestFit="1" customWidth="1"/>
    <col min="25" max="25" width="11.75" customWidth="1"/>
    <col min="26" max="27" width="11.125" bestFit="1" customWidth="1"/>
    <col min="28" max="28" width="9.625" bestFit="1" customWidth="1"/>
    <col min="30" max="30" width="9.625" bestFit="1" customWidth="1"/>
  </cols>
  <sheetData>
    <row r="1" spans="1:30" s="2" customFormat="1" ht="13.5" x14ac:dyDescent="0.25"/>
    <row r="2" spans="1:30" s="2" customFormat="1" ht="13.5" x14ac:dyDescent="0.25"/>
    <row r="3" spans="1:30" s="2" customFormat="1" ht="13.5" x14ac:dyDescent="0.25"/>
    <row r="4" spans="1:30" s="2" customFormat="1" ht="13.5" x14ac:dyDescent="0.25"/>
    <row r="5" spans="1:30" s="2" customFormat="1" ht="13.5" x14ac:dyDescent="0.25"/>
    <row r="6" spans="1:30" s="2" customFormat="1" ht="13.5" x14ac:dyDescent="0.25"/>
    <row r="7" spans="1:30" s="2" customFormat="1" ht="13.5" x14ac:dyDescent="0.25"/>
    <row r="8" spans="1:30" s="2" customFormat="1" ht="13.5" x14ac:dyDescent="0.25"/>
    <row r="9" spans="1:30" s="2" customFormat="1" ht="13.5" x14ac:dyDescent="0.25"/>
    <row r="10" spans="1:30" s="4" customFormat="1" ht="20.25" x14ac:dyDescent="0.3">
      <c r="A10" s="12" t="str">
        <f ca="1">RIGHT(CELL("filename",A1),LEN(CELL("filename",A1))-FIND("]",CELL("filename",A1)))</f>
        <v>calculation¦real dollars</v>
      </c>
    </row>
    <row r="11" spans="1:30" s="1" customFormat="1" ht="13.5" x14ac:dyDescent="0.25"/>
    <row r="12" spans="1:30" s="1" customFormat="1" x14ac:dyDescent="0.3">
      <c r="A12" s="15" t="s">
        <v>90</v>
      </c>
      <c r="D12" s="25"/>
      <c r="E12" s="25"/>
      <c r="F12" s="25"/>
      <c r="G12" s="25"/>
      <c r="H12" s="25"/>
      <c r="M12" s="15"/>
      <c r="O12" s="15"/>
      <c r="P12" s="15"/>
      <c r="Q12" s="15"/>
      <c r="R12" s="15"/>
      <c r="AC12" s="16"/>
      <c r="AD12" s="16"/>
    </row>
    <row r="13" spans="1:30" s="1" customFormat="1" x14ac:dyDescent="0.3">
      <c r="A13" s="1" t="s">
        <v>92</v>
      </c>
      <c r="C13" s="1" t="s">
        <v>91</v>
      </c>
      <c r="D13" s="14">
        <f>'calculation¦RBP capex'!$D$13</f>
        <v>17</v>
      </c>
      <c r="E13" s="14">
        <f>'calculation¦RBP capex'!$E$13</f>
        <v>18</v>
      </c>
      <c r="F13" s="14">
        <f>'calculation¦RBP capex'!$F$13</f>
        <v>19</v>
      </c>
      <c r="G13" s="14">
        <f>'calculation¦RBP capex'!$G$13</f>
        <v>20</v>
      </c>
      <c r="H13" s="14">
        <f>'calculation¦RBP capex'!$H$13</f>
        <v>21</v>
      </c>
      <c r="I13" s="14">
        <f>'calculation¦RBP capex'!$I$13</f>
        <v>22</v>
      </c>
      <c r="J13" s="14" t="s">
        <v>62</v>
      </c>
      <c r="K13" s="14" t="s">
        <v>136</v>
      </c>
      <c r="M13" s="14" t="str">
        <f>AssetClass1</f>
        <v>Original Pipeline</v>
      </c>
      <c r="N13" s="14" t="str">
        <f>AssetClass2</f>
        <v>Pipelines</v>
      </c>
      <c r="O13" s="14" t="str">
        <f>AssetClass5</f>
        <v>Compressors</v>
      </c>
      <c r="P13" s="14" t="str">
        <f>AssetClass6</f>
        <v>Regulators and meters</v>
      </c>
      <c r="Q13" s="14" t="str">
        <f>AssetClass7</f>
        <v>Easements</v>
      </c>
      <c r="R13" s="14" t="str">
        <f>AssetClass8</f>
        <v>Communications</v>
      </c>
      <c r="S13" s="14" t="str">
        <f>AssetClass9</f>
        <v>Other</v>
      </c>
      <c r="T13" s="14" t="str">
        <f>AssetClass10</f>
        <v>Capitalised AA costs</v>
      </c>
      <c r="U13" s="14" t="str">
        <f>AssetClass11</f>
        <v>Group IT</v>
      </c>
      <c r="V13" s="14" t="str">
        <f>AssetClass12</f>
        <v>SIB Capex</v>
      </c>
      <c r="W13" s="14" t="str">
        <f>AssetClass13</f>
        <v>PMA</v>
      </c>
      <c r="X13" s="14" t="s">
        <v>62</v>
      </c>
      <c r="Z13" s="34" t="s">
        <v>65</v>
      </c>
      <c r="AA13" s="16"/>
      <c r="AB13" s="16"/>
    </row>
    <row r="14" spans="1:30" x14ac:dyDescent="0.3">
      <c r="A14" s="1" t="str">
        <f>'calculation¦RBP capex'!A14</f>
        <v>ALARM RATIONALISATION</v>
      </c>
      <c r="B14">
        <f>VLOOKUP(A14,'calculation¦capex'!$A$17:$AE$117,12,FALSE)</f>
        <v>0</v>
      </c>
      <c r="C14" t="str">
        <f>'inputs¦other'!B13</f>
        <v>$2016/17</v>
      </c>
      <c r="D14" s="23">
        <f>'calculation¦RBP capex'!D14/VLOOKUP('calculation¦RBP capex'!$B14,InflationAdjustment,2,FALSE)</f>
        <v>28.545745627385323</v>
      </c>
      <c r="E14" s="23">
        <f>'calculation¦RBP capex'!E14/VLOOKUP('calculation¦RBP capex'!$B14,InflationAdjustment,2,FALSE)</f>
        <v>0</v>
      </c>
      <c r="F14" s="23">
        <f>'calculation¦RBP capex'!F14/VLOOKUP('calculation¦RBP capex'!$B14,InflationAdjustment,2,FALSE)</f>
        <v>0</v>
      </c>
      <c r="G14" s="23">
        <f>'calculation¦RBP capex'!G14/VLOOKUP('calculation¦RBP capex'!$B14,InflationAdjustment,2,FALSE)</f>
        <v>0</v>
      </c>
      <c r="H14" s="23">
        <f>'calculation¦RBP capex'!H14/VLOOKUP('calculation¦RBP capex'!$B14,InflationAdjustment,2,FALSE)</f>
        <v>0</v>
      </c>
      <c r="I14" s="23">
        <f>'calculation¦RBP capex'!I14/VLOOKUP('calculation¦RBP capex'!$B14,InflationAdjustment,2,FALSE)</f>
        <v>0</v>
      </c>
      <c r="J14" s="23">
        <f>SUM(D14:I14)</f>
        <v>28.545745627385323</v>
      </c>
      <c r="K14" s="23" t="str">
        <f>LEFT(B14,2)</f>
        <v>0</v>
      </c>
      <c r="L14" s="14">
        <f>'calculation¦RBP capex'!$D$13</f>
        <v>17</v>
      </c>
      <c r="M14" s="10">
        <f>SUMPRODUCT('calculation¦capex'!R$17:R$217,'calculation¦real dollars'!$D$14:$D$214)</f>
        <v>14081.083500000001</v>
      </c>
      <c r="N14" s="10">
        <f>SUMPRODUCT('calculation¦capex'!S$17:S$217,'calculation¦real dollars'!$D$14:$D$214)</f>
        <v>892.8044650190825</v>
      </c>
      <c r="O14" s="10">
        <f>SUMPRODUCT('calculation¦capex'!T$17:T$217,'calculation¦real dollars'!$D$14:$D$214)</f>
        <v>0</v>
      </c>
      <c r="P14" s="10">
        <f>SUMPRODUCT('calculation¦capex'!U$17:U$217,'calculation¦real dollars'!$D$14:$D$214)</f>
        <v>0</v>
      </c>
      <c r="Q14" s="10">
        <f>SUMPRODUCT('calculation¦capex'!V$17:V$217,'calculation¦real dollars'!$D$14:$D$214)</f>
        <v>0</v>
      </c>
      <c r="R14" s="10">
        <f>SUMPRODUCT('calculation¦capex'!W$17:W$217,'calculation¦real dollars'!$D$14:$D$214)</f>
        <v>0</v>
      </c>
      <c r="S14" s="10">
        <f>SUMPRODUCT('calculation¦capex'!X$17:X$217,'calculation¦real dollars'!$D$14:$D$214)</f>
        <v>0</v>
      </c>
      <c r="T14" s="10">
        <f>SUMPRODUCT('calculation¦capex'!Y$17:Y$217,'calculation¦real dollars'!$D$14:$D$214)</f>
        <v>911.85669695999991</v>
      </c>
      <c r="U14" s="10">
        <f>SUMPRODUCT('calculation¦capex'!Z$17:Z$217,'calculation¦real dollars'!$D$14:$D$214)</f>
        <v>1410.3896560595083</v>
      </c>
      <c r="V14" s="10">
        <f>SUMPRODUCT('calculation¦capex'!AA$17:AA$217,'calculation¦real dollars'!$D$14:$D$214)</f>
        <v>923.72449570348158</v>
      </c>
      <c r="W14" s="10">
        <f>SUMPRODUCT('calculation¦capex'!AB$17:AB$217,'calculation¦real dollars'!$D$14:$D$214)</f>
        <v>0</v>
      </c>
      <c r="X14" s="10">
        <f t="shared" ref="X14:X19" si="0">SUM(M14:W14)</f>
        <v>18219.858813742074</v>
      </c>
      <c r="Y14" s="30"/>
      <c r="Z14" s="35" t="b">
        <f>ROUND(SUM($D$14:$D$214),0)=ROUND(X14,0)</f>
        <v>1</v>
      </c>
      <c r="AA14" s="16"/>
      <c r="AB14" s="16"/>
    </row>
    <row r="15" spans="1:30" x14ac:dyDescent="0.3">
      <c r="A15" s="1" t="str">
        <f>'calculation¦RBP capex'!A15</f>
        <v>ANODE BED EASEMENTS PROGRAM</v>
      </c>
      <c r="B15" s="16" t="str">
        <f>VLOOKUP(A15,'calculation¦capex'!$A$17:$AC$117,12,FALSE)</f>
        <v>AA-03</v>
      </c>
      <c r="C15" s="16" t="str">
        <f>C14</f>
        <v>$2016/17</v>
      </c>
      <c r="D15" s="23">
        <f>'calculation¦RBP capex'!D15/VLOOKUP('calculation¦RBP capex'!$B15,InflationAdjustment,2,FALSE)</f>
        <v>214.82999999999998</v>
      </c>
      <c r="E15" s="23">
        <f>'calculation¦RBP capex'!E15/VLOOKUP('calculation¦RBP capex'!$B15,InflationAdjustment,2,FALSE)</f>
        <v>219.94499999999996</v>
      </c>
      <c r="F15" s="23">
        <f>'calculation¦RBP capex'!F15/VLOOKUP('calculation¦RBP capex'!$B15,InflationAdjustment,2,FALSE)</f>
        <v>225.05999999999997</v>
      </c>
      <c r="G15" s="23">
        <f>'calculation¦RBP capex'!G15/VLOOKUP('calculation¦RBP capex'!$B15,InflationAdjustment,2,FALSE)</f>
        <v>230.17499999999998</v>
      </c>
      <c r="H15" s="23">
        <f>'calculation¦RBP capex'!H15/VLOOKUP('calculation¦RBP capex'!$B15,InflationAdjustment,2,FALSE)</f>
        <v>235.28999999999996</v>
      </c>
      <c r="I15" s="23">
        <f>'calculation¦RBP capex'!I15/VLOOKUP('calculation¦RBP capex'!$B15,InflationAdjustment,2,FALSE)</f>
        <v>240.40499999999997</v>
      </c>
      <c r="J15" s="23">
        <f t="shared" ref="J15:J78" si="1">SUM(D15:I15)</f>
        <v>1365.7049999999997</v>
      </c>
      <c r="K15" s="23" t="str">
        <f t="shared" ref="K15:K78" si="2">LEFT(B15,2)</f>
        <v>AA</v>
      </c>
      <c r="L15" s="14">
        <f>'calculation¦RBP capex'!$E$13</f>
        <v>18</v>
      </c>
      <c r="M15" s="10">
        <f>SUMPRODUCT('calculation¦capex'!R$17:R$117,'calculation¦real dollars'!$E$14:$E$114)</f>
        <v>15817.114499999998</v>
      </c>
      <c r="N15" s="10">
        <f>SUMPRODUCT('calculation¦capex'!S$17:S$117,'calculation¦real dollars'!$E$14:$E$114)</f>
        <v>7026.4754999999996</v>
      </c>
      <c r="O15" s="10">
        <f>SUMPRODUCT('calculation¦capex'!T$17:T$117,'calculation¦real dollars'!$E$14:$E$114)</f>
        <v>102.29999999999998</v>
      </c>
      <c r="P15" s="10">
        <f>SUMPRODUCT('calculation¦capex'!U$17:U$117,'calculation¦real dollars'!$E$14:$E$114)</f>
        <v>261.45914912547704</v>
      </c>
      <c r="Q15" s="10">
        <f>SUMPRODUCT('calculation¦capex'!V$17:V$117,'calculation¦real dollars'!$E$14:$E$114)</f>
        <v>0</v>
      </c>
      <c r="R15" s="10">
        <f>SUMPRODUCT('calculation¦capex'!W$17:W$217,'calculation¦real dollars'!$E$14:$E$214)</f>
        <v>0</v>
      </c>
      <c r="S15" s="10">
        <f>SUMPRODUCT('calculation¦capex'!X$17:X$117,'calculation¦real dollars'!$E$14:$E$114)</f>
        <v>0</v>
      </c>
      <c r="T15" s="10">
        <f>SUMPRODUCT('calculation¦capex'!Y$17:Y$117,'calculation¦real dollars'!$E$14:$E$114)</f>
        <v>72.505483049999995</v>
      </c>
      <c r="U15" s="10">
        <f>SUMPRODUCT('calculation¦capex'!Z$17:Z$117,'calculation¦real dollars'!$E$14:$E$114)</f>
        <v>1614.2712126730266</v>
      </c>
      <c r="V15" s="10">
        <f>SUMPRODUCT('calculation¦capex'!AA$17:AA$217,'calculation¦real dollars'!$E$14:$E$214)</f>
        <v>1027.6237281369265</v>
      </c>
      <c r="W15" s="10">
        <f>SUMPRODUCT('calculation¦capex'!AB$17:AB$117,'calculation¦real dollars'!$E$14:$E$114)</f>
        <v>0</v>
      </c>
      <c r="X15" s="10">
        <f t="shared" si="0"/>
        <v>25921.749572985424</v>
      </c>
      <c r="Y15" s="30"/>
      <c r="Z15" s="35" t="b">
        <f>ROUND(SUM($E$14:$E$214),0)=ROUND(X15,0)</f>
        <v>1</v>
      </c>
      <c r="AA15" s="16"/>
      <c r="AB15" s="16"/>
    </row>
    <row r="16" spans="1:30" x14ac:dyDescent="0.3">
      <c r="A16" s="1" t="str">
        <f>'calculation¦RBP capex'!A16</f>
        <v>BELLBIRD PARK STATION UPGRADE</v>
      </c>
      <c r="B16" s="16">
        <f>VLOOKUP(A16,'calculation¦capex'!$A$17:$AC$117,12,FALSE)</f>
        <v>0</v>
      </c>
      <c r="C16" s="16" t="str">
        <f t="shared" ref="C16:C79" si="3">C15</f>
        <v>$2016/17</v>
      </c>
      <c r="D16" s="23">
        <f>'calculation¦RBP capex'!D16/VLOOKUP('calculation¦RBP capex'!$B16,InflationAdjustment,2,FALSE)</f>
        <v>0</v>
      </c>
      <c r="E16" s="23">
        <f>'calculation¦RBP capex'!E16/VLOOKUP('calculation¦RBP capex'!$B16,InflationAdjustment,2,FALSE)</f>
        <v>0</v>
      </c>
      <c r="F16" s="23">
        <f>'calculation¦RBP capex'!F16/VLOOKUP('calculation¦RBP capex'!$B16,InflationAdjustment,2,FALSE)</f>
        <v>0</v>
      </c>
      <c r="G16" s="23">
        <f>'calculation¦RBP capex'!G16/VLOOKUP('calculation¦RBP capex'!$B16,InflationAdjustment,2,FALSE)</f>
        <v>0</v>
      </c>
      <c r="H16" s="23">
        <f>'calculation¦RBP capex'!H16/VLOOKUP('calculation¦RBP capex'!$B16,InflationAdjustment,2,FALSE)</f>
        <v>0</v>
      </c>
      <c r="I16" s="23">
        <f>'calculation¦RBP capex'!I16/VLOOKUP('calculation¦RBP capex'!$B16,InflationAdjustment,2,FALSE)</f>
        <v>0</v>
      </c>
      <c r="J16" s="23">
        <f t="shared" si="1"/>
        <v>0</v>
      </c>
      <c r="K16" s="23" t="str">
        <f t="shared" si="2"/>
        <v>0</v>
      </c>
      <c r="L16" s="14">
        <f>'calculation¦RBP capex'!$F$13</f>
        <v>19</v>
      </c>
      <c r="M16" s="10">
        <f>SUMPRODUCT('calculation¦capex'!R$17:R$217,'calculation¦real dollars'!$F$14:$F$214)</f>
        <v>11589.566999999999</v>
      </c>
      <c r="N16" s="10">
        <f>SUMPRODUCT('calculation¦capex'!S$17:S$217,'calculation¦real dollars'!$F$14:$F$214)</f>
        <v>2546.2469999999994</v>
      </c>
      <c r="O16" s="10">
        <f>SUMPRODUCT('calculation¦capex'!T$17:T$217,'calculation¦real dollars'!$F$14:$F$214)</f>
        <v>102.29999999999998</v>
      </c>
      <c r="P16" s="10">
        <f>SUMPRODUCT('calculation¦capex'!U$17:U$217,'calculation¦real dollars'!$F$14:$F$214)</f>
        <v>0</v>
      </c>
      <c r="Q16" s="10">
        <f>SUMPRODUCT('calculation¦capex'!V$17:V$217,'calculation¦real dollars'!$F$14:$F$214)</f>
        <v>0</v>
      </c>
      <c r="R16" s="10">
        <f>SUMPRODUCT('calculation¦capex'!W$17:W$217,'calculation¦real dollars'!$F$14:$F$214)</f>
        <v>0</v>
      </c>
      <c r="S16" s="10">
        <f>SUMPRODUCT('calculation¦capex'!X$17:X$217,'calculation¦real dollars'!$F$14:$F$214)</f>
        <v>0</v>
      </c>
      <c r="T16" s="10">
        <f>SUMPRODUCT('calculation¦capex'!Y$17:Y$217,'calculation¦real dollars'!$F$14:$F$214)</f>
        <v>0</v>
      </c>
      <c r="U16" s="10">
        <f>SUMPRODUCT('calculation¦capex'!Z$17:Z$217,'calculation¦real dollars'!$F$14:$F$214)</f>
        <v>590.18528133882376</v>
      </c>
      <c r="V16" s="10">
        <f>SUMPRODUCT('calculation¦capex'!AA$17:AA$217,'calculation¦real dollars'!$F$14:$F$214)</f>
        <v>1080.9179825095412</v>
      </c>
      <c r="W16" s="10">
        <f>SUMPRODUCT('calculation¦capex'!AB$17:AB$217,'calculation¦real dollars'!$F$14:$F$214)</f>
        <v>0</v>
      </c>
      <c r="X16" s="10">
        <f t="shared" si="0"/>
        <v>15909.217263848363</v>
      </c>
      <c r="Z16" s="35" t="b">
        <f>ROUND(SUM($F$14:$F$214),0)=ROUND(X16,0)</f>
        <v>1</v>
      </c>
      <c r="AA16" s="16"/>
      <c r="AB16" s="16"/>
    </row>
    <row r="17" spans="1:29" x14ac:dyDescent="0.3">
      <c r="A17" s="1" t="str">
        <f>'calculation¦RBP capex'!A17</f>
        <v>COMMISSION LEGAL ADVICE FOR ENCROACHMENT MANAGEMENT</v>
      </c>
      <c r="B17" s="16">
        <f>VLOOKUP(A17,'calculation¦capex'!$A$17:$AC$117,12,FALSE)</f>
        <v>0</v>
      </c>
      <c r="C17" s="16" t="str">
        <f t="shared" si="3"/>
        <v>$2016/17</v>
      </c>
      <c r="D17" s="23">
        <f>'calculation¦RBP capex'!D17/VLOOKUP('calculation¦RBP capex'!$B17,InflationAdjustment,2,FALSE)</f>
        <v>0</v>
      </c>
      <c r="E17" s="23">
        <f>'calculation¦RBP capex'!E17/VLOOKUP('calculation¦RBP capex'!$B17,InflationAdjustment,2,FALSE)</f>
        <v>0</v>
      </c>
      <c r="F17" s="23">
        <f>'calculation¦RBP capex'!F17/VLOOKUP('calculation¦RBP capex'!$B17,InflationAdjustment,2,FALSE)</f>
        <v>0</v>
      </c>
      <c r="G17" s="23">
        <f>'calculation¦RBP capex'!G17/VLOOKUP('calculation¦RBP capex'!$B17,InflationAdjustment,2,FALSE)</f>
        <v>0</v>
      </c>
      <c r="H17" s="23">
        <f>'calculation¦RBP capex'!H17/VLOOKUP('calculation¦RBP capex'!$B17,InflationAdjustment,2,FALSE)</f>
        <v>0</v>
      </c>
      <c r="I17" s="23">
        <f>'calculation¦RBP capex'!I17/VLOOKUP('calculation¦RBP capex'!$B17,InflationAdjustment,2,FALSE)</f>
        <v>0</v>
      </c>
      <c r="J17" s="23">
        <f t="shared" si="1"/>
        <v>0</v>
      </c>
      <c r="K17" s="23" t="str">
        <f t="shared" si="2"/>
        <v>0</v>
      </c>
      <c r="L17" s="14">
        <f>'calculation¦RBP capex'!$G$13</f>
        <v>20</v>
      </c>
      <c r="M17" s="10">
        <f>SUMPRODUCT('calculation¦capex'!R$17:R$217,'calculation¦real dollars'!$G$14:$G$214)</f>
        <v>4901.7044999999998</v>
      </c>
      <c r="N17" s="10">
        <f>SUMPRODUCT('calculation¦capex'!S$17:S$217,'calculation¦real dollars'!$G$14:$G$214)</f>
        <v>860.85449999999992</v>
      </c>
      <c r="O17" s="10">
        <f>SUMPRODUCT('calculation¦capex'!T$17:T$217,'calculation¦real dollars'!$G$14:$G$214)</f>
        <v>0</v>
      </c>
      <c r="P17" s="10">
        <f>SUMPRODUCT('calculation¦capex'!U$17:U$217,'calculation¦real dollars'!$G$14:$G$214)</f>
        <v>81.839999999999989</v>
      </c>
      <c r="Q17" s="10">
        <f>SUMPRODUCT('calculation¦capex'!V$17:V$217,'calculation¦real dollars'!$G$14:$G$214)</f>
        <v>0</v>
      </c>
      <c r="R17" s="10">
        <f>SUMPRODUCT('calculation¦capex'!W$17:W$217,'calculation¦real dollars'!$G$14:$G$214)</f>
        <v>0</v>
      </c>
      <c r="S17" s="10">
        <f>SUMPRODUCT('calculation¦capex'!X$17:X$217,'calculation¦real dollars'!$G$14:$G$214)</f>
        <v>0</v>
      </c>
      <c r="T17" s="10">
        <f>SUMPRODUCT('calculation¦capex'!Y$17:Y$217,'calculation¦real dollars'!$G$14:$G$214)</f>
        <v>0</v>
      </c>
      <c r="U17" s="10">
        <f>SUMPRODUCT('calculation¦capex'!Z$17:Z$217,'calculation¦real dollars'!$G$14:$G$214)</f>
        <v>472.00371060451573</v>
      </c>
      <c r="V17" s="10">
        <f>SUMPRODUCT('calculation¦capex'!AA$17:AA$217,'calculation¦real dollars'!$G$14:$G$214)</f>
        <v>528.4979825095412</v>
      </c>
      <c r="W17" s="10">
        <f>SUMPRODUCT('calculation¦capex'!AB$17:AB$217,'calculation¦real dollars'!$G$14:$G$214)</f>
        <v>0</v>
      </c>
      <c r="X17" s="10">
        <f t="shared" si="0"/>
        <v>6844.9006931140566</v>
      </c>
      <c r="Z17" s="35" t="b">
        <f>ROUND(SUM($G$14:$G$214),0)=ROUND(X17,0)</f>
        <v>1</v>
      </c>
      <c r="AA17" s="16"/>
      <c r="AB17" s="16"/>
    </row>
    <row r="18" spans="1:29" x14ac:dyDescent="0.3">
      <c r="A18" s="1" t="str">
        <f>'calculation¦RBP capex'!A18</f>
        <v>Condamine River Strain Excavation</v>
      </c>
      <c r="B18" s="16">
        <f>VLOOKUP(A18,'calculation¦capex'!$A$17:$AC$117,12,FALSE)</f>
        <v>0</v>
      </c>
      <c r="C18" s="16" t="str">
        <f t="shared" si="3"/>
        <v>$2016/17</v>
      </c>
      <c r="D18" s="23">
        <f>'calculation¦RBP capex'!D18/VLOOKUP('calculation¦RBP capex'!$B18,InflationAdjustment,2,FALSE)</f>
        <v>0</v>
      </c>
      <c r="E18" s="23">
        <f>'calculation¦RBP capex'!E18/VLOOKUP('calculation¦RBP capex'!$B18,InflationAdjustment,2,FALSE)</f>
        <v>204.59999999999997</v>
      </c>
      <c r="F18" s="23">
        <f>'calculation¦RBP capex'!F18/VLOOKUP('calculation¦RBP capex'!$B18,InflationAdjustment,2,FALSE)</f>
        <v>0</v>
      </c>
      <c r="G18" s="23">
        <f>'calculation¦RBP capex'!G18/VLOOKUP('calculation¦RBP capex'!$B18,InflationAdjustment,2,FALSE)</f>
        <v>0</v>
      </c>
      <c r="H18" s="23">
        <f>'calculation¦RBP capex'!H18/VLOOKUP('calculation¦RBP capex'!$B18,InflationAdjustment,2,FALSE)</f>
        <v>0</v>
      </c>
      <c r="I18" s="23">
        <f>'calculation¦RBP capex'!I18/VLOOKUP('calculation¦RBP capex'!$B18,InflationAdjustment,2,FALSE)</f>
        <v>0</v>
      </c>
      <c r="J18" s="23">
        <f t="shared" si="1"/>
        <v>204.59999999999997</v>
      </c>
      <c r="K18" s="23" t="str">
        <f t="shared" si="2"/>
        <v>0</v>
      </c>
      <c r="L18" s="14">
        <f>'calculation¦RBP capex'!$H$13</f>
        <v>21</v>
      </c>
      <c r="M18" s="10">
        <f>SUMPRODUCT('calculation¦capex'!R$17:R$217,'calculation¦real dollars'!$H$14:$H$214)</f>
        <v>4674.0869999999986</v>
      </c>
      <c r="N18" s="10">
        <f>SUMPRODUCT('calculation¦capex'!S$17:S$217,'calculation¦real dollars'!$H$14:$H$214)</f>
        <v>2443.9469999999997</v>
      </c>
      <c r="O18" s="10">
        <f>SUMPRODUCT('calculation¦capex'!T$17:T$217,'calculation¦real dollars'!$H$14:$H$214)</f>
        <v>0</v>
      </c>
      <c r="P18" s="10">
        <f>SUMPRODUCT('calculation¦capex'!U$17:U$217,'calculation¦real dollars'!$H$14:$H$214)</f>
        <v>0</v>
      </c>
      <c r="Q18" s="10">
        <f>SUMPRODUCT('calculation¦capex'!V$17:V$217,'calculation¦real dollars'!$H$14:$H$214)</f>
        <v>0</v>
      </c>
      <c r="R18" s="10">
        <f>SUMPRODUCT('calculation¦capex'!W$17:W$217,'calculation¦real dollars'!$H$14:$H$214)</f>
        <v>0</v>
      </c>
      <c r="S18" s="10">
        <f>SUMPRODUCT('calculation¦capex'!X$17:X$217,'calculation¦real dollars'!$H$14:$H$214)</f>
        <v>0</v>
      </c>
      <c r="T18" s="10">
        <f>SUMPRODUCT('calculation¦capex'!Y$17:Y$217,'calculation¦real dollars'!$H$14:$H$214)</f>
        <v>59.342265839999989</v>
      </c>
      <c r="U18" s="10">
        <f>SUMPRODUCT('calculation¦capex'!Z$17:Z$217,'calculation¦real dollars'!$H$14:$H$214)</f>
        <v>578.12742070121726</v>
      </c>
      <c r="V18" s="10">
        <f>SUMPRODUCT('calculation¦capex'!AA$17:AA$217,'calculation¦real dollars'!$H$14:$H$214)</f>
        <v>554.07298250954125</v>
      </c>
      <c r="W18" s="10">
        <f>SUMPRODUCT('calculation¦capex'!AB$17:AB$217,'calculation¦real dollars'!$H$14:$H$214)</f>
        <v>0</v>
      </c>
      <c r="X18" s="10">
        <f t="shared" si="0"/>
        <v>8309.5766690507571</v>
      </c>
      <c r="Z18" s="35" t="b">
        <f>ROUND(SUM($H$14:$H$214),0)=ROUND(X18,0)</f>
        <v>1</v>
      </c>
      <c r="AA18" s="16"/>
      <c r="AB18" s="16"/>
    </row>
    <row r="19" spans="1:29" x14ac:dyDescent="0.3">
      <c r="A19" s="1" t="str">
        <f>'calculation¦RBP capex'!A19</f>
        <v>CP INTERFERENCE TESTING AND MITIGATION</v>
      </c>
      <c r="B19" s="16">
        <f>VLOOKUP(A19,'calculation¦capex'!$A$17:$AC$117,12,FALSE)</f>
        <v>0</v>
      </c>
      <c r="C19" s="16" t="str">
        <f t="shared" si="3"/>
        <v>$2016/17</v>
      </c>
      <c r="D19" s="23">
        <f>'calculation¦RBP capex'!D19/VLOOKUP('calculation¦RBP capex'!$B19,InflationAdjustment,2,FALSE)</f>
        <v>0</v>
      </c>
      <c r="E19" s="23">
        <f>'calculation¦RBP capex'!E19/VLOOKUP('calculation¦RBP capex'!$B19,InflationAdjustment,2,FALSE)</f>
        <v>0</v>
      </c>
      <c r="F19" s="23">
        <f>'calculation¦RBP capex'!F19/VLOOKUP('calculation¦RBP capex'!$B19,InflationAdjustment,2,FALSE)</f>
        <v>0</v>
      </c>
      <c r="G19" s="23">
        <f>'calculation¦RBP capex'!G19/VLOOKUP('calculation¦RBP capex'!$B19,InflationAdjustment,2,FALSE)</f>
        <v>0</v>
      </c>
      <c r="H19" s="23">
        <f>'calculation¦RBP capex'!H19/VLOOKUP('calculation¦RBP capex'!$B19,InflationAdjustment,2,FALSE)</f>
        <v>0</v>
      </c>
      <c r="I19" s="23">
        <f>'calculation¦RBP capex'!I19/VLOOKUP('calculation¦RBP capex'!$B19,InflationAdjustment,2,FALSE)</f>
        <v>0</v>
      </c>
      <c r="J19" s="23">
        <f t="shared" si="1"/>
        <v>0</v>
      </c>
      <c r="K19" s="23" t="str">
        <f t="shared" si="2"/>
        <v>0</v>
      </c>
      <c r="L19" s="14">
        <f>'calculation¦RBP capex'!$I$13</f>
        <v>22</v>
      </c>
      <c r="M19" s="10">
        <f>SUMPRODUCT('calculation¦capex'!R$17:R$217,'calculation¦real dollars'!$I$14:$I$214)</f>
        <v>6232.6274999999996</v>
      </c>
      <c r="N19" s="10">
        <f>SUMPRODUCT('calculation¦capex'!S$17:S$217,'calculation¦real dollars'!$I$14:$I$214)</f>
        <v>451.65449999999993</v>
      </c>
      <c r="O19" s="10">
        <f>SUMPRODUCT('calculation¦capex'!T$17:T$217,'calculation¦real dollars'!$I$14:$I$214)</f>
        <v>1329.8999999999999</v>
      </c>
      <c r="P19" s="10">
        <f>SUMPRODUCT('calculation¦capex'!U$17:U$217,'calculation¦real dollars'!$I$14:$I$214)</f>
        <v>0</v>
      </c>
      <c r="Q19" s="10">
        <f>SUMPRODUCT('calculation¦capex'!V$17:V$217,'calculation¦real dollars'!$I$14:$I$214)</f>
        <v>0</v>
      </c>
      <c r="R19" s="10">
        <f>SUMPRODUCT('calculation¦capex'!W$17:W$217,'calculation¦real dollars'!$I$14:$I$214)</f>
        <v>0</v>
      </c>
      <c r="S19" s="10">
        <f>SUMPRODUCT('calculation¦capex'!X$17:X$217,'calculation¦real dollars'!$I$14:$I$214)</f>
        <v>0</v>
      </c>
      <c r="T19" s="10">
        <f>SUMPRODUCT('calculation¦capex'!Y$17:Y$217,'calculation¦real dollars'!$I$14:$I$214)</f>
        <v>911.85669695999991</v>
      </c>
      <c r="U19" s="10">
        <f>SUMPRODUCT('calculation¦capex'!Z$17:Z$217,'calculation¦real dollars'!$I$14:$I$214)</f>
        <v>425.72883701583771</v>
      </c>
      <c r="V19" s="10">
        <f>SUMPRODUCT('calculation¦capex'!AA$17:AA$217,'calculation¦real dollars'!$I$14:$I$214)</f>
        <v>298.32298250954125</v>
      </c>
      <c r="W19" s="10">
        <f>SUMPRODUCT('calculation¦capex'!AB$17:AB$217,'calculation¦real dollars'!$I$14:$I$214)</f>
        <v>0</v>
      </c>
      <c r="X19" s="10">
        <f t="shared" si="0"/>
        <v>9650.0905164853775</v>
      </c>
      <c r="Z19" s="35" t="b">
        <f>ROUND(SUM($I$14:$I$214),0)=ROUND(X19,0)</f>
        <v>1</v>
      </c>
      <c r="AA19" s="16"/>
      <c r="AB19" s="16"/>
    </row>
    <row r="20" spans="1:29" x14ac:dyDescent="0.3">
      <c r="A20" s="1" t="str">
        <f>'calculation¦RBP capex'!A20</f>
        <v>DN200 &amp; 300 METRO ANNUAL EXCAVATION PROGRAM</v>
      </c>
      <c r="B20" s="16">
        <f>VLOOKUP(A20,'calculation¦capex'!$A$17:$AC$117,12,FALSE)</f>
        <v>0</v>
      </c>
      <c r="C20" s="16" t="str">
        <f t="shared" si="3"/>
        <v>$2016/17</v>
      </c>
      <c r="D20" s="23">
        <f>'calculation¦RBP capex'!D20/VLOOKUP('calculation¦RBP capex'!$B20,InflationAdjustment,2,FALSE)</f>
        <v>0</v>
      </c>
      <c r="E20" s="23">
        <f>'calculation¦RBP capex'!E20/VLOOKUP('calculation¦RBP capex'!$B20,InflationAdjustment,2,FALSE)</f>
        <v>0</v>
      </c>
      <c r="F20" s="23">
        <f>'calculation¦RBP capex'!F20/VLOOKUP('calculation¦RBP capex'!$B20,InflationAdjustment,2,FALSE)</f>
        <v>0</v>
      </c>
      <c r="G20" s="23">
        <f>'calculation¦RBP capex'!G20/VLOOKUP('calculation¦RBP capex'!$B20,InflationAdjustment,2,FALSE)</f>
        <v>0</v>
      </c>
      <c r="H20" s="23">
        <f>'calculation¦RBP capex'!H20/VLOOKUP('calculation¦RBP capex'!$B20,InflationAdjustment,2,FALSE)</f>
        <v>0</v>
      </c>
      <c r="I20" s="23">
        <f>'calculation¦RBP capex'!I20/VLOOKUP('calculation¦RBP capex'!$B20,InflationAdjustment,2,FALSE)</f>
        <v>0</v>
      </c>
      <c r="J20" s="23">
        <f t="shared" si="1"/>
        <v>0</v>
      </c>
      <c r="K20" s="23" t="str">
        <f t="shared" si="2"/>
        <v>0</v>
      </c>
      <c r="L20" s="16"/>
      <c r="AB20" s="16"/>
    </row>
    <row r="21" spans="1:29" x14ac:dyDescent="0.3">
      <c r="A21" s="1" t="str">
        <f>'calculation¦RBP capex'!A21</f>
        <v>DN250 INTEGRITY UPGRADE PROGRAM</v>
      </c>
      <c r="B21" s="16" t="str">
        <f>VLOOKUP(A21,'calculation¦capex'!$A$17:$AC$117,12,FALSE)</f>
        <v>AA-03</v>
      </c>
      <c r="C21" s="16" t="str">
        <f t="shared" si="3"/>
        <v>$2016/17</v>
      </c>
      <c r="D21" s="23">
        <f>'calculation¦RBP capex'!D21/VLOOKUP('calculation¦RBP capex'!$B21,InflationAdjustment,2,FALSE)</f>
        <v>5012.6999999999989</v>
      </c>
      <c r="E21" s="23">
        <f>'calculation¦RBP capex'!E21/VLOOKUP('calculation¦RBP capex'!$B21,InflationAdjustment,2,FALSE)</f>
        <v>5414.7389999999996</v>
      </c>
      <c r="F21" s="23">
        <f>'calculation¦RBP capex'!F21/VLOOKUP('calculation¦RBP capex'!$B21,InflationAdjustment,2,FALSE)</f>
        <v>6107.3099999999995</v>
      </c>
      <c r="G21" s="23">
        <f>'calculation¦RBP capex'!G21/VLOOKUP('calculation¦RBP capex'!$B21,InflationAdjustment,2,FALSE)</f>
        <v>4071.5399999999995</v>
      </c>
      <c r="H21" s="23">
        <f>'calculation¦RBP capex'!H21/VLOOKUP('calculation¦RBP capex'!$B21,InflationAdjustment,2,FALSE)</f>
        <v>3764.6399999999994</v>
      </c>
      <c r="I21" s="23">
        <f>'calculation¦RBP capex'!I21/VLOOKUP('calculation¦RBP capex'!$B21,InflationAdjustment,2,FALSE)</f>
        <v>4328.3129999999992</v>
      </c>
      <c r="J21" s="23">
        <f t="shared" si="1"/>
        <v>28699.241999999995</v>
      </c>
      <c r="K21" s="23" t="str">
        <f t="shared" si="2"/>
        <v>AA</v>
      </c>
      <c r="L21" s="16"/>
      <c r="M21" s="10">
        <f t="shared" ref="M21:X21" si="4">SUM(M15:M19)</f>
        <v>43215.1005</v>
      </c>
      <c r="N21" s="10">
        <f t="shared" si="4"/>
        <v>13329.1785</v>
      </c>
      <c r="O21" s="10">
        <f t="shared" si="4"/>
        <v>1534.4999999999998</v>
      </c>
      <c r="P21" s="10">
        <f t="shared" si="4"/>
        <v>343.29914912547702</v>
      </c>
      <c r="Q21" s="10">
        <f t="shared" si="4"/>
        <v>0</v>
      </c>
      <c r="R21" s="10">
        <f t="shared" si="4"/>
        <v>0</v>
      </c>
      <c r="S21" s="10">
        <f t="shared" si="4"/>
        <v>0</v>
      </c>
      <c r="T21" s="10">
        <f t="shared" si="4"/>
        <v>1043.70444585</v>
      </c>
      <c r="U21" s="10">
        <f t="shared" si="4"/>
        <v>3680.3164623334205</v>
      </c>
      <c r="V21" s="10">
        <f t="shared" si="4"/>
        <v>3489.4356581750912</v>
      </c>
      <c r="W21" s="10">
        <f t="shared" si="4"/>
        <v>0</v>
      </c>
      <c r="X21" s="10">
        <f t="shared" si="4"/>
        <v>66635.534715483984</v>
      </c>
      <c r="Z21" s="36" t="b">
        <f>ROUND(X21,0)=ROUND(SUM(E14:I214),0)</f>
        <v>1</v>
      </c>
    </row>
    <row r="22" spans="1:29" x14ac:dyDescent="0.3">
      <c r="A22" s="1" t="str">
        <f>'calculation¦RBP capex'!A22</f>
        <v>DN250, DN300, DN200 Assessment of loss of cover and mitigation</v>
      </c>
      <c r="B22" s="16">
        <f>VLOOKUP(A22,'calculation¦capex'!$A$17:$AC$117,12,FALSE)</f>
        <v>0</v>
      </c>
      <c r="C22" s="16" t="str">
        <f t="shared" si="3"/>
        <v>$2016/17</v>
      </c>
      <c r="D22" s="23">
        <f>'calculation¦RBP capex'!D22/VLOOKUP('calculation¦RBP capex'!$B22,InflationAdjustment,2,FALSE)</f>
        <v>0</v>
      </c>
      <c r="E22" s="23">
        <f>'calculation¦RBP capex'!E22/VLOOKUP('calculation¦RBP capex'!$B22,InflationAdjustment,2,FALSE)</f>
        <v>0</v>
      </c>
      <c r="F22" s="23">
        <f>'calculation¦RBP capex'!F22/VLOOKUP('calculation¦RBP capex'!$B22,InflationAdjustment,2,FALSE)</f>
        <v>0</v>
      </c>
      <c r="G22" s="23">
        <f>'calculation¦RBP capex'!G22/VLOOKUP('calculation¦RBP capex'!$B22,InflationAdjustment,2,FALSE)</f>
        <v>0</v>
      </c>
      <c r="H22" s="23">
        <f>'calculation¦RBP capex'!H22/VLOOKUP('calculation¦RBP capex'!$B22,InflationAdjustment,2,FALSE)</f>
        <v>0</v>
      </c>
      <c r="I22" s="23">
        <f>'calculation¦RBP capex'!I22/VLOOKUP('calculation¦RBP capex'!$B22,InflationAdjustment,2,FALSE)</f>
        <v>0</v>
      </c>
      <c r="J22" s="23">
        <f t="shared" si="1"/>
        <v>0</v>
      </c>
      <c r="K22" s="23" t="str">
        <f t="shared" si="2"/>
        <v>0</v>
      </c>
      <c r="L22" s="16"/>
      <c r="Z22" s="30"/>
      <c r="AB22" s="16"/>
      <c r="AC22" s="16"/>
    </row>
    <row r="23" spans="1:29" x14ac:dyDescent="0.3">
      <c r="A23" s="1" t="str">
        <f>'calculation¦RBP capex'!A23</f>
        <v>Earthing and Lightning protection design review (Stations)</v>
      </c>
      <c r="B23" s="16">
        <f>VLOOKUP(A23,'calculation¦capex'!$A$17:$AC$117,12,FALSE)</f>
        <v>0</v>
      </c>
      <c r="C23" s="16" t="str">
        <f t="shared" si="3"/>
        <v>$2016/17</v>
      </c>
      <c r="D23" s="23">
        <f>'calculation¦RBP capex'!D23/VLOOKUP('calculation¦RBP capex'!$B23,InflationAdjustment,2,FALSE)</f>
        <v>0</v>
      </c>
      <c r="E23" s="23">
        <f>'calculation¦RBP capex'!E23/VLOOKUP('calculation¦RBP capex'!$B23,InflationAdjustment,2,FALSE)</f>
        <v>0</v>
      </c>
      <c r="F23" s="23">
        <f>'calculation¦RBP capex'!F23/VLOOKUP('calculation¦RBP capex'!$B23,InflationAdjustment,2,FALSE)</f>
        <v>0</v>
      </c>
      <c r="G23" s="23">
        <f>'calculation¦RBP capex'!G23/VLOOKUP('calculation¦RBP capex'!$B23,InflationAdjustment,2,FALSE)</f>
        <v>0</v>
      </c>
      <c r="H23" s="23">
        <f>'calculation¦RBP capex'!H23/VLOOKUP('calculation¦RBP capex'!$B23,InflationAdjustment,2,FALSE)</f>
        <v>0</v>
      </c>
      <c r="I23" s="23">
        <f>'calculation¦RBP capex'!I23/VLOOKUP('calculation¦RBP capex'!$B23,InflationAdjustment,2,FALSE)</f>
        <v>0</v>
      </c>
      <c r="J23" s="23">
        <f t="shared" si="1"/>
        <v>0</v>
      </c>
      <c r="K23" s="23" t="str">
        <f t="shared" si="2"/>
        <v>0</v>
      </c>
      <c r="L23" s="16"/>
    </row>
    <row r="24" spans="1:29" x14ac:dyDescent="0.3">
      <c r="A24" s="1" t="str">
        <f>'calculation¦RBP capex'!A24</f>
        <v>EMERGENCY STOPPLE FITTINGS FOR DN250 EMERGENCIES</v>
      </c>
      <c r="B24" s="16">
        <f>VLOOKUP(A24,'calculation¦capex'!$A$17:$AC$117,12,FALSE)</f>
        <v>0</v>
      </c>
      <c r="C24" s="16" t="str">
        <f t="shared" si="3"/>
        <v>$2016/17</v>
      </c>
      <c r="D24" s="23">
        <f>'calculation¦RBP capex'!D24/VLOOKUP('calculation¦RBP capex'!$B24,InflationAdjustment,2,FALSE)</f>
        <v>0</v>
      </c>
      <c r="E24" s="23">
        <f>'calculation¦RBP capex'!E24/VLOOKUP('calculation¦RBP capex'!$B24,InflationAdjustment,2,FALSE)</f>
        <v>0</v>
      </c>
      <c r="F24" s="23">
        <f>'calculation¦RBP capex'!F24/VLOOKUP('calculation¦RBP capex'!$B24,InflationAdjustment,2,FALSE)</f>
        <v>0</v>
      </c>
      <c r="G24" s="23">
        <f>'calculation¦RBP capex'!G24/VLOOKUP('calculation¦RBP capex'!$B24,InflationAdjustment,2,FALSE)</f>
        <v>0</v>
      </c>
      <c r="H24" s="23">
        <f>'calculation¦RBP capex'!H24/VLOOKUP('calculation¦RBP capex'!$B24,InflationAdjustment,2,FALSE)</f>
        <v>0</v>
      </c>
      <c r="I24" s="23">
        <f>'calculation¦RBP capex'!I24/VLOOKUP('calculation¦RBP capex'!$B24,InflationAdjustment,2,FALSE)</f>
        <v>0</v>
      </c>
      <c r="J24" s="23">
        <f t="shared" si="1"/>
        <v>0</v>
      </c>
      <c r="K24" s="23" t="str">
        <f t="shared" si="2"/>
        <v>0</v>
      </c>
      <c r="L24" s="16"/>
    </row>
    <row r="25" spans="1:29" x14ac:dyDescent="0.3">
      <c r="A25" s="1" t="str">
        <f>'calculation¦RBP capex'!A25</f>
        <v>Environmental Offset Strategy</v>
      </c>
      <c r="B25" s="16">
        <f>VLOOKUP(A25,'calculation¦capex'!$A$17:$AC$117,12,FALSE)</f>
        <v>0</v>
      </c>
      <c r="C25" s="16" t="str">
        <f t="shared" si="3"/>
        <v>$2016/17</v>
      </c>
      <c r="D25" s="23">
        <f>'calculation¦RBP capex'!D25/VLOOKUP('calculation¦RBP capex'!$B25,InflationAdjustment,2,FALSE)</f>
        <v>0</v>
      </c>
      <c r="E25" s="23">
        <f>'calculation¦RBP capex'!E25/VLOOKUP('calculation¦RBP capex'!$B25,InflationAdjustment,2,FALSE)</f>
        <v>0</v>
      </c>
      <c r="F25" s="23">
        <f>'calculation¦RBP capex'!F25/VLOOKUP('calculation¦RBP capex'!$B25,InflationAdjustment,2,FALSE)</f>
        <v>0</v>
      </c>
      <c r="G25" s="23">
        <f>'calculation¦RBP capex'!G25/VLOOKUP('calculation¦RBP capex'!$B25,InflationAdjustment,2,FALSE)</f>
        <v>0</v>
      </c>
      <c r="H25" s="23">
        <f>'calculation¦RBP capex'!H25/VLOOKUP('calculation¦RBP capex'!$B25,InflationAdjustment,2,FALSE)</f>
        <v>0</v>
      </c>
      <c r="I25" s="23">
        <f>'calculation¦RBP capex'!I25/VLOOKUP('calculation¦RBP capex'!$B25,InflationAdjustment,2,FALSE)</f>
        <v>0</v>
      </c>
      <c r="J25" s="23">
        <f t="shared" si="1"/>
        <v>0</v>
      </c>
      <c r="K25" s="23" t="str">
        <f t="shared" si="2"/>
        <v>0</v>
      </c>
      <c r="L25" s="16"/>
      <c r="O25" s="30"/>
    </row>
    <row r="26" spans="1:29" x14ac:dyDescent="0.3">
      <c r="A26" s="1" t="str">
        <f>'calculation¦RBP capex'!A26</f>
        <v>Files up to date on x-info</v>
      </c>
      <c r="B26" s="16">
        <f>VLOOKUP(A26,'calculation¦capex'!$A$17:$AC$117,12,FALSE)</f>
        <v>0</v>
      </c>
      <c r="C26" s="16" t="str">
        <f t="shared" si="3"/>
        <v>$2016/17</v>
      </c>
      <c r="D26" s="23">
        <f>'calculation¦RBP capex'!D26/VLOOKUP('calculation¦RBP capex'!$B26,InflationAdjustment,2,FALSE)</f>
        <v>0</v>
      </c>
      <c r="E26" s="23">
        <f>'calculation¦RBP capex'!E26/VLOOKUP('calculation¦RBP capex'!$B26,InflationAdjustment,2,FALSE)</f>
        <v>0</v>
      </c>
      <c r="F26" s="23">
        <f>'calculation¦RBP capex'!F26/VLOOKUP('calculation¦RBP capex'!$B26,InflationAdjustment,2,FALSE)</f>
        <v>0</v>
      </c>
      <c r="G26" s="23">
        <f>'calculation¦RBP capex'!G26/VLOOKUP('calculation¦RBP capex'!$B26,InflationAdjustment,2,FALSE)</f>
        <v>0</v>
      </c>
      <c r="H26" s="23">
        <f>'calculation¦RBP capex'!H26/VLOOKUP('calculation¦RBP capex'!$B26,InflationAdjustment,2,FALSE)</f>
        <v>0</v>
      </c>
      <c r="I26" s="23">
        <f>'calculation¦RBP capex'!I26/VLOOKUP('calculation¦RBP capex'!$B26,InflationAdjustment,2,FALSE)</f>
        <v>0</v>
      </c>
      <c r="J26" s="23">
        <f t="shared" si="1"/>
        <v>0</v>
      </c>
      <c r="K26" s="23" t="str">
        <f t="shared" si="2"/>
        <v>0</v>
      </c>
      <c r="L26" s="16"/>
      <c r="O26" s="30"/>
    </row>
    <row r="27" spans="1:29" x14ac:dyDescent="0.3">
      <c r="A27" s="1" t="str">
        <f>'calculation¦RBP capex'!A27</f>
        <v xml:space="preserve">Fire protection upgrades to RBP compressor stations (FM Global) </v>
      </c>
      <c r="B27" s="16">
        <f>VLOOKUP(A27,'calculation¦capex'!$A$17:$AC$117,12,FALSE)</f>
        <v>0</v>
      </c>
      <c r="C27" s="16" t="str">
        <f t="shared" si="3"/>
        <v>$2016/17</v>
      </c>
      <c r="D27" s="23">
        <f>'calculation¦RBP capex'!D27/VLOOKUP('calculation¦RBP capex'!$B27,InflationAdjustment,2,FALSE)</f>
        <v>0</v>
      </c>
      <c r="E27" s="23">
        <f>'calculation¦RBP capex'!E27/VLOOKUP('calculation¦RBP capex'!$B27,InflationAdjustment,2,FALSE)</f>
        <v>0</v>
      </c>
      <c r="F27" s="23">
        <f>'calculation¦RBP capex'!F27/VLOOKUP('calculation¦RBP capex'!$B27,InflationAdjustment,2,FALSE)</f>
        <v>0</v>
      </c>
      <c r="G27" s="23">
        <f>'calculation¦RBP capex'!G27/VLOOKUP('calculation¦RBP capex'!$B27,InflationAdjustment,2,FALSE)</f>
        <v>0</v>
      </c>
      <c r="H27" s="23">
        <f>'calculation¦RBP capex'!H27/VLOOKUP('calculation¦RBP capex'!$B27,InflationAdjustment,2,FALSE)</f>
        <v>0</v>
      </c>
      <c r="I27" s="23">
        <f>'calculation¦RBP capex'!I27/VLOOKUP('calculation¦RBP capex'!$B27,InflationAdjustment,2,FALSE)</f>
        <v>0</v>
      </c>
      <c r="J27" s="23">
        <f t="shared" si="1"/>
        <v>0</v>
      </c>
      <c r="K27" s="23" t="str">
        <f t="shared" si="2"/>
        <v>0</v>
      </c>
      <c r="L27" s="16"/>
      <c r="M27" s="30"/>
    </row>
    <row r="28" spans="1:29" x14ac:dyDescent="0.3">
      <c r="A28" s="1" t="str">
        <f>'calculation¦RBP capex'!A28</f>
        <v>Gas Measurement Upgrade - including shades</v>
      </c>
      <c r="B28" s="16">
        <f>VLOOKUP(A28,'calculation¦capex'!$A$17:$AC$117,12,FALSE)</f>
        <v>0</v>
      </c>
      <c r="C28" s="16" t="str">
        <f t="shared" si="3"/>
        <v>$2016/17</v>
      </c>
      <c r="D28" s="23">
        <f>'calculation¦RBP capex'!D28/VLOOKUP('calculation¦RBP capex'!$B28,InflationAdjustment,2,FALSE)</f>
        <v>0</v>
      </c>
      <c r="E28" s="23">
        <f>'calculation¦RBP capex'!E28/VLOOKUP('calculation¦RBP capex'!$B28,InflationAdjustment,2,FALSE)</f>
        <v>0</v>
      </c>
      <c r="F28" s="23">
        <f>'calculation¦RBP capex'!F28/VLOOKUP('calculation¦RBP capex'!$B28,InflationAdjustment,2,FALSE)</f>
        <v>0</v>
      </c>
      <c r="G28" s="23">
        <f>'calculation¦RBP capex'!G28/VLOOKUP('calculation¦RBP capex'!$B28,InflationAdjustment,2,FALSE)</f>
        <v>51.149999999999991</v>
      </c>
      <c r="H28" s="23">
        <f>'calculation¦RBP capex'!H28/VLOOKUP('calculation¦RBP capex'!$B28,InflationAdjustment,2,FALSE)</f>
        <v>51.149999999999991</v>
      </c>
      <c r="I28" s="23">
        <f>'calculation¦RBP capex'!I28/VLOOKUP('calculation¦RBP capex'!$B28,InflationAdjustment,2,FALSE)</f>
        <v>0</v>
      </c>
      <c r="J28" s="23">
        <f t="shared" si="1"/>
        <v>102.29999999999998</v>
      </c>
      <c r="K28" s="23" t="str">
        <f t="shared" si="2"/>
        <v>0</v>
      </c>
      <c r="L28" s="16"/>
      <c r="M28" s="37"/>
    </row>
    <row r="29" spans="1:29" x14ac:dyDescent="0.3">
      <c r="A29" s="1" t="str">
        <f>'calculation¦RBP capex'!A29</f>
        <v>GIBSON ISLAND E/I REVIEW FEED</v>
      </c>
      <c r="B29" s="16">
        <f>VLOOKUP(A29,'calculation¦capex'!$A$17:$AC$117,12,FALSE)</f>
        <v>0</v>
      </c>
      <c r="C29" s="16" t="str">
        <f t="shared" si="3"/>
        <v>$2016/17</v>
      </c>
      <c r="D29" s="23">
        <f>'calculation¦RBP capex'!D29/VLOOKUP('calculation¦RBP capex'!$B29,InflationAdjustment,2,FALSE)</f>
        <v>10.229999999999999</v>
      </c>
      <c r="E29" s="23">
        <f>'calculation¦RBP capex'!E29/VLOOKUP('calculation¦RBP capex'!$B29,InflationAdjustment,2,FALSE)</f>
        <v>0</v>
      </c>
      <c r="F29" s="23">
        <f>'calculation¦RBP capex'!F29/VLOOKUP('calculation¦RBP capex'!$B29,InflationAdjustment,2,FALSE)</f>
        <v>0</v>
      </c>
      <c r="G29" s="23">
        <f>'calculation¦RBP capex'!G29/VLOOKUP('calculation¦RBP capex'!$B29,InflationAdjustment,2,FALSE)</f>
        <v>0</v>
      </c>
      <c r="H29" s="23">
        <f>'calculation¦RBP capex'!H29/VLOOKUP('calculation¦RBP capex'!$B29,InflationAdjustment,2,FALSE)</f>
        <v>0</v>
      </c>
      <c r="I29" s="23">
        <f>'calculation¦RBP capex'!I29/VLOOKUP('calculation¦RBP capex'!$B29,InflationAdjustment,2,FALSE)</f>
        <v>0</v>
      </c>
      <c r="J29" s="23">
        <f t="shared" si="1"/>
        <v>10.229999999999999</v>
      </c>
      <c r="K29" s="23" t="str">
        <f t="shared" si="2"/>
        <v>0</v>
      </c>
    </row>
    <row r="30" spans="1:29" x14ac:dyDescent="0.3">
      <c r="A30" s="1" t="str">
        <f>'calculation¦RBP capex'!A30</f>
        <v>Gibson Island Pressure Vessel platforms</v>
      </c>
      <c r="B30" s="16">
        <f>VLOOKUP(A30,'calculation¦capex'!$A$17:$AC$117,12,FALSE)</f>
        <v>0</v>
      </c>
      <c r="C30" s="16" t="str">
        <f t="shared" si="3"/>
        <v>$2016/17</v>
      </c>
      <c r="D30" s="23">
        <f>'calculation¦RBP capex'!D30/VLOOKUP('calculation¦RBP capex'!$B30,InflationAdjustment,2,FALSE)</f>
        <v>0</v>
      </c>
      <c r="E30" s="23">
        <f>'calculation¦RBP capex'!E30/VLOOKUP('calculation¦RBP capex'!$B30,InflationAdjustment,2,FALSE)</f>
        <v>0</v>
      </c>
      <c r="F30" s="23">
        <f>'calculation¦RBP capex'!F30/VLOOKUP('calculation¦RBP capex'!$B30,InflationAdjustment,2,FALSE)</f>
        <v>0</v>
      </c>
      <c r="G30" s="23">
        <f>'calculation¦RBP capex'!G30/VLOOKUP('calculation¦RBP capex'!$B30,InflationAdjustment,2,FALSE)</f>
        <v>81.839999999999989</v>
      </c>
      <c r="H30" s="23">
        <f>'calculation¦RBP capex'!H30/VLOOKUP('calculation¦RBP capex'!$B30,InflationAdjustment,2,FALSE)</f>
        <v>0</v>
      </c>
      <c r="I30" s="23">
        <f>'calculation¦RBP capex'!I30/VLOOKUP('calculation¦RBP capex'!$B30,InflationAdjustment,2,FALSE)</f>
        <v>0</v>
      </c>
      <c r="J30" s="23">
        <f t="shared" si="1"/>
        <v>81.839999999999989</v>
      </c>
      <c r="K30" s="23" t="str">
        <f t="shared" si="2"/>
        <v>0</v>
      </c>
    </row>
    <row r="31" spans="1:29" x14ac:dyDescent="0.3">
      <c r="A31" s="1" t="str">
        <f>'calculation¦RBP capex'!A31</f>
        <v>Lands Property Database</v>
      </c>
      <c r="B31" s="16">
        <f>VLOOKUP(A31,'calculation¦capex'!$A$17:$AC$117,12,FALSE)</f>
        <v>0</v>
      </c>
      <c r="C31" s="16" t="str">
        <f t="shared" si="3"/>
        <v>$2016/17</v>
      </c>
      <c r="D31" s="23">
        <f>'calculation¦RBP capex'!D31/VLOOKUP('calculation¦RBP capex'!$B31,InflationAdjustment,2,FALSE)</f>
        <v>0</v>
      </c>
      <c r="E31" s="23">
        <f>'calculation¦RBP capex'!E31/VLOOKUP('calculation¦RBP capex'!$B31,InflationAdjustment,2,FALSE)</f>
        <v>0</v>
      </c>
      <c r="F31" s="23">
        <f>'calculation¦RBP capex'!F31/VLOOKUP('calculation¦RBP capex'!$B31,InflationAdjustment,2,FALSE)</f>
        <v>0</v>
      </c>
      <c r="G31" s="23">
        <f>'calculation¦RBP capex'!G31/VLOOKUP('calculation¦RBP capex'!$B31,InflationAdjustment,2,FALSE)</f>
        <v>0</v>
      </c>
      <c r="H31" s="23">
        <f>'calculation¦RBP capex'!H31/VLOOKUP('calculation¦RBP capex'!$B31,InflationAdjustment,2,FALSE)</f>
        <v>0</v>
      </c>
      <c r="I31" s="23">
        <f>'calculation¦RBP capex'!I31/VLOOKUP('calculation¦RBP capex'!$B31,InflationAdjustment,2,FALSE)</f>
        <v>0</v>
      </c>
      <c r="J31" s="23">
        <f t="shared" si="1"/>
        <v>0</v>
      </c>
      <c r="K31" s="23" t="str">
        <f t="shared" si="2"/>
        <v>0</v>
      </c>
      <c r="M31" s="30"/>
    </row>
    <row r="32" spans="1:29" x14ac:dyDescent="0.3">
      <c r="A32" s="1" t="str">
        <f>'calculation¦RBP capex'!A32</f>
        <v>Laser Scanner for Feature Assessment</v>
      </c>
      <c r="B32" s="16" t="str">
        <f>VLOOKUP(A32,'calculation¦capex'!$A$17:$AC$117,12,FALSE)</f>
        <v>AA-03</v>
      </c>
      <c r="C32" s="16" t="str">
        <f t="shared" si="3"/>
        <v>$2016/17</v>
      </c>
      <c r="D32" s="23">
        <f>'calculation¦RBP capex'!D32/VLOOKUP('calculation¦RBP capex'!$B32,InflationAdjustment,2,FALSE)</f>
        <v>0</v>
      </c>
      <c r="E32" s="23">
        <f>'calculation¦RBP capex'!E32/VLOOKUP('calculation¦RBP capex'!$B32,InflationAdjustment,2,FALSE)</f>
        <v>0</v>
      </c>
      <c r="F32" s="23">
        <f>'calculation¦RBP capex'!F32/VLOOKUP('calculation¦RBP capex'!$B32,InflationAdjustment,2,FALSE)</f>
        <v>0</v>
      </c>
      <c r="G32" s="23">
        <f>'calculation¦RBP capex'!G32/VLOOKUP('calculation¦RBP capex'!$B32,InflationAdjustment,2,FALSE)</f>
        <v>0</v>
      </c>
      <c r="H32" s="23">
        <f>'calculation¦RBP capex'!H32/VLOOKUP('calculation¦RBP capex'!$B32,InflationAdjustment,2,FALSE)</f>
        <v>153.44999999999999</v>
      </c>
      <c r="I32" s="23">
        <f>'calculation¦RBP capex'!I32/VLOOKUP('calculation¦RBP capex'!$B32,InflationAdjustment,2,FALSE)</f>
        <v>0</v>
      </c>
      <c r="J32" s="23">
        <f t="shared" si="1"/>
        <v>153.44999999999999</v>
      </c>
      <c r="K32" s="23" t="str">
        <f t="shared" si="2"/>
        <v>AA</v>
      </c>
      <c r="M32" s="30"/>
    </row>
    <row r="33" spans="1:11" x14ac:dyDescent="0.3">
      <c r="A33" s="1" t="str">
        <f>'calculation¦RBP capex'!A33</f>
        <v>LOSS OF SUPPLY DESIGN REVIEW</v>
      </c>
      <c r="B33" s="16">
        <f>VLOOKUP(A33,'calculation¦capex'!$A$17:$AC$117,12,FALSE)</f>
        <v>0</v>
      </c>
      <c r="C33" s="16" t="str">
        <f t="shared" si="3"/>
        <v>$2016/17</v>
      </c>
      <c r="D33" s="23">
        <f>'calculation¦RBP capex'!D33/VLOOKUP('calculation¦RBP capex'!$B33,InflationAdjustment,2,FALSE)</f>
        <v>8.5637236882155978</v>
      </c>
      <c r="E33" s="23">
        <f>'calculation¦RBP capex'!E33/VLOOKUP('calculation¦RBP capex'!$B33,InflationAdjustment,2,FALSE)</f>
        <v>0</v>
      </c>
      <c r="F33" s="23">
        <f>'calculation¦RBP capex'!F33/VLOOKUP('calculation¦RBP capex'!$B33,InflationAdjustment,2,FALSE)</f>
        <v>0</v>
      </c>
      <c r="G33" s="23">
        <f>'calculation¦RBP capex'!G33/VLOOKUP('calculation¦RBP capex'!$B33,InflationAdjustment,2,FALSE)</f>
        <v>0</v>
      </c>
      <c r="H33" s="23">
        <f>'calculation¦RBP capex'!H33/VLOOKUP('calculation¦RBP capex'!$B33,InflationAdjustment,2,FALSE)</f>
        <v>0</v>
      </c>
      <c r="I33" s="23">
        <f>'calculation¦RBP capex'!I33/VLOOKUP('calculation¦RBP capex'!$B33,InflationAdjustment,2,FALSE)</f>
        <v>0</v>
      </c>
      <c r="J33" s="23">
        <f t="shared" si="1"/>
        <v>8.5637236882155978</v>
      </c>
      <c r="K33" s="23" t="str">
        <f t="shared" si="2"/>
        <v>0</v>
      </c>
    </row>
    <row r="34" spans="1:11" x14ac:dyDescent="0.3">
      <c r="A34" s="1" t="str">
        <f>'calculation¦RBP capex'!A34</f>
        <v>METER PERFORMANCE PROGRAM FEED</v>
      </c>
      <c r="B34" s="16">
        <f>VLOOKUP(A34,'calculation¦capex'!$A$17:$AC$117,12,FALSE)</f>
        <v>0</v>
      </c>
      <c r="C34" s="16" t="str">
        <f t="shared" si="3"/>
        <v>$2016/17</v>
      </c>
      <c r="D34" s="23">
        <f>'calculation¦RBP capex'!D34/VLOOKUP('calculation¦RBP capex'!$B34,InflationAdjustment,2,FALSE)</f>
        <v>0</v>
      </c>
      <c r="E34" s="23">
        <f>'calculation¦RBP capex'!E34/VLOOKUP('calculation¦RBP capex'!$B34,InflationAdjustment,2,FALSE)</f>
        <v>5.7091491254770652</v>
      </c>
      <c r="F34" s="23">
        <f>'calculation¦RBP capex'!F34/VLOOKUP('calculation¦RBP capex'!$B34,InflationAdjustment,2,FALSE)</f>
        <v>0</v>
      </c>
      <c r="G34" s="23">
        <f>'calculation¦RBP capex'!G34/VLOOKUP('calculation¦RBP capex'!$B34,InflationAdjustment,2,FALSE)</f>
        <v>0</v>
      </c>
      <c r="H34" s="23">
        <f>'calculation¦RBP capex'!H34/VLOOKUP('calculation¦RBP capex'!$B34,InflationAdjustment,2,FALSE)</f>
        <v>0</v>
      </c>
      <c r="I34" s="23">
        <f>'calculation¦RBP capex'!I34/VLOOKUP('calculation¦RBP capex'!$B34,InflationAdjustment,2,FALSE)</f>
        <v>0</v>
      </c>
      <c r="J34" s="23">
        <f t="shared" si="1"/>
        <v>5.7091491254770652</v>
      </c>
      <c r="K34" s="23" t="str">
        <f t="shared" si="2"/>
        <v>0</v>
      </c>
    </row>
    <row r="35" spans="1:11" x14ac:dyDescent="0.3">
      <c r="A35" s="1" t="str">
        <f>'calculation¦RBP capex'!A35</f>
        <v>MP14 MLV Removal - study and implementation</v>
      </c>
      <c r="B35" s="16">
        <f>VLOOKUP(A35,'calculation¦capex'!$A$17:$AC$117,12,FALSE)</f>
        <v>0</v>
      </c>
      <c r="C35" s="16" t="str">
        <f t="shared" si="3"/>
        <v>$2016/17</v>
      </c>
      <c r="D35" s="23">
        <f>'calculation¦RBP capex'!D35/VLOOKUP('calculation¦RBP capex'!$B35,InflationAdjustment,2,FALSE)</f>
        <v>0</v>
      </c>
      <c r="E35" s="23">
        <f>'calculation¦RBP capex'!E35/VLOOKUP('calculation¦RBP capex'!$B35,InflationAdjustment,2,FALSE)</f>
        <v>0</v>
      </c>
      <c r="F35" s="23">
        <f>'calculation¦RBP capex'!F35/VLOOKUP('calculation¦RBP capex'!$B35,InflationAdjustment,2,FALSE)</f>
        <v>0</v>
      </c>
      <c r="G35" s="23">
        <f>'calculation¦RBP capex'!G35/VLOOKUP('calculation¦RBP capex'!$B35,InflationAdjustment,2,FALSE)</f>
        <v>0</v>
      </c>
      <c r="H35" s="23">
        <f>'calculation¦RBP capex'!H35/VLOOKUP('calculation¦RBP capex'!$B35,InflationAdjustment,2,FALSE)</f>
        <v>0</v>
      </c>
      <c r="I35" s="23">
        <f>'calculation¦RBP capex'!I35/VLOOKUP('calculation¦RBP capex'!$B35,InflationAdjustment,2,FALSE)</f>
        <v>0</v>
      </c>
      <c r="J35" s="23">
        <f t="shared" si="1"/>
        <v>0</v>
      </c>
      <c r="K35" s="23" t="str">
        <f t="shared" si="2"/>
        <v>0</v>
      </c>
    </row>
    <row r="36" spans="1:11" x14ac:dyDescent="0.3">
      <c r="A36" s="1" t="str">
        <f>'calculation¦RBP capex'!A36</f>
        <v>PEAT lateral cleaning pigging</v>
      </c>
      <c r="B36" s="16">
        <f>VLOOKUP(A36,'calculation¦capex'!$A$17:$AC$117,12,FALSE)</f>
        <v>0</v>
      </c>
      <c r="C36" s="16" t="str">
        <f t="shared" si="3"/>
        <v>$2016/17</v>
      </c>
      <c r="D36" s="23">
        <f>'calculation¦RBP capex'!D36/VLOOKUP('calculation¦RBP capex'!$B36,InflationAdjustment,2,FALSE)</f>
        <v>15.344999999999997</v>
      </c>
      <c r="E36" s="23">
        <f>'calculation¦RBP capex'!E36/VLOOKUP('calculation¦RBP capex'!$B36,InflationAdjustment,2,FALSE)</f>
        <v>0</v>
      </c>
      <c r="F36" s="23">
        <f>'calculation¦RBP capex'!F36/VLOOKUP('calculation¦RBP capex'!$B36,InflationAdjustment,2,FALSE)</f>
        <v>0</v>
      </c>
      <c r="G36" s="23">
        <f>'calculation¦RBP capex'!G36/VLOOKUP('calculation¦RBP capex'!$B36,InflationAdjustment,2,FALSE)</f>
        <v>0</v>
      </c>
      <c r="H36" s="23">
        <f>'calculation¦RBP capex'!H36/VLOOKUP('calculation¦RBP capex'!$B36,InflationAdjustment,2,FALSE)</f>
        <v>0</v>
      </c>
      <c r="I36" s="23">
        <f>'calculation¦RBP capex'!I36/VLOOKUP('calculation¦RBP capex'!$B36,InflationAdjustment,2,FALSE)</f>
        <v>0</v>
      </c>
      <c r="J36" s="23">
        <f t="shared" si="1"/>
        <v>15.344999999999997</v>
      </c>
      <c r="K36" s="23" t="str">
        <f t="shared" si="2"/>
        <v>0</v>
      </c>
    </row>
    <row r="37" spans="1:11" x14ac:dyDescent="0.3">
      <c r="A37" s="1" t="str">
        <f>'calculation¦RBP capex'!A37</f>
        <v xml:space="preserve">PEAT LATERAL ILI - DN250 </v>
      </c>
      <c r="B37" s="16" t="str">
        <f>VLOOKUP(A37,'calculation¦capex'!$A$17:$AC$117,12,FALSE)</f>
        <v>AA-03</v>
      </c>
      <c r="C37" s="16" t="str">
        <f t="shared" si="3"/>
        <v>$2016/17</v>
      </c>
      <c r="D37" s="23">
        <f>'calculation¦RBP capex'!D37/VLOOKUP('calculation¦RBP capex'!$B37,InflationAdjustment,2,FALSE)</f>
        <v>0</v>
      </c>
      <c r="E37" s="23">
        <f>'calculation¦RBP capex'!E37/VLOOKUP('calculation¦RBP capex'!$B37,InflationAdjustment,2,FALSE)</f>
        <v>0</v>
      </c>
      <c r="F37" s="23">
        <f>'calculation¦RBP capex'!F37/VLOOKUP('calculation¦RBP capex'!$B37,InflationAdjustment,2,FALSE)</f>
        <v>0</v>
      </c>
      <c r="G37" s="23">
        <f>'calculation¦RBP capex'!G37/VLOOKUP('calculation¦RBP capex'!$B37,InflationAdjustment,2,FALSE)</f>
        <v>143.21999999999997</v>
      </c>
      <c r="H37" s="23">
        <f>'calculation¦RBP capex'!H37/VLOOKUP('calculation¦RBP capex'!$B37,InflationAdjustment,2,FALSE)</f>
        <v>0</v>
      </c>
      <c r="I37" s="23">
        <f>'calculation¦RBP capex'!I37/VLOOKUP('calculation¦RBP capex'!$B37,InflationAdjustment,2,FALSE)</f>
        <v>0</v>
      </c>
      <c r="J37" s="23">
        <f t="shared" si="1"/>
        <v>143.21999999999997</v>
      </c>
      <c r="K37" s="23" t="str">
        <f t="shared" si="2"/>
        <v>AA</v>
      </c>
    </row>
    <row r="38" spans="1:11" x14ac:dyDescent="0.3">
      <c r="A38" s="1" t="str">
        <f>'calculation¦RBP capex'!A38</f>
        <v xml:space="preserve">PEAT LATERAL LIQUIDS REMOVAL </v>
      </c>
      <c r="B38" s="16" t="str">
        <f>VLOOKUP(A38,'calculation¦capex'!$A$17:$AC$117,12,FALSE)</f>
        <v>AA-05</v>
      </c>
      <c r="C38" s="16" t="str">
        <f t="shared" si="3"/>
        <v>$2016/17</v>
      </c>
      <c r="D38" s="23">
        <f>'calculation¦RBP capex'!D38/VLOOKUP('calculation¦RBP capex'!$B38,InflationAdjustment,2,FALSE)</f>
        <v>0</v>
      </c>
      <c r="E38" s="23">
        <f>'calculation¦RBP capex'!E38/VLOOKUP('calculation¦RBP capex'!$B38,InflationAdjustment,2,FALSE)</f>
        <v>306.89999999999998</v>
      </c>
      <c r="F38" s="23">
        <f>'calculation¦RBP capex'!F38/VLOOKUP('calculation¦RBP capex'!$B38,InflationAdjustment,2,FALSE)</f>
        <v>0</v>
      </c>
      <c r="G38" s="23">
        <f>'calculation¦RBP capex'!G38/VLOOKUP('calculation¦RBP capex'!$B38,InflationAdjustment,2,FALSE)</f>
        <v>0</v>
      </c>
      <c r="H38" s="23">
        <f>'calculation¦RBP capex'!H38/VLOOKUP('calculation¦RBP capex'!$B38,InflationAdjustment,2,FALSE)</f>
        <v>0</v>
      </c>
      <c r="I38" s="23">
        <f>'calculation¦RBP capex'!I38/VLOOKUP('calculation¦RBP capex'!$B38,InflationAdjustment,2,FALSE)</f>
        <v>0</v>
      </c>
      <c r="J38" s="23">
        <f t="shared" si="1"/>
        <v>306.89999999999998</v>
      </c>
      <c r="K38" s="23" t="str">
        <f t="shared" si="2"/>
        <v>AA</v>
      </c>
    </row>
    <row r="39" spans="1:11" x14ac:dyDescent="0.3">
      <c r="A39" s="1" t="str">
        <f>'calculation¦RBP capex'!A39</f>
        <v>PIPELINE REPAIR &amp; EXCAVATION PROGRAM (unplanned)</v>
      </c>
      <c r="B39" s="16">
        <f>VLOOKUP(A39,'calculation¦capex'!$A$17:$AC$117,12,FALSE)</f>
        <v>0</v>
      </c>
      <c r="C39" s="16" t="str">
        <f t="shared" si="3"/>
        <v>$2016/17</v>
      </c>
      <c r="D39" s="23">
        <f>'calculation¦RBP capex'!D39/VLOOKUP('calculation¦RBP capex'!$B39,InflationAdjustment,2,FALSE)</f>
        <v>102.29999999999998</v>
      </c>
      <c r="E39" s="23">
        <f>'calculation¦RBP capex'!E39/VLOOKUP('calculation¦RBP capex'!$B39,InflationAdjustment,2,FALSE)</f>
        <v>102.29999999999998</v>
      </c>
      <c r="F39" s="23">
        <f>'calculation¦RBP capex'!F39/VLOOKUP('calculation¦RBP capex'!$B39,InflationAdjustment,2,FALSE)</f>
        <v>102.29999999999998</v>
      </c>
      <c r="G39" s="23">
        <f>'calculation¦RBP capex'!G39/VLOOKUP('calculation¦RBP capex'!$B39,InflationAdjustment,2,FALSE)</f>
        <v>102.29999999999998</v>
      </c>
      <c r="H39" s="23">
        <f>'calculation¦RBP capex'!H39/VLOOKUP('calculation¦RBP capex'!$B39,InflationAdjustment,2,FALSE)</f>
        <v>102.29999999999998</v>
      </c>
      <c r="I39" s="23">
        <f>'calculation¦RBP capex'!I39/VLOOKUP('calculation¦RBP capex'!$B39,InflationAdjustment,2,FALSE)</f>
        <v>0</v>
      </c>
      <c r="J39" s="23">
        <f t="shared" si="1"/>
        <v>511.49999999999989</v>
      </c>
      <c r="K39" s="23" t="str">
        <f t="shared" si="2"/>
        <v>0</v>
      </c>
    </row>
    <row r="40" spans="1:11" x14ac:dyDescent="0.3">
      <c r="A40" s="1" t="str">
        <f>'calculation¦RBP capex'!A40</f>
        <v>Portable Slug Catcher - DN400</v>
      </c>
      <c r="B40" s="16" t="str">
        <f>VLOOKUP(A40,'calculation¦capex'!$A$17:$AC$117,12,FALSE)</f>
        <v>AA-05</v>
      </c>
      <c r="C40" s="16" t="str">
        <f t="shared" si="3"/>
        <v>$2016/17</v>
      </c>
      <c r="D40" s="23">
        <f>'calculation¦RBP capex'!D40/VLOOKUP('calculation¦RBP capex'!$B40,InflationAdjustment,2,FALSE)</f>
        <v>228.36596501908258</v>
      </c>
      <c r="E40" s="23">
        <f>'calculation¦RBP capex'!E40/VLOOKUP('calculation¦RBP capex'!$B40,InflationAdjustment,2,FALSE)</f>
        <v>0</v>
      </c>
      <c r="F40" s="23">
        <f>'calculation¦RBP capex'!F40/VLOOKUP('calculation¦RBP capex'!$B40,InflationAdjustment,2,FALSE)</f>
        <v>0</v>
      </c>
      <c r="G40" s="23">
        <f>'calculation¦RBP capex'!G40/VLOOKUP('calculation¦RBP capex'!$B40,InflationAdjustment,2,FALSE)</f>
        <v>0</v>
      </c>
      <c r="H40" s="23">
        <f>'calculation¦RBP capex'!H40/VLOOKUP('calculation¦RBP capex'!$B40,InflationAdjustment,2,FALSE)</f>
        <v>0</v>
      </c>
      <c r="I40" s="23">
        <f>'calculation¦RBP capex'!I40/VLOOKUP('calculation¦RBP capex'!$B40,InflationAdjustment,2,FALSE)</f>
        <v>0</v>
      </c>
      <c r="J40" s="23">
        <f t="shared" si="1"/>
        <v>228.36596501908258</v>
      </c>
      <c r="K40" s="23" t="str">
        <f t="shared" si="2"/>
        <v>AA</v>
      </c>
    </row>
    <row r="41" spans="1:11" x14ac:dyDescent="0.3">
      <c r="A41" s="1" t="str">
        <f>'calculation¦RBP capex'!A41</f>
        <v>PURCHASE 3D SCANNER TOOL</v>
      </c>
      <c r="B41" s="16">
        <f>VLOOKUP(A41,'calculation¦capex'!$A$17:$AC$117,12,FALSE)</f>
        <v>0</v>
      </c>
      <c r="C41" s="16" t="str">
        <f t="shared" si="3"/>
        <v>$2016/17</v>
      </c>
      <c r="D41" s="23">
        <f>'calculation¦RBP capex'!D41/VLOOKUP('calculation¦RBP capex'!$B41,InflationAdjustment,2,FALSE)</f>
        <v>0</v>
      </c>
      <c r="E41" s="23">
        <f>'calculation¦RBP capex'!E41/VLOOKUP('calculation¦RBP capex'!$B41,InflationAdjustment,2,FALSE)</f>
        <v>0</v>
      </c>
      <c r="F41" s="23">
        <f>'calculation¦RBP capex'!F41/VLOOKUP('calculation¦RBP capex'!$B41,InflationAdjustment,2,FALSE)</f>
        <v>0</v>
      </c>
      <c r="G41" s="23">
        <f>'calculation¦RBP capex'!G41/VLOOKUP('calculation¦RBP capex'!$B41,InflationAdjustment,2,FALSE)</f>
        <v>0</v>
      </c>
      <c r="H41" s="23">
        <f>'calculation¦RBP capex'!H41/VLOOKUP('calculation¦RBP capex'!$B41,InflationAdjustment,2,FALSE)</f>
        <v>0</v>
      </c>
      <c r="I41" s="23">
        <f>'calculation¦RBP capex'!I41/VLOOKUP('calculation¦RBP capex'!$B41,InflationAdjustment,2,FALSE)</f>
        <v>0</v>
      </c>
      <c r="J41" s="23">
        <f t="shared" si="1"/>
        <v>0</v>
      </c>
      <c r="K41" s="23" t="str">
        <f t="shared" si="2"/>
        <v>0</v>
      </c>
    </row>
    <row r="42" spans="1:11" x14ac:dyDescent="0.3">
      <c r="A42" s="1" t="str">
        <f>'calculation¦RBP capex'!A42</f>
        <v>QLD OPERATIONS SIB FUNDING</v>
      </c>
      <c r="B42" s="16">
        <f>VLOOKUP(A42,'calculation¦capex'!$A$17:$AC$117,12,FALSE)</f>
        <v>0</v>
      </c>
      <c r="C42" s="16" t="str">
        <f t="shared" si="3"/>
        <v>$2016/17</v>
      </c>
      <c r="D42" s="23">
        <f>'calculation¦RBP capex'!D42/VLOOKUP('calculation¦RBP capex'!$B42,InflationAdjustment,2,FALSE)</f>
        <v>119.89213163501837</v>
      </c>
      <c r="E42" s="23">
        <f>'calculation¦RBP capex'!E42/VLOOKUP('calculation¦RBP capex'!$B42,InflationAdjustment,2,FALSE)</f>
        <v>114.18298250954129</v>
      </c>
      <c r="F42" s="23">
        <f>'calculation¦RBP capex'!F42/VLOOKUP('calculation¦RBP capex'!$B42,InflationAdjustment,2,FALSE)</f>
        <v>114.18298250954129</v>
      </c>
      <c r="G42" s="23">
        <f>'calculation¦RBP capex'!G42/VLOOKUP('calculation¦RBP capex'!$B42,InflationAdjustment,2,FALSE)</f>
        <v>114.18298250954129</v>
      </c>
      <c r="H42" s="23">
        <f>'calculation¦RBP capex'!H42/VLOOKUP('calculation¦RBP capex'!$B42,InflationAdjustment,2,FALSE)</f>
        <v>114.18298250954129</v>
      </c>
      <c r="I42" s="23">
        <f>'calculation¦RBP capex'!I42/VLOOKUP('calculation¦RBP capex'!$B42,InflationAdjustment,2,FALSE)</f>
        <v>114.18298250954129</v>
      </c>
      <c r="J42" s="23">
        <f t="shared" si="1"/>
        <v>690.80704418272478</v>
      </c>
      <c r="K42" s="23" t="str">
        <f t="shared" si="2"/>
        <v>0</v>
      </c>
    </row>
    <row r="43" spans="1:11" x14ac:dyDescent="0.3">
      <c r="A43" s="1" t="str">
        <f>'calculation¦RBP capex'!A43</f>
        <v xml:space="preserve">QLD Tenure Audit </v>
      </c>
      <c r="B43" s="16">
        <f>VLOOKUP(A43,'calculation¦capex'!$A$17:$AC$117,12,FALSE)</f>
        <v>0</v>
      </c>
      <c r="C43" s="16" t="str">
        <f t="shared" si="3"/>
        <v>$2016/17</v>
      </c>
      <c r="D43" s="23">
        <f>'calculation¦RBP capex'!D43/VLOOKUP('calculation¦RBP capex'!$B43,InflationAdjustment,2,FALSE)</f>
        <v>0</v>
      </c>
      <c r="E43" s="23">
        <f>'calculation¦RBP capex'!E43/VLOOKUP('calculation¦RBP capex'!$B43,InflationAdjustment,2,FALSE)</f>
        <v>0</v>
      </c>
      <c r="F43" s="23">
        <f>'calculation¦RBP capex'!F43/VLOOKUP('calculation¦RBP capex'!$B43,InflationAdjustment,2,FALSE)</f>
        <v>0</v>
      </c>
      <c r="G43" s="23">
        <f>'calculation¦RBP capex'!G43/VLOOKUP('calculation¦RBP capex'!$B43,InflationAdjustment,2,FALSE)</f>
        <v>0</v>
      </c>
      <c r="H43" s="23">
        <f>'calculation¦RBP capex'!H43/VLOOKUP('calculation¦RBP capex'!$B43,InflationAdjustment,2,FALSE)</f>
        <v>0</v>
      </c>
      <c r="I43" s="23">
        <f>'calculation¦RBP capex'!I43/VLOOKUP('calculation¦RBP capex'!$B43,InflationAdjustment,2,FALSE)</f>
        <v>0</v>
      </c>
      <c r="J43" s="23">
        <f t="shared" si="1"/>
        <v>0</v>
      </c>
      <c r="K43" s="23" t="str">
        <f t="shared" si="2"/>
        <v>0</v>
      </c>
    </row>
    <row r="44" spans="1:11" x14ac:dyDescent="0.3">
      <c r="A44" s="1" t="str">
        <f>'calculation¦RBP capex'!A44</f>
        <v>RBP - Security fencing upgrade for vent stacks</v>
      </c>
      <c r="B44" s="16">
        <f>VLOOKUP(A44,'calculation¦capex'!$A$17:$AC$117,12,FALSE)</f>
        <v>0</v>
      </c>
      <c r="C44" s="16" t="str">
        <f t="shared" si="3"/>
        <v>$2016/17</v>
      </c>
      <c r="D44" s="23">
        <f>'calculation¦RBP capex'!D44/VLOOKUP('calculation¦RBP capex'!$B44,InflationAdjustment,2,FALSE)</f>
        <v>0</v>
      </c>
      <c r="E44" s="23">
        <f>'calculation¦RBP capex'!E44/VLOOKUP('calculation¦RBP capex'!$B44,InflationAdjustment,2,FALSE)</f>
        <v>0</v>
      </c>
      <c r="F44" s="23">
        <f>'calculation¦RBP capex'!F44/VLOOKUP('calculation¦RBP capex'!$B44,InflationAdjustment,2,FALSE)</f>
        <v>0</v>
      </c>
      <c r="G44" s="23">
        <f>'calculation¦RBP capex'!G44/VLOOKUP('calculation¦RBP capex'!$B44,InflationAdjustment,2,FALSE)</f>
        <v>0</v>
      </c>
      <c r="H44" s="23">
        <f>'calculation¦RBP capex'!H44/VLOOKUP('calculation¦RBP capex'!$B44,InflationAdjustment,2,FALSE)</f>
        <v>0</v>
      </c>
      <c r="I44" s="23">
        <f>'calculation¦RBP capex'!I44/VLOOKUP('calculation¦RBP capex'!$B44,InflationAdjustment,2,FALSE)</f>
        <v>0</v>
      </c>
      <c r="J44" s="23">
        <f t="shared" si="1"/>
        <v>0</v>
      </c>
      <c r="K44" s="23" t="str">
        <f t="shared" si="2"/>
        <v>0</v>
      </c>
    </row>
    <row r="45" spans="1:11" x14ac:dyDescent="0.3">
      <c r="A45" s="1" t="str">
        <f>'calculation¦RBP capex'!A45</f>
        <v>RBP - Station painting program</v>
      </c>
      <c r="B45" s="16">
        <f>VLOOKUP(A45,'calculation¦capex'!$A$17:$AC$117,12,FALSE)</f>
        <v>0</v>
      </c>
      <c r="C45" s="16" t="str">
        <f t="shared" si="3"/>
        <v>$2016/17</v>
      </c>
      <c r="D45" s="23">
        <f>'calculation¦RBP capex'!D45/VLOOKUP('calculation¦RBP capex'!$B45,InflationAdjustment,2,FALSE)</f>
        <v>81.839999999999989</v>
      </c>
      <c r="E45" s="23">
        <f>'calculation¦RBP capex'!E45/VLOOKUP('calculation¦RBP capex'!$B45,InflationAdjustment,2,FALSE)</f>
        <v>81.839999999999989</v>
      </c>
      <c r="F45" s="23">
        <f>'calculation¦RBP capex'!F45/VLOOKUP('calculation¦RBP capex'!$B45,InflationAdjustment,2,FALSE)</f>
        <v>81.839999999999989</v>
      </c>
      <c r="G45" s="23">
        <f>'calculation¦RBP capex'!G45/VLOOKUP('calculation¦RBP capex'!$B45,InflationAdjustment,2,FALSE)</f>
        <v>81.839999999999989</v>
      </c>
      <c r="H45" s="23">
        <f>'calculation¦RBP capex'!H45/VLOOKUP('calculation¦RBP capex'!$B45,InflationAdjustment,2,FALSE)</f>
        <v>81.839999999999989</v>
      </c>
      <c r="I45" s="23">
        <f>'calculation¦RBP capex'!I45/VLOOKUP('calculation¦RBP capex'!$B45,InflationAdjustment,2,FALSE)</f>
        <v>81.839999999999989</v>
      </c>
      <c r="J45" s="23">
        <f t="shared" si="1"/>
        <v>491.03999999999991</v>
      </c>
      <c r="K45" s="23" t="str">
        <f t="shared" si="2"/>
        <v>0</v>
      </c>
    </row>
    <row r="46" spans="1:11" x14ac:dyDescent="0.3">
      <c r="A46" s="1" t="str">
        <f>'calculation¦RBP capex'!A46</f>
        <v xml:space="preserve">RBP - TYPE B GAS COMPLIANCE UPGRADES </v>
      </c>
      <c r="B46" s="16">
        <f>VLOOKUP(A46,'calculation¦capex'!$A$17:$AC$117,12,FALSE)</f>
        <v>0</v>
      </c>
      <c r="C46" s="16" t="str">
        <f t="shared" si="3"/>
        <v>$2016/17</v>
      </c>
      <c r="D46" s="23">
        <f>'calculation¦RBP capex'!D46/VLOOKUP('calculation¦RBP capex'!$B46,InflationAdjustment,2,FALSE)</f>
        <v>25.574999999999996</v>
      </c>
      <c r="E46" s="23">
        <f>'calculation¦RBP capex'!E46/VLOOKUP('calculation¦RBP capex'!$B46,InflationAdjustment,2,FALSE)</f>
        <v>112.52999999999999</v>
      </c>
      <c r="F46" s="23">
        <f>'calculation¦RBP capex'!F46/VLOOKUP('calculation¦RBP capex'!$B46,InflationAdjustment,2,FALSE)</f>
        <v>112.52999999999999</v>
      </c>
      <c r="G46" s="23">
        <f>'calculation¦RBP capex'!G46/VLOOKUP('calculation¦RBP capex'!$B46,InflationAdjustment,2,FALSE)</f>
        <v>0</v>
      </c>
      <c r="H46" s="23">
        <f>'calculation¦RBP capex'!H46/VLOOKUP('calculation¦RBP capex'!$B46,InflationAdjustment,2,FALSE)</f>
        <v>0</v>
      </c>
      <c r="I46" s="23">
        <f>'calculation¦RBP capex'!I46/VLOOKUP('calculation¦RBP capex'!$B46,InflationAdjustment,2,FALSE)</f>
        <v>0</v>
      </c>
      <c r="J46" s="23">
        <f t="shared" si="1"/>
        <v>250.63499999999999</v>
      </c>
      <c r="K46" s="23" t="str">
        <f t="shared" si="2"/>
        <v>0</v>
      </c>
    </row>
    <row r="47" spans="1:11" x14ac:dyDescent="0.3">
      <c r="A47" s="1" t="str">
        <f>'calculation¦RBP capex'!A47</f>
        <v>RBP &amp; PEAT ISOLATION PLAN UPGRADES</v>
      </c>
      <c r="B47" s="16">
        <f>VLOOKUP(A47,'calculation¦capex'!$A$17:$AC$117,12,FALSE)</f>
        <v>0</v>
      </c>
      <c r="C47" s="16" t="str">
        <f t="shared" si="3"/>
        <v>$2016/17</v>
      </c>
      <c r="D47" s="23">
        <f>'calculation¦RBP capex'!D47/VLOOKUP('calculation¦RBP capex'!$B47,InflationAdjustment,2,FALSE)</f>
        <v>102.29999999999998</v>
      </c>
      <c r="E47" s="23">
        <f>'calculation¦RBP capex'!E47/VLOOKUP('calculation¦RBP capex'!$B47,InflationAdjustment,2,FALSE)</f>
        <v>102.29999999999998</v>
      </c>
      <c r="F47" s="23">
        <f>'calculation¦RBP capex'!F47/VLOOKUP('calculation¦RBP capex'!$B47,InflationAdjustment,2,FALSE)</f>
        <v>102.29999999999998</v>
      </c>
      <c r="G47" s="23">
        <f>'calculation¦RBP capex'!G47/VLOOKUP('calculation¦RBP capex'!$B47,InflationAdjustment,2,FALSE)</f>
        <v>0</v>
      </c>
      <c r="H47" s="23">
        <f>'calculation¦RBP capex'!H47/VLOOKUP('calculation¦RBP capex'!$B47,InflationAdjustment,2,FALSE)</f>
        <v>0</v>
      </c>
      <c r="I47" s="23">
        <f>'calculation¦RBP capex'!I47/VLOOKUP('calculation¦RBP capex'!$B47,InflationAdjustment,2,FALSE)</f>
        <v>0</v>
      </c>
      <c r="J47" s="23">
        <f t="shared" si="1"/>
        <v>306.89999999999998</v>
      </c>
      <c r="K47" s="23" t="str">
        <f t="shared" si="2"/>
        <v>0</v>
      </c>
    </row>
    <row r="48" spans="1:11" x14ac:dyDescent="0.3">
      <c r="A48" s="1" t="str">
        <f>'calculation¦RBP capex'!A48</f>
        <v>RBP- AS4853 ELECTRICAL HAZARD UPGRADES</v>
      </c>
      <c r="B48" s="16">
        <f>VLOOKUP(A48,'calculation¦capex'!$A$17:$AC$117,12,FALSE)</f>
        <v>0</v>
      </c>
      <c r="C48" s="16" t="str">
        <f t="shared" si="3"/>
        <v>$2016/17</v>
      </c>
      <c r="D48" s="23">
        <f>'calculation¦RBP capex'!D48/VLOOKUP('calculation¦RBP capex'!$B48,InflationAdjustment,2,FALSE)</f>
        <v>0</v>
      </c>
      <c r="E48" s="23">
        <f>'calculation¦RBP capex'!E48/VLOOKUP('calculation¦RBP capex'!$B48,InflationAdjustment,2,FALSE)</f>
        <v>122.75999999999998</v>
      </c>
      <c r="F48" s="23">
        <f>'calculation¦RBP capex'!F48/VLOOKUP('calculation¦RBP capex'!$B48,InflationAdjustment,2,FALSE)</f>
        <v>0</v>
      </c>
      <c r="G48" s="23">
        <f>'calculation¦RBP capex'!G48/VLOOKUP('calculation¦RBP capex'!$B48,InflationAdjustment,2,FALSE)</f>
        <v>0</v>
      </c>
      <c r="H48" s="23">
        <f>'calculation¦RBP capex'!H48/VLOOKUP('calculation¦RBP capex'!$B48,InflationAdjustment,2,FALSE)</f>
        <v>0</v>
      </c>
      <c r="I48" s="23">
        <f>'calculation¦RBP capex'!I48/VLOOKUP('calculation¦RBP capex'!$B48,InflationAdjustment,2,FALSE)</f>
        <v>0</v>
      </c>
      <c r="J48" s="23">
        <f t="shared" si="1"/>
        <v>122.75999999999998</v>
      </c>
      <c r="K48" s="23" t="str">
        <f t="shared" si="2"/>
        <v>0</v>
      </c>
    </row>
    <row r="49" spans="1:11" x14ac:dyDescent="0.3">
      <c r="A49" s="1" t="str">
        <f>'calculation¦RBP capex'!A49</f>
        <v>RBP CE Lateral ILI - DN400</v>
      </c>
      <c r="B49" s="16" t="str">
        <f>VLOOKUP(A49,'calculation¦capex'!$A$17:$AC$117,12,FALSE)</f>
        <v>AA-03</v>
      </c>
      <c r="C49" s="16" t="str">
        <f t="shared" si="3"/>
        <v>$2016/17</v>
      </c>
      <c r="D49" s="23">
        <f>'calculation¦RBP capex'!D49/VLOOKUP('calculation¦RBP capex'!$B49,InflationAdjustment,2,FALSE)</f>
        <v>0</v>
      </c>
      <c r="E49" s="23">
        <f>'calculation¦RBP capex'!E49/VLOOKUP('calculation¦RBP capex'!$B49,InflationAdjustment,2,FALSE)</f>
        <v>0</v>
      </c>
      <c r="F49" s="23">
        <f>'calculation¦RBP capex'!F49/VLOOKUP('calculation¦RBP capex'!$B49,InflationAdjustment,2,FALSE)</f>
        <v>10.229999999999999</v>
      </c>
      <c r="G49" s="23">
        <f>'calculation¦RBP capex'!G49/VLOOKUP('calculation¦RBP capex'!$B49,InflationAdjustment,2,FALSE)</f>
        <v>194.36999999999998</v>
      </c>
      <c r="H49" s="23">
        <f>'calculation¦RBP capex'!H49/VLOOKUP('calculation¦RBP capex'!$B49,InflationAdjustment,2,FALSE)</f>
        <v>0</v>
      </c>
      <c r="I49" s="23">
        <f>'calculation¦RBP capex'!I49/VLOOKUP('calculation¦RBP capex'!$B49,InflationAdjustment,2,FALSE)</f>
        <v>0</v>
      </c>
      <c r="J49" s="23">
        <f t="shared" si="1"/>
        <v>204.59999999999997</v>
      </c>
      <c r="K49" s="23" t="str">
        <f t="shared" si="2"/>
        <v>AA</v>
      </c>
    </row>
    <row r="50" spans="1:11" x14ac:dyDescent="0.3">
      <c r="A50" s="1" t="str">
        <f>'calculation¦RBP capex'!A50</f>
        <v>RBP Cleaning Program (DN400)</v>
      </c>
      <c r="B50" s="16">
        <f>VLOOKUP(A50,'calculation¦capex'!$A$17:$AC$117,12,FALSE)</f>
        <v>0</v>
      </c>
      <c r="C50" s="16" t="str">
        <f t="shared" si="3"/>
        <v>$2016/17</v>
      </c>
      <c r="D50" s="23">
        <f>'calculation¦RBP capex'!D50/VLOOKUP('calculation¦RBP capex'!$B50,InflationAdjustment,2,FALSE)</f>
        <v>16.367999999999999</v>
      </c>
      <c r="E50" s="23">
        <f>'calculation¦RBP capex'!E50/VLOOKUP('calculation¦RBP capex'!$B50,InflationAdjustment,2,FALSE)</f>
        <v>0</v>
      </c>
      <c r="F50" s="23">
        <f>'calculation¦RBP capex'!F50/VLOOKUP('calculation¦RBP capex'!$B50,InflationAdjustment,2,FALSE)</f>
        <v>0</v>
      </c>
      <c r="G50" s="23">
        <f>'calculation¦RBP capex'!G50/VLOOKUP('calculation¦RBP capex'!$B50,InflationAdjustment,2,FALSE)</f>
        <v>0</v>
      </c>
      <c r="H50" s="23">
        <f>'calculation¦RBP capex'!H50/VLOOKUP('calculation¦RBP capex'!$B50,InflationAdjustment,2,FALSE)</f>
        <v>0</v>
      </c>
      <c r="I50" s="23">
        <f>'calculation¦RBP capex'!I50/VLOOKUP('calculation¦RBP capex'!$B50,InflationAdjustment,2,FALSE)</f>
        <v>0</v>
      </c>
      <c r="J50" s="23">
        <f t="shared" si="1"/>
        <v>16.367999999999999</v>
      </c>
      <c r="K50" s="23" t="str">
        <f t="shared" si="2"/>
        <v>0</v>
      </c>
    </row>
    <row r="51" spans="1:11" x14ac:dyDescent="0.3">
      <c r="A51" s="1" t="str">
        <f>'calculation¦RBP capex'!A51</f>
        <v>RBP CP TELEMETRY UPGRADE</v>
      </c>
      <c r="B51" s="16" t="str">
        <f>VLOOKUP(A51,'calculation¦capex'!$A$17:$AC$117,12,FALSE)</f>
        <v>AA-03</v>
      </c>
      <c r="C51" s="16" t="str">
        <f t="shared" si="3"/>
        <v>$2016/17</v>
      </c>
      <c r="D51" s="23">
        <f>'calculation¦RBP capex'!D51/VLOOKUP('calculation¦RBP capex'!$B51,InflationAdjustment,2,FALSE)</f>
        <v>153.44999999999999</v>
      </c>
      <c r="E51" s="23">
        <f>'calculation¦RBP capex'!E51/VLOOKUP('calculation¦RBP capex'!$B51,InflationAdjustment,2,FALSE)</f>
        <v>153.44999999999999</v>
      </c>
      <c r="F51" s="23">
        <f>'calculation¦RBP capex'!F51/VLOOKUP('calculation¦RBP capex'!$B51,InflationAdjustment,2,FALSE)</f>
        <v>153.44999999999999</v>
      </c>
      <c r="G51" s="23">
        <f>'calculation¦RBP capex'!G51/VLOOKUP('calculation¦RBP capex'!$B51,InflationAdjustment,2,FALSE)</f>
        <v>153.44999999999999</v>
      </c>
      <c r="H51" s="23">
        <f>'calculation¦RBP capex'!H51/VLOOKUP('calculation¦RBP capex'!$B51,InflationAdjustment,2,FALSE)</f>
        <v>153.44999999999999</v>
      </c>
      <c r="I51" s="23">
        <f>'calculation¦RBP capex'!I51/VLOOKUP('calculation¦RBP capex'!$B51,InflationAdjustment,2,FALSE)</f>
        <v>0</v>
      </c>
      <c r="J51" s="23">
        <f t="shared" si="1"/>
        <v>767.25</v>
      </c>
      <c r="K51" s="23" t="str">
        <f t="shared" si="2"/>
        <v>AA</v>
      </c>
    </row>
    <row r="52" spans="1:11" x14ac:dyDescent="0.3">
      <c r="A52" s="1" t="str">
        <f>'calculation¦RBP capex'!A52</f>
        <v>RBP CP UPGRADE PROGRAM</v>
      </c>
      <c r="B52" s="16" t="str">
        <f>VLOOKUP(A52,'calculation¦capex'!$A$17:$AC$117,12,FALSE)</f>
        <v>AA-03</v>
      </c>
      <c r="C52" s="16" t="str">
        <f t="shared" si="3"/>
        <v>$2016/17</v>
      </c>
      <c r="D52" s="23">
        <f>'calculation¦RBP capex'!D52/VLOOKUP('calculation¦RBP capex'!$B52,InflationAdjustment,2,FALSE)</f>
        <v>643.46699999999987</v>
      </c>
      <c r="E52" s="23">
        <f>'calculation¦RBP capex'!E52/VLOOKUP('calculation¦RBP capex'!$B52,InflationAdjustment,2,FALSE)</f>
        <v>656.76599999999996</v>
      </c>
      <c r="F52" s="23">
        <f>'calculation¦RBP capex'!F52/VLOOKUP('calculation¦RBP capex'!$B52,InflationAdjustment,2,FALSE)</f>
        <v>662.90399999999988</v>
      </c>
      <c r="G52" s="23">
        <f>'calculation¦RBP capex'!G52/VLOOKUP('calculation¦RBP capex'!$B52,InflationAdjustment,2,FALSE)</f>
        <v>662.90399999999988</v>
      </c>
      <c r="H52" s="23">
        <f>'calculation¦RBP capex'!H52/VLOOKUP('calculation¦RBP capex'!$B52,InflationAdjustment,2,FALSE)</f>
        <v>662.90399999999988</v>
      </c>
      <c r="I52" s="23">
        <f>'calculation¦RBP capex'!I52/VLOOKUP('calculation¦RBP capex'!$B52,InflationAdjustment,2,FALSE)</f>
        <v>662.90399999999988</v>
      </c>
      <c r="J52" s="23">
        <f t="shared" si="1"/>
        <v>3951.8489999999997</v>
      </c>
      <c r="K52" s="23" t="str">
        <f t="shared" si="2"/>
        <v>AA</v>
      </c>
    </row>
    <row r="53" spans="1:11" x14ac:dyDescent="0.3">
      <c r="A53" s="1" t="str">
        <f>'calculation¦RBP capex'!A53</f>
        <v>RBP DN400 Supply Offtakes</v>
      </c>
      <c r="B53" s="16">
        <f>VLOOKUP(A53,'calculation¦capex'!$A$17:$AC$117,12,FALSE)</f>
        <v>0</v>
      </c>
      <c r="C53" s="16" t="str">
        <f t="shared" si="3"/>
        <v>$2016/17</v>
      </c>
      <c r="D53" s="23">
        <f>'calculation¦RBP capex'!D53/VLOOKUP('calculation¦RBP capex'!$B53,InflationAdjustment,2,FALSE)</f>
        <v>0</v>
      </c>
      <c r="E53" s="23">
        <f>'calculation¦RBP capex'!E53/VLOOKUP('calculation¦RBP capex'!$B53,InflationAdjustment,2,FALSE)</f>
        <v>0</v>
      </c>
      <c r="F53" s="23">
        <f>'calculation¦RBP capex'!F53/VLOOKUP('calculation¦RBP capex'!$B53,InflationAdjustment,2,FALSE)</f>
        <v>255.74999999999997</v>
      </c>
      <c r="G53" s="23">
        <f>'calculation¦RBP capex'!G53/VLOOKUP('calculation¦RBP capex'!$B53,InflationAdjustment,2,FALSE)</f>
        <v>0</v>
      </c>
      <c r="H53" s="23">
        <f>'calculation¦RBP capex'!H53/VLOOKUP('calculation¦RBP capex'!$B53,InflationAdjustment,2,FALSE)</f>
        <v>102.29999999999998</v>
      </c>
      <c r="I53" s="23">
        <f>'calculation¦RBP capex'!I53/VLOOKUP('calculation¦RBP capex'!$B53,InflationAdjustment,2,FALSE)</f>
        <v>0</v>
      </c>
      <c r="J53" s="23">
        <f t="shared" si="1"/>
        <v>358.04999999999995</v>
      </c>
      <c r="K53" s="23" t="str">
        <f t="shared" si="2"/>
        <v>0</v>
      </c>
    </row>
    <row r="54" spans="1:11" x14ac:dyDescent="0.3">
      <c r="A54" s="1" t="str">
        <f>'calculation¦RBP capex'!A54</f>
        <v>RBP HA RECTIFICATION</v>
      </c>
      <c r="B54" s="16">
        <f>VLOOKUP(A54,'calculation¦capex'!$A$17:$AC$117,12,FALSE)</f>
        <v>0</v>
      </c>
      <c r="C54" s="16" t="str">
        <f t="shared" si="3"/>
        <v>$2016/17</v>
      </c>
      <c r="D54" s="23">
        <f>'calculation¦RBP capex'!D54/VLOOKUP('calculation¦RBP capex'!$B54,InflationAdjustment,2,FALSE)</f>
        <v>153.44999999999999</v>
      </c>
      <c r="E54" s="23">
        <f>'calculation¦RBP capex'!E54/VLOOKUP('calculation¦RBP capex'!$B54,InflationAdjustment,2,FALSE)</f>
        <v>51.149999999999991</v>
      </c>
      <c r="F54" s="23">
        <f>'calculation¦RBP capex'!F54/VLOOKUP('calculation¦RBP capex'!$B54,InflationAdjustment,2,FALSE)</f>
        <v>0</v>
      </c>
      <c r="G54" s="23">
        <f>'calculation¦RBP capex'!G54/VLOOKUP('calculation¦RBP capex'!$B54,InflationAdjustment,2,FALSE)</f>
        <v>0</v>
      </c>
      <c r="H54" s="23">
        <f>'calculation¦RBP capex'!H54/VLOOKUP('calculation¦RBP capex'!$B54,InflationAdjustment,2,FALSE)</f>
        <v>0</v>
      </c>
      <c r="I54" s="23">
        <f>'calculation¦RBP capex'!I54/VLOOKUP('calculation¦RBP capex'!$B54,InflationAdjustment,2,FALSE)</f>
        <v>102.29999999999998</v>
      </c>
      <c r="J54" s="23">
        <f t="shared" si="1"/>
        <v>306.89999999999998</v>
      </c>
      <c r="K54" s="23" t="str">
        <f t="shared" si="2"/>
        <v>0</v>
      </c>
    </row>
    <row r="55" spans="1:11" x14ac:dyDescent="0.3">
      <c r="A55" s="1" t="str">
        <f>'calculation¦RBP capex'!A55</f>
        <v>RBP LOOPING ILI - DN400</v>
      </c>
      <c r="B55" s="16" t="str">
        <f>VLOOKUP(A55,'calculation¦capex'!$A$17:$AC$117,12,FALSE)</f>
        <v>AA-03</v>
      </c>
      <c r="C55" s="16" t="str">
        <f t="shared" si="3"/>
        <v>$2016/17</v>
      </c>
      <c r="D55" s="23">
        <f>'calculation¦RBP capex'!D55/VLOOKUP('calculation¦RBP capex'!$B55,InflationAdjustment,2,FALSE)</f>
        <v>0</v>
      </c>
      <c r="E55" s="23">
        <f>'calculation¦RBP capex'!E55/VLOOKUP('calculation¦RBP capex'!$B55,InflationAdjustment,2,FALSE)</f>
        <v>0</v>
      </c>
      <c r="F55" s="23">
        <f>'calculation¦RBP capex'!F55/VLOOKUP('calculation¦RBP capex'!$B55,InflationAdjustment,2,FALSE)</f>
        <v>0</v>
      </c>
      <c r="G55" s="23">
        <f>'calculation¦RBP capex'!G55/VLOOKUP('calculation¦RBP capex'!$B55,InflationAdjustment,2,FALSE)</f>
        <v>0</v>
      </c>
      <c r="H55" s="23">
        <f>'calculation¦RBP capex'!H55/VLOOKUP('calculation¦RBP capex'!$B55,InflationAdjustment,2,FALSE)</f>
        <v>1841.3999999999999</v>
      </c>
      <c r="I55" s="23">
        <f>'calculation¦RBP capex'!I55/VLOOKUP('calculation¦RBP capex'!$B55,InflationAdjustment,2,FALSE)</f>
        <v>0</v>
      </c>
      <c r="J55" s="23">
        <f t="shared" si="1"/>
        <v>1841.3999999999999</v>
      </c>
      <c r="K55" s="23" t="str">
        <f t="shared" si="2"/>
        <v>AA</v>
      </c>
    </row>
    <row r="56" spans="1:11" x14ac:dyDescent="0.3">
      <c r="A56" s="1" t="str">
        <f>'calculation¦RBP capex'!A56</f>
        <v xml:space="preserve">RBP LYTTON LATERAL ILI - DN200 </v>
      </c>
      <c r="B56" s="16" t="str">
        <f>VLOOKUP(A56,'calculation¦capex'!$A$17:$AC$117,12,FALSE)</f>
        <v>AA-03</v>
      </c>
      <c r="C56" s="16" t="str">
        <f t="shared" si="3"/>
        <v>$2016/17</v>
      </c>
      <c r="D56" s="23">
        <f>'calculation¦RBP capex'!D56/VLOOKUP('calculation¦RBP capex'!$B56,InflationAdjustment,2,FALSE)</f>
        <v>5.1149999999999993</v>
      </c>
      <c r="E56" s="23">
        <f>'calculation¦RBP capex'!E56/VLOOKUP('calculation¦RBP capex'!$B56,InflationAdjustment,2,FALSE)</f>
        <v>143.21999999999997</v>
      </c>
      <c r="F56" s="23">
        <f>'calculation¦RBP capex'!F56/VLOOKUP('calculation¦RBP capex'!$B56,InflationAdjustment,2,FALSE)</f>
        <v>0</v>
      </c>
      <c r="G56" s="23">
        <f>'calculation¦RBP capex'!G56/VLOOKUP('calculation¦RBP capex'!$B56,InflationAdjustment,2,FALSE)</f>
        <v>0</v>
      </c>
      <c r="H56" s="23">
        <f>'calculation¦RBP capex'!H56/VLOOKUP('calculation¦RBP capex'!$B56,InflationAdjustment,2,FALSE)</f>
        <v>0</v>
      </c>
      <c r="I56" s="23">
        <f>'calculation¦RBP capex'!I56/VLOOKUP('calculation¦RBP capex'!$B56,InflationAdjustment,2,FALSE)</f>
        <v>0</v>
      </c>
      <c r="J56" s="23">
        <f t="shared" si="1"/>
        <v>148.33499999999998</v>
      </c>
      <c r="K56" s="23" t="str">
        <f t="shared" si="2"/>
        <v>AA</v>
      </c>
    </row>
    <row r="57" spans="1:11" x14ac:dyDescent="0.3">
      <c r="A57" s="1" t="str">
        <f>'calculation¦RBP capex'!A57</f>
        <v>RBP MAINLINE ILI PROGRAM - DN250</v>
      </c>
      <c r="B57" s="16" t="str">
        <f>VLOOKUP(A57,'calculation¦capex'!$A$17:$AC$117,12,FALSE)</f>
        <v>AA-03</v>
      </c>
      <c r="C57" s="16" t="str">
        <f t="shared" si="3"/>
        <v>$2016/17</v>
      </c>
      <c r="D57" s="23">
        <f>'calculation¦RBP capex'!D57/VLOOKUP('calculation¦RBP capex'!$B57,InflationAdjustment,2,FALSE)</f>
        <v>0</v>
      </c>
      <c r="E57" s="23">
        <f>'calculation¦RBP capex'!E57/VLOOKUP('calculation¦RBP capex'!$B57,InflationAdjustment,2,FALSE)</f>
        <v>0</v>
      </c>
      <c r="F57" s="23">
        <f>'calculation¦RBP capex'!F57/VLOOKUP('calculation¦RBP capex'!$B57,InflationAdjustment,2,FALSE)</f>
        <v>1534.4999999999998</v>
      </c>
      <c r="G57" s="23">
        <f>'calculation¦RBP capex'!G57/VLOOKUP('calculation¦RBP capex'!$B57,InflationAdjustment,2,FALSE)</f>
        <v>0</v>
      </c>
      <c r="H57" s="23">
        <f>'calculation¦RBP capex'!H57/VLOOKUP('calculation¦RBP capex'!$B57,InflationAdjustment,2,FALSE)</f>
        <v>0</v>
      </c>
      <c r="I57" s="23">
        <f>'calculation¦RBP capex'!I57/VLOOKUP('calculation¦RBP capex'!$B57,InflationAdjustment,2,FALSE)</f>
        <v>0</v>
      </c>
      <c r="J57" s="23">
        <f t="shared" si="1"/>
        <v>1534.4999999999998</v>
      </c>
      <c r="K57" s="23" t="str">
        <f t="shared" si="2"/>
        <v>AA</v>
      </c>
    </row>
    <row r="58" spans="1:11" x14ac:dyDescent="0.3">
      <c r="A58" s="1" t="str">
        <f>'calculation¦RBP capex'!A58</f>
        <v>RBP METRO (ORIGINAL) ILI - DN200</v>
      </c>
      <c r="B58" s="16" t="str">
        <f>VLOOKUP(A58,'calculation¦capex'!$A$17:$AC$117,12,FALSE)</f>
        <v>AA-03</v>
      </c>
      <c r="C58" s="16" t="str">
        <f t="shared" si="3"/>
        <v>$2016/17</v>
      </c>
      <c r="D58" s="23">
        <f>'calculation¦RBP capex'!D58/VLOOKUP('calculation¦RBP capex'!$B58,InflationAdjustment,2,FALSE)</f>
        <v>0</v>
      </c>
      <c r="E58" s="23">
        <f>'calculation¦RBP capex'!E58/VLOOKUP('calculation¦RBP capex'!$B58,InflationAdjustment,2,FALSE)</f>
        <v>61.379999999999988</v>
      </c>
      <c r="F58" s="23">
        <f>'calculation¦RBP capex'!F58/VLOOKUP('calculation¦RBP capex'!$B58,InflationAdjustment,2,FALSE)</f>
        <v>0</v>
      </c>
      <c r="G58" s="23">
        <f>'calculation¦RBP capex'!G58/VLOOKUP('calculation¦RBP capex'!$B58,InflationAdjustment,2,FALSE)</f>
        <v>0</v>
      </c>
      <c r="H58" s="23">
        <f>'calculation¦RBP capex'!H58/VLOOKUP('calculation¦RBP capex'!$B58,InflationAdjustment,2,FALSE)</f>
        <v>0</v>
      </c>
      <c r="I58" s="23">
        <f>'calculation¦RBP capex'!I58/VLOOKUP('calculation¦RBP capex'!$B58,InflationAdjustment,2,FALSE)</f>
        <v>0</v>
      </c>
      <c r="J58" s="23">
        <f t="shared" si="1"/>
        <v>61.379999999999988</v>
      </c>
      <c r="K58" s="23" t="str">
        <f t="shared" si="2"/>
        <v>AA</v>
      </c>
    </row>
    <row r="59" spans="1:11" x14ac:dyDescent="0.3">
      <c r="A59" s="1" t="str">
        <f>'calculation¦RBP capex'!A59</f>
        <v>RBP METRO ILI - DN300</v>
      </c>
      <c r="B59" s="16" t="str">
        <f>VLOOKUP(A59,'calculation¦capex'!$A$17:$AC$117,12,FALSE)</f>
        <v>AA-03</v>
      </c>
      <c r="C59" s="16" t="str">
        <f t="shared" si="3"/>
        <v>$2016/17</v>
      </c>
      <c r="D59" s="23">
        <f>'calculation¦RBP capex'!D59/VLOOKUP('calculation¦RBP capex'!$B59,InflationAdjustment,2,FALSE)</f>
        <v>225.05999999999997</v>
      </c>
      <c r="E59" s="23">
        <f>'calculation¦RBP capex'!E59/VLOOKUP('calculation¦RBP capex'!$B59,InflationAdjustment,2,FALSE)</f>
        <v>0</v>
      </c>
      <c r="F59" s="23">
        <f>'calculation¦RBP capex'!F59/VLOOKUP('calculation¦RBP capex'!$B59,InflationAdjustment,2,FALSE)</f>
        <v>0</v>
      </c>
      <c r="G59" s="23">
        <f>'calculation¦RBP capex'!G59/VLOOKUP('calculation¦RBP capex'!$B59,InflationAdjustment,2,FALSE)</f>
        <v>0</v>
      </c>
      <c r="H59" s="23">
        <f>'calculation¦RBP capex'!H59/VLOOKUP('calculation¦RBP capex'!$B59,InflationAdjustment,2,FALSE)</f>
        <v>0</v>
      </c>
      <c r="I59" s="23">
        <f>'calculation¦RBP capex'!I59/VLOOKUP('calculation¦RBP capex'!$B59,InflationAdjustment,2,FALSE)</f>
        <v>225.05999999999997</v>
      </c>
      <c r="J59" s="23">
        <f t="shared" si="1"/>
        <v>450.11999999999995</v>
      </c>
      <c r="K59" s="23" t="str">
        <f t="shared" si="2"/>
        <v>AA</v>
      </c>
    </row>
    <row r="60" spans="1:11" x14ac:dyDescent="0.3">
      <c r="A60" s="1" t="str">
        <f>'calculation¦RBP capex'!A60</f>
        <v xml:space="preserve">RBP METRO LOOP ILI - DN400 </v>
      </c>
      <c r="B60" s="16" t="str">
        <f>VLOOKUP(A60,'calculation¦capex'!$A$17:$AC$117,12,FALSE)</f>
        <v>AA-03</v>
      </c>
      <c r="C60" s="16" t="str">
        <f t="shared" si="3"/>
        <v>$2016/17</v>
      </c>
      <c r="D60" s="23">
        <f>'calculation¦RBP capex'!D60/VLOOKUP('calculation¦RBP capex'!$B60,InflationAdjustment,2,FALSE)</f>
        <v>0</v>
      </c>
      <c r="E60" s="23">
        <f>'calculation¦RBP capex'!E60/VLOOKUP('calculation¦RBP capex'!$B60,InflationAdjustment,2,FALSE)</f>
        <v>0</v>
      </c>
      <c r="F60" s="23">
        <f>'calculation¦RBP capex'!F60/VLOOKUP('calculation¦RBP capex'!$B60,InflationAdjustment,2,FALSE)</f>
        <v>122.75999999999998</v>
      </c>
      <c r="G60" s="23">
        <f>'calculation¦RBP capex'!G60/VLOOKUP('calculation¦RBP capex'!$B60,InflationAdjustment,2,FALSE)</f>
        <v>0</v>
      </c>
      <c r="H60" s="23">
        <f>'calculation¦RBP capex'!H60/VLOOKUP('calculation¦RBP capex'!$B60,InflationAdjustment,2,FALSE)</f>
        <v>0</v>
      </c>
      <c r="I60" s="23">
        <f>'calculation¦RBP capex'!I60/VLOOKUP('calculation¦RBP capex'!$B60,InflationAdjustment,2,FALSE)</f>
        <v>0</v>
      </c>
      <c r="J60" s="23">
        <f t="shared" si="1"/>
        <v>122.75999999999998</v>
      </c>
      <c r="K60" s="23" t="str">
        <f t="shared" si="2"/>
        <v>AA</v>
      </c>
    </row>
    <row r="61" spans="1:11" x14ac:dyDescent="0.3">
      <c r="A61" s="1" t="str">
        <f>'calculation¦RBP capex'!A61</f>
        <v>RBP REPLACEMENT SPOOLS FOR DN250 CHECK VALVES</v>
      </c>
      <c r="B61" s="16">
        <f>VLOOKUP(A61,'calculation¦capex'!$A$17:$AC$117,12,FALSE)</f>
        <v>0</v>
      </c>
      <c r="C61" s="16" t="str">
        <f t="shared" si="3"/>
        <v>$2016/17</v>
      </c>
      <c r="D61" s="23">
        <f>'calculation¦RBP capex'!D61/VLOOKUP('calculation¦RBP capex'!$B61,InflationAdjustment,2,FALSE)</f>
        <v>10.229999999999999</v>
      </c>
      <c r="E61" s="23">
        <f>'calculation¦RBP capex'!E61/VLOOKUP('calculation¦RBP capex'!$B61,InflationAdjustment,2,FALSE)</f>
        <v>0</v>
      </c>
      <c r="F61" s="23">
        <f>'calculation¦RBP capex'!F61/VLOOKUP('calculation¦RBP capex'!$B61,InflationAdjustment,2,FALSE)</f>
        <v>0</v>
      </c>
      <c r="G61" s="23">
        <f>'calculation¦RBP capex'!G61/VLOOKUP('calculation¦RBP capex'!$B61,InflationAdjustment,2,FALSE)</f>
        <v>0</v>
      </c>
      <c r="H61" s="23">
        <f>'calculation¦RBP capex'!H61/VLOOKUP('calculation¦RBP capex'!$B61,InflationAdjustment,2,FALSE)</f>
        <v>0</v>
      </c>
      <c r="I61" s="23">
        <f>'calculation¦RBP capex'!I61/VLOOKUP('calculation¦RBP capex'!$B61,InflationAdjustment,2,FALSE)</f>
        <v>0</v>
      </c>
      <c r="J61" s="23">
        <f t="shared" si="1"/>
        <v>10.229999999999999</v>
      </c>
      <c r="K61" s="23" t="str">
        <f t="shared" si="2"/>
        <v>0</v>
      </c>
    </row>
    <row r="62" spans="1:11" x14ac:dyDescent="0.3">
      <c r="A62" s="1" t="str">
        <f>'calculation¦RBP capex'!A62</f>
        <v>RBP RISK MITIGATION - FEED and IMPLEMENTATION</v>
      </c>
      <c r="B62" s="16" t="str">
        <f>VLOOKUP(A62,'calculation¦capex'!$A$17:$AC$117,12,FALSE)</f>
        <v>AA-02</v>
      </c>
      <c r="C62" s="16" t="str">
        <f t="shared" si="3"/>
        <v>$2016/17</v>
      </c>
      <c r="D62" s="23">
        <f>'calculation¦RBP capex'!D62/VLOOKUP('calculation¦RBP capex'!$B62,InflationAdjustment,2,FALSE)</f>
        <v>8183.9999999999991</v>
      </c>
      <c r="E62" s="23">
        <f>'calculation¦RBP capex'!E62/VLOOKUP('calculation¦RBP capex'!$B62,InflationAdjustment,2,FALSE)</f>
        <v>1687.9499999999998</v>
      </c>
      <c r="F62" s="23">
        <f>'calculation¦RBP capex'!F62/VLOOKUP('calculation¦RBP capex'!$B62,InflationAdjustment,2,FALSE)</f>
        <v>306.89999999999998</v>
      </c>
      <c r="G62" s="23">
        <f>'calculation¦RBP capex'!G62/VLOOKUP('calculation¦RBP capex'!$B62,InflationAdjustment,2,FALSE)</f>
        <v>306.89999999999998</v>
      </c>
      <c r="H62" s="23">
        <f>'calculation¦RBP capex'!H62/VLOOKUP('calculation¦RBP capex'!$B62,InflationAdjustment,2,FALSE)</f>
        <v>306.89999999999998</v>
      </c>
      <c r="I62" s="23">
        <f>'calculation¦RBP capex'!I62/VLOOKUP('calculation¦RBP capex'!$B62,InflationAdjustment,2,FALSE)</f>
        <v>306.89999999999998</v>
      </c>
      <c r="J62" s="23">
        <f t="shared" si="1"/>
        <v>11099.549999999997</v>
      </c>
      <c r="K62" s="23" t="str">
        <f t="shared" si="2"/>
        <v>AA</v>
      </c>
    </row>
    <row r="63" spans="1:11" x14ac:dyDescent="0.3">
      <c r="A63" s="1" t="str">
        <f>'calculation¦RBP capex'!A63</f>
        <v>RBP S20 Decommissioned Compressor Removal</v>
      </c>
      <c r="B63" s="16">
        <f>VLOOKUP(A63,'calculation¦capex'!$A$17:$AC$117,12,FALSE)</f>
        <v>0</v>
      </c>
      <c r="C63" s="16" t="str">
        <f t="shared" si="3"/>
        <v>$2016/17</v>
      </c>
      <c r="D63" s="23">
        <f>'calculation¦RBP capex'!D63/VLOOKUP('calculation¦RBP capex'!$B63,InflationAdjustment,2,FALSE)</f>
        <v>0</v>
      </c>
      <c r="E63" s="23">
        <f>'calculation¦RBP capex'!E63/VLOOKUP('calculation¦RBP capex'!$B63,InflationAdjustment,2,FALSE)</f>
        <v>102.29999999999998</v>
      </c>
      <c r="F63" s="23">
        <f>'calculation¦RBP capex'!F63/VLOOKUP('calculation¦RBP capex'!$B63,InflationAdjustment,2,FALSE)</f>
        <v>102.29999999999998</v>
      </c>
      <c r="G63" s="23">
        <f>'calculation¦RBP capex'!G63/VLOOKUP('calculation¦RBP capex'!$B63,InflationAdjustment,2,FALSE)</f>
        <v>0</v>
      </c>
      <c r="H63" s="23">
        <f>'calculation¦RBP capex'!H63/VLOOKUP('calculation¦RBP capex'!$B63,InflationAdjustment,2,FALSE)</f>
        <v>0</v>
      </c>
      <c r="I63" s="23">
        <f>'calculation¦RBP capex'!I63/VLOOKUP('calculation¦RBP capex'!$B63,InflationAdjustment,2,FALSE)</f>
        <v>0</v>
      </c>
      <c r="J63" s="23">
        <f t="shared" si="1"/>
        <v>204.59999999999997</v>
      </c>
      <c r="K63" s="23" t="str">
        <f t="shared" si="2"/>
        <v>0</v>
      </c>
    </row>
    <row r="64" spans="1:11" x14ac:dyDescent="0.3">
      <c r="A64" s="1" t="str">
        <f>'calculation¦RBP capex'!A64</f>
        <v>RBP SCC EMAT ILI - DN300</v>
      </c>
      <c r="B64" s="16" t="str">
        <f>VLOOKUP(A64,'calculation¦capex'!$A$17:$AC$117,12,FALSE)</f>
        <v>AA-03</v>
      </c>
      <c r="C64" s="16" t="str">
        <f t="shared" si="3"/>
        <v>$2016/17</v>
      </c>
      <c r="D64" s="23">
        <f>'calculation¦RBP capex'!D64/VLOOKUP('calculation¦RBP capex'!$B64,InflationAdjustment,2,FALSE)</f>
        <v>0</v>
      </c>
      <c r="E64" s="23">
        <f>'calculation¦RBP capex'!E64/VLOOKUP('calculation¦RBP capex'!$B64,InflationAdjustment,2,FALSE)</f>
        <v>0</v>
      </c>
      <c r="F64" s="23">
        <f>'calculation¦RBP capex'!F64/VLOOKUP('calculation¦RBP capex'!$B64,InflationAdjustment,2,FALSE)</f>
        <v>0</v>
      </c>
      <c r="G64" s="23">
        <f>'calculation¦RBP capex'!G64/VLOOKUP('calculation¦RBP capex'!$B64,InflationAdjustment,2,FALSE)</f>
        <v>0</v>
      </c>
      <c r="H64" s="23">
        <f>'calculation¦RBP capex'!H64/VLOOKUP('calculation¦RBP capex'!$B64,InflationAdjustment,2,FALSE)</f>
        <v>0</v>
      </c>
      <c r="I64" s="23">
        <f>'calculation¦RBP capex'!I64/VLOOKUP('calculation¦RBP capex'!$B64,InflationAdjustment,2,FALSE)</f>
        <v>920.69999999999993</v>
      </c>
      <c r="J64" s="23">
        <f t="shared" si="1"/>
        <v>920.69999999999993</v>
      </c>
      <c r="K64" s="23" t="str">
        <f t="shared" si="2"/>
        <v>AA</v>
      </c>
    </row>
    <row r="65" spans="1:11" x14ac:dyDescent="0.3">
      <c r="A65" s="1" t="str">
        <f>'calculation¦RBP capex'!A65</f>
        <v xml:space="preserve">RBP SCCMP EMAT ILI - DN250 </v>
      </c>
      <c r="B65" s="16" t="str">
        <f>VLOOKUP(A65,'calculation¦capex'!$A$17:$AC$117,12,FALSE)</f>
        <v>AA-03</v>
      </c>
      <c r="C65" s="16" t="str">
        <f t="shared" si="3"/>
        <v>$2016/17</v>
      </c>
      <c r="D65" s="23">
        <f>'calculation¦RBP capex'!D65/VLOOKUP('calculation¦RBP capex'!$B65,InflationAdjustment,2,FALSE)</f>
        <v>0</v>
      </c>
      <c r="E65" s="23">
        <f>'calculation¦RBP capex'!E65/VLOOKUP('calculation¦RBP capex'!$B65,InflationAdjustment,2,FALSE)</f>
        <v>1841.3999999999999</v>
      </c>
      <c r="F65" s="23">
        <f>'calculation¦RBP capex'!F65/VLOOKUP('calculation¦RBP capex'!$B65,InflationAdjustment,2,FALSE)</f>
        <v>1227.5999999999999</v>
      </c>
      <c r="G65" s="23">
        <f>'calculation¦RBP capex'!G65/VLOOKUP('calculation¦RBP capex'!$B65,InflationAdjustment,2,FALSE)</f>
        <v>0</v>
      </c>
      <c r="H65" s="23">
        <f>'calculation¦RBP capex'!H65/VLOOKUP('calculation¦RBP capex'!$B65,InflationAdjustment,2,FALSE)</f>
        <v>0</v>
      </c>
      <c r="I65" s="23">
        <f>'calculation¦RBP capex'!I65/VLOOKUP('calculation¦RBP capex'!$B65,InflationAdjustment,2,FALSE)</f>
        <v>0</v>
      </c>
      <c r="J65" s="23">
        <f t="shared" si="1"/>
        <v>3069</v>
      </c>
      <c r="K65" s="23" t="str">
        <f t="shared" si="2"/>
        <v>AA</v>
      </c>
    </row>
    <row r="66" spans="1:11" x14ac:dyDescent="0.3">
      <c r="A66" s="1" t="str">
        <f>'calculation¦RBP capex'!A66</f>
        <v>RBP SCRAPER TRAP MODIFICATIONS</v>
      </c>
      <c r="B66" s="16" t="str">
        <f>VLOOKUP(A66,'calculation¦capex'!$A$17:$AC$117,12,FALSE)</f>
        <v>AA-03</v>
      </c>
      <c r="C66" s="16" t="str">
        <f t="shared" si="3"/>
        <v>$2016/17</v>
      </c>
      <c r="D66" s="23">
        <f>'calculation¦RBP capex'!D66/VLOOKUP('calculation¦RBP capex'!$B66,InflationAdjustment,2,FALSE)</f>
        <v>0</v>
      </c>
      <c r="E66" s="23">
        <f>'calculation¦RBP capex'!E66/VLOOKUP('calculation¦RBP capex'!$B66,InflationAdjustment,2,FALSE)</f>
        <v>204.59999999999997</v>
      </c>
      <c r="F66" s="23">
        <f>'calculation¦RBP capex'!F66/VLOOKUP('calculation¦RBP capex'!$B66,InflationAdjustment,2,FALSE)</f>
        <v>204.59999999999997</v>
      </c>
      <c r="G66" s="23">
        <f>'calculation¦RBP capex'!G66/VLOOKUP('calculation¦RBP capex'!$B66,InflationAdjustment,2,FALSE)</f>
        <v>0</v>
      </c>
      <c r="H66" s="23">
        <f>'calculation¦RBP capex'!H66/VLOOKUP('calculation¦RBP capex'!$B66,InflationAdjustment,2,FALSE)</f>
        <v>0</v>
      </c>
      <c r="I66" s="23">
        <f>'calculation¦RBP capex'!I66/VLOOKUP('calculation¦RBP capex'!$B66,InflationAdjustment,2,FALSE)</f>
        <v>0</v>
      </c>
      <c r="J66" s="23">
        <f t="shared" si="1"/>
        <v>409.19999999999993</v>
      </c>
      <c r="K66" s="23" t="str">
        <f t="shared" si="2"/>
        <v>AA</v>
      </c>
    </row>
    <row r="67" spans="1:11" x14ac:dyDescent="0.3">
      <c r="A67" s="1" t="str">
        <f>'calculation¦RBP capex'!A67</f>
        <v>RBP STATION FIRE SUPRESSION UPGRADES - BELLBIRD PARK</v>
      </c>
      <c r="B67" s="16">
        <f>VLOOKUP(A67,'calculation¦capex'!$A$17:$AC$117,12,FALSE)</f>
        <v>0</v>
      </c>
      <c r="C67" s="16" t="str">
        <f t="shared" si="3"/>
        <v>$2016/17</v>
      </c>
      <c r="D67" s="23">
        <f>'calculation¦RBP capex'!D67/VLOOKUP('calculation¦RBP capex'!$B67,InflationAdjustment,2,FALSE)</f>
        <v>0</v>
      </c>
      <c r="E67" s="23">
        <f>'calculation¦RBP capex'!E67/VLOOKUP('calculation¦RBP capex'!$B67,InflationAdjustment,2,FALSE)</f>
        <v>0</v>
      </c>
      <c r="F67" s="23">
        <f>'calculation¦RBP capex'!F67/VLOOKUP('calculation¦RBP capex'!$B67,InflationAdjustment,2,FALSE)</f>
        <v>0</v>
      </c>
      <c r="G67" s="23">
        <f>'calculation¦RBP capex'!G67/VLOOKUP('calculation¦RBP capex'!$B67,InflationAdjustment,2,FALSE)</f>
        <v>76.724999999999994</v>
      </c>
      <c r="H67" s="23">
        <f>'calculation¦RBP capex'!H67/VLOOKUP('calculation¦RBP capex'!$B67,InflationAdjustment,2,FALSE)</f>
        <v>0</v>
      </c>
      <c r="I67" s="23">
        <f>'calculation¦RBP capex'!I67/VLOOKUP('calculation¦RBP capex'!$B67,InflationAdjustment,2,FALSE)</f>
        <v>0</v>
      </c>
      <c r="J67" s="23">
        <f t="shared" si="1"/>
        <v>76.724999999999994</v>
      </c>
      <c r="K67" s="23" t="str">
        <f t="shared" si="2"/>
        <v>0</v>
      </c>
    </row>
    <row r="68" spans="1:11" x14ac:dyDescent="0.3">
      <c r="A68" s="1" t="str">
        <f>'calculation¦RBP capex'!A68</f>
        <v>RBP STATION UPGRADES - HAZOP &amp; Other</v>
      </c>
      <c r="B68" s="16">
        <f>VLOOKUP(A68,'calculation¦capex'!$A$17:$AC$117,12,FALSE)</f>
        <v>0</v>
      </c>
      <c r="C68" s="16" t="str">
        <f t="shared" si="3"/>
        <v>$2016/17</v>
      </c>
      <c r="D68" s="23">
        <f>'calculation¦RBP capex'!D68/VLOOKUP('calculation¦RBP capex'!$B68,InflationAdjustment,2,FALSE)</f>
        <v>163.67999999999998</v>
      </c>
      <c r="E68" s="23">
        <f>'calculation¦RBP capex'!E68/VLOOKUP('calculation¦RBP capex'!$B68,InflationAdjustment,2,FALSE)</f>
        <v>312.01499999999999</v>
      </c>
      <c r="F68" s="23">
        <f>'calculation¦RBP capex'!F68/VLOOKUP('calculation¦RBP capex'!$B68,InflationAdjustment,2,FALSE)</f>
        <v>312.01499999999999</v>
      </c>
      <c r="G68" s="23">
        <f>'calculation¦RBP capex'!G68/VLOOKUP('calculation¦RBP capex'!$B68,InflationAdjustment,2,FALSE)</f>
        <v>102.29999999999998</v>
      </c>
      <c r="H68" s="23">
        <f>'calculation¦RBP capex'!H68/VLOOKUP('calculation¦RBP capex'!$B68,InflationAdjustment,2,FALSE)</f>
        <v>102.29999999999998</v>
      </c>
      <c r="I68" s="23">
        <f>'calculation¦RBP capex'!I68/VLOOKUP('calculation¦RBP capex'!$B68,InflationAdjustment,2,FALSE)</f>
        <v>0</v>
      </c>
      <c r="J68" s="23">
        <f t="shared" si="1"/>
        <v>992.30999999999983</v>
      </c>
      <c r="K68" s="23" t="str">
        <f t="shared" si="2"/>
        <v>0</v>
      </c>
    </row>
    <row r="69" spans="1:11" x14ac:dyDescent="0.3">
      <c r="A69" s="1" t="str">
        <f>'calculation¦RBP capex'!A69</f>
        <v xml:space="preserve">ROW Erosion Repairs - </v>
      </c>
      <c r="B69" s="16">
        <f>VLOOKUP(A69,'calculation¦capex'!$A$17:$AC$117,12,FALSE)</f>
        <v>0</v>
      </c>
      <c r="C69" s="16" t="str">
        <f t="shared" si="3"/>
        <v>$2016/17</v>
      </c>
      <c r="D69" s="23">
        <f>'calculation¦RBP capex'!D69/VLOOKUP('calculation¦RBP capex'!$B69,InflationAdjustment,2,FALSE)</f>
        <v>0</v>
      </c>
      <c r="E69" s="23">
        <f>'calculation¦RBP capex'!E69/VLOOKUP('calculation¦RBP capex'!$B69,InflationAdjustment,2,FALSE)</f>
        <v>0</v>
      </c>
      <c r="F69" s="23">
        <f>'calculation¦RBP capex'!F69/VLOOKUP('calculation¦RBP capex'!$B69,InflationAdjustment,2,FALSE)</f>
        <v>0</v>
      </c>
      <c r="G69" s="23">
        <f>'calculation¦RBP capex'!G69/VLOOKUP('calculation¦RBP capex'!$B69,InflationAdjustment,2,FALSE)</f>
        <v>0</v>
      </c>
      <c r="H69" s="23">
        <f>'calculation¦RBP capex'!H69/VLOOKUP('calculation¦RBP capex'!$B69,InflationAdjustment,2,FALSE)</f>
        <v>0</v>
      </c>
      <c r="I69" s="23">
        <f>'calculation¦RBP capex'!I69/VLOOKUP('calculation¦RBP capex'!$B69,InflationAdjustment,2,FALSE)</f>
        <v>0</v>
      </c>
      <c r="J69" s="23">
        <f t="shared" si="1"/>
        <v>0</v>
      </c>
      <c r="K69" s="23" t="str">
        <f t="shared" si="2"/>
        <v>0</v>
      </c>
    </row>
    <row r="70" spans="1:11" x14ac:dyDescent="0.3">
      <c r="A70" s="1" t="str">
        <f>'calculation¦RBP capex'!A70</f>
        <v>SCOTIA / WOODROYD VENT EXTENSION</v>
      </c>
      <c r="B70" s="16">
        <f>VLOOKUP(A70,'calculation¦capex'!$A$17:$AC$117,12,FALSE)</f>
        <v>0</v>
      </c>
      <c r="C70" s="16" t="str">
        <f t="shared" si="3"/>
        <v>$2016/17</v>
      </c>
      <c r="D70" s="23">
        <f>'calculation¦RBP capex'!D70/VLOOKUP('calculation¦RBP capex'!$B70,InflationAdjustment,2,FALSE)</f>
        <v>0</v>
      </c>
      <c r="E70" s="23">
        <f>'calculation¦RBP capex'!E70/VLOOKUP('calculation¦RBP capex'!$B70,InflationAdjustment,2,FALSE)</f>
        <v>30.689999999999994</v>
      </c>
      <c r="F70" s="23">
        <f>'calculation¦RBP capex'!F70/VLOOKUP('calculation¦RBP capex'!$B70,InflationAdjustment,2,FALSE)</f>
        <v>0</v>
      </c>
      <c r="G70" s="23">
        <f>'calculation¦RBP capex'!G70/VLOOKUP('calculation¦RBP capex'!$B70,InflationAdjustment,2,FALSE)</f>
        <v>0</v>
      </c>
      <c r="H70" s="23">
        <f>'calculation¦RBP capex'!H70/VLOOKUP('calculation¦RBP capex'!$B70,InflationAdjustment,2,FALSE)</f>
        <v>0</v>
      </c>
      <c r="I70" s="23">
        <f>'calculation¦RBP capex'!I70/VLOOKUP('calculation¦RBP capex'!$B70,InflationAdjustment,2,FALSE)</f>
        <v>0</v>
      </c>
      <c r="J70" s="23">
        <f t="shared" si="1"/>
        <v>30.689999999999994</v>
      </c>
      <c r="K70" s="23" t="str">
        <f t="shared" si="2"/>
        <v>0</v>
      </c>
    </row>
    <row r="71" spans="1:11" x14ac:dyDescent="0.3">
      <c r="A71" s="1" t="str">
        <f>'calculation¦RBP capex'!A71</f>
        <v>SIS demand/test tracking system</v>
      </c>
      <c r="B71" s="16">
        <f>VLOOKUP(A71,'calculation¦capex'!$A$17:$AC$117,12,FALSE)</f>
        <v>0</v>
      </c>
      <c r="C71" s="16" t="str">
        <f t="shared" si="3"/>
        <v>$2016/17</v>
      </c>
      <c r="D71" s="23">
        <f>'calculation¦RBP capex'!D71/VLOOKUP('calculation¦RBP capex'!$B71,InflationAdjustment,2,FALSE)</f>
        <v>0</v>
      </c>
      <c r="E71" s="23">
        <f>'calculation¦RBP capex'!E71/VLOOKUP('calculation¦RBP capex'!$B71,InflationAdjustment,2,FALSE)</f>
        <v>28.545745627385323</v>
      </c>
      <c r="F71" s="23">
        <f>'calculation¦RBP capex'!F71/VLOOKUP('calculation¦RBP capex'!$B71,InflationAdjustment,2,FALSE)</f>
        <v>0</v>
      </c>
      <c r="G71" s="23">
        <f>'calculation¦RBP capex'!G71/VLOOKUP('calculation¦RBP capex'!$B71,InflationAdjustment,2,FALSE)</f>
        <v>0</v>
      </c>
      <c r="H71" s="23">
        <f>'calculation¦RBP capex'!H71/VLOOKUP('calculation¦RBP capex'!$B71,InflationAdjustment,2,FALSE)</f>
        <v>0</v>
      </c>
      <c r="I71" s="23">
        <f>'calculation¦RBP capex'!I71/VLOOKUP('calculation¦RBP capex'!$B71,InflationAdjustment,2,FALSE)</f>
        <v>0</v>
      </c>
      <c r="J71" s="23">
        <f t="shared" si="1"/>
        <v>28.545745627385323</v>
      </c>
      <c r="K71" s="23" t="str">
        <f t="shared" si="2"/>
        <v>0</v>
      </c>
    </row>
    <row r="72" spans="1:11" x14ac:dyDescent="0.3">
      <c r="A72" s="1" t="str">
        <f>'calculation¦RBP capex'!A72</f>
        <v>SIS improvement program FEED and Implementation</v>
      </c>
      <c r="B72" s="16">
        <f>VLOOKUP(A72,'calculation¦capex'!$A$17:$AC$117,12,FALSE)</f>
        <v>0</v>
      </c>
      <c r="C72" s="16" t="str">
        <f t="shared" si="3"/>
        <v>$2016/17</v>
      </c>
      <c r="D72" s="23">
        <f>'calculation¦RBP capex'!D72/VLOOKUP('calculation¦RBP capex'!$B72,InflationAdjustment,2,FALSE)</f>
        <v>28.545745627385323</v>
      </c>
      <c r="E72" s="23">
        <f>'calculation¦RBP capex'!E72/VLOOKUP('calculation¦RBP capex'!$B72,InflationAdjustment,2,FALSE)</f>
        <v>0</v>
      </c>
      <c r="F72" s="23">
        <f>'calculation¦RBP capex'!F72/VLOOKUP('calculation¦RBP capex'!$B72,InflationAdjustment,2,FALSE)</f>
        <v>0</v>
      </c>
      <c r="G72" s="23">
        <f>'calculation¦RBP capex'!G72/VLOOKUP('calculation¦RBP capex'!$B72,InflationAdjustment,2,FALSE)</f>
        <v>0</v>
      </c>
      <c r="H72" s="23">
        <f>'calculation¦RBP capex'!H72/VLOOKUP('calculation¦RBP capex'!$B72,InflationAdjustment,2,FALSE)</f>
        <v>0</v>
      </c>
      <c r="I72" s="23">
        <f>'calculation¦RBP capex'!I72/VLOOKUP('calculation¦RBP capex'!$B72,InflationAdjustment,2,FALSE)</f>
        <v>0</v>
      </c>
      <c r="J72" s="23">
        <f t="shared" si="1"/>
        <v>28.545745627385323</v>
      </c>
      <c r="K72" s="23" t="str">
        <f t="shared" si="2"/>
        <v>0</v>
      </c>
    </row>
    <row r="73" spans="1:11" x14ac:dyDescent="0.3">
      <c r="A73" s="1" t="str">
        <f>'calculation¦RBP capex'!A73</f>
        <v xml:space="preserve">SMS Reviews - QLD </v>
      </c>
      <c r="B73" s="16">
        <f>VLOOKUP(A73,'calculation¦capex'!$A$17:$AC$117,12,FALSE)</f>
        <v>0</v>
      </c>
      <c r="C73" s="16" t="str">
        <f t="shared" si="3"/>
        <v>$2016/17</v>
      </c>
      <c r="D73" s="23">
        <f>'calculation¦RBP capex'!D73/VLOOKUP('calculation¦RBP capex'!$B73,InflationAdjustment,2,FALSE)</f>
        <v>5.7091491254770652</v>
      </c>
      <c r="E73" s="23">
        <f>'calculation¦RBP capex'!E73/VLOOKUP('calculation¦RBP capex'!$B73,InflationAdjustment,2,FALSE)</f>
        <v>0</v>
      </c>
      <c r="F73" s="23">
        <f>'calculation¦RBP capex'!F73/VLOOKUP('calculation¦RBP capex'!$B73,InflationAdjustment,2,FALSE)</f>
        <v>0</v>
      </c>
      <c r="G73" s="23">
        <f>'calculation¦RBP capex'!G73/VLOOKUP('calculation¦RBP capex'!$B73,InflationAdjustment,2,FALSE)</f>
        <v>0</v>
      </c>
      <c r="H73" s="23">
        <f>'calculation¦RBP capex'!H73/VLOOKUP('calculation¦RBP capex'!$B73,InflationAdjustment,2,FALSE)</f>
        <v>0</v>
      </c>
      <c r="I73" s="23">
        <f>'calculation¦RBP capex'!I73/VLOOKUP('calculation¦RBP capex'!$B73,InflationAdjustment,2,FALSE)</f>
        <v>0</v>
      </c>
      <c r="J73" s="23">
        <f t="shared" si="1"/>
        <v>5.7091491254770652</v>
      </c>
      <c r="K73" s="23" t="str">
        <f t="shared" si="2"/>
        <v>0</v>
      </c>
    </row>
    <row r="74" spans="1:11" x14ac:dyDescent="0.3">
      <c r="A74" s="1" t="str">
        <f>'calculation¦RBP capex'!A74</f>
        <v>SMS, RLR, MEJ project review</v>
      </c>
      <c r="B74" s="16">
        <f>VLOOKUP(A74,'calculation¦capex'!$A$17:$AC$117,12,FALSE)</f>
        <v>0</v>
      </c>
      <c r="C74" s="16" t="str">
        <f t="shared" si="3"/>
        <v>$2016/17</v>
      </c>
      <c r="D74" s="23">
        <f>'calculation¦RBP capex'!D74/VLOOKUP('calculation¦RBP capex'!$B74,InflationAdjustment,2,FALSE)</f>
        <v>0</v>
      </c>
      <c r="E74" s="23">
        <f>'calculation¦RBP capex'!E74/VLOOKUP('calculation¦RBP capex'!$B74,InflationAdjustment,2,FALSE)</f>
        <v>0</v>
      </c>
      <c r="F74" s="23">
        <f>'calculation¦RBP capex'!F74/VLOOKUP('calculation¦RBP capex'!$B74,InflationAdjustment,2,FALSE)</f>
        <v>0</v>
      </c>
      <c r="G74" s="23">
        <f>'calculation¦RBP capex'!G74/VLOOKUP('calculation¦RBP capex'!$B74,InflationAdjustment,2,FALSE)</f>
        <v>0</v>
      </c>
      <c r="H74" s="23">
        <f>'calculation¦RBP capex'!H74/VLOOKUP('calculation¦RBP capex'!$B74,InflationAdjustment,2,FALSE)</f>
        <v>0</v>
      </c>
      <c r="I74" s="23">
        <f>'calculation¦RBP capex'!I74/VLOOKUP('calculation¦RBP capex'!$B74,InflationAdjustment,2,FALSE)</f>
        <v>0</v>
      </c>
      <c r="J74" s="23">
        <f t="shared" si="1"/>
        <v>0</v>
      </c>
      <c r="K74" s="23" t="str">
        <f t="shared" si="2"/>
        <v>0</v>
      </c>
    </row>
    <row r="75" spans="1:11" x14ac:dyDescent="0.3">
      <c r="A75" s="1" t="str">
        <f>'calculation¦RBP capex'!A75</f>
        <v>SOLAR S20 Unit Control Panel Upgrade FEED</v>
      </c>
      <c r="B75" s="16">
        <f>VLOOKUP(A75,'calculation¦capex'!$A$17:$AC$117,12,FALSE)</f>
        <v>0</v>
      </c>
      <c r="C75" s="16" t="str">
        <f t="shared" si="3"/>
        <v>$2016/17</v>
      </c>
      <c r="D75" s="23">
        <f>'calculation¦RBP capex'!D75/VLOOKUP('calculation¦RBP capex'!$B75,InflationAdjustment,2,FALSE)</f>
        <v>0</v>
      </c>
      <c r="E75" s="23">
        <f>'calculation¦RBP capex'!E75/VLOOKUP('calculation¦RBP capex'!$B75,InflationAdjustment,2,FALSE)</f>
        <v>0</v>
      </c>
      <c r="F75" s="23">
        <f>'calculation¦RBP capex'!F75/VLOOKUP('calculation¦RBP capex'!$B75,InflationAdjustment,2,FALSE)</f>
        <v>0</v>
      </c>
      <c r="G75" s="23">
        <f>'calculation¦RBP capex'!G75/VLOOKUP('calculation¦RBP capex'!$B75,InflationAdjustment,2,FALSE)</f>
        <v>0</v>
      </c>
      <c r="H75" s="23">
        <f>'calculation¦RBP capex'!H75/VLOOKUP('calculation¦RBP capex'!$B75,InflationAdjustment,2,FALSE)</f>
        <v>0</v>
      </c>
      <c r="I75" s="23">
        <f>'calculation¦RBP capex'!I75/VLOOKUP('calculation¦RBP capex'!$B75,InflationAdjustment,2,FALSE)</f>
        <v>0</v>
      </c>
      <c r="J75" s="23">
        <f t="shared" si="1"/>
        <v>0</v>
      </c>
      <c r="K75" s="23" t="str">
        <f t="shared" si="2"/>
        <v>0</v>
      </c>
    </row>
    <row r="76" spans="1:11" x14ac:dyDescent="0.3">
      <c r="A76" s="1" t="str">
        <f>'calculation¦RBP capex'!A76</f>
        <v>Station Remaining Life Review</v>
      </c>
      <c r="B76" s="16">
        <f>VLOOKUP(A76,'calculation¦capex'!$A$17:$AC$117,12,FALSE)</f>
        <v>0</v>
      </c>
      <c r="C76" s="16" t="str">
        <f t="shared" si="3"/>
        <v>$2016/17</v>
      </c>
      <c r="D76" s="23">
        <f>'calculation¦RBP capex'!D76/VLOOKUP('calculation¦RBP capex'!$B76,InflationAdjustment,2,FALSE)</f>
        <v>0</v>
      </c>
      <c r="E76" s="23">
        <f>'calculation¦RBP capex'!E76/VLOOKUP('calculation¦RBP capex'!$B76,InflationAdjustment,2,FALSE)</f>
        <v>0</v>
      </c>
      <c r="F76" s="23">
        <f>'calculation¦RBP capex'!F76/VLOOKUP('calculation¦RBP capex'!$B76,InflationAdjustment,2,FALSE)</f>
        <v>0</v>
      </c>
      <c r="G76" s="23">
        <f>'calculation¦RBP capex'!G76/VLOOKUP('calculation¦RBP capex'!$B76,InflationAdjustment,2,FALSE)</f>
        <v>0</v>
      </c>
      <c r="H76" s="23">
        <f>'calculation¦RBP capex'!H76/VLOOKUP('calculation¦RBP capex'!$B76,InflationAdjustment,2,FALSE)</f>
        <v>0</v>
      </c>
      <c r="I76" s="23">
        <f>'calculation¦RBP capex'!I76/VLOOKUP('calculation¦RBP capex'!$B76,InflationAdjustment,2,FALSE)</f>
        <v>0</v>
      </c>
      <c r="J76" s="23">
        <f t="shared" si="1"/>
        <v>0</v>
      </c>
      <c r="K76" s="23" t="str">
        <f t="shared" si="2"/>
        <v>0</v>
      </c>
    </row>
    <row r="77" spans="1:11" x14ac:dyDescent="0.3">
      <c r="A77" s="1" t="str">
        <f>'calculation¦RBP capex'!A77</f>
        <v>SWANBANK ISOLATION VALVE</v>
      </c>
      <c r="B77" s="16">
        <f>VLOOKUP(A77,'calculation¦capex'!$A$17:$AC$117,12,FALSE)</f>
        <v>0</v>
      </c>
      <c r="C77" s="16" t="str">
        <f t="shared" si="3"/>
        <v>$2016/17</v>
      </c>
      <c r="D77" s="23">
        <f>'calculation¦RBP capex'!D77/VLOOKUP('calculation¦RBP capex'!$B77,InflationAdjustment,2,FALSE)</f>
        <v>51.149999999999991</v>
      </c>
      <c r="E77" s="23">
        <f>'calculation¦RBP capex'!E77/VLOOKUP('calculation¦RBP capex'!$B77,InflationAdjustment,2,FALSE)</f>
        <v>0</v>
      </c>
      <c r="F77" s="23">
        <f>'calculation¦RBP capex'!F77/VLOOKUP('calculation¦RBP capex'!$B77,InflationAdjustment,2,FALSE)</f>
        <v>0</v>
      </c>
      <c r="G77" s="23">
        <f>'calculation¦RBP capex'!G77/VLOOKUP('calculation¦RBP capex'!$B77,InflationAdjustment,2,FALSE)</f>
        <v>0</v>
      </c>
      <c r="H77" s="23">
        <f>'calculation¦RBP capex'!H77/VLOOKUP('calculation¦RBP capex'!$B77,InflationAdjustment,2,FALSE)</f>
        <v>0</v>
      </c>
      <c r="I77" s="23">
        <f>'calculation¦RBP capex'!I77/VLOOKUP('calculation¦RBP capex'!$B77,InflationAdjustment,2,FALSE)</f>
        <v>0</v>
      </c>
      <c r="J77" s="23">
        <f t="shared" si="1"/>
        <v>51.149999999999991</v>
      </c>
      <c r="K77" s="23" t="str">
        <f t="shared" si="2"/>
        <v>0</v>
      </c>
    </row>
    <row r="78" spans="1:11" x14ac:dyDescent="0.3">
      <c r="A78" s="1" t="str">
        <f>'calculation¦RBP capex'!A78</f>
        <v>TOOWOOMBA DN250 RAIL CROSSING</v>
      </c>
      <c r="B78" s="16" t="str">
        <f>VLOOKUP(A78,'calculation¦capex'!$A$17:$AC$117,12,FALSE)</f>
        <v>AA-06</v>
      </c>
      <c r="C78" s="16" t="str">
        <f t="shared" si="3"/>
        <v>$2016/17</v>
      </c>
      <c r="D78" s="23">
        <f>'calculation¦RBP capex'!D78/VLOOKUP('calculation¦RBP capex'!$B78,InflationAdjustment,2,FALSE)</f>
        <v>0</v>
      </c>
      <c r="E78" s="23">
        <f>'calculation¦RBP capex'!E78/VLOOKUP('calculation¦RBP capex'!$B78,InflationAdjustment,2,FALSE)</f>
        <v>11252.999999999998</v>
      </c>
      <c r="F78" s="23">
        <f>'calculation¦RBP capex'!F78/VLOOKUP('calculation¦RBP capex'!$B78,InflationAdjustment,2,FALSE)</f>
        <v>3580.4999999999995</v>
      </c>
      <c r="G78" s="23">
        <f>'calculation¦RBP capex'!G78/VLOOKUP('calculation¦RBP capex'!$B78,InflationAdjustment,2,FALSE)</f>
        <v>0</v>
      </c>
      <c r="H78" s="23">
        <f>'calculation¦RBP capex'!H78/VLOOKUP('calculation¦RBP capex'!$B78,InflationAdjustment,2,FALSE)</f>
        <v>0</v>
      </c>
      <c r="I78" s="23">
        <f>'calculation¦RBP capex'!I78/VLOOKUP('calculation¦RBP capex'!$B78,InflationAdjustment,2,FALSE)</f>
        <v>0</v>
      </c>
      <c r="J78" s="23">
        <f t="shared" si="1"/>
        <v>14833.499999999998</v>
      </c>
      <c r="K78" s="23" t="str">
        <f t="shared" si="2"/>
        <v>AA</v>
      </c>
    </row>
    <row r="79" spans="1:11" x14ac:dyDescent="0.3">
      <c r="A79" s="1" t="str">
        <f>'calculation¦RBP capex'!A79</f>
        <v>TOOWOOMBA RANGE SLOPE MONITORING WORKS</v>
      </c>
      <c r="B79" s="16" t="str">
        <f>VLOOKUP(A79,'calculation¦capex'!$A$17:$AC$117,12,FALSE)</f>
        <v>AA-06</v>
      </c>
      <c r="C79" s="16" t="str">
        <f t="shared" si="3"/>
        <v>$2016/17</v>
      </c>
      <c r="D79" s="23">
        <f>'calculation¦RBP capex'!D79/VLOOKUP('calculation¦RBP capex'!$B79,InflationAdjustment,2,FALSE)</f>
        <v>306.89999999999998</v>
      </c>
      <c r="E79" s="23">
        <f>'calculation¦RBP capex'!E79/VLOOKUP('calculation¦RBP capex'!$B79,InflationAdjustment,2,FALSE)</f>
        <v>664.94999999999993</v>
      </c>
      <c r="F79" s="23">
        <f>'calculation¦RBP capex'!F79/VLOOKUP('calculation¦RBP capex'!$B79,InflationAdjustment,2,FALSE)</f>
        <v>0</v>
      </c>
      <c r="G79" s="23">
        <f>'calculation¦RBP capex'!G79/VLOOKUP('calculation¦RBP capex'!$B79,InflationAdjustment,2,FALSE)</f>
        <v>0</v>
      </c>
      <c r="H79" s="23">
        <f>'calculation¦RBP capex'!H79/VLOOKUP('calculation¦RBP capex'!$B79,InflationAdjustment,2,FALSE)</f>
        <v>0</v>
      </c>
      <c r="I79" s="23">
        <f>'calculation¦RBP capex'!I79/VLOOKUP('calculation¦RBP capex'!$B79,InflationAdjustment,2,FALSE)</f>
        <v>0</v>
      </c>
      <c r="J79" s="23">
        <f t="shared" ref="J79:J114" si="5">SUM(D79:I79)</f>
        <v>971.84999999999991</v>
      </c>
      <c r="K79" s="23" t="str">
        <f t="shared" ref="K79:K113" si="6">LEFT(B79,2)</f>
        <v>AA</v>
      </c>
    </row>
    <row r="80" spans="1:11" x14ac:dyDescent="0.3">
      <c r="A80" s="1" t="str">
        <f>'calculation¦RBP capex'!A80</f>
        <v>Toowoomba Slope Management</v>
      </c>
      <c r="B80" s="16">
        <f>VLOOKUP(A80,'calculation¦capex'!$A$17:$AC$117,12,FALSE)</f>
        <v>0</v>
      </c>
      <c r="C80" s="16" t="str">
        <f t="shared" ref="C80:C113" si="7">C79</f>
        <v>$2016/17</v>
      </c>
      <c r="D80" s="23">
        <f>'calculation¦RBP capex'!D80/VLOOKUP('calculation¦RBP capex'!$B80,InflationAdjustment,2,FALSE)</f>
        <v>0</v>
      </c>
      <c r="E80" s="23">
        <f>'calculation¦RBP capex'!E80/VLOOKUP('calculation¦RBP capex'!$B80,InflationAdjustment,2,FALSE)</f>
        <v>0</v>
      </c>
      <c r="F80" s="23">
        <f>'calculation¦RBP capex'!F80/VLOOKUP('calculation¦RBP capex'!$B80,InflationAdjustment,2,FALSE)</f>
        <v>0</v>
      </c>
      <c r="G80" s="23">
        <f>'calculation¦RBP capex'!G80/VLOOKUP('calculation¦RBP capex'!$B80,InflationAdjustment,2,FALSE)</f>
        <v>0</v>
      </c>
      <c r="H80" s="23">
        <f>'calculation¦RBP capex'!H80/VLOOKUP('calculation¦RBP capex'!$B80,InflationAdjustment,2,FALSE)</f>
        <v>0</v>
      </c>
      <c r="I80" s="23">
        <f>'calculation¦RBP capex'!I80/VLOOKUP('calculation¦RBP capex'!$B80,InflationAdjustment,2,FALSE)</f>
        <v>0</v>
      </c>
      <c r="J80" s="23">
        <f t="shared" si="5"/>
        <v>0</v>
      </c>
      <c r="K80" s="23" t="str">
        <f t="shared" si="6"/>
        <v>0</v>
      </c>
    </row>
    <row r="81" spans="1:13" x14ac:dyDescent="0.3">
      <c r="A81" s="1" t="str">
        <f>'calculation¦RBP capex'!A81</f>
        <v>TOOWOOMBA STATION HEATER INSTALLATION</v>
      </c>
      <c r="B81" s="16">
        <f>VLOOKUP(A81,'calculation¦capex'!$A$17:$AC$117,12,FALSE)</f>
        <v>0</v>
      </c>
      <c r="C81" s="16" t="str">
        <f t="shared" si="7"/>
        <v>$2016/17</v>
      </c>
      <c r="D81" s="23">
        <f>'calculation¦RBP capex'!D81/VLOOKUP('calculation¦RBP capex'!$B81,InflationAdjustment,2,FALSE)</f>
        <v>0</v>
      </c>
      <c r="E81" s="23">
        <f>'calculation¦RBP capex'!E81/VLOOKUP('calculation¦RBP capex'!$B81,InflationAdjustment,2,FALSE)</f>
        <v>255.74999999999997</v>
      </c>
      <c r="F81" s="23">
        <f>'calculation¦RBP capex'!F81/VLOOKUP('calculation¦RBP capex'!$B81,InflationAdjustment,2,FALSE)</f>
        <v>0</v>
      </c>
      <c r="G81" s="23">
        <f>'calculation¦RBP capex'!G81/VLOOKUP('calculation¦RBP capex'!$B81,InflationAdjustment,2,FALSE)</f>
        <v>0</v>
      </c>
      <c r="H81" s="23">
        <f>'calculation¦RBP capex'!H81/VLOOKUP('calculation¦RBP capex'!$B81,InflationAdjustment,2,FALSE)</f>
        <v>0</v>
      </c>
      <c r="I81" s="23">
        <f>'calculation¦RBP capex'!I81/VLOOKUP('calculation¦RBP capex'!$B81,InflationAdjustment,2,FALSE)</f>
        <v>0</v>
      </c>
      <c r="J81" s="23">
        <f t="shared" si="5"/>
        <v>255.74999999999997</v>
      </c>
      <c r="K81" s="23" t="str">
        <f t="shared" si="6"/>
        <v>0</v>
      </c>
    </row>
    <row r="82" spans="1:13" x14ac:dyDescent="0.3">
      <c r="A82" s="1" t="str">
        <f>'calculation¦RBP capex'!A82</f>
        <v>Turbine overhauls - Dalby</v>
      </c>
      <c r="B82" s="16" t="str">
        <f>VLOOKUP(A82,'calculation¦capex'!$A$17:$AC$117,12,FALSE)</f>
        <v>AA-08</v>
      </c>
      <c r="C82" s="16" t="str">
        <f t="shared" si="7"/>
        <v>$2016/17</v>
      </c>
      <c r="D82" s="23">
        <f>'calculation¦RBP capex'!D82/VLOOKUP('calculation¦RBP capex'!$B82,InflationAdjustment,2,FALSE)</f>
        <v>0</v>
      </c>
      <c r="E82" s="23">
        <f>'calculation¦RBP capex'!E82/VLOOKUP('calculation¦RBP capex'!$B82,InflationAdjustment,2,FALSE)</f>
        <v>0</v>
      </c>
      <c r="F82" s="23">
        <f>'calculation¦RBP capex'!F82/VLOOKUP('calculation¦RBP capex'!$B82,InflationAdjustment,2,FALSE)</f>
        <v>0</v>
      </c>
      <c r="G82" s="23">
        <f>'calculation¦RBP capex'!G82/VLOOKUP('calculation¦RBP capex'!$B82,InflationAdjustment,2,FALSE)</f>
        <v>0</v>
      </c>
      <c r="H82" s="23">
        <f>'calculation¦RBP capex'!H82/VLOOKUP('calculation¦RBP capex'!$B82,InflationAdjustment,2,FALSE)</f>
        <v>0</v>
      </c>
      <c r="I82" s="23">
        <f>'calculation¦RBP capex'!I82/VLOOKUP('calculation¦RBP capex'!$B82,InflationAdjustment,2,FALSE)</f>
        <v>1329.8999999999999</v>
      </c>
      <c r="J82" s="23">
        <f t="shared" si="5"/>
        <v>1329.8999999999999</v>
      </c>
      <c r="K82" s="23" t="str">
        <f t="shared" si="6"/>
        <v>AA</v>
      </c>
    </row>
    <row r="83" spans="1:13" x14ac:dyDescent="0.3">
      <c r="A83" s="1" t="str">
        <f>'calculation¦RBP capex'!A83</f>
        <v>VEHICLE PURCHASES</v>
      </c>
      <c r="B83" s="16">
        <f>VLOOKUP(A83,'calculation¦capex'!$A$17:$AC$117,12,FALSE)</f>
        <v>0</v>
      </c>
      <c r="C83" s="16" t="str">
        <f t="shared" si="7"/>
        <v>$2016/17</v>
      </c>
      <c r="D83" s="23">
        <f>'calculation¦RBP capex'!D83/VLOOKUP('calculation¦RBP capex'!$B83,InflationAdjustment,2,FALSE)</f>
        <v>0</v>
      </c>
      <c r="E83" s="23">
        <f>'calculation¦RBP capex'!E83/VLOOKUP('calculation¦RBP capex'!$B83,InflationAdjustment,2,FALSE)</f>
        <v>0</v>
      </c>
      <c r="F83" s="23">
        <f>'calculation¦RBP capex'!F83/VLOOKUP('calculation¦RBP capex'!$B83,InflationAdjustment,2,FALSE)</f>
        <v>0</v>
      </c>
      <c r="G83" s="23">
        <f>'calculation¦RBP capex'!G83/VLOOKUP('calculation¦RBP capex'!$B83,InflationAdjustment,2,FALSE)</f>
        <v>0</v>
      </c>
      <c r="H83" s="23">
        <f>'calculation¦RBP capex'!H83/VLOOKUP('calculation¦RBP capex'!$B83,InflationAdjustment,2,FALSE)</f>
        <v>0</v>
      </c>
      <c r="I83" s="23">
        <f>'calculation¦RBP capex'!I83/VLOOKUP('calculation¦RBP capex'!$B83,InflationAdjustment,2,FALSE)</f>
        <v>0</v>
      </c>
      <c r="J83" s="23">
        <f t="shared" si="5"/>
        <v>0</v>
      </c>
      <c r="K83" s="23" t="str">
        <f t="shared" si="6"/>
        <v>0</v>
      </c>
    </row>
    <row r="84" spans="1:13" x14ac:dyDescent="0.3">
      <c r="A84" s="1" t="str">
        <f>'calculation¦RBP capex'!A84</f>
        <v>Wallumbilla MS Upgrade</v>
      </c>
      <c r="B84" s="16">
        <f>VLOOKUP(A84,'calculation¦capex'!$A$17:$AC$117,12,FALSE)</f>
        <v>0</v>
      </c>
      <c r="C84" s="16" t="str">
        <f t="shared" si="7"/>
        <v>$2016/17</v>
      </c>
      <c r="D84" s="23">
        <f>'calculation¦RBP capex'!D84/VLOOKUP('calculation¦RBP capex'!$B84,InflationAdjustment,2,FALSE)</f>
        <v>0</v>
      </c>
      <c r="E84" s="23">
        <f>'calculation¦RBP capex'!E84/VLOOKUP('calculation¦RBP capex'!$B84,InflationAdjustment,2,FALSE)</f>
        <v>0</v>
      </c>
      <c r="F84" s="23">
        <f>'calculation¦RBP capex'!F84/VLOOKUP('calculation¦RBP capex'!$B84,InflationAdjustment,2,FALSE)</f>
        <v>0</v>
      </c>
      <c r="G84" s="23">
        <f>'calculation¦RBP capex'!G84/VLOOKUP('calculation¦RBP capex'!$B84,InflationAdjustment,2,FALSE)</f>
        <v>0</v>
      </c>
      <c r="H84" s="23">
        <f>'calculation¦RBP capex'!H84/VLOOKUP('calculation¦RBP capex'!$B84,InflationAdjustment,2,FALSE)</f>
        <v>0</v>
      </c>
      <c r="I84" s="23">
        <f>'calculation¦RBP capex'!I84/VLOOKUP('calculation¦RBP capex'!$B84,InflationAdjustment,2,FALSE)</f>
        <v>0</v>
      </c>
      <c r="J84" s="23">
        <f t="shared" si="5"/>
        <v>0</v>
      </c>
      <c r="K84" s="23" t="str">
        <f t="shared" si="6"/>
        <v>0</v>
      </c>
    </row>
    <row r="85" spans="1:13" x14ac:dyDescent="0.3">
      <c r="A85" s="1" t="str">
        <f>'calculation¦RBP capex'!A85</f>
        <v>Applications and Renewals</v>
      </c>
      <c r="B85" s="16" t="str">
        <f>VLOOKUP(A85,'calculation¦capex'!$A$17:$AC$117,12,FALSE)</f>
        <v>RBP01</v>
      </c>
      <c r="C85" s="16" t="str">
        <f t="shared" si="7"/>
        <v>$2016/17</v>
      </c>
      <c r="D85" s="23">
        <f>'calculation¦RBP capex'!D85/VLOOKUP('calculation¦RBP capex'!$B85,InflationAdjustment,2,FALSE)</f>
        <v>0</v>
      </c>
      <c r="E85" s="23">
        <f>'calculation¦RBP capex'!E85/VLOOKUP('calculation¦RBP capex'!$B85,InflationAdjustment,2,FALSE)</f>
        <v>425.72883701583771</v>
      </c>
      <c r="F85" s="23">
        <f>'calculation¦RBP capex'!F85/VLOOKUP('calculation¦RBP capex'!$B85,InflationAdjustment,2,FALSE)</f>
        <v>531.85254711253924</v>
      </c>
      <c r="G85" s="23">
        <f>'calculation¦RBP capex'!G85/VLOOKUP('calculation¦RBP capex'!$B85,InflationAdjustment,2,FALSE)</f>
        <v>425.72883701583771</v>
      </c>
      <c r="H85" s="23">
        <f>'calculation¦RBP capex'!H85/VLOOKUP('calculation¦RBP capex'!$B85,InflationAdjustment,2,FALSE)</f>
        <v>531.85254711253924</v>
      </c>
      <c r="I85" s="23">
        <f>'calculation¦RBP capex'!I85/VLOOKUP('calculation¦RBP capex'!$B85,InflationAdjustment,2,FALSE)</f>
        <v>425.72883701583771</v>
      </c>
      <c r="J85" s="23">
        <f t="shared" si="5"/>
        <v>2340.8916052725917</v>
      </c>
      <c r="K85" s="23" t="str">
        <f t="shared" si="6"/>
        <v>RB</v>
      </c>
    </row>
    <row r="86" spans="1:13" x14ac:dyDescent="0.3">
      <c r="A86" s="1" t="str">
        <f>'calculation¦RBP capex'!A86</f>
        <v>Infrastructure Renewals</v>
      </c>
      <c r="B86" s="16" t="str">
        <f>VLOOKUP(A86,'calculation¦capex'!$A$17:$AC$117,12,FALSE)</f>
        <v>RBP02</v>
      </c>
      <c r="C86" s="16" t="str">
        <f t="shared" si="7"/>
        <v>$2016/17</v>
      </c>
      <c r="D86" s="23">
        <f>'calculation¦RBP capex'!D86/VLOOKUP('calculation¦RBP capex'!$B86,InflationAdjustment,2,FALSE)</f>
        <v>0</v>
      </c>
      <c r="E86" s="23">
        <f>'calculation¦RBP capex'!E86/VLOOKUP('calculation¦RBP capex'!$B86,InflationAdjustment,2,FALSE)</f>
        <v>138.82462076603403</v>
      </c>
      <c r="F86" s="23">
        <f>'calculation¦RBP capex'!F86/VLOOKUP('calculation¦RBP capex'!$B86,InflationAdjustment,2,FALSE)</f>
        <v>46.274873588678005</v>
      </c>
      <c r="G86" s="23">
        <f>'calculation¦RBP capex'!G86/VLOOKUP('calculation¦RBP capex'!$B86,InflationAdjustment,2,FALSE)</f>
        <v>46.274873588678005</v>
      </c>
      <c r="H86" s="23">
        <f>'calculation¦RBP capex'!H86/VLOOKUP('calculation¦RBP capex'!$B86,InflationAdjustment,2,FALSE)</f>
        <v>46.274873588678005</v>
      </c>
      <c r="I86" s="23">
        <f>'calculation¦RBP capex'!I86/VLOOKUP('calculation¦RBP capex'!$B86,InflationAdjustment,2,FALSE)</f>
        <v>0</v>
      </c>
      <c r="J86" s="23">
        <f t="shared" si="5"/>
        <v>277.64924153206806</v>
      </c>
      <c r="K86" s="23" t="str">
        <f t="shared" si="6"/>
        <v>RB</v>
      </c>
      <c r="M86" s="30"/>
    </row>
    <row r="87" spans="1:13" x14ac:dyDescent="0.3">
      <c r="A87" s="1" t="str">
        <f>'calculation¦RBP capex'!A87</f>
        <v>AA Costs</v>
      </c>
      <c r="B87" s="16">
        <f>VLOOKUP(A87,'calculation¦capex'!$A$17:$AC$117,12,FALSE)</f>
        <v>0</v>
      </c>
      <c r="C87" s="16" t="str">
        <f t="shared" si="7"/>
        <v>$2016/17</v>
      </c>
      <c r="D87" s="23">
        <f>'calculation¦RBP capex'!D87/VLOOKUP('calculation¦RBP capex'!$B87,InflationAdjustment,2,FALSE)</f>
        <v>911.85669695999991</v>
      </c>
      <c r="E87" s="23">
        <f>'calculation¦RBP capex'!E87/VLOOKUP('calculation¦RBP capex'!$B87,InflationAdjustment,2,FALSE)</f>
        <v>72.505483049999995</v>
      </c>
      <c r="F87" s="23">
        <f>'calculation¦RBP capex'!F87/VLOOKUP('calculation¦RBP capex'!$B87,InflationAdjustment,2,FALSE)</f>
        <v>0</v>
      </c>
      <c r="G87" s="23">
        <f>'calculation¦RBP capex'!G87/VLOOKUP('calculation¦RBP capex'!$B87,InflationAdjustment,2,FALSE)</f>
        <v>0</v>
      </c>
      <c r="H87" s="23">
        <f>'calculation¦RBP capex'!H87/VLOOKUP('calculation¦RBP capex'!$B87,InflationAdjustment,2,FALSE)</f>
        <v>59.342265839999989</v>
      </c>
      <c r="I87" s="23">
        <f>'calculation¦RBP capex'!I87/VLOOKUP('calculation¦RBP capex'!$B87,InflationAdjustment,2,FALSE)</f>
        <v>911.85669695999991</v>
      </c>
      <c r="J87" s="23">
        <f t="shared" si="5"/>
        <v>1955.5611428099999</v>
      </c>
      <c r="K87" s="23" t="str">
        <f t="shared" si="6"/>
        <v>0</v>
      </c>
      <c r="M87" s="30"/>
    </row>
    <row r="88" spans="1:13" x14ac:dyDescent="0.3">
      <c r="A88" s="1" t="str">
        <f>'calculation¦RBP capex'!A88</f>
        <v>Remote Vehicle Comms - Journey Management</v>
      </c>
      <c r="B88" s="16">
        <f>VLOOKUP(A88,'calculation¦capex'!$A$17:$AC$117,12,FALSE)</f>
        <v>0</v>
      </c>
      <c r="C88" s="16" t="str">
        <f t="shared" si="7"/>
        <v>$2016/17</v>
      </c>
      <c r="D88" s="23">
        <f>'calculation¦RBP capex'!D88/VLOOKUP('calculation¦RBP capex'!$B88,InflationAdjustment,2,FALSE)</f>
        <v>1.810130338136076</v>
      </c>
      <c r="E88" s="23">
        <f>'calculation¦RBP capex'!E88/VLOOKUP('calculation¦RBP capex'!$B88,InflationAdjustment,2,FALSE)</f>
        <v>0</v>
      </c>
      <c r="F88" s="23">
        <f>'calculation¦RBP capex'!F88/VLOOKUP('calculation¦RBP capex'!$B88,InflationAdjustment,2,FALSE)</f>
        <v>0</v>
      </c>
      <c r="G88" s="23">
        <f>'calculation¦RBP capex'!G88/VLOOKUP('calculation¦RBP capex'!$B88,InflationAdjustment,2,FALSE)</f>
        <v>0</v>
      </c>
      <c r="H88" s="23">
        <f>'calculation¦RBP capex'!H88/VLOOKUP('calculation¦RBP capex'!$B88,InflationAdjustment,2,FALSE)</f>
        <v>0</v>
      </c>
      <c r="I88" s="23">
        <f>'calculation¦RBP capex'!I88/VLOOKUP('calculation¦RBP capex'!$B88,InflationAdjustment,2,FALSE)</f>
        <v>0</v>
      </c>
      <c r="J88" s="23">
        <f t="shared" si="5"/>
        <v>1.810130338136076</v>
      </c>
      <c r="K88" s="23" t="str">
        <f t="shared" si="6"/>
        <v>0</v>
      </c>
    </row>
    <row r="89" spans="1:13" x14ac:dyDescent="0.3">
      <c r="A89" s="1" t="str">
        <f>'calculation¦RBP capex'!A89</f>
        <v>Satellite Strategy</v>
      </c>
      <c r="B89" s="16">
        <f>VLOOKUP(A89,'calculation¦capex'!$A$17:$AC$117,12,FALSE)</f>
        <v>0</v>
      </c>
      <c r="C89" s="16" t="str">
        <f t="shared" si="7"/>
        <v>$2016/17</v>
      </c>
      <c r="D89" s="23">
        <f>'calculation¦RBP capex'!D89/VLOOKUP('calculation¦RBP capex'!$B89,InflationAdjustment,2,FALSE)</f>
        <v>97.005975420326834</v>
      </c>
      <c r="E89" s="23">
        <f>'calculation¦RBP capex'!E89/VLOOKUP('calculation¦RBP capex'!$B89,InflationAdjustment,2,FALSE)</f>
        <v>0</v>
      </c>
      <c r="F89" s="23">
        <f>'calculation¦RBP capex'!F89/VLOOKUP('calculation¦RBP capex'!$B89,InflationAdjustment,2,FALSE)</f>
        <v>0</v>
      </c>
      <c r="G89" s="23">
        <f>'calculation¦RBP capex'!G89/VLOOKUP('calculation¦RBP capex'!$B89,InflationAdjustment,2,FALSE)</f>
        <v>0</v>
      </c>
      <c r="H89" s="23">
        <f>'calculation¦RBP capex'!H89/VLOOKUP('calculation¦RBP capex'!$B89,InflationAdjustment,2,FALSE)</f>
        <v>0</v>
      </c>
      <c r="I89" s="23">
        <f>'calculation¦RBP capex'!I89/VLOOKUP('calculation¦RBP capex'!$B89,InflationAdjustment,2,FALSE)</f>
        <v>0</v>
      </c>
      <c r="J89" s="23">
        <f t="shared" si="5"/>
        <v>97.005975420326834</v>
      </c>
      <c r="K89" s="23" t="str">
        <f t="shared" si="6"/>
        <v>0</v>
      </c>
    </row>
    <row r="90" spans="1:13" x14ac:dyDescent="0.3">
      <c r="A90" s="1" t="str">
        <f>'calculation¦RBP capex'!A90</f>
        <v>Enterprise Content Management</v>
      </c>
      <c r="B90" s="16">
        <f>VLOOKUP(A90,'calculation¦capex'!$A$17:$AC$117,12,FALSE)</f>
        <v>0</v>
      </c>
      <c r="C90" s="16" t="str">
        <f t="shared" si="7"/>
        <v>$2016/17</v>
      </c>
      <c r="D90" s="23">
        <f>'calculation¦RBP capex'!D90/VLOOKUP('calculation¦RBP capex'!$B90,InflationAdjustment,2,FALSE)</f>
        <v>290.26432700406156</v>
      </c>
      <c r="E90" s="23">
        <f>'calculation¦RBP capex'!E90/VLOOKUP('calculation¦RBP capex'!$B90,InflationAdjustment,2,FALSE)</f>
        <v>0</v>
      </c>
      <c r="F90" s="23">
        <f>'calculation¦RBP capex'!F90/VLOOKUP('calculation¦RBP capex'!$B90,InflationAdjustment,2,FALSE)</f>
        <v>0</v>
      </c>
      <c r="G90" s="23">
        <f>'calculation¦RBP capex'!G90/VLOOKUP('calculation¦RBP capex'!$B90,InflationAdjustment,2,FALSE)</f>
        <v>0</v>
      </c>
      <c r="H90" s="23">
        <f>'calculation¦RBP capex'!H90/VLOOKUP('calculation¦RBP capex'!$B90,InflationAdjustment,2,FALSE)</f>
        <v>0</v>
      </c>
      <c r="I90" s="23">
        <f>'calculation¦RBP capex'!I90/VLOOKUP('calculation¦RBP capex'!$B90,InflationAdjustment,2,FALSE)</f>
        <v>0</v>
      </c>
      <c r="J90" s="23">
        <f t="shared" si="5"/>
        <v>290.26432700406156</v>
      </c>
      <c r="K90" s="23" t="str">
        <f t="shared" si="6"/>
        <v>0</v>
      </c>
    </row>
    <row r="91" spans="1:13" x14ac:dyDescent="0.3">
      <c r="A91" s="1" t="str">
        <f>'calculation¦RBP capex'!A91</f>
        <v>APA Website Project</v>
      </c>
      <c r="B91" s="16">
        <f>VLOOKUP(A91,'calculation¦capex'!$A$17:$AC$117,12,FALSE)</f>
        <v>0</v>
      </c>
      <c r="C91" s="16" t="str">
        <f t="shared" si="7"/>
        <v>$2016/17</v>
      </c>
      <c r="D91" s="23">
        <f>'calculation¦RBP capex'!D91/VLOOKUP('calculation¦RBP capex'!$B91,InflationAdjustment,2,FALSE)</f>
        <v>0</v>
      </c>
      <c r="E91" s="23">
        <f>'calculation¦RBP capex'!E91/VLOOKUP('calculation¦RBP capex'!$B91,InflationAdjustment,2,FALSE)</f>
        <v>0</v>
      </c>
      <c r="F91" s="23">
        <f>'calculation¦RBP capex'!F91/VLOOKUP('calculation¦RBP capex'!$B91,InflationAdjustment,2,FALSE)</f>
        <v>0</v>
      </c>
      <c r="G91" s="23">
        <f>'calculation¦RBP capex'!G91/VLOOKUP('calculation¦RBP capex'!$B91,InflationAdjustment,2,FALSE)</f>
        <v>0</v>
      </c>
      <c r="H91" s="23">
        <f>'calculation¦RBP capex'!H91/VLOOKUP('calculation¦RBP capex'!$B91,InflationAdjustment,2,FALSE)</f>
        <v>0</v>
      </c>
      <c r="I91" s="23">
        <f>'calculation¦RBP capex'!I91/VLOOKUP('calculation¦RBP capex'!$B91,InflationAdjustment,2,FALSE)</f>
        <v>0</v>
      </c>
      <c r="J91" s="23">
        <f t="shared" si="5"/>
        <v>0</v>
      </c>
      <c r="K91" s="23" t="str">
        <f t="shared" si="6"/>
        <v>0</v>
      </c>
    </row>
    <row r="92" spans="1:13" x14ac:dyDescent="0.3">
      <c r="A92" s="1" t="str">
        <f>'calculation¦RBP capex'!A92</f>
        <v>BI - Asset Datamart</v>
      </c>
      <c r="B92" s="16">
        <f>VLOOKUP(A92,'calculation¦capex'!$A$17:$AC$117,12,FALSE)</f>
        <v>0</v>
      </c>
      <c r="C92" s="16" t="str">
        <f t="shared" si="7"/>
        <v>$2016/17</v>
      </c>
      <c r="D92" s="23">
        <f>'calculation¦RBP capex'!D92/VLOOKUP('calculation¦RBP capex'!$B92,InflationAdjustment,2,FALSE)</f>
        <v>0</v>
      </c>
      <c r="E92" s="23">
        <f>'calculation¦RBP capex'!E92/VLOOKUP('calculation¦RBP capex'!$B92,InflationAdjustment,2,FALSE)</f>
        <v>0</v>
      </c>
      <c r="F92" s="23">
        <f>'calculation¦RBP capex'!F92/VLOOKUP('calculation¦RBP capex'!$B92,InflationAdjustment,2,FALSE)</f>
        <v>0</v>
      </c>
      <c r="G92" s="23">
        <f>'calculation¦RBP capex'!G92/VLOOKUP('calculation¦RBP capex'!$B92,InflationAdjustment,2,FALSE)</f>
        <v>0</v>
      </c>
      <c r="H92" s="23">
        <f>'calculation¦RBP capex'!H92/VLOOKUP('calculation¦RBP capex'!$B92,InflationAdjustment,2,FALSE)</f>
        <v>0</v>
      </c>
      <c r="I92" s="23">
        <f>'calculation¦RBP capex'!I92/VLOOKUP('calculation¦RBP capex'!$B92,InflationAdjustment,2,FALSE)</f>
        <v>0</v>
      </c>
      <c r="J92" s="23">
        <f t="shared" si="5"/>
        <v>0</v>
      </c>
      <c r="K92" s="23" t="str">
        <f t="shared" si="6"/>
        <v>0</v>
      </c>
    </row>
    <row r="93" spans="1:13" x14ac:dyDescent="0.3">
      <c r="A93" s="1" t="str">
        <f>'calculation¦RBP capex'!A93</f>
        <v>APA Grid - Energy Components Upgrade</v>
      </c>
      <c r="B93" s="16">
        <f>VLOOKUP(A93,'calculation¦capex'!$A$17:$AC$117,12,FALSE)</f>
        <v>0</v>
      </c>
      <c r="C93" s="16" t="str">
        <f t="shared" si="7"/>
        <v>$2016/17</v>
      </c>
      <c r="D93" s="23">
        <f>'calculation¦RBP capex'!D93/VLOOKUP('calculation¦RBP capex'!$B93,InflationAdjustment,2,FALSE)</f>
        <v>155.18097350972863</v>
      </c>
      <c r="E93" s="23">
        <f>'calculation¦RBP capex'!E93/VLOOKUP('calculation¦RBP capex'!$B93,InflationAdjustment,2,FALSE)</f>
        <v>0</v>
      </c>
      <c r="F93" s="23">
        <f>'calculation¦RBP capex'!F93/VLOOKUP('calculation¦RBP capex'!$B93,InflationAdjustment,2,FALSE)</f>
        <v>0</v>
      </c>
      <c r="G93" s="23">
        <f>'calculation¦RBP capex'!G93/VLOOKUP('calculation¦RBP capex'!$B93,InflationAdjustment,2,FALSE)</f>
        <v>0</v>
      </c>
      <c r="H93" s="23">
        <f>'calculation¦RBP capex'!H93/VLOOKUP('calculation¦RBP capex'!$B93,InflationAdjustment,2,FALSE)</f>
        <v>0</v>
      </c>
      <c r="I93" s="23">
        <f>'calculation¦RBP capex'!I93/VLOOKUP('calculation¦RBP capex'!$B93,InflationAdjustment,2,FALSE)</f>
        <v>0</v>
      </c>
      <c r="J93" s="23">
        <f t="shared" si="5"/>
        <v>155.18097350972863</v>
      </c>
      <c r="K93" s="23" t="str">
        <f t="shared" si="6"/>
        <v>0</v>
      </c>
    </row>
    <row r="94" spans="1:13" x14ac:dyDescent="0.3">
      <c r="A94" s="1" t="str">
        <f>'calculation¦RBP capex'!A94</f>
        <v>Hyperion Upgrade to v 11-1-2-4</v>
      </c>
      <c r="B94" s="16">
        <f>VLOOKUP(A94,'calculation¦capex'!$A$17:$AC$117,12,FALSE)</f>
        <v>0</v>
      </c>
      <c r="C94" s="16" t="str">
        <f t="shared" si="7"/>
        <v>$2016/17</v>
      </c>
      <c r="D94" s="23">
        <f>'calculation¦RBP capex'!D94/VLOOKUP('calculation¦RBP capex'!$B94,InflationAdjustment,2,FALSE)</f>
        <v>42.655225947255424</v>
      </c>
      <c r="E94" s="23">
        <f>'calculation¦RBP capex'!E94/VLOOKUP('calculation¦RBP capex'!$B94,InflationAdjustment,2,FALSE)</f>
        <v>0</v>
      </c>
      <c r="F94" s="23">
        <f>'calculation¦RBP capex'!F94/VLOOKUP('calculation¦RBP capex'!$B94,InflationAdjustment,2,FALSE)</f>
        <v>0</v>
      </c>
      <c r="G94" s="23">
        <f>'calculation¦RBP capex'!G94/VLOOKUP('calculation¦RBP capex'!$B94,InflationAdjustment,2,FALSE)</f>
        <v>0</v>
      </c>
      <c r="H94" s="23">
        <f>'calculation¦RBP capex'!H94/VLOOKUP('calculation¦RBP capex'!$B94,InflationAdjustment,2,FALSE)</f>
        <v>0</v>
      </c>
      <c r="I94" s="23">
        <f>'calculation¦RBP capex'!I94/VLOOKUP('calculation¦RBP capex'!$B94,InflationAdjustment,2,FALSE)</f>
        <v>0</v>
      </c>
      <c r="J94" s="23">
        <f t="shared" si="5"/>
        <v>42.655225947255424</v>
      </c>
      <c r="K94" s="23" t="str">
        <f t="shared" si="6"/>
        <v>0</v>
      </c>
    </row>
    <row r="95" spans="1:13" x14ac:dyDescent="0.3">
      <c r="A95" s="1" t="str">
        <f>'calculation¦RBP capex'!A95</f>
        <v>APA Grid Services Initiatives Program</v>
      </c>
      <c r="B95" s="16">
        <f>VLOOKUP(A95,'calculation¦capex'!$A$17:$AC$117,12,FALSE)</f>
        <v>0</v>
      </c>
      <c r="C95" s="16" t="str">
        <f t="shared" si="7"/>
        <v>$2016/17</v>
      </c>
      <c r="D95" s="23">
        <f>'calculation¦RBP capex'!D95/VLOOKUP('calculation¦RBP capex'!$B95,InflationAdjustment,2,FALSE)</f>
        <v>50.800774256547257</v>
      </c>
      <c r="E95" s="23">
        <f>'calculation¦RBP capex'!E95/VLOOKUP('calculation¦RBP capex'!$B95,InflationAdjustment,2,FALSE)</f>
        <v>0</v>
      </c>
      <c r="F95" s="23">
        <f>'calculation¦RBP capex'!F95/VLOOKUP('calculation¦RBP capex'!$B95,InflationAdjustment,2,FALSE)</f>
        <v>0</v>
      </c>
      <c r="G95" s="23">
        <f>'calculation¦RBP capex'!G95/VLOOKUP('calculation¦RBP capex'!$B95,InflationAdjustment,2,FALSE)</f>
        <v>0</v>
      </c>
      <c r="H95" s="23">
        <f>'calculation¦RBP capex'!H95/VLOOKUP('calculation¦RBP capex'!$B95,InflationAdjustment,2,FALSE)</f>
        <v>0</v>
      </c>
      <c r="I95" s="23">
        <f>'calculation¦RBP capex'!I95/VLOOKUP('calculation¦RBP capex'!$B95,InflationAdjustment,2,FALSE)</f>
        <v>0</v>
      </c>
      <c r="J95" s="23">
        <f t="shared" si="5"/>
        <v>50.800774256547257</v>
      </c>
      <c r="K95" s="23" t="str">
        <f t="shared" si="6"/>
        <v>0</v>
      </c>
    </row>
    <row r="96" spans="1:13" x14ac:dyDescent="0.3">
      <c r="A96" s="1" t="str">
        <f>'calculation¦RBP capex'!A96</f>
        <v>APA Grid Extend</v>
      </c>
      <c r="B96" s="16">
        <f>VLOOKUP(A96,'calculation¦capex'!$A$17:$AC$117,12,FALSE)</f>
        <v>0</v>
      </c>
      <c r="C96" s="16" t="str">
        <f t="shared" si="7"/>
        <v>$2016/17</v>
      </c>
      <c r="D96" s="23">
        <f>'calculation¦RBP capex'!D96/VLOOKUP('calculation¦RBP capex'!$B96,InflationAdjustment,2,FALSE)</f>
        <v>487.05107877275856</v>
      </c>
      <c r="E96" s="23">
        <f>'calculation¦RBP capex'!E96/VLOOKUP('calculation¦RBP capex'!$B96,InflationAdjustment,2,FALSE)</f>
        <v>108.10478083679503</v>
      </c>
      <c r="F96" s="23">
        <f>'calculation¦RBP capex'!F96/VLOOKUP('calculation¦RBP capex'!$B96,InflationAdjustment,2,FALSE)</f>
        <v>0</v>
      </c>
      <c r="G96" s="23">
        <f>'calculation¦RBP capex'!G96/VLOOKUP('calculation¦RBP capex'!$B96,InflationAdjustment,2,FALSE)</f>
        <v>0</v>
      </c>
      <c r="H96" s="23">
        <f>'calculation¦RBP capex'!H96/VLOOKUP('calculation¦RBP capex'!$B96,InflationAdjustment,2,FALSE)</f>
        <v>0</v>
      </c>
      <c r="I96" s="23">
        <f>'calculation¦RBP capex'!I96/VLOOKUP('calculation¦RBP capex'!$B96,InflationAdjustment,2,FALSE)</f>
        <v>0</v>
      </c>
      <c r="J96" s="23">
        <f t="shared" si="5"/>
        <v>595.15585960955354</v>
      </c>
      <c r="K96" s="23" t="str">
        <f t="shared" si="6"/>
        <v>0</v>
      </c>
    </row>
    <row r="97" spans="1:11" x14ac:dyDescent="0.3">
      <c r="A97" s="1" t="str">
        <f>'calculation¦RBP capex'!A97</f>
        <v>BI - Transmission Dashboard</v>
      </c>
      <c r="B97" s="16">
        <f>VLOOKUP(A97,'calculation¦capex'!$A$17:$AC$117,12,FALSE)</f>
        <v>0</v>
      </c>
      <c r="C97" s="16" t="str">
        <f t="shared" si="7"/>
        <v>$2016/17</v>
      </c>
      <c r="D97" s="23">
        <f>'calculation¦RBP capex'!D97/VLOOKUP('calculation¦RBP capex'!$B97,InflationAdjustment,2,FALSE)</f>
        <v>59.532824131953134</v>
      </c>
      <c r="E97" s="23">
        <f>'calculation¦RBP capex'!E97/VLOOKUP('calculation¦RBP capex'!$B97,InflationAdjustment,2,FALSE)</f>
        <v>0</v>
      </c>
      <c r="F97" s="23">
        <f>'calculation¦RBP capex'!F97/VLOOKUP('calculation¦RBP capex'!$B97,InflationAdjustment,2,FALSE)</f>
        <v>0</v>
      </c>
      <c r="G97" s="23">
        <f>'calculation¦RBP capex'!G97/VLOOKUP('calculation¦RBP capex'!$B97,InflationAdjustment,2,FALSE)</f>
        <v>0</v>
      </c>
      <c r="H97" s="23">
        <f>'calculation¦RBP capex'!H97/VLOOKUP('calculation¦RBP capex'!$B97,InflationAdjustment,2,FALSE)</f>
        <v>0</v>
      </c>
      <c r="I97" s="23">
        <f>'calculation¦RBP capex'!I97/VLOOKUP('calculation¦RBP capex'!$B97,InflationAdjustment,2,FALSE)</f>
        <v>0</v>
      </c>
      <c r="J97" s="23">
        <f t="shared" si="5"/>
        <v>59.532824131953134</v>
      </c>
      <c r="K97" s="23" t="str">
        <f t="shared" si="6"/>
        <v>0</v>
      </c>
    </row>
    <row r="98" spans="1:11" x14ac:dyDescent="0.3">
      <c r="A98" s="1" t="str">
        <f>'calculation¦RBP capex'!A98</f>
        <v>HR Systems Refresh</v>
      </c>
      <c r="B98" s="16">
        <f>VLOOKUP(A98,'calculation¦capex'!$A$17:$AC$117,12,FALSE)</f>
        <v>0</v>
      </c>
      <c r="C98" s="16" t="str">
        <f t="shared" si="7"/>
        <v>$2016/17</v>
      </c>
      <c r="D98" s="23">
        <f>'calculation¦RBP capex'!D98/VLOOKUP('calculation¦RBP capex'!$B98,InflationAdjustment,2,FALSE)</f>
        <v>53.628640424207227</v>
      </c>
      <c r="E98" s="23">
        <f>'calculation¦RBP capex'!E98/VLOOKUP('calculation¦RBP capex'!$B98,InflationAdjustment,2,FALSE)</f>
        <v>283.79664084857114</v>
      </c>
      <c r="F98" s="23">
        <f>'calculation¦RBP capex'!F98/VLOOKUP('calculation¦RBP capex'!$B98,InflationAdjustment,2,FALSE)</f>
        <v>3.5667327254922312</v>
      </c>
      <c r="G98" s="23">
        <f>'calculation¦RBP capex'!G98/VLOOKUP('calculation¦RBP capex'!$B98,InflationAdjustment,2,FALSE)</f>
        <v>0</v>
      </c>
      <c r="H98" s="23">
        <f>'calculation¦RBP capex'!H98/VLOOKUP('calculation¦RBP capex'!$B98,InflationAdjustment,2,FALSE)</f>
        <v>0</v>
      </c>
      <c r="I98" s="23">
        <f>'calculation¦RBP capex'!I98/VLOOKUP('calculation¦RBP capex'!$B98,InflationAdjustment,2,FALSE)</f>
        <v>0</v>
      </c>
      <c r="J98" s="23">
        <f t="shared" si="5"/>
        <v>340.99201399827058</v>
      </c>
      <c r="K98" s="23" t="str">
        <f t="shared" si="6"/>
        <v>0</v>
      </c>
    </row>
    <row r="99" spans="1:11" x14ac:dyDescent="0.3">
      <c r="A99" s="1" t="str">
        <f>'calculation¦RBP capex'!A99</f>
        <v>SharePoint Upgrade</v>
      </c>
      <c r="B99" s="16">
        <f>VLOOKUP(A99,'calculation¦capex'!$A$17:$AC$117,12,FALSE)</f>
        <v>0</v>
      </c>
      <c r="C99" s="16" t="str">
        <f t="shared" si="7"/>
        <v>$2016/17</v>
      </c>
      <c r="D99" s="23">
        <f>'calculation¦RBP capex'!D99/VLOOKUP('calculation¦RBP capex'!$B99,InflationAdjustment,2,FALSE)</f>
        <v>63.728997596057646</v>
      </c>
      <c r="E99" s="23">
        <f>'calculation¦RBP capex'!E99/VLOOKUP('calculation¦RBP capex'!$B99,InflationAdjustment,2,FALSE)</f>
        <v>42.467866375055976</v>
      </c>
      <c r="F99" s="23">
        <f>'calculation¦RBP capex'!F99/VLOOKUP('calculation¦RBP capex'!$B99,InflationAdjustment,2,FALSE)</f>
        <v>0</v>
      </c>
      <c r="G99" s="23">
        <f>'calculation¦RBP capex'!G99/VLOOKUP('calculation¦RBP capex'!$B99,InflationAdjustment,2,FALSE)</f>
        <v>0</v>
      </c>
      <c r="H99" s="23">
        <f>'calculation¦RBP capex'!H99/VLOOKUP('calculation¦RBP capex'!$B99,InflationAdjustment,2,FALSE)</f>
        <v>0</v>
      </c>
      <c r="I99" s="23">
        <f>'calculation¦RBP capex'!I99/VLOOKUP('calculation¦RBP capex'!$B99,InflationAdjustment,2,FALSE)</f>
        <v>0</v>
      </c>
      <c r="J99" s="23">
        <f t="shared" si="5"/>
        <v>106.19686397111363</v>
      </c>
      <c r="K99" s="23" t="str">
        <f t="shared" si="6"/>
        <v>0</v>
      </c>
    </row>
    <row r="100" spans="1:11" x14ac:dyDescent="0.3">
      <c r="A100" s="1" t="str">
        <f>'calculation¦RBP capex'!A100</f>
        <v>SQL Server Upgrade</v>
      </c>
      <c r="B100" s="16">
        <f>VLOOKUP(A100,'calculation¦capex'!$A$17:$AC$117,12,FALSE)</f>
        <v>0</v>
      </c>
      <c r="C100" s="16" t="str">
        <f t="shared" si="7"/>
        <v>$2016/17</v>
      </c>
      <c r="D100" s="23">
        <f>'calculation¦RBP capex'!D100/VLOOKUP('calculation¦RBP capex'!$B100,InflationAdjustment,2,FALSE)</f>
        <v>56.643540620482234</v>
      </c>
      <c r="E100" s="23">
        <f>'calculation¦RBP capex'!E100/VLOOKUP('calculation¦RBP capex'!$B100,InflationAdjustment,2,FALSE)</f>
        <v>3.7107566465997621</v>
      </c>
      <c r="F100" s="23">
        <f>'calculation¦RBP capex'!F100/VLOOKUP('calculation¦RBP capex'!$B100,InflationAdjustment,2,FALSE)</f>
        <v>0</v>
      </c>
      <c r="G100" s="23">
        <f>'calculation¦RBP capex'!G100/VLOOKUP('calculation¦RBP capex'!$B100,InflationAdjustment,2,FALSE)</f>
        <v>0</v>
      </c>
      <c r="H100" s="23">
        <f>'calculation¦RBP capex'!H100/VLOOKUP('calculation¦RBP capex'!$B100,InflationAdjustment,2,FALSE)</f>
        <v>0</v>
      </c>
      <c r="I100" s="23">
        <f>'calculation¦RBP capex'!I100/VLOOKUP('calculation¦RBP capex'!$B100,InflationAdjustment,2,FALSE)</f>
        <v>0</v>
      </c>
      <c r="J100" s="23">
        <f t="shared" si="5"/>
        <v>60.354297267081996</v>
      </c>
      <c r="K100" s="23" t="str">
        <f t="shared" si="6"/>
        <v>0</v>
      </c>
    </row>
    <row r="101" spans="1:11" x14ac:dyDescent="0.3">
      <c r="A101" s="1" t="str">
        <f>'calculation¦RBP capex'!A101</f>
        <v>Upgrade Enterprise OSI PI Historian</v>
      </c>
      <c r="B101" s="16">
        <f>VLOOKUP(A101,'calculation¦capex'!$A$17:$AC$117,12,FALSE)</f>
        <v>0</v>
      </c>
      <c r="C101" s="16" t="str">
        <f t="shared" si="7"/>
        <v>$2016/17</v>
      </c>
      <c r="D101" s="23">
        <f>'calculation¦RBP capex'!D101/VLOOKUP('calculation¦RBP capex'!$B101,InflationAdjustment,2,FALSE)</f>
        <v>14.762474204535401</v>
      </c>
      <c r="E101" s="23">
        <f>'calculation¦RBP capex'!E101/VLOOKUP('calculation¦RBP capex'!$B101,InflationAdjustment,2,FALSE)</f>
        <v>0.2004146470462155</v>
      </c>
      <c r="F101" s="23">
        <f>'calculation¦RBP capex'!F101/VLOOKUP('calculation¦RBP capex'!$B101,InflationAdjustment,2,FALSE)</f>
        <v>0</v>
      </c>
      <c r="G101" s="23">
        <f>'calculation¦RBP capex'!G101/VLOOKUP('calculation¦RBP capex'!$B101,InflationAdjustment,2,FALSE)</f>
        <v>0</v>
      </c>
      <c r="H101" s="23">
        <f>'calculation¦RBP capex'!H101/VLOOKUP('calculation¦RBP capex'!$B101,InflationAdjustment,2,FALSE)</f>
        <v>0</v>
      </c>
      <c r="I101" s="23">
        <f>'calculation¦RBP capex'!I101/VLOOKUP('calculation¦RBP capex'!$B101,InflationAdjustment,2,FALSE)</f>
        <v>0</v>
      </c>
      <c r="J101" s="23">
        <f t="shared" si="5"/>
        <v>14.962888851581617</v>
      </c>
      <c r="K101" s="23" t="str">
        <f t="shared" si="6"/>
        <v>0</v>
      </c>
    </row>
    <row r="102" spans="1:11" x14ac:dyDescent="0.3">
      <c r="A102" s="1" t="str">
        <f>'calculation¦RBP capex'!A102</f>
        <v>Hazardous Area Platform</v>
      </c>
      <c r="B102" s="16">
        <f>VLOOKUP(A102,'calculation¦capex'!$A$17:$AC$117,12,FALSE)</f>
        <v>0</v>
      </c>
      <c r="C102" s="16" t="str">
        <f t="shared" si="7"/>
        <v>$2016/17</v>
      </c>
      <c r="D102" s="23">
        <f>'calculation¦RBP capex'!D102/VLOOKUP('calculation¦RBP capex'!$B102,InflationAdjustment,2,FALSE)</f>
        <v>16.401430937077283</v>
      </c>
      <c r="E102" s="23">
        <f>'calculation¦RBP capex'!E102/VLOOKUP('calculation¦RBP capex'!$B102,InflationAdjustment,2,FALSE)</f>
        <v>94.841122077665034</v>
      </c>
      <c r="F102" s="23">
        <f>'calculation¦RBP capex'!F102/VLOOKUP('calculation¦RBP capex'!$B102,InflationAdjustment,2,FALSE)</f>
        <v>0</v>
      </c>
      <c r="G102" s="23">
        <f>'calculation¦RBP capex'!G102/VLOOKUP('calculation¦RBP capex'!$B102,InflationAdjustment,2,FALSE)</f>
        <v>0</v>
      </c>
      <c r="H102" s="23">
        <f>'calculation¦RBP capex'!H102/VLOOKUP('calculation¦RBP capex'!$B102,InflationAdjustment,2,FALSE)</f>
        <v>0</v>
      </c>
      <c r="I102" s="23">
        <f>'calculation¦RBP capex'!I102/VLOOKUP('calculation¦RBP capex'!$B102,InflationAdjustment,2,FALSE)</f>
        <v>0</v>
      </c>
      <c r="J102" s="23">
        <f t="shared" si="5"/>
        <v>111.24255301474231</v>
      </c>
      <c r="K102" s="23" t="str">
        <f t="shared" si="6"/>
        <v>0</v>
      </c>
    </row>
    <row r="103" spans="1:11" x14ac:dyDescent="0.3">
      <c r="A103" s="1" t="str">
        <f>'calculation¦RBP capex'!A103</f>
        <v>Form Digitisation Project</v>
      </c>
      <c r="B103" s="16">
        <f>VLOOKUP(A103,'calculation¦capex'!$A$17:$AC$117,12,FALSE)</f>
        <v>0</v>
      </c>
      <c r="C103" s="16" t="str">
        <f t="shared" si="7"/>
        <v>$2016/17</v>
      </c>
      <c r="D103" s="23">
        <f>'calculation¦RBP capex'!D103/VLOOKUP('calculation¦RBP capex'!$B103,InflationAdjustment,2,FALSE)</f>
        <v>10.276031428650194</v>
      </c>
      <c r="E103" s="23">
        <f>'calculation¦RBP capex'!E103/VLOOKUP('calculation¦RBP capex'!$B103,InflationAdjustment,2,FALSE)</f>
        <v>77.75513395503026</v>
      </c>
      <c r="F103" s="23">
        <f>'calculation¦RBP capex'!F103/VLOOKUP('calculation¦RBP capex'!$B103,InflationAdjustment,2,FALSE)</f>
        <v>0</v>
      </c>
      <c r="G103" s="23">
        <f>'calculation¦RBP capex'!G103/VLOOKUP('calculation¦RBP capex'!$B103,InflationAdjustment,2,FALSE)</f>
        <v>0</v>
      </c>
      <c r="H103" s="23">
        <f>'calculation¦RBP capex'!H103/VLOOKUP('calculation¦RBP capex'!$B103,InflationAdjustment,2,FALSE)</f>
        <v>0</v>
      </c>
      <c r="I103" s="23">
        <f>'calculation¦RBP capex'!I103/VLOOKUP('calculation¦RBP capex'!$B103,InflationAdjustment,2,FALSE)</f>
        <v>0</v>
      </c>
      <c r="J103" s="23">
        <f t="shared" si="5"/>
        <v>88.03116538368046</v>
      </c>
      <c r="K103" s="23" t="str">
        <f t="shared" si="6"/>
        <v>0</v>
      </c>
    </row>
    <row r="104" spans="1:11" x14ac:dyDescent="0.3">
      <c r="A104" s="1" t="str">
        <f>'calculation¦RBP capex'!A104</f>
        <v>Enterprise Asset Management Upgrade FY18</v>
      </c>
      <c r="B104" s="16">
        <f>VLOOKUP(A104,'calculation¦capex'!$A$17:$AC$117,12,FALSE)</f>
        <v>0</v>
      </c>
      <c r="C104" s="16" t="str">
        <f t="shared" si="7"/>
        <v>$2016/17</v>
      </c>
      <c r="D104" s="23">
        <f>'calculation¦RBP capex'!D104/VLOOKUP('calculation¦RBP capex'!$B104,InflationAdjustment,2,FALSE)</f>
        <v>8.1098802088218065</v>
      </c>
      <c r="E104" s="23">
        <f>'calculation¦RBP capex'!E104/VLOOKUP('calculation¦RBP capex'!$B104,InflationAdjustment,2,FALSE)</f>
        <v>166.19060601755066</v>
      </c>
      <c r="F104" s="23">
        <f>'calculation¦RBP capex'!F104/VLOOKUP('calculation¦RBP capex'!$B104,InflationAdjustment,2,FALSE)</f>
        <v>0</v>
      </c>
      <c r="G104" s="23">
        <f>'calculation¦RBP capex'!G104/VLOOKUP('calculation¦RBP capex'!$B104,InflationAdjustment,2,FALSE)</f>
        <v>0</v>
      </c>
      <c r="H104" s="23">
        <f>'calculation¦RBP capex'!H104/VLOOKUP('calculation¦RBP capex'!$B104,InflationAdjustment,2,FALSE)</f>
        <v>0</v>
      </c>
      <c r="I104" s="23">
        <f>'calculation¦RBP capex'!I104/VLOOKUP('calculation¦RBP capex'!$B104,InflationAdjustment,2,FALSE)</f>
        <v>0</v>
      </c>
      <c r="J104" s="23">
        <f t="shared" si="5"/>
        <v>174.30048622637247</v>
      </c>
      <c r="K104" s="23" t="str">
        <f t="shared" si="6"/>
        <v>0</v>
      </c>
    </row>
    <row r="105" spans="1:11" x14ac:dyDescent="0.3">
      <c r="A105" s="1" t="str">
        <f>'calculation¦RBP capex'!A105</f>
        <v>PPM Refresh</v>
      </c>
      <c r="B105" s="16">
        <f>VLOOKUP(A105,'calculation¦capex'!$A$17:$AC$117,12,FALSE)</f>
        <v>0</v>
      </c>
      <c r="C105" s="16" t="str">
        <f t="shared" si="7"/>
        <v>$2016/17</v>
      </c>
      <c r="D105" s="23">
        <f>'calculation¦RBP capex'!D105/VLOOKUP('calculation¦RBP capex'!$B105,InflationAdjustment,2,FALSE)</f>
        <v>1.4579818434078029</v>
      </c>
      <c r="E105" s="23">
        <f>'calculation¦RBP capex'!E105/VLOOKUP('calculation¦RBP capex'!$B105,InflationAdjustment,2,FALSE)</f>
        <v>51.107897001154178</v>
      </c>
      <c r="F105" s="23">
        <f>'calculation¦RBP capex'!F105/VLOOKUP('calculation¦RBP capex'!$B105,InflationAdjustment,2,FALSE)</f>
        <v>0</v>
      </c>
      <c r="G105" s="23">
        <f>'calculation¦RBP capex'!G105/VLOOKUP('calculation¦RBP capex'!$B105,InflationAdjustment,2,FALSE)</f>
        <v>0</v>
      </c>
      <c r="H105" s="23">
        <f>'calculation¦RBP capex'!H105/VLOOKUP('calculation¦RBP capex'!$B105,InflationAdjustment,2,FALSE)</f>
        <v>0</v>
      </c>
      <c r="I105" s="23">
        <f>'calculation¦RBP capex'!I105/VLOOKUP('calculation¦RBP capex'!$B105,InflationAdjustment,2,FALSE)</f>
        <v>0</v>
      </c>
      <c r="J105" s="23">
        <f t="shared" si="5"/>
        <v>52.565878844561979</v>
      </c>
      <c r="K105" s="23" t="str">
        <f t="shared" si="6"/>
        <v>0</v>
      </c>
    </row>
    <row r="106" spans="1:11" x14ac:dyDescent="0.3">
      <c r="A106" s="1" t="str">
        <f>'calculation¦RBP capex'!A106</f>
        <v>BizTalk System Upgrade FY18</v>
      </c>
      <c r="B106" s="16">
        <f>VLOOKUP(A106,'calculation¦capex'!$A$17:$AC$117,12,FALSE)</f>
        <v>0</v>
      </c>
      <c r="C106" s="16" t="str">
        <f t="shared" si="7"/>
        <v>$2016/17</v>
      </c>
      <c r="D106" s="23">
        <f>'calculation¦RBP capex'!D106/VLOOKUP('calculation¦RBP capex'!$B106,InflationAdjustment,2,FALSE)</f>
        <v>0</v>
      </c>
      <c r="E106" s="23">
        <f>'calculation¦RBP capex'!E106/VLOOKUP('calculation¦RBP capex'!$B106,InflationAdjustment,2,FALSE)</f>
        <v>48.192036845665967</v>
      </c>
      <c r="F106" s="23">
        <f>'calculation¦RBP capex'!F106/VLOOKUP('calculation¦RBP capex'!$B106,InflationAdjustment,2,FALSE)</f>
        <v>0</v>
      </c>
      <c r="G106" s="23">
        <f>'calculation¦RBP capex'!G106/VLOOKUP('calculation¦RBP capex'!$B106,InflationAdjustment,2,FALSE)</f>
        <v>0</v>
      </c>
      <c r="H106" s="23">
        <f>'calculation¦RBP capex'!H106/VLOOKUP('calculation¦RBP capex'!$B106,InflationAdjustment,2,FALSE)</f>
        <v>0</v>
      </c>
      <c r="I106" s="23">
        <f>'calculation¦RBP capex'!I106/VLOOKUP('calculation¦RBP capex'!$B106,InflationAdjustment,2,FALSE)</f>
        <v>0</v>
      </c>
      <c r="J106" s="23">
        <f t="shared" si="5"/>
        <v>48.192036845665967</v>
      </c>
      <c r="K106" s="23" t="str">
        <f t="shared" si="6"/>
        <v>0</v>
      </c>
    </row>
    <row r="107" spans="1:11" x14ac:dyDescent="0.3">
      <c r="A107" s="1" t="str">
        <f>'calculation¦RBP capex'!A107</f>
        <v>Automated Testing Tool</v>
      </c>
      <c r="B107" s="16">
        <f>VLOOKUP(A107,'calculation¦capex'!$A$17:$AC$117,12,FALSE)</f>
        <v>0</v>
      </c>
      <c r="C107" s="16" t="str">
        <f t="shared" si="7"/>
        <v>$2016/17</v>
      </c>
      <c r="D107" s="23">
        <f>'calculation¦RBP capex'!D107/VLOOKUP('calculation¦RBP capex'!$B107,InflationAdjustment,2,FALSE)</f>
        <v>0</v>
      </c>
      <c r="E107" s="23">
        <f>'calculation¦RBP capex'!E107/VLOOKUP('calculation¦RBP capex'!$B107,InflationAdjustment,2,FALSE)</f>
        <v>25.668154030190774</v>
      </c>
      <c r="F107" s="23">
        <f>'calculation¦RBP capex'!F107/VLOOKUP('calculation¦RBP capex'!$B107,InflationAdjustment,2,FALSE)</f>
        <v>0</v>
      </c>
      <c r="G107" s="23">
        <f>'calculation¦RBP capex'!G107/VLOOKUP('calculation¦RBP capex'!$B107,InflationAdjustment,2,FALSE)</f>
        <v>0</v>
      </c>
      <c r="H107" s="23">
        <f>'calculation¦RBP capex'!H107/VLOOKUP('calculation¦RBP capex'!$B107,InflationAdjustment,2,FALSE)</f>
        <v>0</v>
      </c>
      <c r="I107" s="23">
        <f>'calculation¦RBP capex'!I107/VLOOKUP('calculation¦RBP capex'!$B107,InflationAdjustment,2,FALSE)</f>
        <v>0</v>
      </c>
      <c r="J107" s="23">
        <f t="shared" si="5"/>
        <v>25.668154030190774</v>
      </c>
      <c r="K107" s="23" t="str">
        <f t="shared" si="6"/>
        <v>0</v>
      </c>
    </row>
    <row r="108" spans="1:11" x14ac:dyDescent="0.3">
      <c r="A108" s="1" t="str">
        <f>'calculation¦RBP capex'!A108</f>
        <v>Oracle eBS Upgrade to v12 2</v>
      </c>
      <c r="B108" s="16">
        <f>VLOOKUP(A108,'calculation¦capex'!$A$17:$AC$117,12,FALSE)</f>
        <v>0</v>
      </c>
      <c r="C108" s="16" t="str">
        <f t="shared" si="7"/>
        <v>$2016/17</v>
      </c>
      <c r="D108" s="23">
        <f>'calculation¦RBP capex'!D108/VLOOKUP('calculation¦RBP capex'!$B108,InflationAdjustment,2,FALSE)</f>
        <v>0</v>
      </c>
      <c r="E108" s="23">
        <f>'calculation¦RBP capex'!E108/VLOOKUP('calculation¦RBP capex'!$B108,InflationAdjustment,2,FALSE)</f>
        <v>55.846598429504304</v>
      </c>
      <c r="F108" s="23">
        <f>'calculation¦RBP capex'!F108/VLOOKUP('calculation¦RBP capex'!$B108,InflationAdjustment,2,FALSE)</f>
        <v>0</v>
      </c>
      <c r="G108" s="23">
        <f>'calculation¦RBP capex'!G108/VLOOKUP('calculation¦RBP capex'!$B108,InflationAdjustment,2,FALSE)</f>
        <v>0</v>
      </c>
      <c r="H108" s="23">
        <f>'calculation¦RBP capex'!H108/VLOOKUP('calculation¦RBP capex'!$B108,InflationAdjustment,2,FALSE)</f>
        <v>0</v>
      </c>
      <c r="I108" s="23">
        <f>'calculation¦RBP capex'!I108/VLOOKUP('calculation¦RBP capex'!$B108,InflationAdjustment,2,FALSE)</f>
        <v>0</v>
      </c>
      <c r="J108" s="23">
        <f t="shared" si="5"/>
        <v>55.846598429504304</v>
      </c>
      <c r="K108" s="23" t="str">
        <f t="shared" si="6"/>
        <v>0</v>
      </c>
    </row>
    <row r="109" spans="1:11" x14ac:dyDescent="0.3">
      <c r="A109" s="1" t="str">
        <f>'calculation¦RBP capex'!A109</f>
        <v>CRM Upgrade</v>
      </c>
      <c r="B109" s="16">
        <f>VLOOKUP(A109,'calculation¦capex'!$A$17:$AC$117,12,FALSE)</f>
        <v>0</v>
      </c>
      <c r="C109" s="16" t="str">
        <f t="shared" si="7"/>
        <v>$2016/17</v>
      </c>
      <c r="D109" s="23">
        <f>'calculation¦RBP capex'!D109/VLOOKUP('calculation¦RBP capex'!$B109,InflationAdjustment,2,FALSE)</f>
        <v>0</v>
      </c>
      <c r="E109" s="23">
        <f>'calculation¦RBP capex'!E109/VLOOKUP('calculation¦RBP capex'!$B109,InflationAdjustment,2,FALSE)</f>
        <v>40.91905045321753</v>
      </c>
      <c r="F109" s="23">
        <f>'calculation¦RBP capex'!F109/VLOOKUP('calculation¦RBP capex'!$B109,InflationAdjustment,2,FALSE)</f>
        <v>0</v>
      </c>
      <c r="G109" s="23">
        <f>'calculation¦RBP capex'!G109/VLOOKUP('calculation¦RBP capex'!$B109,InflationAdjustment,2,FALSE)</f>
        <v>0</v>
      </c>
      <c r="H109" s="23">
        <f>'calculation¦RBP capex'!H109/VLOOKUP('calculation¦RBP capex'!$B109,InflationAdjustment,2,FALSE)</f>
        <v>0</v>
      </c>
      <c r="I109" s="23">
        <f>'calculation¦RBP capex'!I109/VLOOKUP('calculation¦RBP capex'!$B109,InflationAdjustment,2,FALSE)</f>
        <v>0</v>
      </c>
      <c r="J109" s="23">
        <f t="shared" si="5"/>
        <v>40.91905045321753</v>
      </c>
      <c r="K109" s="23" t="str">
        <f t="shared" si="6"/>
        <v>0</v>
      </c>
    </row>
    <row r="110" spans="1:11" x14ac:dyDescent="0.3">
      <c r="A110" s="1" t="str">
        <f>'calculation¦RBP capex'!A110</f>
        <v>X-Info Aware Version 2</v>
      </c>
      <c r="B110" s="16">
        <f>VLOOKUP(A110,'calculation¦capex'!$A$17:$AC$117,12,FALSE)</f>
        <v>0</v>
      </c>
      <c r="C110" s="16" t="str">
        <f t="shared" si="7"/>
        <v>$2016/17</v>
      </c>
      <c r="D110" s="23">
        <f>'calculation¦RBP capex'!D110/VLOOKUP('calculation¦RBP capex'!$B110,InflationAdjustment,2,FALSE)</f>
        <v>0</v>
      </c>
      <c r="E110" s="23">
        <f>'calculation¦RBP capex'!E110/VLOOKUP('calculation¦RBP capex'!$B110,InflationAdjustment,2,FALSE)</f>
        <v>18.625529233799867</v>
      </c>
      <c r="F110" s="23">
        <f>'calculation¦RBP capex'!F110/VLOOKUP('calculation¦RBP capex'!$B110,InflationAdjustment,2,FALSE)</f>
        <v>0</v>
      </c>
      <c r="G110" s="23">
        <f>'calculation¦RBP capex'!G110/VLOOKUP('calculation¦RBP capex'!$B110,InflationAdjustment,2,FALSE)</f>
        <v>0</v>
      </c>
      <c r="H110" s="23">
        <f>'calculation¦RBP capex'!H110/VLOOKUP('calculation¦RBP capex'!$B110,InflationAdjustment,2,FALSE)</f>
        <v>0</v>
      </c>
      <c r="I110" s="23">
        <f>'calculation¦RBP capex'!I110/VLOOKUP('calculation¦RBP capex'!$B110,InflationAdjustment,2,FALSE)</f>
        <v>0</v>
      </c>
      <c r="J110" s="23">
        <f t="shared" si="5"/>
        <v>18.625529233799867</v>
      </c>
      <c r="K110" s="23" t="str">
        <f t="shared" si="6"/>
        <v>0</v>
      </c>
    </row>
    <row r="111" spans="1:11" x14ac:dyDescent="0.3">
      <c r="A111" s="1" t="str">
        <f>'calculation¦RBP capex'!A111</f>
        <v>ID Procurement Data</v>
      </c>
      <c r="B111" s="16">
        <f>VLOOKUP(A111,'calculation¦capex'!$A$17:$AC$117,12,FALSE)</f>
        <v>0</v>
      </c>
      <c r="C111" s="16" t="str">
        <f t="shared" si="7"/>
        <v>$2016/17</v>
      </c>
      <c r="D111" s="23">
        <f>'calculation¦RBP capex'!D111/VLOOKUP('calculation¦RBP capex'!$B111,InflationAdjustment,2,FALSE)</f>
        <v>0</v>
      </c>
      <c r="E111" s="23">
        <f>'calculation¦RBP capex'!E111/VLOOKUP('calculation¦RBP capex'!$B111,InflationAdjustment,2,FALSE)</f>
        <v>17.646939635771592</v>
      </c>
      <c r="F111" s="23">
        <f>'calculation¦RBP capex'!F111/VLOOKUP('calculation¦RBP capex'!$B111,InflationAdjustment,2,FALSE)</f>
        <v>0.95740807717112353</v>
      </c>
      <c r="G111" s="23">
        <f>'calculation¦RBP capex'!G111/VLOOKUP('calculation¦RBP capex'!$B111,InflationAdjustment,2,FALSE)</f>
        <v>0</v>
      </c>
      <c r="H111" s="23">
        <f>'calculation¦RBP capex'!H111/VLOOKUP('calculation¦RBP capex'!$B111,InflationAdjustment,2,FALSE)</f>
        <v>0</v>
      </c>
      <c r="I111" s="23">
        <f>'calculation¦RBP capex'!I111/VLOOKUP('calculation¦RBP capex'!$B111,InflationAdjustment,2,FALSE)</f>
        <v>0</v>
      </c>
      <c r="J111" s="23">
        <f t="shared" si="5"/>
        <v>18.604347712942715</v>
      </c>
      <c r="K111" s="23" t="str">
        <f t="shared" si="6"/>
        <v>0</v>
      </c>
    </row>
    <row r="112" spans="1:11" x14ac:dyDescent="0.3">
      <c r="A112" s="1" t="str">
        <f>'calculation¦RBP capex'!A112</f>
        <v>Upgrade Enterprise OSI PI Historian 2017</v>
      </c>
      <c r="B112" s="16">
        <f>VLOOKUP(A112,'calculation¦capex'!$A$17:$AC$117,12,FALSE)</f>
        <v>0</v>
      </c>
      <c r="C112" s="16" t="str">
        <f t="shared" si="7"/>
        <v>$2016/17</v>
      </c>
      <c r="D112" s="23">
        <f>'calculation¦RBP capex'!D112/VLOOKUP('calculation¦RBP capex'!$B112,InflationAdjustment,2,FALSE)</f>
        <v>1.0793694155006337</v>
      </c>
      <c r="E112" s="23">
        <f>'calculation¦RBP capex'!E112/VLOOKUP('calculation¦RBP capex'!$B112,InflationAdjustment,2,FALSE)</f>
        <v>7.8189483430755624</v>
      </c>
      <c r="F112" s="23">
        <f>'calculation¦RBP capex'!F112/VLOOKUP('calculation¦RBP capex'!$B112,InflationAdjustment,2,FALSE)</f>
        <v>0</v>
      </c>
      <c r="G112" s="23">
        <f>'calculation¦RBP capex'!G112/VLOOKUP('calculation¦RBP capex'!$B112,InflationAdjustment,2,FALSE)</f>
        <v>0</v>
      </c>
      <c r="H112" s="23">
        <f>'calculation¦RBP capex'!H112/VLOOKUP('calculation¦RBP capex'!$B112,InflationAdjustment,2,FALSE)</f>
        <v>0</v>
      </c>
      <c r="I112" s="23">
        <f>'calculation¦RBP capex'!I112/VLOOKUP('calculation¦RBP capex'!$B112,InflationAdjustment,2,FALSE)</f>
        <v>0</v>
      </c>
      <c r="J112" s="23">
        <f t="shared" si="5"/>
        <v>8.8983177585761961</v>
      </c>
      <c r="K112" s="23" t="str">
        <f t="shared" si="6"/>
        <v>0</v>
      </c>
    </row>
    <row r="113" spans="1:11" x14ac:dyDescent="0.3">
      <c r="A113" s="1" t="str">
        <f>'calculation¦RBP capex'!A113</f>
        <v>Supplier Qualification and Compliance</v>
      </c>
      <c r="B113" s="16">
        <f>VLOOKUP(A113,'calculation¦capex'!$A$17:$AC$117,12,FALSE)</f>
        <v>0</v>
      </c>
      <c r="C113" s="16" t="str">
        <f t="shared" si="7"/>
        <v>$2016/17</v>
      </c>
      <c r="D113" s="23">
        <f>'calculation¦RBP capex'!D113/VLOOKUP('calculation¦RBP capex'!$B113,InflationAdjustment,2,FALSE)</f>
        <v>0</v>
      </c>
      <c r="E113" s="23">
        <f>'calculation¦RBP capex'!E113/VLOOKUP('calculation¦RBP capex'!$B113,InflationAdjustment,2,FALSE)</f>
        <v>6.825279514460628</v>
      </c>
      <c r="F113" s="23">
        <f>'calculation¦RBP capex'!F113/VLOOKUP('calculation¦RBP capex'!$B113,InflationAdjustment,2,FALSE)</f>
        <v>7.5337198349431596</v>
      </c>
      <c r="G113" s="23">
        <f>'calculation¦RBP capex'!G113/VLOOKUP('calculation¦RBP capex'!$B113,InflationAdjustment,2,FALSE)</f>
        <v>0</v>
      </c>
      <c r="H113" s="23">
        <f>'calculation¦RBP capex'!H113/VLOOKUP('calculation¦RBP capex'!$B113,InflationAdjustment,2,FALSE)</f>
        <v>0</v>
      </c>
      <c r="I113" s="23">
        <f>'calculation¦RBP capex'!I113/VLOOKUP('calculation¦RBP capex'!$B113,InflationAdjustment,2,FALSE)</f>
        <v>0</v>
      </c>
      <c r="J113" s="23">
        <f t="shared" si="5"/>
        <v>14.358999349403788</v>
      </c>
      <c r="K113" s="23" t="str">
        <f t="shared" si="6"/>
        <v>0</v>
      </c>
    </row>
    <row r="114" spans="1:11" x14ac:dyDescent="0.3">
      <c r="A114" s="1"/>
      <c r="B114" s="16"/>
      <c r="C114" s="16"/>
      <c r="D114" s="23"/>
      <c r="E114" s="23"/>
      <c r="F114" s="23"/>
      <c r="G114" s="23"/>
      <c r="H114" s="23"/>
      <c r="I114" s="23"/>
      <c r="J114" s="23">
        <f t="shared" si="5"/>
        <v>0</v>
      </c>
      <c r="K114" s="2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AFA8"/>
  </sheetPr>
  <dimension ref="A1:M138"/>
  <sheetViews>
    <sheetView topLeftCell="A130" workbookViewId="0">
      <selection activeCell="H52" sqref="H51:H52"/>
    </sheetView>
  </sheetViews>
  <sheetFormatPr defaultRowHeight="16.5" x14ac:dyDescent="0.3"/>
  <cols>
    <col min="1" max="1" width="24.375" customWidth="1"/>
    <col min="2" max="7" width="11.875" customWidth="1"/>
    <col min="11" max="12" width="10.375" bestFit="1" customWidth="1"/>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0" spans="1:13" s="4" customFormat="1" ht="20.25" x14ac:dyDescent="0.3">
      <c r="A10" s="45" t="str">
        <f ca="1">RIGHT(CELL("filename",A1),LEN(CELL("filename",A1))-FIND("]",CELL("filename",A1)))</f>
        <v>Calculation│RIN</v>
      </c>
      <c r="B10" s="2"/>
      <c r="C10" s="2"/>
      <c r="D10" s="2"/>
      <c r="E10" s="2"/>
      <c r="F10" s="2"/>
      <c r="G10" s="2"/>
      <c r="H10" s="2"/>
      <c r="I10" s="2"/>
      <c r="J10" s="2"/>
      <c r="K10" s="2"/>
      <c r="L10" s="2"/>
      <c r="M10" s="2"/>
    </row>
    <row r="12" spans="1:13" x14ac:dyDescent="0.3">
      <c r="A12" s="13" t="s">
        <v>598</v>
      </c>
    </row>
    <row r="13" spans="1:13" x14ac:dyDescent="0.3">
      <c r="B13" s="14" t="s">
        <v>581</v>
      </c>
      <c r="C13" s="14" t="s">
        <v>582</v>
      </c>
      <c r="D13" s="14" t="s">
        <v>583</v>
      </c>
      <c r="E13" s="14" t="s">
        <v>584</v>
      </c>
      <c r="F13" s="14" t="s">
        <v>585</v>
      </c>
      <c r="G13" s="14" t="s">
        <v>605</v>
      </c>
      <c r="H13" s="14" t="s">
        <v>586</v>
      </c>
    </row>
    <row r="14" spans="1:13" x14ac:dyDescent="0.3">
      <c r="A14" s="8" t="str">
        <f>'inputs¦other'!B51</f>
        <v>Urban Risk Reduction</v>
      </c>
      <c r="B14" s="166">
        <f>SUM(inputs│RIN!B15:B17)/1000000</f>
        <v>1.5252810000000001</v>
      </c>
      <c r="C14" s="166">
        <f>SUM(inputs│RIN!C15:C18)/1000000</f>
        <v>2.4329489999999998</v>
      </c>
      <c r="D14" s="166">
        <f>SUM(inputs│RIN!D15:D18)/1000000</f>
        <v>8.974E-2</v>
      </c>
      <c r="E14" s="166">
        <f>SUM(inputs│RIN!E15:E18)/1000000</f>
        <v>3.4908060000000001</v>
      </c>
      <c r="F14" s="166">
        <f>SUM(inputs│RIN!F15:F18)/1000000</f>
        <v>0.26279599999999997</v>
      </c>
      <c r="G14" s="166">
        <f>SUM(inputs│RIN!G14,inputs│RIN!B18,inputs│RIN!G19)/1000000</f>
        <v>1.7854669999999999</v>
      </c>
      <c r="H14" s="166">
        <f t="shared" ref="H14:H19" si="0">SUM(B14:G14)</f>
        <v>9.5870390000000008</v>
      </c>
    </row>
    <row r="15" spans="1:13" x14ac:dyDescent="0.3">
      <c r="A15" s="8" t="str">
        <f>'inputs¦other'!B52</f>
        <v>Pipeline Integrity Management</v>
      </c>
      <c r="B15" s="166">
        <f>inputs│RIN!H120/1000000</f>
        <v>8.5105590000000007</v>
      </c>
      <c r="C15" s="166">
        <f>inputs│RIN!H121/1000000</f>
        <v>4.6136629999999998</v>
      </c>
      <c r="D15" s="166"/>
      <c r="E15" s="166">
        <f>inputs│RIN!H122/1000000</f>
        <v>27.560742999999999</v>
      </c>
      <c r="F15" s="166">
        <f>inputs│RIN!H123/1000000</f>
        <v>1.786035</v>
      </c>
      <c r="G15" s="166"/>
      <c r="H15" s="166">
        <f t="shared" si="0"/>
        <v>42.470999999999997</v>
      </c>
    </row>
    <row r="16" spans="1:13" x14ac:dyDescent="0.3">
      <c r="A16" s="8" t="str">
        <f>'inputs¦other'!B55</f>
        <v>Toowoomba Crossing</v>
      </c>
      <c r="B16" s="166">
        <f>SUM(inputs│RIN!B47:B49,inputs│RIN!B52)/1000000*(1.0266)</f>
        <v>0.29580760379999999</v>
      </c>
      <c r="C16" s="166">
        <f>SUM(inputs│RIN!C47:C50,inputs│RIN!C52)/1000000*(1.0266)</f>
        <v>1.9902232229999999</v>
      </c>
      <c r="D16" s="166">
        <f>SUM(inputs│RIN!D47:D50,inputs│RIN!D52)/1000000*(1.0266)</f>
        <v>0</v>
      </c>
      <c r="E16" s="166">
        <f>SUM(inputs│RIN!E47:E50,inputs│RIN!E52)/1000000*(1.0266)</f>
        <v>10.241991932399999</v>
      </c>
      <c r="F16" s="166">
        <f>SUM(inputs│RIN!F47:F50,inputs│RIN!F52)/1000000*(1.0266)</f>
        <v>0.4334880096</v>
      </c>
      <c r="G16" s="166">
        <f>SUM(inputs│RIN!B46:F46,inputs│RIN!B51:F51,inputs│RIN!B50)/1000000*(1.0266)</f>
        <v>1.1395003349999999</v>
      </c>
      <c r="H16" s="166">
        <f t="shared" si="0"/>
        <v>14.101011103799998</v>
      </c>
    </row>
    <row r="17" spans="1:10" x14ac:dyDescent="0.3">
      <c r="A17" s="8" t="str">
        <f>'inputs¦other'!B57</f>
        <v>Dalby Turbine Overhaul</v>
      </c>
      <c r="B17" s="8"/>
      <c r="C17" s="8"/>
      <c r="D17" s="8"/>
      <c r="E17" s="169">
        <f>inputs│RIN!F130/1000000</f>
        <v>1.3298999999999999</v>
      </c>
      <c r="F17" s="8"/>
      <c r="G17" s="166"/>
      <c r="H17" s="166">
        <f t="shared" si="0"/>
        <v>1.3298999999999999</v>
      </c>
    </row>
    <row r="18" spans="1:10" x14ac:dyDescent="0.3">
      <c r="A18" s="8" t="str">
        <f>'inputs¦other'!B60</f>
        <v>Applications and Renewals</v>
      </c>
      <c r="B18" s="169">
        <f>SUM(B109:G109)</f>
        <v>0.73311739730756265</v>
      </c>
      <c r="C18" s="169">
        <f>SUM(B110:G110)</f>
        <v>0.15560697492086123</v>
      </c>
      <c r="D18" s="8"/>
      <c r="E18" s="169">
        <f>SUM(B111:G111)</f>
        <v>1.4521672330441673</v>
      </c>
      <c r="F18" s="8"/>
      <c r="G18" s="166"/>
      <c r="H18" s="166">
        <f t="shared" si="0"/>
        <v>2.3408916052725912</v>
      </c>
    </row>
    <row r="19" spans="1:10" x14ac:dyDescent="0.3">
      <c r="A19" s="8" t="str">
        <f>'inputs¦other'!B61</f>
        <v>Infrastructure Renewals</v>
      </c>
      <c r="B19" s="169">
        <f ca="1">SUM(B120:G120)</f>
        <v>4.4173504746697533E-2</v>
      </c>
      <c r="C19" s="169">
        <f ca="1">SUM(B121:G121)</f>
        <v>7.3059334323276576E-2</v>
      </c>
      <c r="D19" s="8"/>
      <c r="E19" s="169">
        <f ca="1">SUM(B122:G122)</f>
        <v>0.10109687028868791</v>
      </c>
      <c r="F19" s="8"/>
      <c r="G19" s="166"/>
      <c r="H19" s="166">
        <f t="shared" ca="1" si="0"/>
        <v>0.21832970935866203</v>
      </c>
    </row>
    <row r="21" spans="1:10" s="71" customFormat="1" x14ac:dyDescent="0.3">
      <c r="B21" s="14" t="str">
        <f t="array" ref="B21:F21">TRANSPOSE(Outputs│RIN!B140:B144)</f>
        <v>Direct labour expenditure</v>
      </c>
      <c r="C21" s="14" t="str">
        <v>Direct materials expenditure</v>
      </c>
      <c r="D21" s="14" t="str">
        <v>Direct contractor expenditure</v>
      </c>
      <c r="E21" s="14" t="str">
        <v>Other direct expenditure</v>
      </c>
      <c r="F21" s="14" t="str">
        <v>Overheads</v>
      </c>
      <c r="G21" s="14" t="s">
        <v>62</v>
      </c>
      <c r="H21" s="14"/>
    </row>
    <row r="22" spans="1:10" s="71" customFormat="1" x14ac:dyDescent="0.3">
      <c r="A22" s="8" t="str">
        <f>A14</f>
        <v>Urban Risk Reduction</v>
      </c>
      <c r="B22" s="166">
        <f>B14</f>
        <v>1.5252810000000001</v>
      </c>
      <c r="C22" s="166">
        <f>C14+D14</f>
        <v>2.5226889999999997</v>
      </c>
      <c r="D22" s="166">
        <f>E14</f>
        <v>3.4908060000000001</v>
      </c>
      <c r="E22" s="166">
        <f>F14</f>
        <v>0.26279599999999997</v>
      </c>
      <c r="F22" s="166">
        <f>G14</f>
        <v>1.7854669999999999</v>
      </c>
      <c r="G22" s="166">
        <f>SUM(B22:F22)</f>
        <v>9.587038999999999</v>
      </c>
      <c r="J22" s="34" t="b">
        <f t="shared" ref="J22:J27" si="1">H14=G22</f>
        <v>1</v>
      </c>
    </row>
    <row r="23" spans="1:10" s="71" customFormat="1" x14ac:dyDescent="0.3">
      <c r="A23" s="8" t="str">
        <f t="shared" ref="A23:B27" si="2">A15</f>
        <v>Pipeline Integrity Management</v>
      </c>
      <c r="B23" s="166">
        <f t="shared" si="2"/>
        <v>8.5105590000000007</v>
      </c>
      <c r="C23" s="166">
        <f t="shared" ref="C23:C27" si="3">C15+D15</f>
        <v>4.6136629999999998</v>
      </c>
      <c r="D23" s="166">
        <f t="shared" ref="D23:F27" si="4">E15</f>
        <v>27.560742999999999</v>
      </c>
      <c r="E23" s="166">
        <f t="shared" si="4"/>
        <v>1.786035</v>
      </c>
      <c r="F23" s="166">
        <f t="shared" si="4"/>
        <v>0</v>
      </c>
      <c r="G23" s="166">
        <f t="shared" ref="G23:G27" si="5">SUM(B23:F23)</f>
        <v>42.470999999999997</v>
      </c>
      <c r="J23" s="34" t="b">
        <f t="shared" si="1"/>
        <v>1</v>
      </c>
    </row>
    <row r="24" spans="1:10" s="71" customFormat="1" x14ac:dyDescent="0.3">
      <c r="A24" s="8" t="str">
        <f t="shared" si="2"/>
        <v>Toowoomba Crossing</v>
      </c>
      <c r="B24" s="166">
        <f t="shared" si="2"/>
        <v>0.29580760379999999</v>
      </c>
      <c r="C24" s="166">
        <f t="shared" si="3"/>
        <v>1.9902232229999999</v>
      </c>
      <c r="D24" s="166">
        <f t="shared" si="4"/>
        <v>10.241991932399999</v>
      </c>
      <c r="E24" s="166">
        <f t="shared" si="4"/>
        <v>0.4334880096</v>
      </c>
      <c r="F24" s="166">
        <f t="shared" si="4"/>
        <v>1.1395003349999999</v>
      </c>
      <c r="G24" s="166">
        <f t="shared" si="5"/>
        <v>14.101011103799998</v>
      </c>
      <c r="J24" s="34" t="b">
        <f t="shared" si="1"/>
        <v>1</v>
      </c>
    </row>
    <row r="25" spans="1:10" s="71" customFormat="1" x14ac:dyDescent="0.3">
      <c r="A25" s="8" t="str">
        <f t="shared" si="2"/>
        <v>Dalby Turbine Overhaul</v>
      </c>
      <c r="B25" s="166">
        <f t="shared" si="2"/>
        <v>0</v>
      </c>
      <c r="C25" s="166">
        <f t="shared" si="3"/>
        <v>0</v>
      </c>
      <c r="D25" s="166">
        <f t="shared" si="4"/>
        <v>1.3298999999999999</v>
      </c>
      <c r="E25" s="166">
        <f t="shared" si="4"/>
        <v>0</v>
      </c>
      <c r="F25" s="166">
        <f t="shared" si="4"/>
        <v>0</v>
      </c>
      <c r="G25" s="166">
        <f t="shared" si="5"/>
        <v>1.3298999999999999</v>
      </c>
      <c r="J25" s="34" t="b">
        <f t="shared" si="1"/>
        <v>1</v>
      </c>
    </row>
    <row r="26" spans="1:10" s="71" customFormat="1" x14ac:dyDescent="0.3">
      <c r="A26" s="8" t="str">
        <f t="shared" si="2"/>
        <v>Applications and Renewals</v>
      </c>
      <c r="B26" s="166">
        <f t="shared" si="2"/>
        <v>0.73311739730756265</v>
      </c>
      <c r="C26" s="166">
        <f t="shared" si="3"/>
        <v>0.15560697492086123</v>
      </c>
      <c r="D26" s="166">
        <f t="shared" si="4"/>
        <v>1.4521672330441673</v>
      </c>
      <c r="E26" s="166">
        <f t="shared" si="4"/>
        <v>0</v>
      </c>
      <c r="F26" s="166">
        <f t="shared" si="4"/>
        <v>0</v>
      </c>
      <c r="G26" s="166">
        <f t="shared" si="5"/>
        <v>2.3408916052725912</v>
      </c>
      <c r="J26" s="34" t="b">
        <f t="shared" si="1"/>
        <v>1</v>
      </c>
    </row>
    <row r="27" spans="1:10" s="71" customFormat="1" x14ac:dyDescent="0.3">
      <c r="A27" s="8" t="str">
        <f t="shared" si="2"/>
        <v>Infrastructure Renewals</v>
      </c>
      <c r="B27" s="166">
        <f t="shared" ca="1" si="2"/>
        <v>4.4173504746697533E-2</v>
      </c>
      <c r="C27" s="166">
        <f t="shared" ca="1" si="3"/>
        <v>7.3059334323276576E-2</v>
      </c>
      <c r="D27" s="166">
        <f t="shared" ca="1" si="4"/>
        <v>0.10109687028868791</v>
      </c>
      <c r="E27" s="166">
        <f t="shared" si="4"/>
        <v>0</v>
      </c>
      <c r="F27" s="166">
        <f t="shared" si="4"/>
        <v>0</v>
      </c>
      <c r="G27" s="166">
        <f t="shared" ca="1" si="5"/>
        <v>0.21832970935866203</v>
      </c>
      <c r="J27" s="34" t="b">
        <f t="shared" ca="1" si="1"/>
        <v>1</v>
      </c>
    </row>
    <row r="28" spans="1:10" s="71" customFormat="1" x14ac:dyDescent="0.3"/>
    <row r="29" spans="1:10" s="71" customFormat="1" x14ac:dyDescent="0.3">
      <c r="A29" s="14" t="s">
        <v>616</v>
      </c>
      <c r="B29" s="14">
        <v>2017</v>
      </c>
      <c r="C29" s="14">
        <v>2018</v>
      </c>
      <c r="D29" s="14">
        <v>2019</v>
      </c>
      <c r="E29" s="14">
        <v>2020</v>
      </c>
      <c r="F29" s="14">
        <v>2021</v>
      </c>
      <c r="G29" s="14">
        <v>2022</v>
      </c>
      <c r="H29" s="14" t="s">
        <v>62</v>
      </c>
    </row>
    <row r="30" spans="1:10" s="71" customFormat="1" x14ac:dyDescent="0.3">
      <c r="A30" s="8" t="str">
        <f t="shared" ref="A30:A35" si="6">A14</f>
        <v>Urban Risk Reduction</v>
      </c>
      <c r="B30" s="223">
        <f>VLOOKUP($A30,Outputs│Tables!$M$13:$V$18,Calculation│RIN!B$29-2013,FALSE)</f>
        <v>8.1839999999999993</v>
      </c>
      <c r="C30" s="223">
        <f>VLOOKUP($A30,Outputs│Tables!$M$13:$V$18,Calculation│RIN!C$29-2013,FALSE)</f>
        <v>1.6879499999999998</v>
      </c>
      <c r="D30" s="223">
        <f>VLOOKUP($A30,Outputs│Tables!$M$13:$V$18,Calculation│RIN!D$29-2013,FALSE)</f>
        <v>0.30689999999999995</v>
      </c>
      <c r="E30" s="223">
        <f>VLOOKUP($A30,Outputs│Tables!$M$13:$V$18,Calculation│RIN!E$29-2013,FALSE)</f>
        <v>0.30689999999999995</v>
      </c>
      <c r="F30" s="223">
        <f>VLOOKUP($A30,Outputs│Tables!$M$13:$V$18,Calculation│RIN!F$29-2013,FALSE)</f>
        <v>0.30689999999999995</v>
      </c>
      <c r="G30" s="223">
        <f>VLOOKUP($A30,Outputs│Tables!$M$13:$V$18,Calculation│RIN!G$29-2013,FALSE)</f>
        <v>0.30689999999999995</v>
      </c>
      <c r="H30" s="223">
        <f t="shared" ref="H30:H35" si="7">SUM(B30:G30)</f>
        <v>11.099550000000001</v>
      </c>
      <c r="J30" s="34" t="b">
        <f ca="1">H30=H70</f>
        <v>1</v>
      </c>
    </row>
    <row r="31" spans="1:10" s="71" customFormat="1" x14ac:dyDescent="0.3">
      <c r="A31" s="8" t="str">
        <f t="shared" si="6"/>
        <v>Pipeline Integrity Management</v>
      </c>
      <c r="B31" s="223">
        <f>VLOOKUP($A31,Outputs│Tables!$M$13:$V$18,Calculation│RIN!B$29-2013,FALSE)</f>
        <v>6.2546219999999986</v>
      </c>
      <c r="C31" s="223">
        <f>VLOOKUP($A31,Outputs│Tables!$M$13:$V$18,Calculation│RIN!C$29-2013,FALSE)</f>
        <v>8.6954999999999991</v>
      </c>
      <c r="D31" s="223">
        <f>VLOOKUP($A31,Outputs│Tables!$M$13:$V$18,Calculation│RIN!D$29-2013,FALSE)</f>
        <v>10.248413999999999</v>
      </c>
      <c r="E31" s="223">
        <f>VLOOKUP($A31,Outputs│Tables!$M$13:$V$18,Calculation│RIN!E$29-2013,FALSE)</f>
        <v>5.4556589999999989</v>
      </c>
      <c r="F31" s="223">
        <f>VLOOKUP($A31,Outputs│Tables!$M$13:$V$18,Calculation│RIN!F$29-2013,FALSE)</f>
        <v>6.8111339999999982</v>
      </c>
      <c r="G31" s="223">
        <f>VLOOKUP($A31,Outputs│Tables!$M$13:$V$18,Calculation│RIN!G$29-2013,FALSE)</f>
        <v>6.377381999999999</v>
      </c>
      <c r="H31" s="223">
        <f t="shared" si="7"/>
        <v>43.842710999999987</v>
      </c>
      <c r="J31" s="34" t="b">
        <f ca="1">H31=H81</f>
        <v>1</v>
      </c>
    </row>
    <row r="32" spans="1:10" s="71" customFormat="1" x14ac:dyDescent="0.3">
      <c r="A32" s="8" t="str">
        <f t="shared" si="6"/>
        <v>Toowoomba Crossing</v>
      </c>
      <c r="B32" s="223">
        <f>VLOOKUP($A32,Outputs│Tables!$M$13:$V$18,Calculation│RIN!B$29-2013,FALSE)</f>
        <v>0.30689999999999995</v>
      </c>
      <c r="C32" s="223">
        <f>VLOOKUP($A32,Outputs│Tables!$M$13:$V$18,Calculation│RIN!C$29-2013,FALSE)</f>
        <v>11.917949999999999</v>
      </c>
      <c r="D32" s="223">
        <f>VLOOKUP($A32,Outputs│Tables!$M$13:$V$18,Calculation│RIN!D$29-2013,FALSE)</f>
        <v>3.5804999999999993</v>
      </c>
      <c r="E32" s="223">
        <f>VLOOKUP($A32,Outputs│Tables!$M$13:$V$18,Calculation│RIN!E$29-2013,FALSE)</f>
        <v>0</v>
      </c>
      <c r="F32" s="223">
        <f>VLOOKUP($A32,Outputs│Tables!$M$13:$V$18,Calculation│RIN!F$29-2013,FALSE)</f>
        <v>0</v>
      </c>
      <c r="G32" s="223">
        <f>VLOOKUP($A32,Outputs│Tables!$M$13:$V$18,Calculation│RIN!G$29-2013,FALSE)</f>
        <v>0</v>
      </c>
      <c r="H32" s="223">
        <f t="shared" si="7"/>
        <v>15.805349999999999</v>
      </c>
      <c r="J32" s="34" t="b">
        <f ca="1">H32=H92</f>
        <v>1</v>
      </c>
    </row>
    <row r="33" spans="1:13" s="71" customFormat="1" x14ac:dyDescent="0.3">
      <c r="A33" s="8" t="str">
        <f t="shared" si="6"/>
        <v>Dalby Turbine Overhaul</v>
      </c>
      <c r="B33" s="223">
        <f>Outputs│Tables!P16</f>
        <v>0</v>
      </c>
      <c r="C33" s="223">
        <f>Outputs│Tables!Q16</f>
        <v>0</v>
      </c>
      <c r="D33" s="223">
        <f>Outputs│Tables!R16</f>
        <v>0</v>
      </c>
      <c r="E33" s="223">
        <f>Outputs│Tables!S16</f>
        <v>0</v>
      </c>
      <c r="F33" s="223">
        <f>Outputs│Tables!T16</f>
        <v>0</v>
      </c>
      <c r="G33" s="223">
        <f>Outputs│Tables!U16</f>
        <v>1.3298999999999999</v>
      </c>
      <c r="H33" s="223">
        <f t="shared" si="7"/>
        <v>1.3298999999999999</v>
      </c>
      <c r="J33" s="34" t="b">
        <f ca="1">H33=H103</f>
        <v>1</v>
      </c>
    </row>
    <row r="34" spans="1:13" s="71" customFormat="1" x14ac:dyDescent="0.3">
      <c r="A34" s="8" t="str">
        <f t="shared" si="6"/>
        <v>Applications and Renewals</v>
      </c>
      <c r="B34" s="223">
        <f>Outputs│Tables!P17</f>
        <v>0</v>
      </c>
      <c r="C34" s="223">
        <f>Outputs│Tables!Q17</f>
        <v>0.42572883701583769</v>
      </c>
      <c r="D34" s="223">
        <f>Outputs│Tables!R17</f>
        <v>0.53185254711253926</v>
      </c>
      <c r="E34" s="223">
        <f>Outputs│Tables!S17</f>
        <v>0.42572883701583769</v>
      </c>
      <c r="F34" s="223">
        <f>Outputs│Tables!T17</f>
        <v>0.53185254711253926</v>
      </c>
      <c r="G34" s="223">
        <f>Outputs│Tables!U17</f>
        <v>0.42572883701583769</v>
      </c>
      <c r="H34" s="223">
        <f t="shared" si="7"/>
        <v>2.3408916052725917</v>
      </c>
      <c r="J34" s="34" t="b">
        <f>H34=H114</f>
        <v>1</v>
      </c>
    </row>
    <row r="35" spans="1:13" s="71" customFormat="1" x14ac:dyDescent="0.3">
      <c r="A35" s="8" t="str">
        <f t="shared" si="6"/>
        <v>Infrastructure Renewals</v>
      </c>
      <c r="B35" s="223">
        <f>Outputs│Tables!P18</f>
        <v>0</v>
      </c>
      <c r="C35" s="223">
        <f>Outputs│Tables!Q18</f>
        <v>0.13882462076603402</v>
      </c>
      <c r="D35" s="223">
        <f>Outputs│Tables!R18</f>
        <v>4.6274873588678003E-2</v>
      </c>
      <c r="E35" s="223">
        <f>Outputs│Tables!S18</f>
        <v>4.6274873588678003E-2</v>
      </c>
      <c r="F35" s="223">
        <f>Outputs│Tables!T18</f>
        <v>4.6274873588678003E-2</v>
      </c>
      <c r="G35" s="223">
        <f>Outputs│Tables!U18</f>
        <v>0</v>
      </c>
      <c r="H35" s="223">
        <f t="shared" si="7"/>
        <v>0.27764924153206799</v>
      </c>
      <c r="J35" s="34" t="b">
        <f ca="1">H35=H125</f>
        <v>1</v>
      </c>
      <c r="K35" s="75"/>
      <c r="L35" s="75"/>
      <c r="M35" s="75"/>
    </row>
    <row r="36" spans="1:13" s="71" customFormat="1" x14ac:dyDescent="0.3"/>
    <row r="37" spans="1:13" x14ac:dyDescent="0.3">
      <c r="A37" s="13" t="s">
        <v>599</v>
      </c>
    </row>
    <row r="38" spans="1:13" s="72" customFormat="1" ht="58.5" x14ac:dyDescent="0.3">
      <c r="B38" s="168" t="str">
        <f>B21</f>
        <v>Direct labour expenditure</v>
      </c>
      <c r="C38" s="168" t="str">
        <f t="shared" ref="C38:G38" si="8">C21</f>
        <v>Direct materials expenditure</v>
      </c>
      <c r="D38" s="168" t="str">
        <f t="shared" si="8"/>
        <v>Direct contractor expenditure</v>
      </c>
      <c r="E38" s="168" t="str">
        <f t="shared" si="8"/>
        <v>Other direct expenditure</v>
      </c>
      <c r="F38" s="168" t="str">
        <f t="shared" si="8"/>
        <v>Overheads</v>
      </c>
      <c r="G38" s="168" t="str">
        <f t="shared" si="8"/>
        <v>Total</v>
      </c>
    </row>
    <row r="39" spans="1:13" s="72" customFormat="1" x14ac:dyDescent="0.3">
      <c r="A39" s="225" t="str">
        <f>A30</f>
        <v>Urban Risk Reduction</v>
      </c>
      <c r="B39" s="167">
        <f>IFERROR(B22/$G22,0)</f>
        <v>0.15909823669226758</v>
      </c>
      <c r="C39" s="167">
        <f t="shared" ref="C39:F39" si="9">IFERROR(C22/$G22,0)</f>
        <v>0.26313536431843032</v>
      </c>
      <c r="D39" s="167">
        <f t="shared" si="9"/>
        <v>0.36411722117746681</v>
      </c>
      <c r="E39" s="167">
        <f t="shared" si="9"/>
        <v>2.7411591837688362E-2</v>
      </c>
      <c r="F39" s="167">
        <f t="shared" si="9"/>
        <v>0.18623758597414697</v>
      </c>
      <c r="G39" s="226">
        <f>SUM(B39:F39)</f>
        <v>1</v>
      </c>
    </row>
    <row r="40" spans="1:13" s="72" customFormat="1" x14ac:dyDescent="0.3">
      <c r="A40" s="225" t="str">
        <f t="shared" ref="A40:A44" si="10">A31</f>
        <v>Pipeline Integrity Management</v>
      </c>
      <c r="B40" s="167">
        <f t="shared" ref="B40:F44" si="11">IFERROR(B23/$G23,0)</f>
        <v>0.20038518047608961</v>
      </c>
      <c r="C40" s="167">
        <f t="shared" si="11"/>
        <v>0.10863090108544654</v>
      </c>
      <c r="D40" s="167">
        <f t="shared" si="11"/>
        <v>0.64893087047632503</v>
      </c>
      <c r="E40" s="167">
        <f t="shared" si="11"/>
        <v>4.2053047962138879E-2</v>
      </c>
      <c r="F40" s="167">
        <f t="shared" si="11"/>
        <v>0</v>
      </c>
      <c r="G40" s="226">
        <f t="shared" ref="G40:G44" si="12">SUM(B40:F40)</f>
        <v>1</v>
      </c>
    </row>
    <row r="41" spans="1:13" s="72" customFormat="1" x14ac:dyDescent="0.3">
      <c r="A41" s="225" t="str">
        <f t="shared" si="10"/>
        <v>Toowoomba Crossing</v>
      </c>
      <c r="B41" s="167">
        <f t="shared" si="11"/>
        <v>2.0977758376509933E-2</v>
      </c>
      <c r="C41" s="167">
        <f t="shared" si="11"/>
        <v>0.14114046208102526</v>
      </c>
      <c r="D41" s="167">
        <f t="shared" si="11"/>
        <v>0.72633032177670909</v>
      </c>
      <c r="E41" s="167">
        <f t="shared" si="11"/>
        <v>3.0741626001782374E-2</v>
      </c>
      <c r="F41" s="167">
        <f t="shared" si="11"/>
        <v>8.0809831763973494E-2</v>
      </c>
      <c r="G41" s="226">
        <f t="shared" si="12"/>
        <v>1</v>
      </c>
    </row>
    <row r="42" spans="1:13" s="72" customFormat="1" x14ac:dyDescent="0.3">
      <c r="A42" s="225" t="str">
        <f t="shared" si="10"/>
        <v>Dalby Turbine Overhaul</v>
      </c>
      <c r="B42" s="167">
        <f t="shared" si="11"/>
        <v>0</v>
      </c>
      <c r="C42" s="167">
        <f t="shared" si="11"/>
        <v>0</v>
      </c>
      <c r="D42" s="167">
        <f t="shared" si="11"/>
        <v>1</v>
      </c>
      <c r="E42" s="167">
        <f t="shared" si="11"/>
        <v>0</v>
      </c>
      <c r="F42" s="167">
        <f t="shared" si="11"/>
        <v>0</v>
      </c>
      <c r="G42" s="226">
        <f t="shared" si="12"/>
        <v>1</v>
      </c>
    </row>
    <row r="43" spans="1:13" s="72" customFormat="1" x14ac:dyDescent="0.3">
      <c r="A43" s="225" t="str">
        <f t="shared" si="10"/>
        <v>Applications and Renewals</v>
      </c>
      <c r="B43" s="167">
        <f t="shared" si="11"/>
        <v>0.31317870321560354</v>
      </c>
      <c r="C43" s="167">
        <f t="shared" si="11"/>
        <v>6.647337901950448E-2</v>
      </c>
      <c r="D43" s="167">
        <f t="shared" si="11"/>
        <v>0.62034791776489195</v>
      </c>
      <c r="E43" s="167">
        <f t="shared" si="11"/>
        <v>0</v>
      </c>
      <c r="F43" s="167">
        <f t="shared" si="11"/>
        <v>0</v>
      </c>
      <c r="G43" s="226">
        <f t="shared" si="12"/>
        <v>1</v>
      </c>
    </row>
    <row r="44" spans="1:13" s="72" customFormat="1" x14ac:dyDescent="0.3">
      <c r="A44" s="225" t="str">
        <f t="shared" si="10"/>
        <v>Infrastructure Renewals</v>
      </c>
      <c r="B44" s="167">
        <f>inputs│RIN!G113/inputs│RIN!G116</f>
        <v>0.3</v>
      </c>
      <c r="C44" s="167">
        <f>inputs│RIN!G115/inputs│RIN!G116</f>
        <v>0.05</v>
      </c>
      <c r="D44" s="167">
        <f>inputs│RIN!G114/inputs│RIN!G116</f>
        <v>0.65</v>
      </c>
      <c r="E44" s="167">
        <f t="shared" ca="1" si="11"/>
        <v>0</v>
      </c>
      <c r="F44" s="167">
        <f t="shared" ca="1" si="11"/>
        <v>0</v>
      </c>
      <c r="G44" s="226">
        <f t="shared" ca="1" si="12"/>
        <v>1</v>
      </c>
    </row>
    <row r="45" spans="1:13" s="72" customFormat="1" x14ac:dyDescent="0.3">
      <c r="B45" s="168"/>
      <c r="C45" s="168"/>
      <c r="D45" s="168"/>
      <c r="E45" s="168"/>
      <c r="F45" s="168"/>
      <c r="G45" s="168"/>
    </row>
    <row r="46" spans="1:13" x14ac:dyDescent="0.3">
      <c r="A46" s="8" t="s">
        <v>600</v>
      </c>
      <c r="B46" s="166">
        <f ca="1">SUM(B14:B19)</f>
        <v>11.10893850585426</v>
      </c>
      <c r="C46" s="166">
        <f ca="1">SUM(C14:D19)</f>
        <v>9.355241532244138</v>
      </c>
      <c r="D46" s="166">
        <f ca="1">SUM(E14:E19)</f>
        <v>44.176705035732851</v>
      </c>
      <c r="E46" s="166">
        <f>SUM(F14:F19)</f>
        <v>2.4823190095999998</v>
      </c>
      <c r="F46" s="166">
        <f>SUM(G14:G19)</f>
        <v>2.9249673349999998</v>
      </c>
      <c r="G46" s="166">
        <f ca="1">SUM(B46:F46)</f>
        <v>70.048171418431252</v>
      </c>
      <c r="J46" s="34" t="s">
        <v>121</v>
      </c>
      <c r="K46" s="34" t="b">
        <f ca="1">SUM(B14:G19)=G46</f>
        <v>0</v>
      </c>
    </row>
    <row r="47" spans="1:13" x14ac:dyDescent="0.3">
      <c r="A47" s="8" t="s">
        <v>606</v>
      </c>
      <c r="B47" s="167">
        <f ca="1">B46/$G$46</f>
        <v>0.15858998573275029</v>
      </c>
      <c r="C47" s="167">
        <f t="shared" ref="C47:F47" ca="1" si="13">C46/$G$46</f>
        <v>0.13355440039056557</v>
      </c>
      <c r="D47" s="167">
        <f t="shared" ca="1" si="13"/>
        <v>0.63066178804075057</v>
      </c>
      <c r="E47" s="167">
        <f t="shared" ca="1" si="13"/>
        <v>3.5437313484914836E-2</v>
      </c>
      <c r="F47" s="167">
        <f t="shared" ca="1" si="13"/>
        <v>4.1756512351018703E-2</v>
      </c>
      <c r="J47" s="34" t="s">
        <v>121</v>
      </c>
      <c r="K47" s="34" t="b">
        <f ca="1">SUM(B47:F47)=1</f>
        <v>1</v>
      </c>
    </row>
    <row r="49" spans="1:11" x14ac:dyDescent="0.3">
      <c r="A49" s="13" t="s">
        <v>607</v>
      </c>
    </row>
    <row r="50" spans="1:11" x14ac:dyDescent="0.3">
      <c r="A50" s="14" t="s">
        <v>608</v>
      </c>
      <c r="B50" s="14">
        <f t="shared" ref="B50:G50" si="14">B29</f>
        <v>2017</v>
      </c>
      <c r="C50" s="14">
        <f t="shared" si="14"/>
        <v>2018</v>
      </c>
      <c r="D50" s="14">
        <f t="shared" si="14"/>
        <v>2019</v>
      </c>
      <c r="E50" s="14">
        <f t="shared" si="14"/>
        <v>2020</v>
      </c>
      <c r="F50" s="14">
        <f t="shared" si="14"/>
        <v>2021</v>
      </c>
      <c r="G50" s="14">
        <f t="shared" si="14"/>
        <v>2022</v>
      </c>
      <c r="H50" s="224" t="s">
        <v>62</v>
      </c>
    </row>
    <row r="51" spans="1:11" x14ac:dyDescent="0.3">
      <c r="A51" s="8" t="s">
        <v>608</v>
      </c>
      <c r="B51" s="169">
        <f>Outputs│RFM!D25</f>
        <v>18.219858813742071</v>
      </c>
      <c r="C51" s="169">
        <f>Outputs│PTRM!E25</f>
        <v>25.92174957298543</v>
      </c>
      <c r="D51" s="169">
        <f>Outputs│PTRM!F25</f>
        <v>15.909217263848364</v>
      </c>
      <c r="E51" s="169">
        <f>Outputs│PTRM!G25</f>
        <v>6.8449006931140568</v>
      </c>
      <c r="F51" s="169">
        <f>Outputs│PTRM!H25</f>
        <v>8.309576669050756</v>
      </c>
      <c r="G51" s="169">
        <f>Outputs│PTRM!I25</f>
        <v>9.6500905164853776</v>
      </c>
      <c r="H51" s="169">
        <f>SUM(B51:G51)</f>
        <v>84.855393529226049</v>
      </c>
    </row>
    <row r="52" spans="1:11" s="71" customFormat="1" x14ac:dyDescent="0.3">
      <c r="A52" s="8" t="s">
        <v>615</v>
      </c>
      <c r="B52" s="169">
        <f t="shared" ref="B52:G52" si="15">B51-SUM(B30:B35)</f>
        <v>3.474336813742072</v>
      </c>
      <c r="C52" s="169">
        <f t="shared" si="15"/>
        <v>3.055796115203556</v>
      </c>
      <c r="D52" s="169">
        <f t="shared" si="15"/>
        <v>1.1952758431471491</v>
      </c>
      <c r="E52" s="169">
        <f t="shared" si="15"/>
        <v>0.61033798250954252</v>
      </c>
      <c r="F52" s="169">
        <f t="shared" si="15"/>
        <v>0.61341524834954075</v>
      </c>
      <c r="G52" s="169">
        <f t="shared" si="15"/>
        <v>1.2101796794695421</v>
      </c>
      <c r="H52" s="169">
        <f>SUM(B52:G52)</f>
        <v>10.159341682421401</v>
      </c>
      <c r="J52" s="34" t="s">
        <v>121</v>
      </c>
      <c r="K52" s="170">
        <f>H52/H51</f>
        <v>0.11972534991452607</v>
      </c>
    </row>
    <row r="54" spans="1:11" x14ac:dyDescent="0.3">
      <c r="A54" s="14" t="s">
        <v>617</v>
      </c>
    </row>
    <row r="55" spans="1:11" x14ac:dyDescent="0.3">
      <c r="A55" s="8" t="str">
        <f t="array" ref="A55:A60">TRANSPOSE(B38:G38)</f>
        <v>Direct labour expenditure</v>
      </c>
      <c r="B55" s="169">
        <f t="shared" ref="B55:G57" ca="1" si="16">HLOOKUP($A55,$B$38:$G$47,10,FALSE)*B$52</f>
        <v>0.55099502572212433</v>
      </c>
      <c r="C55" s="169">
        <f t="shared" ca="1" si="16"/>
        <v>0.4846186623123257</v>
      </c>
      <c r="D55" s="169">
        <f t="shared" ca="1" si="16"/>
        <v>0.18955877891140746</v>
      </c>
      <c r="E55" s="169">
        <f t="shared" ca="1" si="16"/>
        <v>9.6793491938343953E-2</v>
      </c>
      <c r="F55" s="169">
        <f t="shared" ca="1" si="16"/>
        <v>9.728151548400514E-2</v>
      </c>
      <c r="G55" s="169">
        <f t="shared" ca="1" si="16"/>
        <v>0.19192237810113899</v>
      </c>
      <c r="H55" s="169">
        <f t="shared" ref="H55:H60" ca="1" si="17">SUM(B55:G55)</f>
        <v>1.6111698524693456</v>
      </c>
    </row>
    <row r="56" spans="1:11" x14ac:dyDescent="0.3">
      <c r="A56" s="8" t="str">
        <v>Direct materials expenditure</v>
      </c>
      <c r="B56" s="169">
        <f t="shared" ca="1" si="16"/>
        <v>0.4640129699141905</v>
      </c>
      <c r="C56" s="169">
        <f t="shared" ca="1" si="16"/>
        <v>0.40811501788183052</v>
      </c>
      <c r="D56" s="169">
        <f t="shared" ca="1" si="16"/>
        <v>0.15963434853284519</v>
      </c>
      <c r="E56" s="169">
        <f t="shared" ca="1" si="16"/>
        <v>8.1513323289649442E-2</v>
      </c>
      <c r="F56" s="169">
        <f t="shared" ca="1" si="16"/>
        <v>8.1924305683752779E-2</v>
      </c>
      <c r="G56" s="169">
        <f t="shared" ca="1" si="16"/>
        <v>0.16162482145640153</v>
      </c>
      <c r="H56" s="169">
        <f t="shared" ca="1" si="17"/>
        <v>1.35682478675867</v>
      </c>
    </row>
    <row r="57" spans="1:11" x14ac:dyDescent="0.3">
      <c r="A57" s="8" t="str">
        <v>Direct contractor expenditure</v>
      </c>
      <c r="B57" s="169">
        <f t="shared" ca="1" si="16"/>
        <v>2.1911314672103792</v>
      </c>
      <c r="C57" s="169">
        <f t="shared" ca="1" si="16"/>
        <v>1.9271738419022539</v>
      </c>
      <c r="D57" s="169">
        <f t="shared" ca="1" si="16"/>
        <v>0.75381480044109672</v>
      </c>
      <c r="E57" s="169">
        <f t="shared" ca="1" si="16"/>
        <v>0.38491684335865245</v>
      </c>
      <c r="F57" s="169">
        <f t="shared" ca="1" si="16"/>
        <v>0.38685755733558247</v>
      </c>
      <c r="G57" s="169">
        <f t="shared" ca="1" si="16"/>
        <v>0.76321408050484385</v>
      </c>
      <c r="H57" s="169">
        <f t="shared" ca="1" si="17"/>
        <v>6.4071085907528094</v>
      </c>
    </row>
    <row r="58" spans="1:11" x14ac:dyDescent="0.3">
      <c r="A58" s="8" t="str">
        <v>Other direct expenditure</v>
      </c>
      <c r="B58" s="169">
        <f t="shared" ref="B58:G59" ca="1" si="18">HLOOKUP($A58,$B$38:$G$47,10,FALSE)*B$52</f>
        <v>0.12312116282075797</v>
      </c>
      <c r="C58" s="169">
        <f t="shared" ca="1" si="18"/>
        <v>0.10828920488045335</v>
      </c>
      <c r="D58" s="169">
        <f t="shared" ca="1" si="18"/>
        <v>4.2357364754551416E-2</v>
      </c>
      <c r="E58" s="169">
        <f t="shared" ca="1" si="18"/>
        <v>2.1628738417941128E-2</v>
      </c>
      <c r="F58" s="169">
        <f t="shared" ca="1" si="18"/>
        <v>2.1737788452189565E-2</v>
      </c>
      <c r="G58" s="169">
        <f t="shared" ca="1" si="18"/>
        <v>4.2885516674435915E-2</v>
      </c>
      <c r="H58" s="169">
        <f t="shared" ca="1" si="17"/>
        <v>0.36001977600032931</v>
      </c>
    </row>
    <row r="59" spans="1:11" x14ac:dyDescent="0.3">
      <c r="A59" s="8" t="str">
        <v>Overheads</v>
      </c>
      <c r="B59" s="169">
        <f t="shared" ca="1" si="18"/>
        <v>0.14507618807461981</v>
      </c>
      <c r="C59" s="169">
        <f t="shared" ca="1" si="18"/>
        <v>0.12759938822669226</v>
      </c>
      <c r="D59" s="169">
        <f t="shared" ca="1" si="18"/>
        <v>4.9910550507248228E-2</v>
      </c>
      <c r="E59" s="169">
        <f t="shared" ca="1" si="18"/>
        <v>2.5485585504955548E-2</v>
      </c>
      <c r="F59" s="169">
        <f t="shared" ca="1" si="18"/>
        <v>2.5614081394010803E-2</v>
      </c>
      <c r="G59" s="169">
        <f t="shared" ca="1" si="18"/>
        <v>5.0532882732721787E-2</v>
      </c>
      <c r="H59" s="169">
        <f t="shared" ca="1" si="17"/>
        <v>0.42421867644024841</v>
      </c>
    </row>
    <row r="60" spans="1:11" x14ac:dyDescent="0.3">
      <c r="A60" s="8" t="str">
        <v>Total</v>
      </c>
      <c r="B60" s="169">
        <f ca="1">SUM(B55:B59)</f>
        <v>3.474336813742072</v>
      </c>
      <c r="C60" s="169">
        <f t="shared" ref="C60:G60" ca="1" si="19">SUM(C55:C59)</f>
        <v>3.0557961152035555</v>
      </c>
      <c r="D60" s="169">
        <f t="shared" ca="1" si="19"/>
        <v>1.1952758431471489</v>
      </c>
      <c r="E60" s="169">
        <f t="shared" ca="1" si="19"/>
        <v>0.61033798250954252</v>
      </c>
      <c r="F60" s="169">
        <f t="shared" ca="1" si="19"/>
        <v>0.61341524834954075</v>
      </c>
      <c r="G60" s="169">
        <f t="shared" ca="1" si="19"/>
        <v>1.2101796794695421</v>
      </c>
      <c r="H60" s="169">
        <f t="shared" ca="1" si="17"/>
        <v>10.159341682421401</v>
      </c>
    </row>
    <row r="61" spans="1:11" s="71" customFormat="1" x14ac:dyDescent="0.3"/>
    <row r="62" spans="1:11" x14ac:dyDescent="0.3">
      <c r="A62" s="13" t="s">
        <v>618</v>
      </c>
    </row>
    <row r="63" spans="1:11" s="71" customFormat="1" x14ac:dyDescent="0.3">
      <c r="A63" s="14" t="str">
        <f ca="1">INDIRECT(ADDRESS(B64+37,1))</f>
        <v>Urban Risk Reduction</v>
      </c>
      <c r="B63" s="227">
        <f t="shared" ref="B63:G63" si="20">B$50</f>
        <v>2017</v>
      </c>
      <c r="C63" s="227">
        <f t="shared" si="20"/>
        <v>2018</v>
      </c>
      <c r="D63" s="227">
        <f t="shared" si="20"/>
        <v>2019</v>
      </c>
      <c r="E63" s="227">
        <f t="shared" si="20"/>
        <v>2020</v>
      </c>
      <c r="F63" s="227">
        <f t="shared" si="20"/>
        <v>2021</v>
      </c>
      <c r="G63" s="227">
        <f t="shared" si="20"/>
        <v>2022</v>
      </c>
      <c r="H63" s="227" t="s">
        <v>62</v>
      </c>
    </row>
    <row r="64" spans="1:11" s="71" customFormat="1" x14ac:dyDescent="0.3">
      <c r="A64" s="6" t="s">
        <v>531</v>
      </c>
      <c r="B64" s="6">
        <v>2</v>
      </c>
      <c r="C64" s="6">
        <f>B64</f>
        <v>2</v>
      </c>
      <c r="D64" s="6">
        <f>C64</f>
        <v>2</v>
      </c>
      <c r="E64" s="6">
        <f>D64</f>
        <v>2</v>
      </c>
      <c r="F64" s="6">
        <f>E64</f>
        <v>2</v>
      </c>
      <c r="G64" s="6">
        <f>F64</f>
        <v>2</v>
      </c>
      <c r="H64" s="6"/>
    </row>
    <row r="65" spans="1:8" s="71" customFormat="1" x14ac:dyDescent="0.3">
      <c r="A65" s="8" t="str">
        <f t="shared" ref="A65:A70" si="21">A55</f>
        <v>Direct labour expenditure</v>
      </c>
      <c r="B65" s="169">
        <f ca="1">HLOOKUP($A65,$A$38:$G$44,B$64,FALSE)*VLOOKUP(A63,$A$30:$G$35,B63-2015,FALSE)</f>
        <v>1.3020599690895178</v>
      </c>
      <c r="C65" s="169">
        <f ca="1">HLOOKUP($A65,$A$38:$G$44,C$64,FALSE)*VLOOKUP(A63,$A$30:$G$35,C$63-2015,FALSE)</f>
        <v>0.26854986862471303</v>
      </c>
      <c r="D65" s="169">
        <f ca="1">HLOOKUP($A65,$A$38:$G$44,D$64,FALSE)*VLOOKUP(A63,$A$30:$G$35,D$63-2015,FALSE)</f>
        <v>4.8827248840856916E-2</v>
      </c>
      <c r="E65" s="169">
        <f ca="1">HLOOKUP($A65,$A$38:$G$44,E$64,FALSE)*VLOOKUP(A63,$A$30:$G$35,E$63-2015,FALSE)</f>
        <v>4.8827248840856916E-2</v>
      </c>
      <c r="F65" s="169">
        <f ca="1">HLOOKUP($A65,$A$38:$G$44,F$64,FALSE)*VLOOKUP(A63,$A$30:$G$35,F$63-2015,FALSE)</f>
        <v>4.8827248840856916E-2</v>
      </c>
      <c r="G65" s="169">
        <f ca="1">HLOOKUP($A65,$A$38:$G$44,G$64,FALSE)*VLOOKUP(A63,$A$30:$G$35,G$63-2015,FALSE)</f>
        <v>4.8827248840856916E-2</v>
      </c>
      <c r="H65" s="169">
        <f ca="1">SUM(B65:G65)</f>
        <v>1.7659188330776587</v>
      </c>
    </row>
    <row r="66" spans="1:8" s="71" customFormat="1" x14ac:dyDescent="0.3">
      <c r="A66" s="8" t="str">
        <f t="shared" si="21"/>
        <v>Direct materials expenditure</v>
      </c>
      <c r="B66" s="169">
        <f ca="1">HLOOKUP($A66,$A$38:$G$44,B$64,FALSE)*VLOOKUP(A63,$A$30:$G$35,B63-2015,FALSE)</f>
        <v>2.1534998215820336</v>
      </c>
      <c r="C66" s="169">
        <f ca="1">HLOOKUP($A66,$A$38:$G$44,C$64,FALSE)*VLOOKUP(A63,$A$30:$G$35,C$63-2015,FALSE)</f>
        <v>0.44415933820129444</v>
      </c>
      <c r="D66" s="169">
        <f ca="1">HLOOKUP($A66,$A$38:$G$44,D$64,FALSE)*VLOOKUP(A63,$A$30:$G$35,D$63-2015,FALSE)</f>
        <v>8.0756243309326251E-2</v>
      </c>
      <c r="E66" s="169">
        <f ca="1">HLOOKUP($A66,$A$38:$G$44,E$64,FALSE)*VLOOKUP(A63,$A$30:$G$35,E$63-2015,FALSE)</f>
        <v>8.0756243309326251E-2</v>
      </c>
      <c r="F66" s="169">
        <f ca="1">HLOOKUP($A66,$A$38:$G$44,F$64,FALSE)*VLOOKUP(A63,$A$30:$G$35,F$63-2015,FALSE)</f>
        <v>8.0756243309326251E-2</v>
      </c>
      <c r="G66" s="169">
        <f ca="1">HLOOKUP($A66,$A$38:$G$44,G$64,FALSE)*VLOOKUP(A63,$A$30:$G$35,G$63-2015,FALSE)</f>
        <v>8.0756243309326251E-2</v>
      </c>
      <c r="H66" s="169">
        <f ca="1">SUM(B66:G66)</f>
        <v>2.9206841330206323</v>
      </c>
    </row>
    <row r="67" spans="1:8" s="71" customFormat="1" x14ac:dyDescent="0.3">
      <c r="A67" s="8" t="str">
        <f t="shared" si="21"/>
        <v>Direct contractor expenditure</v>
      </c>
      <c r="B67" s="169">
        <f ca="1">HLOOKUP($A67,$A$38:$G$44,B$64,FALSE)*VLOOKUP(A63,$A$30:$G$35,B63-2015,FALSE)</f>
        <v>2.979935338116388</v>
      </c>
      <c r="C67" s="169">
        <f ca="1">HLOOKUP($A67,$A$38:$G$44,C$64,FALSE)*VLOOKUP(A63,$A$30:$G$35,C$63-2015,FALSE)</f>
        <v>0.61461166348650509</v>
      </c>
      <c r="D67" s="169">
        <f ca="1">HLOOKUP($A67,$A$38:$G$44,D$64,FALSE)*VLOOKUP(A63,$A$30:$G$35,D$63-2015,FALSE)</f>
        <v>0.11174757517936455</v>
      </c>
      <c r="E67" s="169">
        <f ca="1">HLOOKUP($A67,$A$38:$G$44,E$64,FALSE)*VLOOKUP(A63,$A$30:$G$35,E$63-2015,FALSE)</f>
        <v>0.11174757517936455</v>
      </c>
      <c r="F67" s="169">
        <f ca="1">HLOOKUP($A67,$A$38:$G$44,F$64,FALSE)*VLOOKUP(A63,$A$30:$G$35,F$63-2015,FALSE)</f>
        <v>0.11174757517936455</v>
      </c>
      <c r="G67" s="169">
        <f ca="1">HLOOKUP($A67,$A$38:$G$44,G$64,FALSE)*VLOOKUP(A63,$A$30:$G$35,G$63-2015,FALSE)</f>
        <v>0.11174757517936455</v>
      </c>
      <c r="H67" s="169">
        <f ca="1">SUM(B67:G67)</f>
        <v>4.0415373023203509</v>
      </c>
    </row>
    <row r="68" spans="1:8" s="71" customFormat="1" x14ac:dyDescent="0.3">
      <c r="A68" s="8" t="str">
        <f t="shared" si="21"/>
        <v>Other direct expenditure</v>
      </c>
      <c r="B68" s="169">
        <f ca="1">HLOOKUP($A68,$A$38:$G$44,B$64,FALSE)*VLOOKUP(A63,$A$30:$G$35,B63-2015,FALSE)</f>
        <v>0.22433646759964154</v>
      </c>
      <c r="C68" s="169">
        <f ca="1">HLOOKUP($A68,$A$38:$G$44,C$64,FALSE)*VLOOKUP(A63,$A$30:$G$35,C$63-2015,FALSE)</f>
        <v>4.6269396442426065E-2</v>
      </c>
      <c r="D68" s="169">
        <f ca="1">HLOOKUP($A68,$A$38:$G$44,D$64,FALSE)*VLOOKUP(A63,$A$30:$G$35,D$63-2015,FALSE)</f>
        <v>8.4126175349865575E-3</v>
      </c>
      <c r="E68" s="169">
        <f ca="1">HLOOKUP($A68,$A$38:$G$44,E$64,FALSE)*VLOOKUP(A63,$A$30:$G$35,E$63-2015,FALSE)</f>
        <v>8.4126175349865575E-3</v>
      </c>
      <c r="F68" s="169">
        <f ca="1">HLOOKUP($A68,$A$38:$G$44,F$64,FALSE)*VLOOKUP(A63,$A$30:$G$35,F$63-2015,FALSE)</f>
        <v>8.4126175349865575E-3</v>
      </c>
      <c r="G68" s="169">
        <f ca="1">HLOOKUP($A68,$A$38:$G$44,G$64,FALSE)*VLOOKUP(A63,$A$30:$G$35,G$63-2015,FALSE)</f>
        <v>8.4126175349865575E-3</v>
      </c>
      <c r="H68" s="169">
        <f ca="1">SUM(B68:G68)</f>
        <v>0.30425633418201387</v>
      </c>
    </row>
    <row r="69" spans="1:8" s="71" customFormat="1" x14ac:dyDescent="0.3">
      <c r="A69" s="8" t="str">
        <f t="shared" si="21"/>
        <v>Overheads</v>
      </c>
      <c r="B69" s="169">
        <f ca="1">HLOOKUP($A69,$A$38:$G$44,B$64,FALSE)*VLOOKUP(A63,$A$30:$G$35,B63-2015,FALSE)</f>
        <v>1.5241684036124186</v>
      </c>
      <c r="C69" s="169">
        <f ca="1">HLOOKUP($A69,$A$38:$G$44,C$64,FALSE)*VLOOKUP(A63,$A$30:$G$35,C$63-2015,FALSE)</f>
        <v>0.31435973324506133</v>
      </c>
      <c r="D69" s="169">
        <f ca="1">HLOOKUP($A69,$A$38:$G$44,D$64,FALSE)*VLOOKUP(A63,$A$30:$G$35,D$63-2015,FALSE)</f>
        <v>5.7156315135465693E-2</v>
      </c>
      <c r="E69" s="169">
        <f ca="1">HLOOKUP($A69,$A$38:$G$44,E$64,FALSE)*VLOOKUP(A63,$A$30:$G$35,E$63-2015,FALSE)</f>
        <v>5.7156315135465693E-2</v>
      </c>
      <c r="F69" s="169">
        <f ca="1">HLOOKUP($A69,$A$38:$G$44,F$64,FALSE)*VLOOKUP(A63,$A$30:$G$35,F$63-2015,FALSE)</f>
        <v>5.7156315135465693E-2</v>
      </c>
      <c r="G69" s="169">
        <f ca="1">HLOOKUP($A69,$A$38:$G$44,G$64,FALSE)*VLOOKUP(A63,$A$30:$G$35,G$63-2015,FALSE)</f>
        <v>5.7156315135465693E-2</v>
      </c>
      <c r="H69" s="169">
        <f ca="1">SUM(B69:G69)</f>
        <v>2.0671533973993426</v>
      </c>
    </row>
    <row r="70" spans="1:8" s="71" customFormat="1" x14ac:dyDescent="0.3">
      <c r="A70" s="8" t="str">
        <f t="shared" si="21"/>
        <v>Total</v>
      </c>
      <c r="B70" s="169">
        <f ca="1">SUM(B65:B69)</f>
        <v>8.1840000000000011</v>
      </c>
      <c r="C70" s="169">
        <f t="shared" ref="C70:G70" ca="1" si="22">SUM(C65:C69)</f>
        <v>1.6879500000000001</v>
      </c>
      <c r="D70" s="169">
        <f t="shared" ca="1" si="22"/>
        <v>0.30690000000000001</v>
      </c>
      <c r="E70" s="169">
        <f t="shared" ca="1" si="22"/>
        <v>0.30690000000000001</v>
      </c>
      <c r="F70" s="169">
        <f t="shared" ca="1" si="22"/>
        <v>0.30690000000000001</v>
      </c>
      <c r="G70" s="169">
        <f t="shared" ca="1" si="22"/>
        <v>0.30690000000000001</v>
      </c>
      <c r="H70" s="169">
        <f t="shared" ref="H70" ca="1" si="23">SUM(H65:H69)</f>
        <v>11.099549999999999</v>
      </c>
    </row>
    <row r="71" spans="1:8" s="71" customFormat="1" x14ac:dyDescent="0.3"/>
    <row r="72" spans="1:8" s="71" customFormat="1" x14ac:dyDescent="0.3">
      <c r="A72" s="34" t="s">
        <v>65</v>
      </c>
      <c r="B72" s="34" t="b">
        <f ca="1">B70=VLOOKUP(A63,$A$30:$G$35,B63-2015,FALSE)</f>
        <v>1</v>
      </c>
      <c r="C72" s="34" t="b">
        <f ca="1">C70=VLOOKUP(A63,$A$30:$G$35,C63-2015,FALSE)</f>
        <v>1</v>
      </c>
      <c r="D72" s="34" t="b">
        <f ca="1">D70=VLOOKUP(A63,$A$30:$G$35,D63-2015,FALSE)</f>
        <v>1</v>
      </c>
      <c r="E72" s="34" t="b">
        <f ca="1">E70=VLOOKUP(A63,$A$30:$G$35,E63-2015,FALSE)</f>
        <v>1</v>
      </c>
      <c r="F72" s="34" t="b">
        <f ca="1">F70=VLOOKUP(A63,$A$30:$G$35,F63-2015,FALSE)</f>
        <v>1</v>
      </c>
      <c r="G72" s="34" t="b">
        <f ca="1">G70=VLOOKUP(A63,$A$30:$G$35,G63-2015,FALSE)</f>
        <v>1</v>
      </c>
    </row>
    <row r="73" spans="1:8" s="71" customFormat="1" x14ac:dyDescent="0.3"/>
    <row r="74" spans="1:8" s="71" customFormat="1" x14ac:dyDescent="0.3">
      <c r="A74" s="14" t="str">
        <f ca="1">INDIRECT(ADDRESS(B75+37,1))</f>
        <v>Pipeline Integrity Management</v>
      </c>
      <c r="B74" s="227">
        <f t="shared" ref="B74:G74" si="24">B$50</f>
        <v>2017</v>
      </c>
      <c r="C74" s="227">
        <f t="shared" si="24"/>
        <v>2018</v>
      </c>
      <c r="D74" s="227">
        <f t="shared" si="24"/>
        <v>2019</v>
      </c>
      <c r="E74" s="227">
        <f t="shared" si="24"/>
        <v>2020</v>
      </c>
      <c r="F74" s="227">
        <f t="shared" si="24"/>
        <v>2021</v>
      </c>
      <c r="G74" s="227">
        <f t="shared" si="24"/>
        <v>2022</v>
      </c>
      <c r="H74" s="227" t="s">
        <v>62</v>
      </c>
    </row>
    <row r="75" spans="1:8" s="71" customFormat="1" x14ac:dyDescent="0.3">
      <c r="A75" s="6" t="s">
        <v>531</v>
      </c>
      <c r="B75" s="6">
        <f>B64+1</f>
        <v>3</v>
      </c>
      <c r="C75" s="6">
        <f>B75</f>
        <v>3</v>
      </c>
      <c r="D75" s="6">
        <f>C75</f>
        <v>3</v>
      </c>
      <c r="E75" s="6">
        <f>D75</f>
        <v>3</v>
      </c>
      <c r="F75" s="6">
        <f>E75</f>
        <v>3</v>
      </c>
      <c r="G75" s="6">
        <f>F75</f>
        <v>3</v>
      </c>
      <c r="H75" s="6"/>
    </row>
    <row r="76" spans="1:8" s="71" customFormat="1" x14ac:dyDescent="0.3">
      <c r="A76" s="8" t="str">
        <f>A65</f>
        <v>Direct labour expenditure</v>
      </c>
      <c r="B76" s="169">
        <f ca="1">HLOOKUP($A76,$A$38:$G$44,B$64,FALSE)*VLOOKUP(A74,$A$30:$G$35,B74-2015,FALSE)</f>
        <v>0.99509933137666384</v>
      </c>
      <c r="C76" s="169">
        <f ca="1">HLOOKUP($A76,$A$38:$G$44,C$64,FALSE)*VLOOKUP(A74,$A$30:$G$35,C$63-2015,FALSE)</f>
        <v>1.3834387171576126</v>
      </c>
      <c r="D76" s="169">
        <f ca="1">HLOOKUP($A76,$A$38:$G$44,D$64,FALSE)*VLOOKUP(A74,$A$30:$G$35,D$63-2015,FALSE)</f>
        <v>1.6305045962923486</v>
      </c>
      <c r="E76" s="169">
        <f ca="1">HLOOKUP($A76,$A$38:$G$44,E$64,FALSE)*VLOOKUP(A74,$A$30:$G$35,E$63-2015,FALSE)</f>
        <v>0.86798572689429965</v>
      </c>
      <c r="F76" s="169">
        <f ca="1">HLOOKUP($A76,$A$38:$G$44,F$64,FALSE)*VLOOKUP(A74,$A$30:$G$35,F$63-2015,FALSE)</f>
        <v>1.083639409274751</v>
      </c>
      <c r="G76" s="169">
        <f ca="1">HLOOKUP($A76,$A$38:$G$44,G$64,FALSE)*VLOOKUP(A74,$A$30:$G$35,G$63-2015,FALSE)</f>
        <v>1.0146302309130066</v>
      </c>
      <c r="H76" s="169">
        <f ca="1">SUM(B76:G76)</f>
        <v>6.9752980119086816</v>
      </c>
    </row>
    <row r="77" spans="1:8" s="71" customFormat="1" x14ac:dyDescent="0.3">
      <c r="A77" s="8" t="str">
        <f t="shared" ref="A77:A81" si="25">A66</f>
        <v>Direct materials expenditure</v>
      </c>
      <c r="B77" s="169">
        <f ca="1">HLOOKUP($A77,$A$38:$G$44,B$64,FALSE)*VLOOKUP(A74,$A$30:$G$35,B74-2015,FALSE)</f>
        <v>1.645812238644069</v>
      </c>
      <c r="C77" s="169">
        <f ca="1">HLOOKUP($A77,$A$38:$G$44,C$64,FALSE)*VLOOKUP(A74,$A$30:$G$35,C$63-2015,FALSE)</f>
        <v>2.2880935604309105</v>
      </c>
      <c r="D77" s="169">
        <f ca="1">HLOOKUP($A77,$A$38:$G$44,D$64,FALSE)*VLOOKUP(A74,$A$30:$G$35,D$63-2015,FALSE)</f>
        <v>2.6967201515761015</v>
      </c>
      <c r="E77" s="169">
        <f ca="1">HLOOKUP($A77,$A$38:$G$44,E$64,FALSE)*VLOOKUP(A74,$A$30:$G$35,E$63-2015,FALSE)</f>
        <v>1.4355768185621229</v>
      </c>
      <c r="F77" s="169">
        <f ca="1">HLOOKUP($A77,$A$38:$G$44,F$64,FALSE)*VLOOKUP(A74,$A$30:$G$35,F$63-2015,FALSE)</f>
        <v>1.7922502265116471</v>
      </c>
      <c r="G77" s="169">
        <f ca="1">HLOOKUP($A77,$A$38:$G$44,G$64,FALSE)*VLOOKUP(A74,$A$30:$G$35,G$63-2015,FALSE)</f>
        <v>1.6781147359677995</v>
      </c>
      <c r="H77" s="169">
        <f ca="1">SUM(B77:G77)</f>
        <v>11.536567731692651</v>
      </c>
    </row>
    <row r="78" spans="1:8" s="71" customFormat="1" x14ac:dyDescent="0.3">
      <c r="A78" s="8" t="str">
        <f t="shared" si="25"/>
        <v>Direct contractor expenditure</v>
      </c>
      <c r="B78" s="169">
        <f ca="1">HLOOKUP($A78,$A$38:$G$44,B$64,FALSE)*VLOOKUP(A74,$A$30:$G$35,B74-2015,FALSE)</f>
        <v>2.2774155821554491</v>
      </c>
      <c r="C78" s="169">
        <f ca="1">HLOOKUP($A78,$A$38:$G$44,C$64,FALSE)*VLOOKUP(A74,$A$30:$G$35,C$63-2015,FALSE)</f>
        <v>3.1661812967486624</v>
      </c>
      <c r="D78" s="169">
        <f ca="1">HLOOKUP($A78,$A$38:$G$44,D$64,FALSE)*VLOOKUP(A74,$A$30:$G$35,D$63-2015,FALSE)</f>
        <v>3.7316240271562466</v>
      </c>
      <c r="E78" s="169">
        <f ca="1">HLOOKUP($A78,$A$38:$G$44,E$64,FALSE)*VLOOKUP(A74,$A$30:$G$35,E$63-2015,FALSE)</f>
        <v>1.986499394771837</v>
      </c>
      <c r="F78" s="169">
        <f ca="1">HLOOKUP($A78,$A$38:$G$44,F$64,FALSE)*VLOOKUP(A74,$A$30:$G$35,F$63-2015,FALSE)</f>
        <v>2.4800511851473637</v>
      </c>
      <c r="G78" s="169">
        <f ca="1">HLOOKUP($A78,$A$38:$G$44,G$64,FALSE)*VLOOKUP(A74,$A$30:$G$35,G$63-2015,FALSE)</f>
        <v>2.3221146122271952</v>
      </c>
      <c r="H78" s="169">
        <f ca="1">SUM(B78:G78)</f>
        <v>15.963886098206753</v>
      </c>
    </row>
    <row r="79" spans="1:8" s="71" customFormat="1" x14ac:dyDescent="0.3">
      <c r="A79" s="8" t="str">
        <f t="shared" si="25"/>
        <v>Other direct expenditure</v>
      </c>
      <c r="B79" s="169">
        <f ca="1">HLOOKUP($A79,$A$38:$G$44,B$64,FALSE)*VLOOKUP(A74,$A$30:$G$35,B74-2015,FALSE)</f>
        <v>0.17144914536302602</v>
      </c>
      <c r="C79" s="169">
        <f ca="1">HLOOKUP($A79,$A$38:$G$44,C$64,FALSE)*VLOOKUP(A74,$A$30:$G$35,C$63-2015,FALSE)</f>
        <v>0.23835749682461913</v>
      </c>
      <c r="D79" s="169">
        <f ca="1">HLOOKUP($A79,$A$38:$G$44,D$64,FALSE)*VLOOKUP(A74,$A$30:$G$35,D$63-2015,FALSE)</f>
        <v>0.28092534155165111</v>
      </c>
      <c r="E79" s="169">
        <f ca="1">HLOOKUP($A79,$A$38:$G$44,E$64,FALSE)*VLOOKUP(A74,$A$30:$G$35,E$63-2015,FALSE)</f>
        <v>0.14954829771361103</v>
      </c>
      <c r="F79" s="169">
        <f ca="1">HLOOKUP($A79,$A$38:$G$44,F$64,FALSE)*VLOOKUP(A74,$A$30:$G$35,F$63-2015,FALSE)</f>
        <v>0.18670402515980164</v>
      </c>
      <c r="G79" s="169">
        <f ca="1">HLOOKUP($A79,$A$38:$G$44,G$64,FALSE)*VLOOKUP(A74,$A$30:$G$35,G$63-2015,FALSE)</f>
        <v>0.17481419237702064</v>
      </c>
      <c r="H79" s="169">
        <f ca="1">SUM(B79:G79)</f>
        <v>1.2017984989897295</v>
      </c>
    </row>
    <row r="80" spans="1:8" s="71" customFormat="1" x14ac:dyDescent="0.3">
      <c r="A80" s="8" t="str">
        <f t="shared" si="25"/>
        <v>Overheads</v>
      </c>
      <c r="B80" s="169">
        <f ca="1">HLOOKUP($A80,$A$38:$G$44,B$64,FALSE)*VLOOKUP(A74,$A$30:$G$35,B74-2015,FALSE)</f>
        <v>1.1648457024607908</v>
      </c>
      <c r="C80" s="169">
        <f ca="1">HLOOKUP($A80,$A$38:$G$44,C$64,FALSE)*VLOOKUP(A74,$A$30:$G$35,C$63-2015,FALSE)</f>
        <v>1.6194289288381949</v>
      </c>
      <c r="D80" s="169">
        <f ca="1">HLOOKUP($A80,$A$38:$G$44,D$64,FALSE)*VLOOKUP(A74,$A$30:$G$35,D$63-2015,FALSE)</f>
        <v>1.9086398834236511</v>
      </c>
      <c r="E80" s="169">
        <f ca="1">HLOOKUP($A80,$A$38:$G$44,E$64,FALSE)*VLOOKUP(A74,$A$30:$G$35,E$63-2015,FALSE)</f>
        <v>1.0160487620581284</v>
      </c>
      <c r="F80" s="169">
        <f ca="1">HLOOKUP($A80,$A$38:$G$44,F$64,FALSE)*VLOOKUP(A74,$A$30:$G$35,F$63-2015,FALSE)</f>
        <v>1.2684891539064351</v>
      </c>
      <c r="G80" s="169">
        <f ca="1">HLOOKUP($A80,$A$38:$G$44,G$64,FALSE)*VLOOKUP(A74,$A$30:$G$35,G$63-2015,FALSE)</f>
        <v>1.1877082285149771</v>
      </c>
      <c r="H80" s="169">
        <f ca="1">SUM(B80:G80)</f>
        <v>8.1651606592021757</v>
      </c>
    </row>
    <row r="81" spans="1:8" s="71" customFormat="1" x14ac:dyDescent="0.3">
      <c r="A81" s="8" t="str">
        <f t="shared" si="25"/>
        <v>Total</v>
      </c>
      <c r="B81" s="169">
        <f ca="1">SUM(B76:B80)</f>
        <v>6.2546219999999986</v>
      </c>
      <c r="C81" s="169">
        <f t="shared" ref="C81" ca="1" si="26">SUM(C76:C80)</f>
        <v>8.6954999999999991</v>
      </c>
      <c r="D81" s="169">
        <f t="shared" ref="D81" ca="1" si="27">SUM(D76:D80)</f>
        <v>10.248413999999999</v>
      </c>
      <c r="E81" s="169">
        <f t="shared" ref="E81" ca="1" si="28">SUM(E76:E80)</f>
        <v>5.4556589999999989</v>
      </c>
      <c r="F81" s="169">
        <f t="shared" ref="F81" ca="1" si="29">SUM(F76:F80)</f>
        <v>6.8111339999999991</v>
      </c>
      <c r="G81" s="169">
        <f t="shared" ref="G81:H81" ca="1" si="30">SUM(G76:G80)</f>
        <v>6.377381999999999</v>
      </c>
      <c r="H81" s="169">
        <f t="shared" ca="1" si="30"/>
        <v>43.842710999999994</v>
      </c>
    </row>
    <row r="82" spans="1:8" s="71" customFormat="1" x14ac:dyDescent="0.3"/>
    <row r="83" spans="1:8" s="71" customFormat="1" x14ac:dyDescent="0.3">
      <c r="A83" s="34" t="s">
        <v>65</v>
      </c>
      <c r="B83" s="34" t="b">
        <f ca="1">B81=VLOOKUP(A74,$A$30:$G$35,B74-2015,FALSE)</f>
        <v>1</v>
      </c>
      <c r="C83" s="34" t="b">
        <f ca="1">C81=VLOOKUP(A74,$A$30:$G$35,C74-2015,FALSE)</f>
        <v>1</v>
      </c>
      <c r="D83" s="34" t="b">
        <f ca="1">D81=VLOOKUP(A74,$A$30:$G$35,D74-2015,FALSE)</f>
        <v>1</v>
      </c>
      <c r="E83" s="34" t="b">
        <f ca="1">E81=VLOOKUP(A74,$A$30:$G$35,E74-2015,FALSE)</f>
        <v>1</v>
      </c>
      <c r="F83" s="34" t="b">
        <f ca="1">F81=VLOOKUP(A74,$A$30:$G$35,F74-2015,FALSE)</f>
        <v>1</v>
      </c>
      <c r="G83" s="34" t="b">
        <f ca="1">G81=VLOOKUP(A74,$A$30:$G$35,G74-2015,FALSE)</f>
        <v>1</v>
      </c>
    </row>
    <row r="84" spans="1:8" s="71" customFormat="1" x14ac:dyDescent="0.3"/>
    <row r="85" spans="1:8" s="71" customFormat="1" x14ac:dyDescent="0.3">
      <c r="A85" s="14" t="str">
        <f ca="1">INDIRECT(ADDRESS(B86+37,1))</f>
        <v>Toowoomba Crossing</v>
      </c>
      <c r="B85" s="227">
        <f t="shared" ref="B85:G85" si="31">B$50</f>
        <v>2017</v>
      </c>
      <c r="C85" s="227">
        <f t="shared" si="31"/>
        <v>2018</v>
      </c>
      <c r="D85" s="227">
        <f t="shared" si="31"/>
        <v>2019</v>
      </c>
      <c r="E85" s="227">
        <f t="shared" si="31"/>
        <v>2020</v>
      </c>
      <c r="F85" s="227">
        <f t="shared" si="31"/>
        <v>2021</v>
      </c>
      <c r="G85" s="227">
        <f t="shared" si="31"/>
        <v>2022</v>
      </c>
      <c r="H85" s="227" t="s">
        <v>62</v>
      </c>
    </row>
    <row r="86" spans="1:8" s="71" customFormat="1" x14ac:dyDescent="0.3">
      <c r="A86" s="6" t="s">
        <v>531</v>
      </c>
      <c r="B86" s="6">
        <f>B75+1</f>
        <v>4</v>
      </c>
      <c r="C86" s="6">
        <f>B86</f>
        <v>4</v>
      </c>
      <c r="D86" s="6">
        <f>C86</f>
        <v>4</v>
      </c>
      <c r="E86" s="6">
        <f>D86</f>
        <v>4</v>
      </c>
      <c r="F86" s="6">
        <f>E86</f>
        <v>4</v>
      </c>
      <c r="G86" s="6">
        <f>F86</f>
        <v>4</v>
      </c>
      <c r="H86" s="6"/>
    </row>
    <row r="87" spans="1:8" s="71" customFormat="1" x14ac:dyDescent="0.3">
      <c r="A87" s="8" t="str">
        <f>A76</f>
        <v>Direct labour expenditure</v>
      </c>
      <c r="B87" s="169">
        <f ca="1">HLOOKUP($A87,$A$38:$G$44,B$64,FALSE)*VLOOKUP(A85,$A$30:$G$35,B85-2015,FALSE)</f>
        <v>4.8827248840856916E-2</v>
      </c>
      <c r="C87" s="169">
        <f ca="1">HLOOKUP($A87,$A$38:$G$44,C$64,FALSE)*VLOOKUP(A85,$A$30:$G$35,C$63-2015,FALSE)</f>
        <v>1.8961248299866102</v>
      </c>
      <c r="D87" s="169">
        <f ca="1">HLOOKUP($A87,$A$38:$G$44,D$64,FALSE)*VLOOKUP(A85,$A$30:$G$35,D$63-2015,FALSE)</f>
        <v>0.56965123647666394</v>
      </c>
      <c r="E87" s="169">
        <f ca="1">HLOOKUP($A87,$A$38:$G$44,E$64,FALSE)*VLOOKUP(A85,$A$30:$G$35,E$63-2015,FALSE)</f>
        <v>0</v>
      </c>
      <c r="F87" s="169">
        <f ca="1">HLOOKUP($A87,$A$38:$G$44,F$64,FALSE)*VLOOKUP(A85,$A$30:$G$35,F$63-2015,FALSE)</f>
        <v>0</v>
      </c>
      <c r="G87" s="169">
        <f ca="1">HLOOKUP($A87,$A$38:$G$44,G$64,FALSE)*VLOOKUP(A85,$A$30:$G$35,G$63-2015,FALSE)</f>
        <v>0</v>
      </c>
      <c r="H87" s="169">
        <f ca="1">SUM(B87:G87)</f>
        <v>2.5146033153041314</v>
      </c>
    </row>
    <row r="88" spans="1:8" s="71" customFormat="1" x14ac:dyDescent="0.3">
      <c r="A88" s="8" t="str">
        <f t="shared" ref="A88:A92" si="32">A77</f>
        <v>Direct materials expenditure</v>
      </c>
      <c r="B88" s="169">
        <f ca="1">HLOOKUP($A88,$A$38:$G$44,B$64,FALSE)*VLOOKUP(A85,$A$30:$G$35,B85-2015,FALSE)</f>
        <v>8.0756243309326251E-2</v>
      </c>
      <c r="C88" s="169">
        <f ca="1">HLOOKUP($A88,$A$38:$G$44,C$64,FALSE)*VLOOKUP(A85,$A$30:$G$35,C$63-2015,FALSE)</f>
        <v>3.1360341151788367</v>
      </c>
      <c r="D88" s="169">
        <f ca="1">HLOOKUP($A88,$A$38:$G$44,D$64,FALSE)*VLOOKUP(A85,$A$30:$G$35,D$63-2015,FALSE)</f>
        <v>0.94215617194213963</v>
      </c>
      <c r="E88" s="169">
        <f ca="1">HLOOKUP($A88,$A$38:$G$44,E$64,FALSE)*VLOOKUP(A85,$A$30:$G$35,E$63-2015,FALSE)</f>
        <v>0</v>
      </c>
      <c r="F88" s="169">
        <f ca="1">HLOOKUP($A88,$A$38:$G$44,F$64,FALSE)*VLOOKUP(A85,$A$30:$G$35,F$63-2015,FALSE)</f>
        <v>0</v>
      </c>
      <c r="G88" s="169">
        <f ca="1">HLOOKUP($A88,$A$38:$G$44,G$64,FALSE)*VLOOKUP(A85,$A$30:$G$35,G$63-2015,FALSE)</f>
        <v>0</v>
      </c>
      <c r="H88" s="169">
        <f ca="1">SUM(B88:G88)</f>
        <v>4.1589465304303026</v>
      </c>
    </row>
    <row r="89" spans="1:8" s="71" customFormat="1" x14ac:dyDescent="0.3">
      <c r="A89" s="8" t="str">
        <f t="shared" si="32"/>
        <v>Direct contractor expenditure</v>
      </c>
      <c r="B89" s="169">
        <f ca="1">HLOOKUP($A89,$A$38:$G$44,B$64,FALSE)*VLOOKUP(A85,$A$30:$G$35,B85-2015,FALSE)</f>
        <v>0.11174757517936455</v>
      </c>
      <c r="C89" s="169">
        <f ca="1">HLOOKUP($A89,$A$38:$G$44,C$64,FALSE)*VLOOKUP(A85,$A$30:$G$35,C$63-2015,FALSE)</f>
        <v>4.3395308361319902</v>
      </c>
      <c r="D89" s="169">
        <f ca="1">HLOOKUP($A89,$A$38:$G$44,D$64,FALSE)*VLOOKUP(A85,$A$30:$G$35,D$63-2015,FALSE)</f>
        <v>1.3037217104259198</v>
      </c>
      <c r="E89" s="169">
        <f ca="1">HLOOKUP($A89,$A$38:$G$44,E$64,FALSE)*VLOOKUP(A85,$A$30:$G$35,E$63-2015,FALSE)</f>
        <v>0</v>
      </c>
      <c r="F89" s="169">
        <f ca="1">HLOOKUP($A89,$A$38:$G$44,F$64,FALSE)*VLOOKUP(A85,$A$30:$G$35,F$63-2015,FALSE)</f>
        <v>0</v>
      </c>
      <c r="G89" s="169">
        <f ca="1">HLOOKUP($A89,$A$38:$G$44,G$64,FALSE)*VLOOKUP(A85,$A$30:$G$35,G$63-2015,FALSE)</f>
        <v>0</v>
      </c>
      <c r="H89" s="169">
        <f ca="1">SUM(B89:G89)</f>
        <v>5.7550001217372753</v>
      </c>
    </row>
    <row r="90" spans="1:8" s="71" customFormat="1" x14ac:dyDescent="0.3">
      <c r="A90" s="8" t="str">
        <f t="shared" si="32"/>
        <v>Other direct expenditure</v>
      </c>
      <c r="B90" s="169">
        <f ca="1">HLOOKUP($A90,$A$38:$G$44,B$64,FALSE)*VLOOKUP(A85,$A$30:$G$35,B85-2015,FALSE)</f>
        <v>8.4126175349865575E-3</v>
      </c>
      <c r="C90" s="169">
        <f ca="1">HLOOKUP($A90,$A$38:$G$44,C$64,FALSE)*VLOOKUP(A85,$A$30:$G$35,C$63-2015,FALSE)</f>
        <v>0.32668998094197799</v>
      </c>
      <c r="D90" s="169">
        <f ca="1">HLOOKUP($A90,$A$38:$G$44,D$64,FALSE)*VLOOKUP(A85,$A$30:$G$35,D$63-2015,FALSE)</f>
        <v>9.8147204574843161E-2</v>
      </c>
      <c r="E90" s="169">
        <f ca="1">HLOOKUP($A90,$A$38:$G$44,E$64,FALSE)*VLOOKUP(A85,$A$30:$G$35,E$63-2015,FALSE)</f>
        <v>0</v>
      </c>
      <c r="F90" s="169">
        <f ca="1">HLOOKUP($A90,$A$38:$G$44,F$64,FALSE)*VLOOKUP(A85,$A$30:$G$35,F$63-2015,FALSE)</f>
        <v>0</v>
      </c>
      <c r="G90" s="169">
        <f ca="1">HLOOKUP($A90,$A$38:$G$44,G$64,FALSE)*VLOOKUP(A85,$A$30:$G$35,G$63-2015,FALSE)</f>
        <v>0</v>
      </c>
      <c r="H90" s="169">
        <f ca="1">SUM(B90:G90)</f>
        <v>0.43324980305180771</v>
      </c>
    </row>
    <row r="91" spans="1:8" s="71" customFormat="1" x14ac:dyDescent="0.3">
      <c r="A91" s="8" t="str">
        <f t="shared" si="32"/>
        <v>Overheads</v>
      </c>
      <c r="B91" s="169">
        <f ca="1">HLOOKUP($A91,$A$38:$G$44,B$64,FALSE)*VLOOKUP(A85,$A$30:$G$35,B85-2015,FALSE)</f>
        <v>5.7156315135465693E-2</v>
      </c>
      <c r="C91" s="169">
        <f ca="1">HLOOKUP($A91,$A$38:$G$44,C$64,FALSE)*VLOOKUP(A85,$A$30:$G$35,C$63-2015,FALSE)</f>
        <v>2.2195702377605846</v>
      </c>
      <c r="D91" s="169">
        <f ca="1">HLOOKUP($A91,$A$38:$G$44,D$64,FALSE)*VLOOKUP(A85,$A$30:$G$35,D$63-2015,FALSE)</f>
        <v>0.66682367658043307</v>
      </c>
      <c r="E91" s="169">
        <f ca="1">HLOOKUP($A91,$A$38:$G$44,E$64,FALSE)*VLOOKUP(A85,$A$30:$G$35,E$63-2015,FALSE)</f>
        <v>0</v>
      </c>
      <c r="F91" s="169">
        <f ca="1">HLOOKUP($A91,$A$38:$G$44,F$64,FALSE)*VLOOKUP(A85,$A$30:$G$35,F$63-2015,FALSE)</f>
        <v>0</v>
      </c>
      <c r="G91" s="169">
        <f ca="1">HLOOKUP($A91,$A$38:$G$44,G$64,FALSE)*VLOOKUP(A85,$A$30:$G$35,G$63-2015,FALSE)</f>
        <v>0</v>
      </c>
      <c r="H91" s="169">
        <f ca="1">SUM(B91:G91)</f>
        <v>2.9435502294764833</v>
      </c>
    </row>
    <row r="92" spans="1:8" s="71" customFormat="1" x14ac:dyDescent="0.3">
      <c r="A92" s="8" t="str">
        <f t="shared" si="32"/>
        <v>Total</v>
      </c>
      <c r="B92" s="169">
        <f ca="1">SUM(B87:B91)</f>
        <v>0.30690000000000001</v>
      </c>
      <c r="C92" s="169">
        <f t="shared" ref="C92" ca="1" si="33">SUM(C87:C91)</f>
        <v>11.917950000000001</v>
      </c>
      <c r="D92" s="169">
        <f t="shared" ref="D92" ca="1" si="34">SUM(D87:D91)</f>
        <v>3.5804999999999993</v>
      </c>
      <c r="E92" s="169">
        <f t="shared" ref="E92" ca="1" si="35">SUM(E87:E91)</f>
        <v>0</v>
      </c>
      <c r="F92" s="169">
        <f t="shared" ref="F92" ca="1" si="36">SUM(F87:F91)</f>
        <v>0</v>
      </c>
      <c r="G92" s="169">
        <f t="shared" ref="G92:H92" ca="1" si="37">SUM(G87:G91)</f>
        <v>0</v>
      </c>
      <c r="H92" s="169">
        <f t="shared" ca="1" si="37"/>
        <v>15.805350000000001</v>
      </c>
    </row>
    <row r="93" spans="1:8" s="71" customFormat="1" x14ac:dyDescent="0.3"/>
    <row r="94" spans="1:8" x14ac:dyDescent="0.3">
      <c r="A94" s="34" t="s">
        <v>65</v>
      </c>
      <c r="B94" s="34" t="b">
        <f ca="1">B92=VLOOKUP(A85,$A$30:$G$35,B85-2015,FALSE)</f>
        <v>1</v>
      </c>
      <c r="C94" s="34" t="b">
        <f ca="1">C92=VLOOKUP(A85,$A$30:$G$35,C85-2015,FALSE)</f>
        <v>1</v>
      </c>
      <c r="D94" s="34" t="b">
        <f ca="1">D92=VLOOKUP(A85,$A$30:$G$35,D85-2015,FALSE)</f>
        <v>1</v>
      </c>
      <c r="E94" s="34" t="b">
        <f ca="1">E92=VLOOKUP(A85,$A$30:$G$35,E85-2015,FALSE)</f>
        <v>1</v>
      </c>
      <c r="F94" s="34" t="b">
        <f ca="1">F92=VLOOKUP(A85,$A$30:$G$35,F85-2015,FALSE)</f>
        <v>1</v>
      </c>
      <c r="G94" s="34" t="b">
        <f ca="1">G92=VLOOKUP(A85,$A$30:$G$35,G85-2015,FALSE)</f>
        <v>1</v>
      </c>
    </row>
    <row r="95" spans="1:8" x14ac:dyDescent="0.3">
      <c r="A95" s="71"/>
      <c r="B95" s="71"/>
      <c r="C95" s="71"/>
      <c r="D95" s="71"/>
      <c r="E95" s="71"/>
      <c r="F95" s="71"/>
      <c r="G95" s="71"/>
    </row>
    <row r="96" spans="1:8" x14ac:dyDescent="0.3">
      <c r="A96" s="14" t="str">
        <f ca="1">INDIRECT(ADDRESS(B97+37,1))</f>
        <v>Dalby Turbine Overhaul</v>
      </c>
      <c r="B96" s="227">
        <f t="shared" ref="B96:G96" si="38">B$50</f>
        <v>2017</v>
      </c>
      <c r="C96" s="227">
        <f t="shared" si="38"/>
        <v>2018</v>
      </c>
      <c r="D96" s="227">
        <f t="shared" si="38"/>
        <v>2019</v>
      </c>
      <c r="E96" s="227">
        <f t="shared" si="38"/>
        <v>2020</v>
      </c>
      <c r="F96" s="227">
        <f t="shared" si="38"/>
        <v>2021</v>
      </c>
      <c r="G96" s="227">
        <f t="shared" si="38"/>
        <v>2022</v>
      </c>
      <c r="H96" s="227" t="s">
        <v>62</v>
      </c>
    </row>
    <row r="97" spans="1:8" x14ac:dyDescent="0.3">
      <c r="A97" s="6" t="s">
        <v>531</v>
      </c>
      <c r="B97" s="6">
        <f>B86+1</f>
        <v>5</v>
      </c>
      <c r="C97" s="6">
        <f>B97</f>
        <v>5</v>
      </c>
      <c r="D97" s="6">
        <f>C97</f>
        <v>5</v>
      </c>
      <c r="E97" s="6">
        <f>D97</f>
        <v>5</v>
      </c>
      <c r="F97" s="6">
        <f>E97</f>
        <v>5</v>
      </c>
      <c r="G97" s="6">
        <f>F97</f>
        <v>5</v>
      </c>
      <c r="H97" s="6"/>
    </row>
    <row r="98" spans="1:8" x14ac:dyDescent="0.3">
      <c r="A98" s="8" t="str">
        <f>A87</f>
        <v>Direct labour expenditure</v>
      </c>
      <c r="B98" s="169">
        <f ca="1">HLOOKUP($A98,$A$38:$G$44,B$64,FALSE)*VLOOKUP(A96,$A$30:$G$35,B96-2015,FALSE)</f>
        <v>0</v>
      </c>
      <c r="C98" s="169">
        <f ca="1">HLOOKUP($A98,$A$38:$G$44,C$64,FALSE)*VLOOKUP(A96,$A$30:$G$35,C$63-2015,FALSE)</f>
        <v>0</v>
      </c>
      <c r="D98" s="169">
        <f ca="1">HLOOKUP($A98,$A$38:$G$44,D$64,FALSE)*VLOOKUP(A96,$A$30:$G$35,D$63-2015,FALSE)</f>
        <v>0</v>
      </c>
      <c r="E98" s="169">
        <f ca="1">HLOOKUP($A98,$A$38:$G$44,E$64,FALSE)*VLOOKUP(A96,$A$30:$G$35,E$63-2015,FALSE)</f>
        <v>0</v>
      </c>
      <c r="F98" s="169">
        <f ca="1">HLOOKUP($A98,$A$38:$G$44,F$64,FALSE)*VLOOKUP(A96,$A$30:$G$35,F$63-2015,FALSE)</f>
        <v>0</v>
      </c>
      <c r="G98" s="169">
        <f ca="1">HLOOKUP($A98,$A$38:$G$44,G97,FALSE)*VLOOKUP(A96,$A$30:$G$35,G$63-2015,FALSE)</f>
        <v>0</v>
      </c>
      <c r="H98" s="169">
        <f ca="1">SUM(B98:G98)</f>
        <v>0</v>
      </c>
    </row>
    <row r="99" spans="1:8" x14ac:dyDescent="0.3">
      <c r="A99" s="8" t="str">
        <f t="shared" ref="A99:A103" si="39">A88</f>
        <v>Direct materials expenditure</v>
      </c>
      <c r="B99" s="169">
        <f ca="1">HLOOKUP($A99,$A$38:$G$44,B$64,FALSE)*VLOOKUP(A96,$A$30:$G$35,B96-2015,FALSE)</f>
        <v>0</v>
      </c>
      <c r="C99" s="169">
        <f ca="1">HLOOKUP($A99,$A$38:$G$44,C$64,FALSE)*VLOOKUP(A96,$A$30:$G$35,C$63-2015,FALSE)</f>
        <v>0</v>
      </c>
      <c r="D99" s="169">
        <f ca="1">HLOOKUP($A99,$A$38:$G$44,D$64,FALSE)*VLOOKUP(A96,$A$30:$G$35,D$63-2015,FALSE)</f>
        <v>0</v>
      </c>
      <c r="E99" s="169">
        <f ca="1">HLOOKUP($A99,$A$38:$G$44,E$64,FALSE)*VLOOKUP(A96,$A$30:$G$35,E$63-2015,FALSE)</f>
        <v>0</v>
      </c>
      <c r="F99" s="169">
        <f ca="1">HLOOKUP($A99,$A$38:$G$44,F$64,FALSE)*VLOOKUP(A96,$A$30:$G$35,F$63-2015,FALSE)</f>
        <v>0</v>
      </c>
      <c r="G99" s="169">
        <f ca="1">HLOOKUP($A99,$A$38:$G$44,G97,FALSE)*VLOOKUP(A96,$A$30:$G$35,G$63-2015,FALSE)</f>
        <v>0</v>
      </c>
      <c r="H99" s="169">
        <f ca="1">SUM(B99:G99)</f>
        <v>0</v>
      </c>
    </row>
    <row r="100" spans="1:8" x14ac:dyDescent="0.3">
      <c r="A100" s="8" t="str">
        <f t="shared" si="39"/>
        <v>Direct contractor expenditure</v>
      </c>
      <c r="B100" s="169">
        <f ca="1">HLOOKUP($A100,$A$38:$G$44,B$64,FALSE)*VLOOKUP(A96,$A$30:$G$35,B96-2015,FALSE)</f>
        <v>0</v>
      </c>
      <c r="C100" s="169">
        <f ca="1">HLOOKUP($A100,$A$38:$G$44,C$64,FALSE)*VLOOKUP(A96,$A$30:$G$35,C$63-2015,FALSE)</f>
        <v>0</v>
      </c>
      <c r="D100" s="169">
        <f ca="1">HLOOKUP($A100,$A$38:$G$44,D$64,FALSE)*VLOOKUP(A96,$A$30:$G$35,D$63-2015,FALSE)</f>
        <v>0</v>
      </c>
      <c r="E100" s="169">
        <f ca="1">HLOOKUP($A100,$A$38:$G$44,E$64,FALSE)*VLOOKUP(A96,$A$30:$G$35,E$63-2015,FALSE)</f>
        <v>0</v>
      </c>
      <c r="F100" s="169">
        <f ca="1">HLOOKUP($A100,$A$38:$G$44,F$64,FALSE)*VLOOKUP(A96,$A$30:$G$35,F$63-2015,FALSE)</f>
        <v>0</v>
      </c>
      <c r="G100" s="169">
        <f ca="1">HLOOKUP($A100,$A$38:$G$44,G97,FALSE)*VLOOKUP(A96,$A$30:$G$35,G$63-2015,FALSE)</f>
        <v>1.3298999999999999</v>
      </c>
      <c r="H100" s="169">
        <f ca="1">SUM(B100:G100)</f>
        <v>1.3298999999999999</v>
      </c>
    </row>
    <row r="101" spans="1:8" x14ac:dyDescent="0.3">
      <c r="A101" s="8" t="str">
        <f t="shared" si="39"/>
        <v>Other direct expenditure</v>
      </c>
      <c r="B101" s="169">
        <f ca="1">HLOOKUP($A101,$A$38:$G$44,B$64,FALSE)*VLOOKUP(A96,$A$30:$G$35,B96-2015,FALSE)</f>
        <v>0</v>
      </c>
      <c r="C101" s="169">
        <f ca="1">HLOOKUP($A101,$A$38:$G$44,C$64,FALSE)*VLOOKUP(A96,$A$30:$G$35,C$63-2015,FALSE)</f>
        <v>0</v>
      </c>
      <c r="D101" s="169">
        <f ca="1">HLOOKUP($A101,$A$38:$G$44,D$64,FALSE)*VLOOKUP(A96,$A$30:$G$35,D$63-2015,FALSE)</f>
        <v>0</v>
      </c>
      <c r="E101" s="169">
        <f ca="1">HLOOKUP($A101,$A$38:$G$44,E$64,FALSE)*VLOOKUP(A96,$A$30:$G$35,E$63-2015,FALSE)</f>
        <v>0</v>
      </c>
      <c r="F101" s="169">
        <f ca="1">HLOOKUP($A101,$A$38:$G$44,F$64,FALSE)*VLOOKUP(A96,$A$30:$G$35,F$63-2015,FALSE)</f>
        <v>0</v>
      </c>
      <c r="G101" s="169">
        <f ca="1">HLOOKUP($A101,$A$38:$G$44,G97,FALSE)*VLOOKUP(A96,$A$30:$G$35,G$63-2015,FALSE)</f>
        <v>0</v>
      </c>
      <c r="H101" s="169">
        <f ca="1">SUM(B101:G101)</f>
        <v>0</v>
      </c>
    </row>
    <row r="102" spans="1:8" x14ac:dyDescent="0.3">
      <c r="A102" s="8" t="str">
        <f t="shared" si="39"/>
        <v>Overheads</v>
      </c>
      <c r="B102" s="169">
        <f ca="1">HLOOKUP($A102,$A$38:$G$44,B$64,FALSE)*VLOOKUP(A96,$A$30:$G$35,B96-2015,FALSE)</f>
        <v>0</v>
      </c>
      <c r="C102" s="169">
        <f ca="1">HLOOKUP($A102,$A$38:$G$44,C$64,FALSE)*VLOOKUP(A96,$A$30:$G$35,C$63-2015,FALSE)</f>
        <v>0</v>
      </c>
      <c r="D102" s="169">
        <f ca="1">HLOOKUP($A102,$A$38:$G$44,D$64,FALSE)*VLOOKUP(A96,$A$30:$G$35,D$63-2015,FALSE)</f>
        <v>0</v>
      </c>
      <c r="E102" s="169">
        <f ca="1">HLOOKUP($A102,$A$38:$G$44,E$64,FALSE)*VLOOKUP(A96,$A$30:$G$35,E$63-2015,FALSE)</f>
        <v>0</v>
      </c>
      <c r="F102" s="169">
        <f ca="1">HLOOKUP($A102,$A$38:$G$44,F$64,FALSE)*VLOOKUP(A96,$A$30:$G$35,F$63-2015,FALSE)</f>
        <v>0</v>
      </c>
      <c r="G102" s="169">
        <f ca="1">HLOOKUP($A102,$A$38:$G$44,G97,FALSE)*VLOOKUP(A96,$A$30:$G$35,G$63-2015,FALSE)</f>
        <v>0</v>
      </c>
      <c r="H102" s="169">
        <f ca="1">SUM(B102:G102)</f>
        <v>0</v>
      </c>
    </row>
    <row r="103" spans="1:8" x14ac:dyDescent="0.3">
      <c r="A103" s="8" t="str">
        <f t="shared" si="39"/>
        <v>Total</v>
      </c>
      <c r="B103" s="169">
        <f ca="1">SUM(B98:B102)</f>
        <v>0</v>
      </c>
      <c r="C103" s="169">
        <f t="shared" ref="C103" ca="1" si="40">SUM(C98:C102)</f>
        <v>0</v>
      </c>
      <c r="D103" s="169">
        <f t="shared" ref="D103" ca="1" si="41">SUM(D98:D102)</f>
        <v>0</v>
      </c>
      <c r="E103" s="169">
        <f t="shared" ref="E103" ca="1" si="42">SUM(E98:E102)</f>
        <v>0</v>
      </c>
      <c r="F103" s="169">
        <f t="shared" ref="F103" ca="1" si="43">SUM(F98:F102)</f>
        <v>0</v>
      </c>
      <c r="G103" s="169">
        <f t="shared" ref="G103:H103" ca="1" si="44">SUM(G98:G102)</f>
        <v>1.3298999999999999</v>
      </c>
      <c r="H103" s="169">
        <f t="shared" ca="1" si="44"/>
        <v>1.3298999999999999</v>
      </c>
    </row>
    <row r="104" spans="1:8" x14ac:dyDescent="0.3">
      <c r="A104" s="71"/>
      <c r="B104" s="71"/>
      <c r="C104" s="71"/>
      <c r="D104" s="71"/>
      <c r="E104" s="71"/>
      <c r="F104" s="71"/>
      <c r="G104" s="71"/>
    </row>
    <row r="105" spans="1:8" x14ac:dyDescent="0.3">
      <c r="A105" s="34" t="s">
        <v>65</v>
      </c>
      <c r="B105" s="34" t="b">
        <f ca="1">B103=VLOOKUP(A96,$A$30:$G$35,B96-2015,FALSE)</f>
        <v>1</v>
      </c>
      <c r="C105" s="34" t="b">
        <f ca="1">C103=VLOOKUP(A96,$A$30:$G$35,C96-2015,FALSE)</f>
        <v>1</v>
      </c>
      <c r="D105" s="34" t="b">
        <f ca="1">D103=VLOOKUP(A96,$A$30:$G$35,D96-2015,FALSE)</f>
        <v>1</v>
      </c>
      <c r="E105" s="34" t="b">
        <f ca="1">E103=VLOOKUP(A96,$A$30:$G$35,E96-2015,FALSE)</f>
        <v>1</v>
      </c>
      <c r="F105" s="34" t="b">
        <f ca="1">F103=VLOOKUP(A96,$A$30:$G$35,F96-2015,FALSE)</f>
        <v>1</v>
      </c>
      <c r="G105" s="34" t="b">
        <f ca="1">G103=VLOOKUP(A96,$A$30:$G$35,G96-2015,FALSE)</f>
        <v>1</v>
      </c>
    </row>
    <row r="106" spans="1:8" x14ac:dyDescent="0.3">
      <c r="A106" s="71"/>
      <c r="B106" s="71"/>
      <c r="C106" s="71"/>
      <c r="D106" s="71"/>
      <c r="E106" s="71"/>
      <c r="F106" s="71"/>
      <c r="G106" s="71"/>
    </row>
    <row r="107" spans="1:8" x14ac:dyDescent="0.3">
      <c r="A107" s="14" t="str">
        <f ca="1">INDIRECT(ADDRESS(B108+37,1))</f>
        <v>Applications and Renewals</v>
      </c>
      <c r="B107" s="227">
        <f t="shared" ref="B107:G107" si="45">B$50</f>
        <v>2017</v>
      </c>
      <c r="C107" s="227">
        <f t="shared" si="45"/>
        <v>2018</v>
      </c>
      <c r="D107" s="227">
        <f t="shared" si="45"/>
        <v>2019</v>
      </c>
      <c r="E107" s="227">
        <f t="shared" si="45"/>
        <v>2020</v>
      </c>
      <c r="F107" s="227">
        <f t="shared" si="45"/>
        <v>2021</v>
      </c>
      <c r="G107" s="227">
        <f t="shared" si="45"/>
        <v>2022</v>
      </c>
      <c r="H107" s="227" t="s">
        <v>62</v>
      </c>
    </row>
    <row r="108" spans="1:8" x14ac:dyDescent="0.3">
      <c r="A108" s="6" t="s">
        <v>531</v>
      </c>
      <c r="B108" s="6">
        <f>B97+1</f>
        <v>6</v>
      </c>
      <c r="C108" s="6">
        <f>B108</f>
        <v>6</v>
      </c>
      <c r="D108" s="6">
        <f>C108</f>
        <v>6</v>
      </c>
      <c r="E108" s="6">
        <f>D108</f>
        <v>6</v>
      </c>
      <c r="F108" s="6">
        <f>E108</f>
        <v>6</v>
      </c>
      <c r="G108" s="6">
        <f>F108</f>
        <v>6</v>
      </c>
      <c r="H108" s="6"/>
    </row>
    <row r="109" spans="1:8" x14ac:dyDescent="0.3">
      <c r="A109" s="8" t="str">
        <f>A98</f>
        <v>Direct labour expenditure</v>
      </c>
      <c r="B109" s="169">
        <v>0</v>
      </c>
      <c r="C109" s="169">
        <f>SUM(inputs│RIN!B57,inputs│RIN!B64,inputs│RIN!B71,inputs│RIN!B78,inputs│RIN!B85,inputs│RIN!B92,inputs│RIN!B99,inputs│RIN!B106)/1000*'inputs¦other'!$C$26/'inputs¦other'!$B$14</f>
        <v>0.13388863424990835</v>
      </c>
      <c r="D109" s="169">
        <f>SUM(inputs│RIN!C57,inputs│RIN!C64,inputs│RIN!C71,inputs│RIN!C78,inputs│RIN!C85,inputs│RIN!C92,inputs│RIN!C99,inputs│RIN!C106)/1000*'inputs¦other'!$C$26/'inputs¦other'!$B$14</f>
        <v>0.16572574727891881</v>
      </c>
      <c r="E109" s="169">
        <f>SUM(inputs│RIN!D57,inputs│RIN!D64,inputs│RIN!D71,inputs│RIN!D78,inputs│RIN!D85,inputs│RIN!D92,inputs│RIN!D99,inputs│RIN!D106)/1000*'inputs¦other'!$C$26/'inputs¦other'!$B$14</f>
        <v>0.13388863424990835</v>
      </c>
      <c r="F109" s="169">
        <f>SUM(inputs│RIN!E57,inputs│RIN!E64,inputs│RIN!E71,inputs│RIN!E78,inputs│RIN!E85,inputs│RIN!E92,inputs│RIN!E99,inputs│RIN!E106)/1000*'inputs¦other'!$C$26/'inputs¦other'!$B$14</f>
        <v>0.16572574727891881</v>
      </c>
      <c r="G109" s="169">
        <f>SUM(inputs│RIN!F57,inputs│RIN!F64,inputs│RIN!F71,inputs│RIN!F78,inputs│RIN!F85,inputs│RIN!F92,inputs│RIN!F99,inputs│RIN!F106)/1000*'inputs¦other'!$C$26/'inputs¦other'!$B$14</f>
        <v>0.13388863424990835</v>
      </c>
      <c r="H109" s="169">
        <f>SUM(B109:G109)</f>
        <v>0.73311739730756265</v>
      </c>
    </row>
    <row r="110" spans="1:8" x14ac:dyDescent="0.3">
      <c r="A110" s="8" t="str">
        <f t="shared" ref="A110:A114" si="46">A99</f>
        <v>Direct materials expenditure</v>
      </c>
      <c r="B110" s="169">
        <v>0</v>
      </c>
      <c r="C110" s="169">
        <f>SUM(inputs│RIN!B59,inputs│RIN!B66,inputs│RIN!B73,inputs│RIN!B80,inputs│RIN!B87,inputs│RIN!B94,inputs│RIN!B101,inputs│RIN!B108)/1000*'inputs¦other'!$C$26/'inputs¦other'!$B$14</f>
        <v>2.8998920782238216E-2</v>
      </c>
      <c r="D110" s="169">
        <f>SUM(inputs│RIN!C59,inputs│RIN!C66,inputs│RIN!C73,inputs│RIN!C80,inputs│RIN!C87,inputs│RIN!C94,inputs│RIN!C101,inputs│RIN!C108)/1000*'inputs¦other'!$C$26/'inputs¦other'!$B$14</f>
        <v>3.4305106287073298E-2</v>
      </c>
      <c r="E110" s="169">
        <f>SUM(inputs│RIN!D59,inputs│RIN!D66,inputs│RIN!D73,inputs│RIN!D80,inputs│RIN!D87,inputs│RIN!D94,inputs│RIN!D101,inputs│RIN!D108)/1000*'inputs¦other'!$C$26/'inputs¦other'!$B$14</f>
        <v>2.8998920782238216E-2</v>
      </c>
      <c r="F110" s="169">
        <f>SUM(inputs│RIN!E59,inputs│RIN!E66,inputs│RIN!E73,inputs│RIN!E80,inputs│RIN!E87,inputs│RIN!E94,inputs│RIN!E101,inputs│RIN!E108)/1000*'inputs¦other'!$C$26/'inputs¦other'!$B$14</f>
        <v>3.4305106287073298E-2</v>
      </c>
      <c r="G110" s="169">
        <f>SUM(inputs│RIN!F59,inputs│RIN!F66,inputs│RIN!F73,inputs│RIN!F80,inputs│RIN!F87,inputs│RIN!F94,inputs│RIN!F101,inputs│RIN!F108)/1000*'inputs¦other'!$C$26/'inputs¦other'!$B$14</f>
        <v>2.8998920782238216E-2</v>
      </c>
      <c r="H110" s="169">
        <f>SUM(B110:G110)</f>
        <v>0.15560697492086123</v>
      </c>
    </row>
    <row r="111" spans="1:8" x14ac:dyDescent="0.3">
      <c r="A111" s="8" t="str">
        <f t="shared" si="46"/>
        <v>Direct contractor expenditure</v>
      </c>
      <c r="B111" s="169">
        <v>0</v>
      </c>
      <c r="C111" s="169">
        <f>SUM(inputs│RIN!B58,inputs│RIN!B65,inputs│RIN!B72,inputs│RIN!B79,inputs│RIN!B86,inputs│RIN!B93,inputs│RIN!B100,inputs│RIN!B107)/1000*'inputs¦other'!$C$26/'inputs¦other'!$B$14</f>
        <v>0.26284128198369106</v>
      </c>
      <c r="D111" s="169">
        <f>SUM(inputs│RIN!C58,inputs│RIN!C65,inputs│RIN!C72,inputs│RIN!C79,inputs│RIN!C86,inputs│RIN!C93,inputs│RIN!C100,inputs│RIN!C107)/1000*'inputs¦other'!$C$26/'inputs¦other'!$B$14</f>
        <v>0.33182169354654711</v>
      </c>
      <c r="E111" s="169">
        <f>SUM(inputs│RIN!D58,inputs│RIN!D65,inputs│RIN!D72,inputs│RIN!D79,inputs│RIN!D86,inputs│RIN!D93,inputs│RIN!D100,inputs│RIN!D107)/1000*'inputs¦other'!$C$26/'inputs¦other'!$B$14</f>
        <v>0.26284128198369106</v>
      </c>
      <c r="F111" s="169">
        <f>SUM(inputs│RIN!E58,inputs│RIN!E65,inputs│RIN!E72,inputs│RIN!E79,inputs│RIN!E86,inputs│RIN!E93,inputs│RIN!E100,inputs│RIN!E107)/1000*'inputs¦other'!$C$26/'inputs¦other'!$B$14</f>
        <v>0.33182169354654711</v>
      </c>
      <c r="G111" s="169">
        <f>SUM(inputs│RIN!F58,inputs│RIN!F65,inputs│RIN!F72,inputs│RIN!F79,inputs│RIN!F86,inputs│RIN!F93,inputs│RIN!F100,inputs│RIN!F107)/1000*'inputs¦other'!$C$26/'inputs¦other'!$B$14</f>
        <v>0.26284128198369106</v>
      </c>
      <c r="H111" s="169">
        <f>SUM(B111:G111)</f>
        <v>1.4521672330441673</v>
      </c>
    </row>
    <row r="112" spans="1:8" x14ac:dyDescent="0.3">
      <c r="A112" s="8" t="str">
        <f t="shared" si="46"/>
        <v>Other direct expenditure</v>
      </c>
      <c r="B112" s="169">
        <v>0</v>
      </c>
      <c r="C112" s="169">
        <v>0</v>
      </c>
      <c r="D112" s="169">
        <v>0</v>
      </c>
      <c r="E112" s="169">
        <v>0</v>
      </c>
      <c r="F112" s="169">
        <v>0</v>
      </c>
      <c r="G112" s="169">
        <v>0</v>
      </c>
      <c r="H112" s="169">
        <f>SUM(B112:G112)</f>
        <v>0</v>
      </c>
    </row>
    <row r="113" spans="1:10" x14ac:dyDescent="0.3">
      <c r="A113" s="8" t="str">
        <f t="shared" si="46"/>
        <v>Overheads</v>
      </c>
      <c r="B113" s="169">
        <v>0</v>
      </c>
      <c r="C113" s="169">
        <v>0</v>
      </c>
      <c r="D113" s="169">
        <v>0</v>
      </c>
      <c r="E113" s="169">
        <v>0</v>
      </c>
      <c r="F113" s="169">
        <v>0</v>
      </c>
      <c r="G113" s="169">
        <v>0</v>
      </c>
      <c r="H113" s="169">
        <f>SUM(B113:G113)</f>
        <v>0</v>
      </c>
    </row>
    <row r="114" spans="1:10" x14ac:dyDescent="0.3">
      <c r="A114" s="8" t="str">
        <f t="shared" si="46"/>
        <v>Total</v>
      </c>
      <c r="B114" s="169">
        <f>SUM(B109:B113)</f>
        <v>0</v>
      </c>
      <c r="C114" s="169">
        <f t="shared" ref="C114" si="47">SUM(C109:C113)</f>
        <v>0.42572883701583764</v>
      </c>
      <c r="D114" s="169">
        <f t="shared" ref="D114" si="48">SUM(D109:D113)</f>
        <v>0.53185254711253926</v>
      </c>
      <c r="E114" s="169">
        <f t="shared" ref="E114" si="49">SUM(E109:E113)</f>
        <v>0.42572883701583764</v>
      </c>
      <c r="F114" s="169">
        <f t="shared" ref="F114" si="50">SUM(F109:F113)</f>
        <v>0.53185254711253926</v>
      </c>
      <c r="G114" s="169">
        <f t="shared" ref="G114" si="51">SUM(G109:G113)</f>
        <v>0.42572883701583764</v>
      </c>
      <c r="H114" s="169">
        <f t="shared" ref="H114" si="52">SUM(H109:H113)</f>
        <v>2.3408916052725912</v>
      </c>
    </row>
    <row r="115" spans="1:10" x14ac:dyDescent="0.3">
      <c r="A115" s="71"/>
      <c r="B115" s="71"/>
      <c r="C115" s="71"/>
      <c r="D115" s="71"/>
      <c r="E115" s="71"/>
      <c r="F115" s="71"/>
      <c r="G115" s="71"/>
    </row>
    <row r="116" spans="1:10" x14ac:dyDescent="0.3">
      <c r="A116" s="34" t="s">
        <v>65</v>
      </c>
      <c r="B116" s="34" t="b">
        <f t="shared" ref="B116:G116" ca="1" si="53">ROUND(B114,2)=ROUND(VLOOKUP($A$107,$A$30:$G$35,B107-2015,FALSE),2)</f>
        <v>1</v>
      </c>
      <c r="C116" s="34" t="b">
        <f t="shared" ca="1" si="53"/>
        <v>1</v>
      </c>
      <c r="D116" s="34" t="b">
        <f t="shared" ca="1" si="53"/>
        <v>1</v>
      </c>
      <c r="E116" s="34" t="b">
        <f t="shared" ca="1" si="53"/>
        <v>1</v>
      </c>
      <c r="F116" s="34" t="b">
        <f t="shared" ca="1" si="53"/>
        <v>1</v>
      </c>
      <c r="G116" s="34" t="b">
        <f t="shared" ca="1" si="53"/>
        <v>1</v>
      </c>
    </row>
    <row r="117" spans="1:10" x14ac:dyDescent="0.3">
      <c r="A117" s="71"/>
      <c r="B117" s="71"/>
      <c r="C117" s="71"/>
      <c r="D117" s="71"/>
      <c r="E117" s="71"/>
      <c r="F117" s="71"/>
      <c r="G117" s="71"/>
    </row>
    <row r="118" spans="1:10" x14ac:dyDescent="0.3">
      <c r="A118" s="14" t="str">
        <f ca="1">INDIRECT(ADDRESS(B119+37,1))</f>
        <v>Infrastructure Renewals</v>
      </c>
      <c r="B118" s="227">
        <f t="shared" ref="B118:G118" si="54">B$50</f>
        <v>2017</v>
      </c>
      <c r="C118" s="227">
        <f t="shared" si="54"/>
        <v>2018</v>
      </c>
      <c r="D118" s="227">
        <f t="shared" si="54"/>
        <v>2019</v>
      </c>
      <c r="E118" s="227">
        <f t="shared" si="54"/>
        <v>2020</v>
      </c>
      <c r="F118" s="227">
        <f t="shared" si="54"/>
        <v>2021</v>
      </c>
      <c r="G118" s="227">
        <f t="shared" si="54"/>
        <v>2022</v>
      </c>
      <c r="H118" s="227" t="s">
        <v>62</v>
      </c>
    </row>
    <row r="119" spans="1:10" x14ac:dyDescent="0.3">
      <c r="A119" s="6" t="s">
        <v>531</v>
      </c>
      <c r="B119" s="6">
        <f>B108+1</f>
        <v>7</v>
      </c>
      <c r="C119" s="6">
        <f>B119</f>
        <v>7</v>
      </c>
      <c r="D119" s="6">
        <f>C119</f>
        <v>7</v>
      </c>
      <c r="E119" s="6">
        <f>D119</f>
        <v>7</v>
      </c>
      <c r="F119" s="6">
        <f>E119</f>
        <v>7</v>
      </c>
      <c r="G119" s="6">
        <f>F119</f>
        <v>7</v>
      </c>
      <c r="H119" s="6"/>
    </row>
    <row r="120" spans="1:10" x14ac:dyDescent="0.3">
      <c r="A120" s="8" t="str">
        <f>A109</f>
        <v>Direct labour expenditure</v>
      </c>
      <c r="B120" s="169">
        <f ca="1">HLOOKUP($A120,$A$38:$G$44,B$64,FALSE)*VLOOKUP(A118,$A$30:$G$35,B118-2015,FALSE)</f>
        <v>0</v>
      </c>
      <c r="C120" s="169">
        <f ca="1">HLOOKUP($A120,$A$38:$G$44,C$64,FALSE)*VLOOKUP(A118,$A$30:$G$35,C$63-2015,FALSE)</f>
        <v>2.2086752373348766E-2</v>
      </c>
      <c r="D120" s="169">
        <f ca="1">HLOOKUP($A120,$A$38:$G$44,D$64,FALSE)*VLOOKUP(A118,$A$30:$G$35,D$63-2015,FALSE)</f>
        <v>7.3622507911162548E-3</v>
      </c>
      <c r="E120" s="169">
        <f ca="1">HLOOKUP($A120,$A$38:$G$44,E$64,FALSE)*VLOOKUP(A118,$A$30:$G$35,E$63-2015,FALSE)</f>
        <v>7.3622507911162548E-3</v>
      </c>
      <c r="F120" s="169">
        <f ca="1">HLOOKUP($A120,$A$38:$G$44,F$64,FALSE)*VLOOKUP(A118,$A$30:$G$35,F$63-2015,FALSE)</f>
        <v>7.3622507911162548E-3</v>
      </c>
      <c r="G120" s="169">
        <f ca="1">HLOOKUP($A120,$A$38:$G$44,G119,FALSE)*VLOOKUP(A118,$A$30:$G$35,G$63-2015,FALSE)</f>
        <v>0</v>
      </c>
      <c r="H120" s="169">
        <f ca="1">SUM(B120:G120)</f>
        <v>4.4173504746697533E-2</v>
      </c>
    </row>
    <row r="121" spans="1:10" x14ac:dyDescent="0.3">
      <c r="A121" s="8" t="str">
        <f t="shared" ref="A121:A125" si="55">A110</f>
        <v>Direct materials expenditure</v>
      </c>
      <c r="B121" s="169">
        <f ca="1">HLOOKUP($A121,$A$38:$G$44,B$64,FALSE)*VLOOKUP(A118,$A$30:$G$35,B118-2015,FALSE)</f>
        <v>0</v>
      </c>
      <c r="C121" s="169">
        <f ca="1">HLOOKUP($A121,$A$38:$G$44,C$64,FALSE)*VLOOKUP(A118,$A$30:$G$35,C$63-2015,FALSE)</f>
        <v>3.6529667161638288E-2</v>
      </c>
      <c r="D121" s="169">
        <f ca="1">HLOOKUP($A121,$A$38:$G$44,D$64,FALSE)*VLOOKUP(A118,$A$30:$G$35,D$63-2015,FALSE)</f>
        <v>1.2176555720546095E-2</v>
      </c>
      <c r="E121" s="169">
        <f ca="1">HLOOKUP($A121,$A$38:$G$44,E$64,FALSE)*VLOOKUP(A118,$A$30:$G$35,E$63-2015,FALSE)</f>
        <v>1.2176555720546095E-2</v>
      </c>
      <c r="F121" s="169">
        <f ca="1">HLOOKUP($A121,$A$38:$G$44,F$64,FALSE)*VLOOKUP(A118,$A$30:$G$35,F$63-2015,FALSE)</f>
        <v>1.2176555720546095E-2</v>
      </c>
      <c r="G121" s="169">
        <f ca="1">HLOOKUP($A121,$A$38:$G$44,G119,FALSE)*VLOOKUP(A118,$A$30:$G$35,G$63-2015,FALSE)</f>
        <v>0</v>
      </c>
      <c r="H121" s="169">
        <f ca="1">SUM(B121:G121)</f>
        <v>7.3059334323276576E-2</v>
      </c>
    </row>
    <row r="122" spans="1:10" x14ac:dyDescent="0.3">
      <c r="A122" s="8" t="str">
        <f t="shared" si="55"/>
        <v>Direct contractor expenditure</v>
      </c>
      <c r="B122" s="169">
        <f ca="1">HLOOKUP($A122,$A$38:$G$44,B$64,FALSE)*VLOOKUP(A118,$A$30:$G$35,B118-2015,FALSE)</f>
        <v>0</v>
      </c>
      <c r="C122" s="169">
        <f ca="1">HLOOKUP($A122,$A$38:$G$44,C$64,FALSE)*VLOOKUP(A118,$A$30:$G$35,C$63-2015,FALSE)</f>
        <v>5.0548435144343963E-2</v>
      </c>
      <c r="D122" s="169">
        <f ca="1">HLOOKUP($A122,$A$38:$G$44,D$64,FALSE)*VLOOKUP(A118,$A$30:$G$35,D$63-2015,FALSE)</f>
        <v>1.6849478381447985E-2</v>
      </c>
      <c r="E122" s="169">
        <f ca="1">HLOOKUP($A122,$A$38:$G$44,E$64,FALSE)*VLOOKUP(A118,$A$30:$G$35,E$63-2015,FALSE)</f>
        <v>1.6849478381447985E-2</v>
      </c>
      <c r="F122" s="169">
        <f ca="1">HLOOKUP($A122,$A$38:$G$44,F$64,FALSE)*VLOOKUP(A118,$A$30:$G$35,F$63-2015,FALSE)</f>
        <v>1.6849478381447985E-2</v>
      </c>
      <c r="G122" s="169">
        <f ca="1">HLOOKUP($A122,$A$38:$G$44,G119,FALSE)*VLOOKUP(A118,$A$30:$G$35,G$63-2015,FALSE)</f>
        <v>0</v>
      </c>
      <c r="H122" s="169">
        <f ca="1">SUM(B122:G122)</f>
        <v>0.10109687028868791</v>
      </c>
    </row>
    <row r="123" spans="1:10" x14ac:dyDescent="0.3">
      <c r="A123" s="8" t="str">
        <f t="shared" si="55"/>
        <v>Other direct expenditure</v>
      </c>
      <c r="B123" s="169">
        <f ca="1">HLOOKUP($A123,$A$38:$G$44,B$64,FALSE)*VLOOKUP(A118,$A$30:$G$35,B118-2015,FALSE)</f>
        <v>0</v>
      </c>
      <c r="C123" s="169">
        <f ca="1">HLOOKUP($A123,$A$38:$G$44,C$64,FALSE)*VLOOKUP(A118,$A$30:$G$35,C$63-2015,FALSE)</f>
        <v>3.8054038414604007E-3</v>
      </c>
      <c r="D123" s="169">
        <f ca="1">HLOOKUP($A123,$A$38:$G$44,D$64,FALSE)*VLOOKUP(A118,$A$30:$G$35,D$63-2015,FALSE)</f>
        <v>1.2684679471534667E-3</v>
      </c>
      <c r="E123" s="169">
        <f ca="1">HLOOKUP($A123,$A$38:$G$44,E$64,FALSE)*VLOOKUP(A118,$A$30:$G$35,E$63-2015,FALSE)</f>
        <v>1.2684679471534667E-3</v>
      </c>
      <c r="F123" s="169">
        <f ca="1">HLOOKUP($A123,$A$38:$G$44,F$64,FALSE)*VLOOKUP(A118,$A$30:$G$35,F$63-2015,FALSE)</f>
        <v>1.2684679471534667E-3</v>
      </c>
      <c r="G123" s="169">
        <f ca="1">HLOOKUP($A123,$A$38:$G$44,G119,FALSE)*VLOOKUP(A118,$A$30:$G$35,G$63-2015,FALSE)</f>
        <v>0</v>
      </c>
      <c r="H123" s="169">
        <f ca="1">SUM(B123:G123)</f>
        <v>7.6108076829208005E-3</v>
      </c>
    </row>
    <row r="124" spans="1:10" x14ac:dyDescent="0.3">
      <c r="A124" s="8" t="str">
        <f t="shared" si="55"/>
        <v>Overheads</v>
      </c>
      <c r="B124" s="169">
        <f ca="1">HLOOKUP($A124,$A$38:$G$44,B$64,FALSE)*VLOOKUP(A118,$A$30:$G$35,B118-2015,FALSE)</f>
        <v>0</v>
      </c>
      <c r="C124" s="169">
        <f ca="1">HLOOKUP($A124,$A$38:$G$44,C$64,FALSE)*VLOOKUP(A118,$A$30:$G$35,C$63-2015,FALSE)</f>
        <v>2.585436224524261E-2</v>
      </c>
      <c r="D124" s="169">
        <f ca="1">HLOOKUP($A124,$A$38:$G$44,D$64,FALSE)*VLOOKUP(A118,$A$30:$G$35,D$63-2015,FALSE)</f>
        <v>8.6181207484142021E-3</v>
      </c>
      <c r="E124" s="169">
        <f ca="1">HLOOKUP($A124,$A$38:$G$44,E$64,FALSE)*VLOOKUP(A118,$A$30:$G$35,E$63-2015,FALSE)</f>
        <v>8.6181207484142021E-3</v>
      </c>
      <c r="F124" s="169">
        <f ca="1">HLOOKUP($A124,$A$38:$G$44,F$64,FALSE)*VLOOKUP(A118,$A$30:$G$35,F$63-2015,FALSE)</f>
        <v>8.6181207484142021E-3</v>
      </c>
      <c r="G124" s="169">
        <f ca="1">HLOOKUP($A124,$A$38:$G$44,G119,FALSE)*VLOOKUP(A118,$A$30:$G$35,G$63-2015,FALSE)</f>
        <v>0</v>
      </c>
      <c r="H124" s="169">
        <f ca="1">SUM(B124:G124)</f>
        <v>5.1708724490485206E-2</v>
      </c>
    </row>
    <row r="125" spans="1:10" x14ac:dyDescent="0.3">
      <c r="A125" s="8" t="str">
        <f t="shared" si="55"/>
        <v>Total</v>
      </c>
      <c r="B125" s="169">
        <f ca="1">SUM(B120:B124)</f>
        <v>0</v>
      </c>
      <c r="C125" s="169">
        <f t="shared" ref="C125:H125" ca="1" si="56">SUM(C120:C124)</f>
        <v>0.13882462076603402</v>
      </c>
      <c r="D125" s="169">
        <f t="shared" ca="1" si="56"/>
        <v>4.6274873588678003E-2</v>
      </c>
      <c r="E125" s="169">
        <f t="shared" ca="1" si="56"/>
        <v>4.6274873588678003E-2</v>
      </c>
      <c r="F125" s="169">
        <f t="shared" ca="1" si="56"/>
        <v>4.6274873588678003E-2</v>
      </c>
      <c r="G125" s="169">
        <f t="shared" ca="1" si="56"/>
        <v>0</v>
      </c>
      <c r="H125" s="169">
        <f t="shared" ca="1" si="56"/>
        <v>0.27764924153206805</v>
      </c>
      <c r="J125" s="236"/>
    </row>
    <row r="126" spans="1:10" x14ac:dyDescent="0.3">
      <c r="A126" s="71"/>
      <c r="B126" s="71"/>
      <c r="C126" s="71"/>
      <c r="D126" s="71"/>
      <c r="E126" s="71"/>
      <c r="F126" s="71"/>
      <c r="G126" s="71"/>
    </row>
    <row r="127" spans="1:10" x14ac:dyDescent="0.3">
      <c r="A127" s="34" t="s">
        <v>65</v>
      </c>
      <c r="B127" s="34" t="b">
        <f ca="1">B125=VLOOKUP(A118,$A$30:$G$35,B118-2015,FALSE)</f>
        <v>1</v>
      </c>
      <c r="C127" s="34" t="b">
        <f ca="1">ROUND(C125,2)=ROUND(VLOOKUP($A$118,$A$30:$G$35,C118-2015,FALSE),2)</f>
        <v>1</v>
      </c>
      <c r="D127" s="34" t="b">
        <f ca="1">ROUND(D125,2)=ROUND(VLOOKUP($A$118,$A$30:$G$35,D118-2015,FALSE),2)</f>
        <v>1</v>
      </c>
      <c r="E127" s="34" t="b">
        <f ca="1">ROUND(E125,2)=ROUND(VLOOKUP($A$118,$A$30:$G$35,E118-2015,FALSE),2)</f>
        <v>1</v>
      </c>
      <c r="F127" s="34" t="b">
        <f ca="1">ROUND(F125,2)=ROUND(VLOOKUP($A$118,$A$30:$G$35,F118-2015,FALSE),2)</f>
        <v>1</v>
      </c>
      <c r="G127" s="34" t="b">
        <f ca="1">ROUND(G125,2)=ROUND(VLOOKUP($A$118,$A$30:$G$35,G118-2015,FALSE),2)</f>
        <v>1</v>
      </c>
    </row>
    <row r="128" spans="1:10" x14ac:dyDescent="0.3">
      <c r="A128" s="71"/>
      <c r="B128" s="71"/>
      <c r="C128" s="71"/>
      <c r="D128" s="71"/>
      <c r="E128" s="71"/>
      <c r="F128" s="71"/>
      <c r="G128" s="71"/>
    </row>
    <row r="129" spans="1:7" x14ac:dyDescent="0.3">
      <c r="A129" s="14" t="s">
        <v>619</v>
      </c>
      <c r="B129" s="14">
        <f>B118</f>
        <v>2017</v>
      </c>
      <c r="C129" s="14">
        <f t="shared" ref="C129:G129" si="57">C118</f>
        <v>2018</v>
      </c>
      <c r="D129" s="14">
        <f t="shared" si="57"/>
        <v>2019</v>
      </c>
      <c r="E129" s="14">
        <f t="shared" si="57"/>
        <v>2020</v>
      </c>
      <c r="F129" s="14">
        <f t="shared" si="57"/>
        <v>2021</v>
      </c>
      <c r="G129" s="14">
        <f t="shared" si="57"/>
        <v>2022</v>
      </c>
    </row>
    <row r="130" spans="1:7" x14ac:dyDescent="0.3">
      <c r="A130" s="8" t="str">
        <f>A120</f>
        <v>Direct labour expenditure</v>
      </c>
      <c r="B130" s="169">
        <f ca="1">B55+B65+B76+B87+B98+B109+B120</f>
        <v>2.8969815750291628</v>
      </c>
      <c r="C130" s="169">
        <f t="shared" ref="C130:G130" ca="1" si="58">C55+C65+C76+C87+C98+C109+C120</f>
        <v>4.1887074647045184</v>
      </c>
      <c r="D130" s="169">
        <f t="shared" ca="1" si="58"/>
        <v>2.611629858591312</v>
      </c>
      <c r="E130" s="169">
        <f t="shared" ca="1" si="58"/>
        <v>1.1548573527145252</v>
      </c>
      <c r="F130" s="169">
        <f t="shared" ca="1" si="58"/>
        <v>1.402836171669648</v>
      </c>
      <c r="G130" s="169">
        <f t="shared" ca="1" si="58"/>
        <v>1.389268492104911</v>
      </c>
    </row>
    <row r="131" spans="1:7" x14ac:dyDescent="0.3">
      <c r="A131" s="8" t="str">
        <f t="shared" ref="A131:A135" si="59">A121</f>
        <v>Direct materials expenditure</v>
      </c>
      <c r="B131" s="169">
        <f t="shared" ref="B131:G134" ca="1" si="60">B56+B66+B77+B88+B99+B110+B121</f>
        <v>4.3440812734496195</v>
      </c>
      <c r="C131" s="169">
        <f t="shared" ca="1" si="60"/>
        <v>6.3419306196367495</v>
      </c>
      <c r="D131" s="169">
        <f t="shared" ca="1" si="60"/>
        <v>3.9257485773680321</v>
      </c>
      <c r="E131" s="169">
        <f t="shared" ca="1" si="60"/>
        <v>1.639021861663883</v>
      </c>
      <c r="F131" s="169">
        <f t="shared" ca="1" si="60"/>
        <v>2.0014124375123457</v>
      </c>
      <c r="G131" s="169">
        <f t="shared" ca="1" si="60"/>
        <v>1.9494947215157656</v>
      </c>
    </row>
    <row r="132" spans="1:7" x14ac:dyDescent="0.3">
      <c r="A132" s="8" t="str">
        <f t="shared" si="59"/>
        <v>Direct contractor expenditure</v>
      </c>
      <c r="B132" s="169">
        <f t="shared" ca="1" si="60"/>
        <v>7.5602299626615803</v>
      </c>
      <c r="C132" s="169">
        <f t="shared" ca="1" si="60"/>
        <v>10.360887355397448</v>
      </c>
      <c r="D132" s="169">
        <f t="shared" ca="1" si="60"/>
        <v>6.249579285130622</v>
      </c>
      <c r="E132" s="169">
        <f t="shared" ca="1" si="60"/>
        <v>2.7628545736749928</v>
      </c>
      <c r="F132" s="169">
        <f t="shared" ca="1" si="60"/>
        <v>3.3273274895903056</v>
      </c>
      <c r="G132" s="169">
        <f t="shared" ca="1" si="60"/>
        <v>4.7898175498950941</v>
      </c>
    </row>
    <row r="133" spans="1:7" x14ac:dyDescent="0.3">
      <c r="A133" s="8" t="str">
        <f t="shared" si="59"/>
        <v>Other direct expenditure</v>
      </c>
      <c r="B133" s="169">
        <f t="shared" ca="1" si="60"/>
        <v>0.52731939331841216</v>
      </c>
      <c r="C133" s="169">
        <f t="shared" ca="1" si="60"/>
        <v>0.72341148293093693</v>
      </c>
      <c r="D133" s="169">
        <f t="shared" ca="1" si="60"/>
        <v>0.43111099636318573</v>
      </c>
      <c r="E133" s="169">
        <f t="shared" ca="1" si="60"/>
        <v>0.18085812161369219</v>
      </c>
      <c r="F133" s="169">
        <f t="shared" ca="1" si="60"/>
        <v>0.21812289909413124</v>
      </c>
      <c r="G133" s="169">
        <f t="shared" ca="1" si="60"/>
        <v>0.22611232658644312</v>
      </c>
    </row>
    <row r="134" spans="1:7" x14ac:dyDescent="0.3">
      <c r="A134" s="8" t="str">
        <f t="shared" si="59"/>
        <v>Overheads</v>
      </c>
      <c r="B134" s="169">
        <f t="shared" ca="1" si="60"/>
        <v>2.8912466092832951</v>
      </c>
      <c r="C134" s="169">
        <f t="shared" ca="1" si="60"/>
        <v>4.3068126503157753</v>
      </c>
      <c r="D134" s="169">
        <f t="shared" ca="1" si="60"/>
        <v>2.6911485463952123</v>
      </c>
      <c r="E134" s="169">
        <f t="shared" ca="1" si="60"/>
        <v>1.1073087834469639</v>
      </c>
      <c r="F134" s="169">
        <f t="shared" ca="1" si="60"/>
        <v>1.3598776711843259</v>
      </c>
      <c r="G134" s="169">
        <f t="shared" ca="1" si="60"/>
        <v>1.2953974263831647</v>
      </c>
    </row>
    <row r="135" spans="1:7" x14ac:dyDescent="0.3">
      <c r="A135" s="8" t="str">
        <f t="shared" si="59"/>
        <v>Total</v>
      </c>
      <c r="B135" s="169">
        <f ca="1">SUM(B130:B134)</f>
        <v>18.219858813742071</v>
      </c>
      <c r="C135" s="169">
        <f t="shared" ref="C135:G135" ca="1" si="61">SUM(C130:C134)</f>
        <v>25.921749572985426</v>
      </c>
      <c r="D135" s="169">
        <f t="shared" ca="1" si="61"/>
        <v>15.909217263848364</v>
      </c>
      <c r="E135" s="169">
        <f t="shared" ca="1" si="61"/>
        <v>6.8449006931140568</v>
      </c>
      <c r="F135" s="169">
        <f t="shared" ca="1" si="61"/>
        <v>8.309576669050756</v>
      </c>
      <c r="G135" s="169">
        <f t="shared" ca="1" si="61"/>
        <v>9.6500905164853794</v>
      </c>
    </row>
    <row r="136" spans="1:7" x14ac:dyDescent="0.3">
      <c r="A136" s="71"/>
      <c r="C136" s="71"/>
      <c r="D136" s="71"/>
      <c r="E136" s="71"/>
      <c r="F136" s="71"/>
      <c r="G136" s="71"/>
    </row>
    <row r="137" spans="1:7" x14ac:dyDescent="0.3">
      <c r="A137" s="34" t="s">
        <v>65</v>
      </c>
      <c r="B137" s="34" t="b">
        <f t="shared" ref="B137:G137" ca="1" si="62">ROUND(B135,2)=ROUND(B51,2)</f>
        <v>1</v>
      </c>
      <c r="C137" s="34" t="b">
        <f t="shared" ca="1" si="62"/>
        <v>1</v>
      </c>
      <c r="D137" s="34" t="b">
        <f t="shared" ca="1" si="62"/>
        <v>1</v>
      </c>
      <c r="E137" s="34" t="b">
        <f t="shared" ca="1" si="62"/>
        <v>1</v>
      </c>
      <c r="F137" s="34" t="b">
        <f t="shared" ca="1" si="62"/>
        <v>1</v>
      </c>
      <c r="G137" s="34" t="b">
        <f t="shared" ca="1" si="62"/>
        <v>1</v>
      </c>
    </row>
    <row r="138" spans="1:7" x14ac:dyDescent="0.3">
      <c r="A138" s="71"/>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25282A"/>
  </sheetPr>
  <dimension ref="A1:N25"/>
  <sheetViews>
    <sheetView tabSelected="1" zoomScaleNormal="100" workbookViewId="0">
      <selection activeCell="C31" sqref="C31"/>
    </sheetView>
  </sheetViews>
  <sheetFormatPr defaultColWidth="9" defaultRowHeight="13.5" x14ac:dyDescent="0.25"/>
  <cols>
    <col min="1" max="1" width="38.625" style="1" bestFit="1" customWidth="1"/>
    <col min="2" max="2" width="11.375" style="1" customWidth="1"/>
    <col min="3" max="3" width="10.25" style="1" customWidth="1"/>
    <col min="4" max="9" width="9" style="1"/>
    <col min="10" max="10" width="10.5" style="1" bestFit="1" customWidth="1"/>
    <col min="11" max="12" width="9" style="1"/>
    <col min="13" max="13" width="9.875" style="1" bestFit="1" customWidth="1"/>
    <col min="14" max="16384" width="9" style="1"/>
  </cols>
  <sheetData>
    <row r="1" spans="1:14" s="2" customFormat="1" x14ac:dyDescent="0.25"/>
    <row r="2" spans="1:14" s="2" customFormat="1" x14ac:dyDescent="0.25"/>
    <row r="3" spans="1:14" s="2" customFormat="1" x14ac:dyDescent="0.25"/>
    <row r="4" spans="1:14" s="2" customFormat="1" x14ac:dyDescent="0.25"/>
    <row r="5" spans="1:14" s="2" customFormat="1" x14ac:dyDescent="0.25"/>
    <row r="6" spans="1:14" s="2" customFormat="1" x14ac:dyDescent="0.25"/>
    <row r="7" spans="1:14" s="2" customFormat="1" x14ac:dyDescent="0.25"/>
    <row r="8" spans="1:14" s="2" customFormat="1" x14ac:dyDescent="0.25"/>
    <row r="9" spans="1:14" s="2" customFormat="1" x14ac:dyDescent="0.25"/>
    <row r="10" spans="1:14" s="4" customFormat="1" ht="20.25" x14ac:dyDescent="0.3">
      <c r="A10" s="12" t="str">
        <f ca="1">RIGHT(CELL("filename",A1),LEN(CELL("filename",A1))-FIND("]",CELL("filename",A1)))</f>
        <v>Outputs│PTRM</v>
      </c>
    </row>
    <row r="12" spans="1:14" ht="15.75" thickBot="1" x14ac:dyDescent="0.3">
      <c r="A12" s="13" t="s">
        <v>66</v>
      </c>
    </row>
    <row r="13" spans="1:14" ht="33.75" thickBot="1" x14ac:dyDescent="0.35">
      <c r="A13" s="51" t="s">
        <v>124</v>
      </c>
      <c r="B13" s="51" t="s">
        <v>95</v>
      </c>
      <c r="C13" s="51"/>
      <c r="D13" s="53"/>
      <c r="E13" s="53">
        <f>'calculation¦real dollars'!E13</f>
        <v>18</v>
      </c>
      <c r="F13" s="53">
        <f>'calculation¦real dollars'!F13</f>
        <v>19</v>
      </c>
      <c r="G13" s="53">
        <f>'calculation¦real dollars'!G13</f>
        <v>20</v>
      </c>
      <c r="H13" s="53">
        <f>'calculation¦real dollars'!H13</f>
        <v>21</v>
      </c>
      <c r="I13" s="53">
        <f>'calculation¦real dollars'!I13</f>
        <v>22</v>
      </c>
      <c r="J13" s="53" t="s">
        <v>123</v>
      </c>
      <c r="N13" s="34" t="s">
        <v>121</v>
      </c>
    </row>
    <row r="14" spans="1:14" ht="17.25" thickBot="1" x14ac:dyDescent="0.35">
      <c r="A14" s="50" t="str">
        <f>AssetClass1</f>
        <v>Original Pipeline</v>
      </c>
      <c r="B14" s="52" t="str">
        <f>'inputs¦other'!$B$13</f>
        <v>$2016/17</v>
      </c>
      <c r="C14" s="52"/>
      <c r="D14" s="52"/>
      <c r="E14" s="244">
        <f>(HLOOKUP($A14,'calculation¦real dollars'!$M$13:$X$19,E$13-15,FALSE)/1000)</f>
        <v>15.817114499999997</v>
      </c>
      <c r="F14" s="244">
        <f>(HLOOKUP($A14,'calculation¦real dollars'!$M$13:$X$19,F$13-15,FALSE)/1000)</f>
        <v>11.589566999999999</v>
      </c>
      <c r="G14" s="244">
        <f>(HLOOKUP($A14,'calculation¦real dollars'!$M$13:$X$19,G$13-15,FALSE)/1000)</f>
        <v>4.9017045000000001</v>
      </c>
      <c r="H14" s="244">
        <f>(HLOOKUP($A14,'calculation¦real dollars'!$M$13:$X$19,H$13-15,FALSE)/1000)</f>
        <v>4.6740869999999983</v>
      </c>
      <c r="I14" s="244">
        <f>(HLOOKUP($A14,'calculation¦real dollars'!$M$13:$X$19,I$13-15,FALSE)/1000)</f>
        <v>6.2326274999999995</v>
      </c>
      <c r="J14" s="244">
        <f t="shared" ref="J14:J25" si="0">SUM(E14:I14)</f>
        <v>43.215100499999998</v>
      </c>
      <c r="N14" s="34" t="b">
        <f>J14='calculation¦real dollars'!M21/1000</f>
        <v>1</v>
      </c>
    </row>
    <row r="15" spans="1:14" ht="17.25" thickBot="1" x14ac:dyDescent="0.35">
      <c r="A15" s="50" t="str">
        <f>AssetClass2</f>
        <v>Pipelines</v>
      </c>
      <c r="B15" s="52" t="str">
        <f>'inputs¦other'!$B$13</f>
        <v>$2016/17</v>
      </c>
      <c r="C15" s="52"/>
      <c r="D15" s="52"/>
      <c r="E15" s="244">
        <f>(HLOOKUP($A15,'calculation¦real dollars'!$M$13:$X$19,E$13-15,FALSE)/1000)</f>
        <v>7.0264754999999992</v>
      </c>
      <c r="F15" s="244">
        <f>(HLOOKUP($A15,'calculation¦real dollars'!$M$13:$X$19,F$13-15,FALSE)/1000)</f>
        <v>2.5462469999999993</v>
      </c>
      <c r="G15" s="244">
        <f>(HLOOKUP($A15,'calculation¦real dollars'!$M$13:$X$19,G$13-15,FALSE)/1000)</f>
        <v>0.86085449999999997</v>
      </c>
      <c r="H15" s="244">
        <f>(HLOOKUP($A15,'calculation¦real dollars'!$M$13:$X$19,H$13-15,FALSE)/1000)</f>
        <v>2.4439469999999996</v>
      </c>
      <c r="I15" s="244">
        <f>(HLOOKUP($A15,'calculation¦real dollars'!$M$13:$X$19,I$13-15,FALSE)/1000)</f>
        <v>0.4516544999999999</v>
      </c>
      <c r="J15" s="244">
        <f t="shared" si="0"/>
        <v>13.329178499999998</v>
      </c>
      <c r="N15" s="34" t="b">
        <f>J15='calculation¦real dollars'!N21/1000</f>
        <v>1</v>
      </c>
    </row>
    <row r="16" spans="1:14" ht="17.25" thickBot="1" x14ac:dyDescent="0.35">
      <c r="A16" s="50" t="str">
        <f>AssetClass5</f>
        <v>Compressors</v>
      </c>
      <c r="B16" s="52" t="str">
        <f>'inputs¦other'!$B$13</f>
        <v>$2016/17</v>
      </c>
      <c r="C16" s="52"/>
      <c r="D16" s="52"/>
      <c r="E16" s="244">
        <f>(HLOOKUP($A16,'calculation¦real dollars'!$M$13:$X$19,E$13-15,FALSE)/1000)</f>
        <v>0.10229999999999999</v>
      </c>
      <c r="F16" s="244">
        <f>(HLOOKUP($A16,'calculation¦real dollars'!$M$13:$X$19,F$13-15,FALSE)/1000)</f>
        <v>0.10229999999999999</v>
      </c>
      <c r="G16" s="244">
        <f>(HLOOKUP($A16,'calculation¦real dollars'!$M$13:$X$19,G$13-15,FALSE)/1000)</f>
        <v>0</v>
      </c>
      <c r="H16" s="244">
        <f>(HLOOKUP($A16,'calculation¦real dollars'!$M$13:$X$19,H$13-15,FALSE)/1000)</f>
        <v>0</v>
      </c>
      <c r="I16" s="244">
        <f>(HLOOKUP($A16,'calculation¦real dollars'!$M$13:$X$19,I$13-15,FALSE)/1000)</f>
        <v>1.3298999999999999</v>
      </c>
      <c r="J16" s="244">
        <f t="shared" si="0"/>
        <v>1.5344999999999998</v>
      </c>
      <c r="N16" s="34" t="b">
        <f>J16='calculation¦real dollars'!O21/1000</f>
        <v>1</v>
      </c>
    </row>
    <row r="17" spans="1:14" ht="17.25" thickBot="1" x14ac:dyDescent="0.35">
      <c r="A17" s="50" t="str">
        <f>AssetClass6</f>
        <v>Regulators and meters</v>
      </c>
      <c r="B17" s="52" t="str">
        <f>'inputs¦other'!$B$13</f>
        <v>$2016/17</v>
      </c>
      <c r="C17" s="52"/>
      <c r="D17" s="52"/>
      <c r="E17" s="244">
        <f>(HLOOKUP($A17,'calculation¦real dollars'!$M$13:$X$19,E$13-15,FALSE)/1000)</f>
        <v>0.26145914912547702</v>
      </c>
      <c r="F17" s="244">
        <f>(HLOOKUP($A17,'calculation¦real dollars'!$M$13:$X$19,F$13-15,FALSE)/1000)</f>
        <v>0</v>
      </c>
      <c r="G17" s="244">
        <f>(HLOOKUP($A17,'calculation¦real dollars'!$M$13:$X$19,G$13-15,FALSE)/1000)</f>
        <v>8.1839999999999996E-2</v>
      </c>
      <c r="H17" s="244">
        <f>(HLOOKUP($A17,'calculation¦real dollars'!$M$13:$X$19,H$13-15,FALSE)/1000)</f>
        <v>0</v>
      </c>
      <c r="I17" s="244">
        <f>(HLOOKUP($A17,'calculation¦real dollars'!$M$13:$X$19,I$13-15,FALSE)/1000)</f>
        <v>0</v>
      </c>
      <c r="J17" s="244">
        <f t="shared" si="0"/>
        <v>0.34329914912547699</v>
      </c>
      <c r="N17" s="34" t="b">
        <f>J17='calculation¦real dollars'!P21/1000</f>
        <v>1</v>
      </c>
    </row>
    <row r="18" spans="1:14" ht="17.25" thickBot="1" x14ac:dyDescent="0.35">
      <c r="A18" s="50" t="str">
        <f>AssetClass7</f>
        <v>Easements</v>
      </c>
      <c r="B18" s="52" t="str">
        <f>'inputs¦other'!$B$13</f>
        <v>$2016/17</v>
      </c>
      <c r="C18" s="52"/>
      <c r="D18" s="52"/>
      <c r="E18" s="244">
        <f>(HLOOKUP($A18,'calculation¦real dollars'!$M$13:$X$19,E$13-15,FALSE)/1000)</f>
        <v>0</v>
      </c>
      <c r="F18" s="244">
        <f>(HLOOKUP($A18,'calculation¦real dollars'!$M$13:$X$19,F$13-15,FALSE)/1000)</f>
        <v>0</v>
      </c>
      <c r="G18" s="244">
        <f>(HLOOKUP($A18,'calculation¦real dollars'!$M$13:$X$19,G$13-15,FALSE)/1000)</f>
        <v>0</v>
      </c>
      <c r="H18" s="244">
        <f>(HLOOKUP($A18,'calculation¦real dollars'!$M$13:$X$19,H$13-15,FALSE)/1000)</f>
        <v>0</v>
      </c>
      <c r="I18" s="244">
        <f>(HLOOKUP($A18,'calculation¦real dollars'!$M$13:$X$19,I$13-15,FALSE)/1000)</f>
        <v>0</v>
      </c>
      <c r="J18" s="244">
        <f t="shared" si="0"/>
        <v>0</v>
      </c>
      <c r="N18" s="34" t="b">
        <f>J18='calculation¦real dollars'!Q21/1000</f>
        <v>1</v>
      </c>
    </row>
    <row r="19" spans="1:14" ht="17.25" thickBot="1" x14ac:dyDescent="0.35">
      <c r="A19" s="50" t="str">
        <f>AssetClass8</f>
        <v>Communications</v>
      </c>
      <c r="B19" s="52" t="str">
        <f>'inputs¦other'!$B$13</f>
        <v>$2016/17</v>
      </c>
      <c r="C19" s="52"/>
      <c r="D19" s="52"/>
      <c r="E19" s="244">
        <f>(HLOOKUP($A19,'calculation¦real dollars'!$M$13:$X$19,E$13-15,FALSE)/1000)</f>
        <v>0</v>
      </c>
      <c r="F19" s="244">
        <f>(HLOOKUP($A19,'calculation¦real dollars'!$M$13:$X$19,F$13-15,FALSE)/1000)</f>
        <v>0</v>
      </c>
      <c r="G19" s="244">
        <f>(HLOOKUP($A19,'calculation¦real dollars'!$M$13:$X$19,G$13-15,FALSE)/1000)</f>
        <v>0</v>
      </c>
      <c r="H19" s="244">
        <f>(HLOOKUP($A19,'calculation¦real dollars'!$M$13:$X$19,H$13-15,FALSE)/1000)</f>
        <v>0</v>
      </c>
      <c r="I19" s="244">
        <f>(HLOOKUP($A19,'calculation¦real dollars'!$M$13:$X$19,I$13-15,FALSE)/1000)</f>
        <v>0</v>
      </c>
      <c r="J19" s="244">
        <f t="shared" si="0"/>
        <v>0</v>
      </c>
      <c r="N19" s="34" t="b">
        <f>J19='calculation¦real dollars'!R21/1000</f>
        <v>1</v>
      </c>
    </row>
    <row r="20" spans="1:14" ht="17.25" thickBot="1" x14ac:dyDescent="0.35">
      <c r="A20" s="50" t="str">
        <f>AssetClass9</f>
        <v>Other</v>
      </c>
      <c r="B20" s="52" t="str">
        <f>'inputs¦other'!$B$13</f>
        <v>$2016/17</v>
      </c>
      <c r="C20" s="52"/>
      <c r="D20" s="52"/>
      <c r="E20" s="244">
        <f>(HLOOKUP($A20,'calculation¦real dollars'!$M$13:$X$19,E$13-15,FALSE)/1000)</f>
        <v>0</v>
      </c>
      <c r="F20" s="244">
        <f>(HLOOKUP($A20,'calculation¦real dollars'!$M$13:$X$19,F$13-15,FALSE)/1000)</f>
        <v>0</v>
      </c>
      <c r="G20" s="244">
        <f>(HLOOKUP($A20,'calculation¦real dollars'!$M$13:$X$19,G$13-15,FALSE)/1000)</f>
        <v>0</v>
      </c>
      <c r="H20" s="244">
        <f>(HLOOKUP($A20,'calculation¦real dollars'!$M$13:$X$19,H$13-15,FALSE)/1000)</f>
        <v>0</v>
      </c>
      <c r="I20" s="244">
        <f>(HLOOKUP($A20,'calculation¦real dollars'!$M$13:$X$19,I$13-15,FALSE)/1000)</f>
        <v>0</v>
      </c>
      <c r="J20" s="244">
        <f t="shared" si="0"/>
        <v>0</v>
      </c>
      <c r="N20" s="34" t="b">
        <f>J20='calculation¦real dollars'!S21/1000</f>
        <v>1</v>
      </c>
    </row>
    <row r="21" spans="1:14" ht="17.25" thickBot="1" x14ac:dyDescent="0.35">
      <c r="A21" s="50" t="str">
        <f>AssetClass10</f>
        <v>Capitalised AA costs</v>
      </c>
      <c r="B21" s="52" t="str">
        <f>'inputs¦other'!$B$13</f>
        <v>$2016/17</v>
      </c>
      <c r="C21" s="52"/>
      <c r="D21" s="52"/>
      <c r="E21" s="244">
        <f>(HLOOKUP($A21,'calculation¦real dollars'!$M$13:$X$19,E$13-15,FALSE)/1000)</f>
        <v>7.250548305E-2</v>
      </c>
      <c r="F21" s="244">
        <f>(HLOOKUP($A21,'calculation¦real dollars'!$M$13:$X$19,F$13-15,FALSE)/1000)</f>
        <v>0</v>
      </c>
      <c r="G21" s="244">
        <f>(HLOOKUP($A21,'calculation¦real dollars'!$M$13:$X$19,G$13-15,FALSE)/1000)</f>
        <v>0</v>
      </c>
      <c r="H21" s="244">
        <f>(HLOOKUP($A21,'calculation¦real dollars'!$M$13:$X$19,H$13-15,FALSE)/1000)</f>
        <v>5.9342265839999991E-2</v>
      </c>
      <c r="I21" s="244">
        <f>(HLOOKUP($A21,'calculation¦real dollars'!$M$13:$X$19,I$13-15,FALSE)/1000)</f>
        <v>0.91185669695999994</v>
      </c>
      <c r="J21" s="244">
        <f t="shared" si="0"/>
        <v>1.04370444585</v>
      </c>
      <c r="N21" s="34" t="b">
        <f>J21='calculation¦real dollars'!T21/1000</f>
        <v>1</v>
      </c>
    </row>
    <row r="22" spans="1:14" ht="17.25" thickBot="1" x14ac:dyDescent="0.35">
      <c r="A22" s="50" t="str">
        <f>AssetClass11</f>
        <v>Group IT</v>
      </c>
      <c r="B22" s="52" t="str">
        <f>'inputs¦other'!$B$13</f>
        <v>$2016/17</v>
      </c>
      <c r="C22" s="52"/>
      <c r="D22" s="52"/>
      <c r="E22" s="244">
        <f>(HLOOKUP($A22,'calculation¦real dollars'!$M$13:$X$19,E$13-15,FALSE)/1000)</f>
        <v>1.6142712126730265</v>
      </c>
      <c r="F22" s="244">
        <f>(HLOOKUP($A22,'calculation¦real dollars'!$M$13:$X$19,F$13-15,FALSE)/1000)</f>
        <v>0.59018528133882375</v>
      </c>
      <c r="G22" s="244">
        <f>(HLOOKUP($A22,'calculation¦real dollars'!$M$13:$X$19,G$13-15,FALSE)/1000)</f>
        <v>0.47200371060451574</v>
      </c>
      <c r="H22" s="244">
        <f>(HLOOKUP($A22,'calculation¦real dollars'!$M$13:$X$19,H$13-15,FALSE)/1000)</f>
        <v>0.57812742070121725</v>
      </c>
      <c r="I22" s="244">
        <f>(HLOOKUP($A22,'calculation¦real dollars'!$M$13:$X$19,I$13-15,FALSE)/1000)</f>
        <v>0.42572883701583769</v>
      </c>
      <c r="J22" s="244">
        <f t="shared" si="0"/>
        <v>3.6803164623334212</v>
      </c>
      <c r="N22" s="34" t="b">
        <f>ROUND(J22,2)=ROUND('calculation¦real dollars'!U21/1000,2)</f>
        <v>1</v>
      </c>
    </row>
    <row r="23" spans="1:14" ht="17.25" thickBot="1" x14ac:dyDescent="0.35">
      <c r="A23" s="50" t="str">
        <f>AssetClass12</f>
        <v>SIB Capex</v>
      </c>
      <c r="B23" s="52" t="str">
        <f>'inputs¦other'!$B$13</f>
        <v>$2016/17</v>
      </c>
      <c r="C23" s="52"/>
      <c r="D23" s="52"/>
      <c r="E23" s="244">
        <f>(HLOOKUP($A23,'calculation¦real dollars'!$M$13:$X$19,E$13-15,FALSE)/1000)</f>
        <v>1.0276237281369265</v>
      </c>
      <c r="F23" s="244">
        <f>(HLOOKUP($A23,'calculation¦real dollars'!$M$13:$X$19,F$13-15,FALSE)/1000)</f>
        <v>1.0809179825095412</v>
      </c>
      <c r="G23" s="244">
        <f>(HLOOKUP($A23,'calculation¦real dollars'!$M$13:$X$19,G$13-15,FALSE)/1000)</f>
        <v>0.52849798250954116</v>
      </c>
      <c r="H23" s="244">
        <f>(HLOOKUP($A23,'calculation¦real dollars'!$M$13:$X$19,H$13-15,FALSE)/1000)</f>
        <v>0.55407298250954129</v>
      </c>
      <c r="I23" s="244">
        <f>(HLOOKUP($A23,'calculation¦real dollars'!$M$13:$X$19,I$13-15,FALSE)/1000)</f>
        <v>0.29832298250954126</v>
      </c>
      <c r="J23" s="244">
        <f t="shared" si="0"/>
        <v>3.4894356581750916</v>
      </c>
      <c r="N23" s="34" t="b">
        <f>J23='calculation¦real dollars'!V21/1000</f>
        <v>1</v>
      </c>
    </row>
    <row r="24" spans="1:14" ht="17.25" thickBot="1" x14ac:dyDescent="0.35">
      <c r="A24" s="50" t="str">
        <f>AssetClass13</f>
        <v>PMA</v>
      </c>
      <c r="B24" s="52" t="str">
        <f>'inputs¦other'!$B$13</f>
        <v>$2016/17</v>
      </c>
      <c r="C24" s="52"/>
      <c r="D24" s="52"/>
      <c r="E24" s="244">
        <f>(HLOOKUP($A24,'calculation¦real dollars'!$M$13:$X$19,E$13-15,FALSE)/1000)</f>
        <v>0</v>
      </c>
      <c r="F24" s="244">
        <f>(HLOOKUP($A24,'calculation¦real dollars'!$M$13:$X$19,F$13-15,FALSE)/1000)</f>
        <v>0</v>
      </c>
      <c r="G24" s="244">
        <f>(HLOOKUP($A24,'calculation¦real dollars'!$M$13:$X$19,G$13-15,FALSE)/1000)</f>
        <v>0</v>
      </c>
      <c r="H24" s="244">
        <f>(HLOOKUP($A24,'calculation¦real dollars'!$M$13:$X$19,H$13-15,FALSE)/1000)</f>
        <v>0</v>
      </c>
      <c r="I24" s="244">
        <f>(HLOOKUP($A24,'calculation¦real dollars'!$M$13:$X$19,I$13-15,FALSE)/1000)</f>
        <v>0</v>
      </c>
      <c r="J24" s="244">
        <f t="shared" si="0"/>
        <v>0</v>
      </c>
      <c r="N24" s="34" t="b">
        <f>J24='calculation¦real dollars'!W21/1000</f>
        <v>1</v>
      </c>
    </row>
    <row r="25" spans="1:14" ht="17.25" thickBot="1" x14ac:dyDescent="0.35">
      <c r="A25" s="50" t="s">
        <v>62</v>
      </c>
      <c r="B25" s="52" t="str">
        <f>'inputs¦other'!$B$13</f>
        <v>$2016/17</v>
      </c>
      <c r="C25" s="52"/>
      <c r="D25" s="52"/>
      <c r="E25" s="244">
        <f>SUM(E14:E24)</f>
        <v>25.92174957298543</v>
      </c>
      <c r="F25" s="244">
        <f>SUM(F14:F24)</f>
        <v>15.909217263848364</v>
      </c>
      <c r="G25" s="244">
        <f>SUM(G14:G24)</f>
        <v>6.8449006931140568</v>
      </c>
      <c r="H25" s="244">
        <f>SUM(H14:H24)</f>
        <v>8.309576669050756</v>
      </c>
      <c r="I25" s="244">
        <f>SUM(I14:I24)</f>
        <v>9.6500905164853776</v>
      </c>
      <c r="J25" s="244">
        <f t="shared" si="0"/>
        <v>66.635534715483985</v>
      </c>
      <c r="N25" s="34" t="b">
        <f>ROUND(J25,2)=ROUND('calculation¦real dollars'!X21/1000,2)</f>
        <v>1</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282A"/>
  </sheetPr>
  <dimension ref="A1:M28"/>
  <sheetViews>
    <sheetView workbookViewId="0">
      <selection activeCell="D14" sqref="D14:D25"/>
    </sheetView>
  </sheetViews>
  <sheetFormatPr defaultRowHeight="16.5" x14ac:dyDescent="0.3"/>
  <cols>
    <col min="1" max="1" width="17.75" customWidth="1"/>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0" spans="1:13" s="4" customFormat="1" ht="20.25" x14ac:dyDescent="0.3">
      <c r="A10" s="45" t="str">
        <f ca="1">RIGHT(CELL("filename",A1),LEN(CELL("filename",A1))-FIND("]",CELL("filename",A1)))</f>
        <v>Outputs│RFM</v>
      </c>
      <c r="B10" s="2"/>
      <c r="C10" s="2"/>
      <c r="D10" s="2"/>
      <c r="E10" s="2"/>
      <c r="F10" s="2"/>
      <c r="G10" s="2"/>
      <c r="H10" s="2"/>
      <c r="I10" s="2"/>
      <c r="J10" s="2"/>
      <c r="K10" s="2"/>
      <c r="L10" s="2"/>
      <c r="M10" s="2"/>
    </row>
    <row r="12" spans="1:13" s="1" customFormat="1" ht="15.75" thickBot="1" x14ac:dyDescent="0.3">
      <c r="A12" s="13" t="s">
        <v>125</v>
      </c>
    </row>
    <row r="13" spans="1:13" s="1" customFormat="1" ht="17.25" thickBot="1" x14ac:dyDescent="0.3">
      <c r="A13" s="51" t="s">
        <v>124</v>
      </c>
      <c r="B13" s="51" t="s">
        <v>91</v>
      </c>
      <c r="C13" s="51"/>
      <c r="D13" s="51">
        <v>17</v>
      </c>
    </row>
    <row r="14" spans="1:13" s="1" customFormat="1" ht="33.75" thickBot="1" x14ac:dyDescent="0.3">
      <c r="A14" s="50" t="str">
        <f>Outputs│PTRM!A14</f>
        <v>Original Pipeline</v>
      </c>
      <c r="B14" s="52" t="str">
        <f>'inputs¦other'!$B$13</f>
        <v>$2016/17</v>
      </c>
      <c r="C14" s="52"/>
      <c r="D14" s="52">
        <f>(HLOOKUP(Outputs│RFM!A14,'calculation¦real dollars'!$M$13:$X$19,Outputs│RFM!$D$13-15,FALSE)/1000)*VLOOKUP(B14,InflationAdjustment,2,FALSE)</f>
        <v>14.0810835</v>
      </c>
    </row>
    <row r="15" spans="1:13" s="1" customFormat="1" ht="33.75" thickBot="1" x14ac:dyDescent="0.3">
      <c r="A15" s="50" t="str">
        <f>Outputs│PTRM!A15</f>
        <v>Pipelines</v>
      </c>
      <c r="B15" s="52" t="str">
        <f>'inputs¦other'!$B$13</f>
        <v>$2016/17</v>
      </c>
      <c r="C15" s="52"/>
      <c r="D15" s="52">
        <f>(HLOOKUP(Outputs│RFM!A15,'calculation¦real dollars'!$M$13:$X$19,Outputs│RFM!$D$13-15,FALSE)/1000)*VLOOKUP(B15,InflationAdjustment,2,FALSE)</f>
        <v>0.8928044650190825</v>
      </c>
    </row>
    <row r="16" spans="1:13" s="1" customFormat="1" ht="33.75" thickBot="1" x14ac:dyDescent="0.3">
      <c r="A16" s="50" t="str">
        <f>Outputs│PTRM!A16</f>
        <v>Compressors</v>
      </c>
      <c r="B16" s="52" t="str">
        <f>'inputs¦other'!$B$13</f>
        <v>$2016/17</v>
      </c>
      <c r="C16" s="52"/>
      <c r="D16" s="52">
        <f>(HLOOKUP(Outputs│RFM!A16,'calculation¦real dollars'!$M$13:$X$19,Outputs│RFM!$D$13-15,FALSE)/1000)*VLOOKUP(B16,InflationAdjustment,2,FALSE)</f>
        <v>0</v>
      </c>
    </row>
    <row r="17" spans="1:4" s="1" customFormat="1" ht="33.75" thickBot="1" x14ac:dyDescent="0.3">
      <c r="A17" s="50" t="str">
        <f>Outputs│PTRM!A17</f>
        <v>Regulators and meters</v>
      </c>
      <c r="B17" s="52" t="str">
        <f>'inputs¦other'!$B$13</f>
        <v>$2016/17</v>
      </c>
      <c r="C17" s="52"/>
      <c r="D17" s="52">
        <f>(HLOOKUP(Outputs│RFM!A17,'calculation¦real dollars'!$M$13:$X$19,Outputs│RFM!$D$13-15,FALSE)/1000)*VLOOKUP(B17,InflationAdjustment,2,FALSE)</f>
        <v>0</v>
      </c>
    </row>
    <row r="18" spans="1:4" s="1" customFormat="1" ht="33.75" thickBot="1" x14ac:dyDescent="0.3">
      <c r="A18" s="50" t="str">
        <f>Outputs│PTRM!A18</f>
        <v>Easements</v>
      </c>
      <c r="B18" s="52" t="str">
        <f>'inputs¦other'!$B$13</f>
        <v>$2016/17</v>
      </c>
      <c r="C18" s="52"/>
      <c r="D18" s="52">
        <f>(HLOOKUP(Outputs│RFM!A18,'calculation¦real dollars'!$M$13:$X$19,Outputs│RFM!$D$13-15,FALSE)/1000)*VLOOKUP(B18,InflationAdjustment,2,FALSE)</f>
        <v>0</v>
      </c>
    </row>
    <row r="19" spans="1:4" s="1" customFormat="1" ht="33.75" thickBot="1" x14ac:dyDescent="0.3">
      <c r="A19" s="50" t="str">
        <f>Outputs│PTRM!A19</f>
        <v>Communications</v>
      </c>
      <c r="B19" s="52" t="str">
        <f>'inputs¦other'!$B$13</f>
        <v>$2016/17</v>
      </c>
      <c r="C19" s="52"/>
      <c r="D19" s="52">
        <f>(HLOOKUP(Outputs│RFM!A19,'calculation¦real dollars'!$M$13:$X$19,Outputs│RFM!$D$13-15,FALSE)/1000)*VLOOKUP(B19,InflationAdjustment,2,FALSE)</f>
        <v>0</v>
      </c>
    </row>
    <row r="20" spans="1:4" s="1" customFormat="1" ht="33.75" thickBot="1" x14ac:dyDescent="0.3">
      <c r="A20" s="50" t="str">
        <f>Outputs│PTRM!A20</f>
        <v>Other</v>
      </c>
      <c r="B20" s="52" t="str">
        <f>'inputs¦other'!$B$13</f>
        <v>$2016/17</v>
      </c>
      <c r="C20" s="52"/>
      <c r="D20" s="52">
        <f>(HLOOKUP(Outputs│RFM!A20,'calculation¦real dollars'!$M$13:$X$19,Outputs│RFM!$D$13-15,FALSE)/1000)*VLOOKUP(B20,InflationAdjustment,2,FALSE)</f>
        <v>0</v>
      </c>
    </row>
    <row r="21" spans="1:4" s="1" customFormat="1" ht="33.75" thickBot="1" x14ac:dyDescent="0.3">
      <c r="A21" s="50" t="str">
        <f>Outputs│PTRM!A21</f>
        <v>Capitalised AA costs</v>
      </c>
      <c r="B21" s="52" t="str">
        <f>'inputs¦other'!$B$13</f>
        <v>$2016/17</v>
      </c>
      <c r="C21" s="52"/>
      <c r="D21" s="52">
        <f>(HLOOKUP(Outputs│RFM!A21,'calculation¦real dollars'!$M$13:$X$19,Outputs│RFM!$D$13-15,FALSE)/1000)*VLOOKUP(B21,InflationAdjustment,2,FALSE)</f>
        <v>0.91185669695999994</v>
      </c>
    </row>
    <row r="22" spans="1:4" s="1" customFormat="1" ht="33.75" thickBot="1" x14ac:dyDescent="0.3">
      <c r="A22" s="50" t="str">
        <f>Outputs│PTRM!A22</f>
        <v>Group IT</v>
      </c>
      <c r="B22" s="52" t="str">
        <f>'inputs¦other'!$B$13</f>
        <v>$2016/17</v>
      </c>
      <c r="C22" s="52"/>
      <c r="D22" s="52">
        <f>(HLOOKUP(Outputs│RFM!A22,'calculation¦real dollars'!$M$13:$X$19,Outputs│RFM!$D$13-15,FALSE)/1000)*VLOOKUP(B22,InflationAdjustment,2,FALSE)</f>
        <v>1.4103896560595084</v>
      </c>
    </row>
    <row r="23" spans="1:4" s="1" customFormat="1" ht="33.75" thickBot="1" x14ac:dyDescent="0.3">
      <c r="A23" s="50" t="str">
        <f>Outputs│PTRM!A23</f>
        <v>SIB Capex</v>
      </c>
      <c r="B23" s="52" t="str">
        <f>'inputs¦other'!$B$13</f>
        <v>$2016/17</v>
      </c>
      <c r="C23" s="52"/>
      <c r="D23" s="52">
        <f>(HLOOKUP(Outputs│RFM!A23,'calculation¦real dollars'!$M$13:$X$19,Outputs│RFM!$D$13-15,FALSE)/1000)*VLOOKUP(B23,InflationAdjustment,2,FALSE)</f>
        <v>0.92372449570348159</v>
      </c>
    </row>
    <row r="24" spans="1:4" s="1" customFormat="1" ht="33.75" thickBot="1" x14ac:dyDescent="0.3">
      <c r="A24" s="50" t="str">
        <f>Outputs│PTRM!A24</f>
        <v>PMA</v>
      </c>
      <c r="B24" s="52" t="str">
        <f>'inputs¦other'!$B$13</f>
        <v>$2016/17</v>
      </c>
      <c r="C24" s="52"/>
      <c r="D24" s="52">
        <f>(HLOOKUP(Outputs│RFM!A24,'calculation¦real dollars'!$M$13:$X$19,Outputs│RFM!$D$13-15,FALSE)/1000)*VLOOKUP(B24,InflationAdjustment,2,FALSE)</f>
        <v>0</v>
      </c>
    </row>
    <row r="25" spans="1:4" s="1" customFormat="1" ht="33.75" thickBot="1" x14ac:dyDescent="0.3">
      <c r="A25" s="50" t="str">
        <f>Outputs│PTRM!A25</f>
        <v>Total</v>
      </c>
      <c r="B25" s="52" t="str">
        <f>'inputs¦other'!$B$13</f>
        <v>$2016/17</v>
      </c>
      <c r="C25" s="52"/>
      <c r="D25" s="52">
        <f>SUM(D14:D24)</f>
        <v>18.219858813742071</v>
      </c>
    </row>
    <row r="26" spans="1:4" s="1" customFormat="1" ht="13.5" x14ac:dyDescent="0.25"/>
    <row r="27" spans="1:4" s="1" customFormat="1" ht="14.25" x14ac:dyDescent="0.3">
      <c r="B27" s="34" t="s">
        <v>65</v>
      </c>
      <c r="C27" s="34"/>
      <c r="D27" s="34" t="b">
        <f>D25=('calculation¦real dollars'!X14*VLOOKUP(B14,InflationAdjustment,2,FALSE)/1000)</f>
        <v>1</v>
      </c>
    </row>
    <row r="28" spans="1:4" s="1" customFormat="1" ht="13.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282A"/>
  </sheetPr>
  <dimension ref="A1:M148"/>
  <sheetViews>
    <sheetView topLeftCell="A127" zoomScale="85" zoomScaleNormal="85" workbookViewId="0">
      <selection activeCell="L92" sqref="L92"/>
    </sheetView>
  </sheetViews>
  <sheetFormatPr defaultRowHeight="16.5" x14ac:dyDescent="0.3"/>
  <cols>
    <col min="1" max="1" width="17.75" style="71" customWidth="1"/>
    <col min="2" max="2" width="35.25" style="71" bestFit="1" customWidth="1"/>
    <col min="3" max="6" width="9" style="71"/>
    <col min="7" max="7" width="17.5" style="71" bestFit="1" customWidth="1"/>
    <col min="8" max="8" width="13.25" style="71" bestFit="1" customWidth="1"/>
    <col min="9" max="9" width="12.5" style="71" bestFit="1" customWidth="1"/>
    <col min="10" max="11" width="12.375" style="71" bestFit="1" customWidth="1"/>
    <col min="12" max="12" width="12.75" style="71" bestFit="1" customWidth="1"/>
    <col min="13" max="16384" width="9" style="71"/>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0" spans="1:13" s="4" customFormat="1" ht="20.25" x14ac:dyDescent="0.3">
      <c r="A10" s="45" t="str">
        <f ca="1">RIGHT(CELL("filename",A1),LEN(CELL("filename",A1))-FIND("]",CELL("filename",A1)))</f>
        <v>Outputs│RIN</v>
      </c>
      <c r="B10" s="2"/>
      <c r="C10" s="2"/>
      <c r="D10" s="2"/>
      <c r="E10" s="2"/>
      <c r="F10" s="2"/>
      <c r="G10" s="2"/>
      <c r="H10" s="2"/>
      <c r="I10" s="2"/>
      <c r="J10" s="2"/>
      <c r="K10" s="2"/>
      <c r="L10" s="2"/>
      <c r="M10" s="2"/>
    </row>
    <row r="11" spans="1:13" ht="17.25" thickBot="1" x14ac:dyDescent="0.35"/>
    <row r="12" spans="1:13" s="1" customFormat="1" ht="19.5" thickBot="1" x14ac:dyDescent="0.35">
      <c r="B12" s="171" t="s">
        <v>609</v>
      </c>
      <c r="C12" s="172"/>
      <c r="D12" s="172"/>
      <c r="E12" s="172"/>
      <c r="F12" s="172"/>
      <c r="G12" s="172"/>
      <c r="H12" s="172"/>
      <c r="I12" s="172"/>
      <c r="J12" s="172"/>
      <c r="K12" s="172"/>
      <c r="L12" s="173"/>
    </row>
    <row r="13" spans="1:13" s="1" customFormat="1" ht="15" customHeight="1" x14ac:dyDescent="0.25">
      <c r="B13" s="272"/>
      <c r="C13" s="274" t="s">
        <v>610</v>
      </c>
      <c r="D13" s="275"/>
      <c r="E13" s="276"/>
      <c r="F13" s="277" t="s">
        <v>651</v>
      </c>
      <c r="G13" s="278"/>
      <c r="H13" s="278"/>
      <c r="I13" s="278"/>
      <c r="J13" s="278"/>
      <c r="K13" s="278"/>
      <c r="L13" s="279"/>
    </row>
    <row r="14" spans="1:13" s="1" customFormat="1" ht="15.75" customHeight="1" thickBot="1" x14ac:dyDescent="0.3">
      <c r="B14" s="273"/>
      <c r="C14" s="174" t="s">
        <v>646</v>
      </c>
      <c r="D14" s="175" t="s">
        <v>647</v>
      </c>
      <c r="E14" s="175" t="s">
        <v>648</v>
      </c>
      <c r="F14" s="176" t="s">
        <v>649</v>
      </c>
      <c r="G14" s="176" t="s">
        <v>650</v>
      </c>
      <c r="H14" s="177" t="s">
        <v>652</v>
      </c>
      <c r="I14" s="177" t="s">
        <v>653</v>
      </c>
      <c r="J14" s="177" t="s">
        <v>654</v>
      </c>
      <c r="K14" s="177" t="s">
        <v>656</v>
      </c>
      <c r="L14" s="177" t="s">
        <v>655</v>
      </c>
    </row>
    <row r="15" spans="1:13" s="1" customFormat="1" x14ac:dyDescent="0.3">
      <c r="B15" s="178" t="s">
        <v>614</v>
      </c>
      <c r="C15" s="179"/>
      <c r="D15" s="180"/>
      <c r="E15" s="180"/>
      <c r="F15" s="180"/>
      <c r="G15" s="181"/>
      <c r="H15" s="182"/>
      <c r="I15" s="183"/>
      <c r="J15" s="183"/>
      <c r="K15" s="183"/>
      <c r="L15" s="184"/>
    </row>
    <row r="16" spans="1:13" s="1" customFormat="1" x14ac:dyDescent="0.3">
      <c r="B16" s="185"/>
      <c r="C16" s="186"/>
      <c r="D16" s="187"/>
      <c r="E16" s="187"/>
      <c r="F16" s="187"/>
      <c r="G16" s="188"/>
      <c r="H16" s="189"/>
      <c r="I16" s="187"/>
      <c r="J16" s="187"/>
      <c r="K16" s="187"/>
      <c r="L16" s="188"/>
    </row>
    <row r="17" spans="2:12" s="1" customFormat="1" x14ac:dyDescent="0.3">
      <c r="B17" s="185"/>
      <c r="C17" s="186"/>
      <c r="D17" s="187"/>
      <c r="E17" s="187"/>
      <c r="F17" s="187"/>
      <c r="G17" s="188"/>
      <c r="H17" s="189"/>
      <c r="I17" s="187"/>
      <c r="J17" s="187"/>
      <c r="K17" s="187"/>
      <c r="L17" s="188"/>
    </row>
    <row r="18" spans="2:12" s="1" customFormat="1" x14ac:dyDescent="0.3">
      <c r="B18" s="185"/>
      <c r="C18" s="186"/>
      <c r="D18" s="187"/>
      <c r="E18" s="187"/>
      <c r="F18" s="187"/>
      <c r="G18" s="188"/>
      <c r="H18" s="189"/>
      <c r="I18" s="187"/>
      <c r="J18" s="187"/>
      <c r="K18" s="187"/>
      <c r="L18" s="188"/>
    </row>
    <row r="19" spans="2:12" s="1" customFormat="1" x14ac:dyDescent="0.3">
      <c r="B19" s="185"/>
      <c r="C19" s="186"/>
      <c r="D19" s="187"/>
      <c r="E19" s="187"/>
      <c r="F19" s="187"/>
      <c r="G19" s="188"/>
      <c r="H19" s="189"/>
      <c r="I19" s="187"/>
      <c r="J19" s="187"/>
      <c r="K19" s="187"/>
      <c r="L19" s="188"/>
    </row>
    <row r="20" spans="2:12" s="1" customFormat="1" x14ac:dyDescent="0.3">
      <c r="B20" s="185"/>
      <c r="C20" s="186"/>
      <c r="D20" s="187"/>
      <c r="E20" s="187"/>
      <c r="F20" s="187"/>
      <c r="G20" s="188"/>
      <c r="H20" s="189"/>
      <c r="I20" s="187"/>
      <c r="J20" s="187"/>
      <c r="K20" s="187"/>
      <c r="L20" s="188"/>
    </row>
    <row r="21" spans="2:12" s="1" customFormat="1" x14ac:dyDescent="0.3">
      <c r="B21" s="185"/>
      <c r="C21" s="186"/>
      <c r="D21" s="187"/>
      <c r="E21" s="187"/>
      <c r="F21" s="187"/>
      <c r="G21" s="188"/>
      <c r="H21" s="189"/>
      <c r="I21" s="187"/>
      <c r="J21" s="187"/>
      <c r="K21" s="187"/>
      <c r="L21" s="188"/>
    </row>
    <row r="22" spans="2:12" s="1" customFormat="1" x14ac:dyDescent="0.3">
      <c r="B22" s="185"/>
      <c r="C22" s="186"/>
      <c r="D22" s="187"/>
      <c r="E22" s="187"/>
      <c r="F22" s="187"/>
      <c r="G22" s="188"/>
      <c r="H22" s="189"/>
      <c r="I22" s="187"/>
      <c r="J22" s="187"/>
      <c r="K22" s="187"/>
      <c r="L22" s="188"/>
    </row>
    <row r="23" spans="2:12" s="1" customFormat="1" x14ac:dyDescent="0.3">
      <c r="B23" s="185"/>
      <c r="C23" s="186"/>
      <c r="D23" s="187"/>
      <c r="E23" s="187"/>
      <c r="F23" s="187"/>
      <c r="G23" s="188"/>
      <c r="H23" s="189"/>
      <c r="I23" s="187"/>
      <c r="J23" s="187"/>
      <c r="K23" s="187"/>
      <c r="L23" s="188"/>
    </row>
    <row r="24" spans="2:12" s="1" customFormat="1" x14ac:dyDescent="0.3">
      <c r="B24" s="185"/>
      <c r="C24" s="186"/>
      <c r="D24" s="187"/>
      <c r="E24" s="187"/>
      <c r="F24" s="187"/>
      <c r="G24" s="188"/>
      <c r="H24" s="189"/>
      <c r="I24" s="187"/>
      <c r="J24" s="187"/>
      <c r="K24" s="187"/>
      <c r="L24" s="188"/>
    </row>
    <row r="25" spans="2:12" s="1" customFormat="1" x14ac:dyDescent="0.3">
      <c r="B25" s="185"/>
      <c r="C25" s="186"/>
      <c r="D25" s="187"/>
      <c r="E25" s="187"/>
      <c r="F25" s="187"/>
      <c r="G25" s="188"/>
      <c r="H25" s="189"/>
      <c r="I25" s="187"/>
      <c r="J25" s="187"/>
      <c r="K25" s="187"/>
      <c r="L25" s="188"/>
    </row>
    <row r="26" spans="2:12" s="1" customFormat="1" x14ac:dyDescent="0.3">
      <c r="B26" s="185"/>
      <c r="C26" s="186"/>
      <c r="D26" s="187"/>
      <c r="E26" s="187"/>
      <c r="F26" s="187"/>
      <c r="G26" s="188"/>
      <c r="H26" s="189"/>
      <c r="I26" s="187"/>
      <c r="J26" s="187"/>
      <c r="K26" s="187"/>
      <c r="L26" s="188"/>
    </row>
    <row r="27" spans="2:12" s="1" customFormat="1" x14ac:dyDescent="0.3">
      <c r="B27" s="185"/>
      <c r="C27" s="186"/>
      <c r="D27" s="187"/>
      <c r="E27" s="187"/>
      <c r="F27" s="187"/>
      <c r="G27" s="188"/>
      <c r="H27" s="189"/>
      <c r="I27" s="187"/>
      <c r="J27" s="187"/>
      <c r="K27" s="187"/>
      <c r="L27" s="188"/>
    </row>
    <row r="28" spans="2:12" s="1" customFormat="1" x14ac:dyDescent="0.3">
      <c r="B28" s="185"/>
      <c r="C28" s="186"/>
      <c r="D28" s="187"/>
      <c r="E28" s="187"/>
      <c r="F28" s="187"/>
      <c r="G28" s="188"/>
      <c r="H28" s="189"/>
      <c r="I28" s="187"/>
      <c r="J28" s="187"/>
      <c r="K28" s="187"/>
      <c r="L28" s="188"/>
    </row>
    <row r="29" spans="2:12" x14ac:dyDescent="0.3">
      <c r="B29" s="185"/>
      <c r="C29" s="186"/>
      <c r="D29" s="187"/>
      <c r="E29" s="187"/>
      <c r="F29" s="187"/>
      <c r="G29" s="188"/>
      <c r="H29" s="189"/>
      <c r="I29" s="187"/>
      <c r="J29" s="187"/>
      <c r="K29" s="187"/>
      <c r="L29" s="188"/>
    </row>
    <row r="30" spans="2:12" x14ac:dyDescent="0.3">
      <c r="B30" s="185"/>
      <c r="C30" s="186"/>
      <c r="D30" s="187"/>
      <c r="E30" s="187"/>
      <c r="F30" s="187"/>
      <c r="G30" s="188"/>
      <c r="H30" s="189"/>
      <c r="I30" s="187"/>
      <c r="J30" s="187"/>
      <c r="K30" s="187"/>
      <c r="L30" s="188"/>
    </row>
    <row r="31" spans="2:12" x14ac:dyDescent="0.3">
      <c r="B31" s="185"/>
      <c r="C31" s="186"/>
      <c r="D31" s="187"/>
      <c r="E31" s="187"/>
      <c r="F31" s="187"/>
      <c r="G31" s="188"/>
      <c r="H31" s="189"/>
      <c r="I31" s="187"/>
      <c r="J31" s="187"/>
      <c r="K31" s="187"/>
      <c r="L31" s="188"/>
    </row>
    <row r="32" spans="2:12" x14ac:dyDescent="0.3">
      <c r="B32" s="185"/>
      <c r="C32" s="186"/>
      <c r="D32" s="187"/>
      <c r="E32" s="187"/>
      <c r="F32" s="187"/>
      <c r="G32" s="188"/>
      <c r="H32" s="189"/>
      <c r="I32" s="187"/>
      <c r="J32" s="187"/>
      <c r="K32" s="187"/>
      <c r="L32" s="188"/>
    </row>
    <row r="33" spans="2:12" x14ac:dyDescent="0.3">
      <c r="B33" s="185"/>
      <c r="C33" s="186"/>
      <c r="D33" s="187"/>
      <c r="E33" s="187"/>
      <c r="F33" s="187"/>
      <c r="G33" s="188"/>
      <c r="H33" s="189"/>
      <c r="I33" s="187"/>
      <c r="J33" s="187"/>
      <c r="K33" s="187"/>
      <c r="L33" s="188"/>
    </row>
    <row r="34" spans="2:12" x14ac:dyDescent="0.3">
      <c r="B34" s="185"/>
      <c r="C34" s="186"/>
      <c r="D34" s="187"/>
      <c r="E34" s="187"/>
      <c r="F34" s="187"/>
      <c r="G34" s="188"/>
      <c r="H34" s="189"/>
      <c r="I34" s="187"/>
      <c r="J34" s="187"/>
      <c r="K34" s="187"/>
      <c r="L34" s="188"/>
    </row>
    <row r="35" spans="2:12" x14ac:dyDescent="0.3">
      <c r="B35" s="185"/>
      <c r="C35" s="186"/>
      <c r="D35" s="187"/>
      <c r="E35" s="187"/>
      <c r="F35" s="187"/>
      <c r="G35" s="188"/>
      <c r="H35" s="189"/>
      <c r="I35" s="187"/>
      <c r="J35" s="187"/>
      <c r="K35" s="187"/>
      <c r="L35" s="188"/>
    </row>
    <row r="36" spans="2:12" x14ac:dyDescent="0.3">
      <c r="B36" s="185"/>
      <c r="C36" s="186"/>
      <c r="D36" s="187"/>
      <c r="E36" s="187"/>
      <c r="F36" s="187"/>
      <c r="G36" s="188"/>
      <c r="H36" s="189"/>
      <c r="I36" s="187"/>
      <c r="J36" s="187"/>
      <c r="K36" s="187"/>
      <c r="L36" s="188"/>
    </row>
    <row r="37" spans="2:12" x14ac:dyDescent="0.3">
      <c r="B37" s="185"/>
      <c r="C37" s="186"/>
      <c r="D37" s="187"/>
      <c r="E37" s="187"/>
      <c r="F37" s="187"/>
      <c r="G37" s="188"/>
      <c r="H37" s="189"/>
      <c r="I37" s="187"/>
      <c r="J37" s="187"/>
      <c r="K37" s="187"/>
      <c r="L37" s="188"/>
    </row>
    <row r="38" spans="2:12" x14ac:dyDescent="0.3">
      <c r="B38" s="185"/>
      <c r="C38" s="186"/>
      <c r="D38" s="187"/>
      <c r="E38" s="187"/>
      <c r="F38" s="187"/>
      <c r="G38" s="188"/>
      <c r="H38" s="189"/>
      <c r="I38" s="187"/>
      <c r="J38" s="187"/>
      <c r="K38" s="187"/>
      <c r="L38" s="188"/>
    </row>
    <row r="39" spans="2:12" x14ac:dyDescent="0.3">
      <c r="B39" s="185"/>
      <c r="C39" s="186"/>
      <c r="D39" s="187"/>
      <c r="E39" s="187"/>
      <c r="F39" s="187"/>
      <c r="G39" s="188"/>
      <c r="H39" s="189"/>
      <c r="I39" s="187"/>
      <c r="J39" s="187"/>
      <c r="K39" s="187"/>
      <c r="L39" s="188"/>
    </row>
    <row r="40" spans="2:12" x14ac:dyDescent="0.3">
      <c r="B40" s="185"/>
      <c r="C40" s="186"/>
      <c r="D40" s="187"/>
      <c r="E40" s="187"/>
      <c r="F40" s="187"/>
      <c r="G40" s="188"/>
      <c r="H40" s="189"/>
      <c r="I40" s="187"/>
      <c r="J40" s="187"/>
      <c r="K40" s="187"/>
      <c r="L40" s="188"/>
    </row>
    <row r="41" spans="2:12" x14ac:dyDescent="0.3">
      <c r="B41" s="185"/>
      <c r="C41" s="186"/>
      <c r="D41" s="187"/>
      <c r="E41" s="187"/>
      <c r="F41" s="187"/>
      <c r="G41" s="188"/>
      <c r="H41" s="189"/>
      <c r="I41" s="187"/>
      <c r="J41" s="187"/>
      <c r="K41" s="187"/>
      <c r="L41" s="188"/>
    </row>
    <row r="42" spans="2:12" x14ac:dyDescent="0.3">
      <c r="B42" s="185"/>
      <c r="C42" s="186"/>
      <c r="D42" s="187"/>
      <c r="E42" s="187"/>
      <c r="F42" s="187"/>
      <c r="G42" s="188"/>
      <c r="H42" s="189"/>
      <c r="I42" s="187"/>
      <c r="J42" s="187"/>
      <c r="K42" s="187"/>
      <c r="L42" s="188"/>
    </row>
    <row r="43" spans="2:12" x14ac:dyDescent="0.3">
      <c r="B43" s="185"/>
      <c r="C43" s="186"/>
      <c r="D43" s="187"/>
      <c r="E43" s="187"/>
      <c r="F43" s="187"/>
      <c r="G43" s="188"/>
      <c r="H43" s="189"/>
      <c r="I43" s="187"/>
      <c r="J43" s="187"/>
      <c r="K43" s="187"/>
      <c r="L43" s="188"/>
    </row>
    <row r="44" spans="2:12" x14ac:dyDescent="0.3">
      <c r="B44" s="185"/>
      <c r="C44" s="186"/>
      <c r="D44" s="187"/>
      <c r="E44" s="187"/>
      <c r="F44" s="187"/>
      <c r="G44" s="188"/>
      <c r="H44" s="189"/>
      <c r="I44" s="187"/>
      <c r="J44" s="187"/>
      <c r="K44" s="187"/>
      <c r="L44" s="188"/>
    </row>
    <row r="45" spans="2:12" x14ac:dyDescent="0.3">
      <c r="B45" s="185"/>
      <c r="C45" s="186"/>
      <c r="D45" s="187"/>
      <c r="E45" s="187"/>
      <c r="F45" s="187"/>
      <c r="G45" s="188"/>
      <c r="H45" s="189"/>
      <c r="I45" s="187"/>
      <c r="J45" s="187"/>
      <c r="K45" s="187"/>
      <c r="L45" s="188"/>
    </row>
    <row r="46" spans="2:12" x14ac:dyDescent="0.3">
      <c r="B46" s="185"/>
      <c r="C46" s="186"/>
      <c r="D46" s="187"/>
      <c r="E46" s="187"/>
      <c r="F46" s="187"/>
      <c r="G46" s="188"/>
      <c r="H46" s="189"/>
      <c r="I46" s="187"/>
      <c r="J46" s="187"/>
      <c r="K46" s="187"/>
      <c r="L46" s="188"/>
    </row>
    <row r="47" spans="2:12" x14ac:dyDescent="0.3">
      <c r="B47" s="185"/>
      <c r="C47" s="186"/>
      <c r="D47" s="187"/>
      <c r="E47" s="187"/>
      <c r="F47" s="187"/>
      <c r="G47" s="188"/>
      <c r="H47" s="189"/>
      <c r="I47" s="187"/>
      <c r="J47" s="187"/>
      <c r="K47" s="187"/>
      <c r="L47" s="188"/>
    </row>
    <row r="48" spans="2:12" x14ac:dyDescent="0.3">
      <c r="B48" s="185"/>
      <c r="C48" s="186"/>
      <c r="D48" s="187"/>
      <c r="E48" s="187"/>
      <c r="F48" s="187"/>
      <c r="G48" s="188"/>
      <c r="H48" s="189"/>
      <c r="I48" s="187"/>
      <c r="J48" s="187"/>
      <c r="K48" s="187"/>
      <c r="L48" s="188"/>
    </row>
    <row r="49" spans="2:12" ht="17.25" thickBot="1" x14ac:dyDescent="0.35">
      <c r="B49" s="190"/>
      <c r="C49" s="191"/>
      <c r="D49" s="192"/>
      <c r="E49" s="192"/>
      <c r="F49" s="192"/>
      <c r="G49" s="193"/>
      <c r="H49" s="194"/>
      <c r="I49" s="192"/>
      <c r="J49" s="192"/>
      <c r="K49" s="192"/>
      <c r="L49" s="193"/>
    </row>
    <row r="50" spans="2:12" ht="17.25" thickBot="1" x14ac:dyDescent="0.35">
      <c r="B50" s="195" t="s">
        <v>62</v>
      </c>
      <c r="C50" s="196">
        <f t="shared" ref="C50:L50" si="0">SUM(C15:C49)</f>
        <v>0</v>
      </c>
      <c r="D50" s="197">
        <f t="shared" si="0"/>
        <v>0</v>
      </c>
      <c r="E50" s="197">
        <f t="shared" si="0"/>
        <v>0</v>
      </c>
      <c r="F50" s="197">
        <f t="shared" si="0"/>
        <v>0</v>
      </c>
      <c r="G50" s="198">
        <f t="shared" si="0"/>
        <v>0</v>
      </c>
      <c r="H50" s="196">
        <f t="shared" si="0"/>
        <v>0</v>
      </c>
      <c r="I50" s="197">
        <f t="shared" si="0"/>
        <v>0</v>
      </c>
      <c r="J50" s="197">
        <f t="shared" si="0"/>
        <v>0</v>
      </c>
      <c r="K50" s="197">
        <f t="shared" si="0"/>
        <v>0</v>
      </c>
      <c r="L50" s="199">
        <f t="shared" si="0"/>
        <v>0</v>
      </c>
    </row>
    <row r="53" spans="2:12" ht="17.25" thickBot="1" x14ac:dyDescent="0.35"/>
    <row r="54" spans="2:12" ht="19.5" thickBot="1" x14ac:dyDescent="0.35">
      <c r="B54" s="171" t="s">
        <v>611</v>
      </c>
      <c r="C54" s="172"/>
      <c r="D54" s="172"/>
      <c r="E54" s="172"/>
      <c r="F54" s="172"/>
      <c r="G54" s="172"/>
      <c r="H54" s="172"/>
      <c r="I54" s="172"/>
      <c r="J54" s="172"/>
      <c r="K54" s="172"/>
      <c r="L54" s="173"/>
    </row>
    <row r="55" spans="2:12" x14ac:dyDescent="0.3">
      <c r="B55" s="272"/>
      <c r="C55" s="274" t="s">
        <v>610</v>
      </c>
      <c r="D55" s="275"/>
      <c r="E55" s="276"/>
      <c r="F55" s="277" t="s">
        <v>651</v>
      </c>
      <c r="G55" s="278"/>
      <c r="H55" s="278"/>
      <c r="I55" s="278"/>
      <c r="J55" s="278"/>
      <c r="K55" s="278"/>
      <c r="L55" s="279"/>
    </row>
    <row r="56" spans="2:12" ht="17.25" thickBot="1" x14ac:dyDescent="0.35">
      <c r="B56" s="273"/>
      <c r="C56" s="174" t="s">
        <v>646</v>
      </c>
      <c r="D56" s="175" t="s">
        <v>647</v>
      </c>
      <c r="E56" s="175" t="s">
        <v>648</v>
      </c>
      <c r="F56" s="177" t="s">
        <v>649</v>
      </c>
      <c r="G56" s="177" t="s">
        <v>650</v>
      </c>
      <c r="H56" s="177" t="s">
        <v>652</v>
      </c>
      <c r="I56" s="177" t="s">
        <v>653</v>
      </c>
      <c r="J56" s="177" t="s">
        <v>654</v>
      </c>
      <c r="K56" s="177" t="s">
        <v>656</v>
      </c>
      <c r="L56" s="177" t="s">
        <v>655</v>
      </c>
    </row>
    <row r="57" spans="2:12" x14ac:dyDescent="0.3">
      <c r="B57" s="185"/>
      <c r="C57" s="200"/>
      <c r="D57" s="201"/>
      <c r="E57" s="201"/>
      <c r="F57" s="201"/>
      <c r="G57" s="202"/>
      <c r="H57" s="203"/>
      <c r="I57" s="201"/>
      <c r="J57" s="201"/>
      <c r="K57" s="201"/>
      <c r="L57" s="202"/>
    </row>
    <row r="58" spans="2:12" x14ac:dyDescent="0.3">
      <c r="B58" s="185"/>
      <c r="C58" s="200"/>
      <c r="D58" s="201"/>
      <c r="E58" s="201"/>
      <c r="F58" s="201"/>
      <c r="G58" s="202"/>
      <c r="H58" s="203"/>
      <c r="I58" s="201"/>
      <c r="J58" s="201"/>
      <c r="K58" s="201"/>
      <c r="L58" s="202"/>
    </row>
    <row r="59" spans="2:12" x14ac:dyDescent="0.3">
      <c r="B59" s="185"/>
      <c r="C59" s="200"/>
      <c r="D59" s="201"/>
      <c r="E59" s="201"/>
      <c r="F59" s="201"/>
      <c r="G59" s="202"/>
      <c r="H59" s="203"/>
      <c r="I59" s="201"/>
      <c r="J59" s="201"/>
      <c r="K59" s="201"/>
      <c r="L59" s="202"/>
    </row>
    <row r="60" spans="2:12" x14ac:dyDescent="0.3">
      <c r="B60" s="185"/>
      <c r="C60" s="200"/>
      <c r="D60" s="201"/>
      <c r="E60" s="201"/>
      <c r="F60" s="201"/>
      <c r="G60" s="202"/>
      <c r="H60" s="203"/>
      <c r="I60" s="201"/>
      <c r="J60" s="201"/>
      <c r="K60" s="201"/>
      <c r="L60" s="202"/>
    </row>
    <row r="61" spans="2:12" x14ac:dyDescent="0.3">
      <c r="B61" s="185"/>
      <c r="C61" s="200"/>
      <c r="D61" s="201"/>
      <c r="E61" s="201"/>
      <c r="F61" s="201"/>
      <c r="G61" s="202"/>
      <c r="H61" s="203"/>
      <c r="I61" s="201"/>
      <c r="J61" s="201"/>
      <c r="K61" s="201"/>
      <c r="L61" s="202"/>
    </row>
    <row r="62" spans="2:12" x14ac:dyDescent="0.3">
      <c r="B62" s="264" t="str">
        <f>Outputs│Tables!M14</f>
        <v>Pipeline Integrity Management</v>
      </c>
      <c r="C62" s="200"/>
      <c r="D62" s="201"/>
      <c r="E62" s="201"/>
      <c r="F62" s="201"/>
      <c r="G62" s="243">
        <f>VLOOKUP($B62,Outputs│Tables!$M$13:$U$18,COLUMN(G62)-3,FALSE)*1000000</f>
        <v>6254621.9999999981</v>
      </c>
      <c r="H62" s="241">
        <f>VLOOKUP($B62,Outputs│Tables!$M$13:$U$18,COLUMN(H62)-3,FALSE)*1000000</f>
        <v>8695500</v>
      </c>
      <c r="I62" s="242">
        <f>VLOOKUP($B62,Outputs│Tables!$M$13:$U$18,COLUMN(I62)-3,FALSE)*1000000</f>
        <v>10248413.999999998</v>
      </c>
      <c r="J62" s="242">
        <f>VLOOKUP($B62,Outputs│Tables!$M$13:$U$18,COLUMN(J62)-3,FALSE)*1000000</f>
        <v>5455658.9999999991</v>
      </c>
      <c r="K62" s="242">
        <f>VLOOKUP($B62,Outputs│Tables!$M$13:$U$18,COLUMN(K62)-3,FALSE)*1000000</f>
        <v>6811133.9999999981</v>
      </c>
      <c r="L62" s="243">
        <f>VLOOKUP($B62,Outputs│Tables!$M$13:$U$18,COLUMN(L62)-3,FALSE)*1000000</f>
        <v>6377381.9999999991</v>
      </c>
    </row>
    <row r="63" spans="2:12" x14ac:dyDescent="0.3">
      <c r="B63" s="264"/>
      <c r="C63" s="200"/>
      <c r="D63" s="201"/>
      <c r="E63" s="201"/>
      <c r="F63" s="201"/>
      <c r="G63" s="202"/>
      <c r="H63" s="203"/>
      <c r="I63" s="201"/>
      <c r="J63" s="201"/>
      <c r="K63" s="201"/>
      <c r="L63" s="202"/>
    </row>
    <row r="64" spans="2:12" x14ac:dyDescent="0.3">
      <c r="B64" s="264"/>
      <c r="C64" s="200"/>
      <c r="D64" s="201"/>
      <c r="E64" s="201"/>
      <c r="F64" s="201"/>
      <c r="G64" s="202"/>
      <c r="H64" s="203"/>
      <c r="I64" s="201"/>
      <c r="J64" s="201"/>
      <c r="K64" s="201"/>
      <c r="L64" s="202"/>
    </row>
    <row r="65" spans="2:12" x14ac:dyDescent="0.3">
      <c r="B65" s="264" t="s">
        <v>155</v>
      </c>
      <c r="C65" s="200"/>
      <c r="D65" s="201"/>
      <c r="E65" s="201"/>
      <c r="F65" s="201"/>
      <c r="G65" s="243">
        <f>(Outputs│RFM!D25*1000000-SUM(G62,G66:G68,G133))</f>
        <v>3474336.8137420751</v>
      </c>
      <c r="H65" s="241">
        <f>(Outputs│PTRM!E25*1000000)-SUM(H62,H66:H68,H133)</f>
        <v>3055796.1152035594</v>
      </c>
      <c r="I65" s="242">
        <f>(Outputs│PTRM!F25*1000000)-SUM(I62,I66:I68,I133)</f>
        <v>1195275.8431471493</v>
      </c>
      <c r="J65" s="242">
        <f>(Outputs│PTRM!G25*1000000)-SUM(J62,J66:J68,J133)</f>
        <v>610337.98250954226</v>
      </c>
      <c r="K65" s="242">
        <f>(Outputs│PTRM!H25*1000000)-SUM(K62,K66:K68,K133)</f>
        <v>613415.24834954087</v>
      </c>
      <c r="L65" s="243">
        <f>(Outputs│PTRM!I25*1000000)-SUM(L62,L66:L68,L133)</f>
        <v>1210179.6794695407</v>
      </c>
    </row>
    <row r="66" spans="2:12" x14ac:dyDescent="0.3">
      <c r="B66" s="264" t="str">
        <f>Outputs│Tables!M13</f>
        <v>Urban Risk Reduction</v>
      </c>
      <c r="C66" s="200"/>
      <c r="D66" s="201"/>
      <c r="E66" s="201"/>
      <c r="F66" s="201"/>
      <c r="G66" s="243">
        <f>VLOOKUP($B66,Outputs│Tables!$M$13:$U$18,COLUMN(G66)-3,FALSE)*1000000</f>
        <v>8183999.9999999991</v>
      </c>
      <c r="H66" s="241">
        <f>VLOOKUP($B66,Outputs│Tables!$M$13:$U$18,COLUMN(H66)-3,FALSE)*1000000</f>
        <v>1687949.9999999998</v>
      </c>
      <c r="I66" s="242">
        <f>VLOOKUP($B66,Outputs│Tables!$M$13:$U$18,COLUMN(I66)-3,FALSE)*1000000</f>
        <v>306899.99999999994</v>
      </c>
      <c r="J66" s="242">
        <f>VLOOKUP($B66,Outputs│Tables!$M$13:$U$18,COLUMN(J66)-3,FALSE)*1000000</f>
        <v>306899.99999999994</v>
      </c>
      <c r="K66" s="242">
        <f>VLOOKUP($B66,Outputs│Tables!$M$13:$U$18,COLUMN(K66)-3,FALSE)*1000000</f>
        <v>306899.99999999994</v>
      </c>
      <c r="L66" s="243">
        <f>VLOOKUP($B66,Outputs│Tables!$M$13:$U$18,COLUMN(L66)-3,FALSE)*1000000</f>
        <v>306899.99999999994</v>
      </c>
    </row>
    <row r="67" spans="2:12" x14ac:dyDescent="0.3">
      <c r="B67" s="264" t="str">
        <f>Outputs│Tables!M15</f>
        <v>Toowoomba Crossing</v>
      </c>
      <c r="C67" s="200"/>
      <c r="D67" s="201"/>
      <c r="E67" s="201"/>
      <c r="F67" s="201"/>
      <c r="G67" s="243">
        <f>VLOOKUP($B67,Outputs│Tables!$M$13:$U$18,COLUMN(G67)-3,FALSE)*1000000</f>
        <v>306899.99999999994</v>
      </c>
      <c r="H67" s="241">
        <f>VLOOKUP($B67,Outputs│Tables!$M$13:$U$18,COLUMN(H67)-3,FALSE)*1000000</f>
        <v>11917950</v>
      </c>
      <c r="I67" s="242">
        <f>VLOOKUP($B67,Outputs│Tables!$M$13:$U$18,COLUMN(I67)-3,FALSE)*1000000</f>
        <v>3580499.9999999995</v>
      </c>
      <c r="J67" s="242">
        <f>VLOOKUP($B67,Outputs│Tables!$M$13:$U$18,COLUMN(J67)-3,FALSE)*1000000</f>
        <v>0</v>
      </c>
      <c r="K67" s="242">
        <f>VLOOKUP($B67,Outputs│Tables!$M$13:$U$18,COLUMN(K67)-3,FALSE)*1000000</f>
        <v>0</v>
      </c>
      <c r="L67" s="243">
        <f>VLOOKUP($B67,Outputs│Tables!$M$13:$U$18,COLUMN(L67)-3,FALSE)*1000000</f>
        <v>0</v>
      </c>
    </row>
    <row r="68" spans="2:12" x14ac:dyDescent="0.3">
      <c r="B68" s="264" t="str">
        <f>Outputs│Tables!M16</f>
        <v>Dalby Turbine Overhaul</v>
      </c>
      <c r="C68" s="200"/>
      <c r="D68" s="201"/>
      <c r="E68" s="201"/>
      <c r="F68" s="201"/>
      <c r="G68" s="243">
        <f>VLOOKUP($B68,Outputs│Tables!$M$13:$U$18,COLUMN(G68)-3,FALSE)*1000000</f>
        <v>0</v>
      </c>
      <c r="H68" s="241">
        <f>VLOOKUP($B68,Outputs│Tables!$M$13:$U$18,COLUMN(H68)-3,FALSE)*1000000</f>
        <v>0</v>
      </c>
      <c r="I68" s="242">
        <f>VLOOKUP($B68,Outputs│Tables!$M$13:$U$18,COLUMN(I68)-3,FALSE)*1000000</f>
        <v>0</v>
      </c>
      <c r="J68" s="242">
        <f>VLOOKUP($B68,Outputs│Tables!$M$13:$U$18,COLUMN(J68)-3,FALSE)*1000000</f>
        <v>0</v>
      </c>
      <c r="K68" s="242">
        <f>VLOOKUP($B68,Outputs│Tables!$M$13:$U$18,COLUMN(K68)-3,FALSE)*1000000</f>
        <v>0</v>
      </c>
      <c r="L68" s="243">
        <f>VLOOKUP($B68,Outputs│Tables!$M$13:$U$18,COLUMN(L68)-3,FALSE)*1000000</f>
        <v>1329899.9999999998</v>
      </c>
    </row>
    <row r="69" spans="2:12" x14ac:dyDescent="0.3">
      <c r="B69" s="185"/>
      <c r="C69" s="200"/>
      <c r="D69" s="201"/>
      <c r="E69" s="201"/>
      <c r="F69" s="201"/>
      <c r="G69" s="243"/>
      <c r="H69" s="241"/>
      <c r="I69" s="242"/>
      <c r="J69" s="242"/>
      <c r="K69" s="242"/>
      <c r="L69" s="243"/>
    </row>
    <row r="70" spans="2:12" x14ac:dyDescent="0.3">
      <c r="B70" s="185"/>
      <c r="C70" s="200"/>
      <c r="D70" s="201"/>
      <c r="E70" s="201"/>
      <c r="F70" s="201"/>
      <c r="G70" s="243"/>
      <c r="H70" s="241"/>
      <c r="I70" s="242"/>
      <c r="J70" s="242"/>
      <c r="K70" s="242"/>
      <c r="L70" s="243"/>
    </row>
    <row r="71" spans="2:12" x14ac:dyDescent="0.3">
      <c r="B71" s="185"/>
      <c r="C71" s="200"/>
      <c r="D71" s="201"/>
      <c r="E71" s="201"/>
      <c r="F71" s="201"/>
      <c r="G71" s="202"/>
      <c r="H71" s="203"/>
      <c r="I71" s="201"/>
      <c r="J71" s="201"/>
      <c r="K71" s="201"/>
      <c r="L71" s="202"/>
    </row>
    <row r="72" spans="2:12" x14ac:dyDescent="0.3">
      <c r="B72" s="185"/>
      <c r="C72" s="200"/>
      <c r="D72" s="201"/>
      <c r="E72" s="201"/>
      <c r="F72" s="201"/>
      <c r="G72" s="202"/>
      <c r="H72" s="203"/>
      <c r="I72" s="201"/>
      <c r="J72" s="201"/>
      <c r="K72" s="201"/>
      <c r="L72" s="202"/>
    </row>
    <row r="73" spans="2:12" x14ac:dyDescent="0.3">
      <c r="B73" s="185"/>
      <c r="C73" s="200"/>
      <c r="D73" s="201"/>
      <c r="E73" s="201"/>
      <c r="F73" s="201"/>
      <c r="G73" s="202"/>
      <c r="H73" s="203"/>
      <c r="I73" s="201"/>
      <c r="J73" s="201"/>
      <c r="K73" s="201"/>
      <c r="L73" s="202"/>
    </row>
    <row r="74" spans="2:12" x14ac:dyDescent="0.3">
      <c r="B74" s="185"/>
      <c r="C74" s="200"/>
      <c r="D74" s="201"/>
      <c r="E74" s="201"/>
      <c r="F74" s="201"/>
      <c r="G74" s="202"/>
      <c r="H74" s="203"/>
      <c r="I74" s="201"/>
      <c r="J74" s="201"/>
      <c r="K74" s="201"/>
      <c r="L74" s="202"/>
    </row>
    <row r="75" spans="2:12" x14ac:dyDescent="0.3">
      <c r="B75" s="185"/>
      <c r="C75" s="200"/>
      <c r="D75" s="201"/>
      <c r="E75" s="201"/>
      <c r="F75" s="201"/>
      <c r="G75" s="202"/>
      <c r="H75" s="203"/>
      <c r="I75" s="201"/>
      <c r="J75" s="201"/>
      <c r="K75" s="201"/>
      <c r="L75" s="202"/>
    </row>
    <row r="76" spans="2:12" x14ac:dyDescent="0.3">
      <c r="B76" s="185"/>
      <c r="C76" s="200"/>
      <c r="D76" s="201"/>
      <c r="E76" s="201"/>
      <c r="F76" s="201"/>
      <c r="G76" s="202"/>
      <c r="H76" s="203"/>
      <c r="I76" s="201"/>
      <c r="J76" s="201"/>
      <c r="K76" s="201"/>
      <c r="L76" s="202"/>
    </row>
    <row r="77" spans="2:12" x14ac:dyDescent="0.3">
      <c r="B77" s="185"/>
      <c r="C77" s="200"/>
      <c r="D77" s="201"/>
      <c r="E77" s="201"/>
      <c r="F77" s="201"/>
      <c r="G77" s="202"/>
      <c r="H77" s="203"/>
      <c r="I77" s="201"/>
      <c r="J77" s="201"/>
      <c r="K77" s="201"/>
      <c r="L77" s="202"/>
    </row>
    <row r="78" spans="2:12" x14ac:dyDescent="0.3">
      <c r="B78" s="185"/>
      <c r="C78" s="200"/>
      <c r="D78" s="201"/>
      <c r="E78" s="201"/>
      <c r="F78" s="201"/>
      <c r="G78" s="202"/>
      <c r="H78" s="203"/>
      <c r="I78" s="201"/>
      <c r="J78" s="201"/>
      <c r="K78" s="201"/>
      <c r="L78" s="202"/>
    </row>
    <row r="79" spans="2:12" x14ac:dyDescent="0.3">
      <c r="B79" s="185"/>
      <c r="C79" s="200"/>
      <c r="D79" s="201"/>
      <c r="E79" s="201"/>
      <c r="F79" s="201"/>
      <c r="G79" s="202"/>
      <c r="H79" s="203"/>
      <c r="I79" s="201"/>
      <c r="J79" s="201"/>
      <c r="K79" s="201"/>
      <c r="L79" s="202"/>
    </row>
    <row r="80" spans="2:12" x14ac:dyDescent="0.3">
      <c r="B80" s="185"/>
      <c r="C80" s="200"/>
      <c r="D80" s="201"/>
      <c r="E80" s="201"/>
      <c r="F80" s="201"/>
      <c r="G80" s="202"/>
      <c r="H80" s="203"/>
      <c r="I80" s="201"/>
      <c r="J80" s="201"/>
      <c r="K80" s="201"/>
      <c r="L80" s="202"/>
    </row>
    <row r="81" spans="2:12" x14ac:dyDescent="0.3">
      <c r="B81" s="185"/>
      <c r="C81" s="200"/>
      <c r="D81" s="201"/>
      <c r="E81" s="201"/>
      <c r="F81" s="201"/>
      <c r="G81" s="202"/>
      <c r="H81" s="203"/>
      <c r="I81" s="201"/>
      <c r="J81" s="201"/>
      <c r="K81" s="201"/>
      <c r="L81" s="202"/>
    </row>
    <row r="82" spans="2:12" x14ac:dyDescent="0.3">
      <c r="B82" s="185"/>
      <c r="C82" s="200"/>
      <c r="D82" s="201"/>
      <c r="E82" s="201"/>
      <c r="F82" s="201"/>
      <c r="G82" s="202"/>
      <c r="H82" s="203"/>
      <c r="I82" s="201"/>
      <c r="J82" s="201"/>
      <c r="K82" s="201"/>
      <c r="L82" s="202"/>
    </row>
    <row r="83" spans="2:12" x14ac:dyDescent="0.3">
      <c r="B83" s="185"/>
      <c r="C83" s="200"/>
      <c r="D83" s="201"/>
      <c r="E83" s="201"/>
      <c r="F83" s="201"/>
      <c r="G83" s="202"/>
      <c r="H83" s="203"/>
      <c r="I83" s="201"/>
      <c r="J83" s="201"/>
      <c r="K83" s="201"/>
      <c r="L83" s="202"/>
    </row>
    <row r="84" spans="2:12" x14ac:dyDescent="0.3">
      <c r="B84" s="185"/>
      <c r="C84" s="200"/>
      <c r="D84" s="201"/>
      <c r="E84" s="201"/>
      <c r="F84" s="201"/>
      <c r="G84" s="202"/>
      <c r="H84" s="203"/>
      <c r="I84" s="201"/>
      <c r="J84" s="201"/>
      <c r="K84" s="201"/>
      <c r="L84" s="202"/>
    </row>
    <row r="85" spans="2:12" x14ac:dyDescent="0.3">
      <c r="B85" s="185"/>
      <c r="C85" s="200"/>
      <c r="D85" s="201"/>
      <c r="E85" s="201"/>
      <c r="F85" s="201"/>
      <c r="G85" s="202"/>
      <c r="H85" s="203"/>
      <c r="I85" s="201"/>
      <c r="J85" s="201"/>
      <c r="K85" s="201"/>
      <c r="L85" s="202"/>
    </row>
    <row r="86" spans="2:12" x14ac:dyDescent="0.3">
      <c r="B86" s="185"/>
      <c r="C86" s="200"/>
      <c r="D86" s="201"/>
      <c r="E86" s="201"/>
      <c r="F86" s="201"/>
      <c r="G86" s="202"/>
      <c r="H86" s="203"/>
      <c r="I86" s="201"/>
      <c r="J86" s="201"/>
      <c r="K86" s="201"/>
      <c r="L86" s="202"/>
    </row>
    <row r="87" spans="2:12" x14ac:dyDescent="0.3">
      <c r="B87" s="185"/>
      <c r="C87" s="200"/>
      <c r="D87" s="201"/>
      <c r="E87" s="201"/>
      <c r="F87" s="201"/>
      <c r="G87" s="202"/>
      <c r="H87" s="203"/>
      <c r="I87" s="201"/>
      <c r="J87" s="201"/>
      <c r="K87" s="201"/>
      <c r="L87" s="202"/>
    </row>
    <row r="88" spans="2:12" x14ac:dyDescent="0.3">
      <c r="B88" s="185"/>
      <c r="C88" s="200"/>
      <c r="D88" s="201"/>
      <c r="E88" s="201"/>
      <c r="F88" s="201"/>
      <c r="G88" s="202"/>
      <c r="H88" s="203"/>
      <c r="I88" s="201"/>
      <c r="J88" s="201"/>
      <c r="K88" s="201"/>
      <c r="L88" s="202"/>
    </row>
    <row r="89" spans="2:12" x14ac:dyDescent="0.3">
      <c r="B89" s="185"/>
      <c r="C89" s="200"/>
      <c r="D89" s="201"/>
      <c r="E89" s="201"/>
      <c r="F89" s="201"/>
      <c r="G89" s="202"/>
      <c r="H89" s="203"/>
      <c r="I89" s="201"/>
      <c r="J89" s="201"/>
      <c r="K89" s="201"/>
      <c r="L89" s="202"/>
    </row>
    <row r="90" spans="2:12" x14ac:dyDescent="0.3">
      <c r="B90" s="185"/>
      <c r="C90" s="200"/>
      <c r="D90" s="201"/>
      <c r="E90" s="201"/>
      <c r="F90" s="201"/>
      <c r="G90" s="202"/>
      <c r="H90" s="203"/>
      <c r="I90" s="201"/>
      <c r="J90" s="201"/>
      <c r="K90" s="201"/>
      <c r="L90" s="202"/>
    </row>
    <row r="91" spans="2:12" ht="17.25" thickBot="1" x14ac:dyDescent="0.35">
      <c r="B91" s="190"/>
      <c r="C91" s="204"/>
      <c r="D91" s="205"/>
      <c r="E91" s="205"/>
      <c r="F91" s="205"/>
      <c r="G91" s="206"/>
      <c r="H91" s="207"/>
      <c r="I91" s="205"/>
      <c r="J91" s="205"/>
      <c r="K91" s="205"/>
      <c r="L91" s="206"/>
    </row>
    <row r="92" spans="2:12" ht="17.25" thickBot="1" x14ac:dyDescent="0.35">
      <c r="B92" s="195" t="s">
        <v>62</v>
      </c>
      <c r="C92" s="196">
        <f t="shared" ref="C92:F92" si="1">SUM(C65:C91)</f>
        <v>0</v>
      </c>
      <c r="D92" s="197">
        <f t="shared" si="1"/>
        <v>0</v>
      </c>
      <c r="E92" s="197">
        <f t="shared" si="1"/>
        <v>0</v>
      </c>
      <c r="F92" s="197">
        <f t="shared" si="1"/>
        <v>0</v>
      </c>
      <c r="G92" s="263">
        <f t="shared" ref="G92:L92" si="2">SUM(G57:G91)</f>
        <v>18219858.813742071</v>
      </c>
      <c r="H92" s="263">
        <f t="shared" si="2"/>
        <v>25357196.115203559</v>
      </c>
      <c r="I92" s="263">
        <f t="shared" si="2"/>
        <v>15331089.843147147</v>
      </c>
      <c r="J92" s="263">
        <f t="shared" si="2"/>
        <v>6372896.9825095413</v>
      </c>
      <c r="K92" s="263">
        <f t="shared" si="2"/>
        <v>7731449.248349539</v>
      </c>
      <c r="L92" s="263">
        <f t="shared" si="2"/>
        <v>9224361.6794695389</v>
      </c>
    </row>
    <row r="93" spans="2:12" x14ac:dyDescent="0.3">
      <c r="B93" s="208"/>
      <c r="C93" s="209"/>
      <c r="D93" s="209"/>
      <c r="E93" s="209"/>
      <c r="F93" s="209"/>
      <c r="G93" s="209"/>
      <c r="H93" s="209"/>
      <c r="I93" s="209"/>
      <c r="J93" s="209"/>
      <c r="K93" s="209"/>
      <c r="L93" s="209"/>
    </row>
    <row r="94" spans="2:12" ht="17.25" thickBot="1" x14ac:dyDescent="0.35"/>
    <row r="95" spans="2:12" ht="19.5" thickBot="1" x14ac:dyDescent="0.35">
      <c r="B95" s="171" t="s">
        <v>612</v>
      </c>
      <c r="C95" s="172"/>
      <c r="D95" s="172"/>
      <c r="E95" s="172"/>
      <c r="F95" s="172"/>
      <c r="G95" s="172"/>
      <c r="H95" s="172"/>
      <c r="I95" s="172"/>
      <c r="J95" s="172"/>
      <c r="K95" s="172"/>
      <c r="L95" s="173"/>
    </row>
    <row r="96" spans="2:12" x14ac:dyDescent="0.3">
      <c r="B96" s="272"/>
      <c r="C96" s="274" t="s">
        <v>610</v>
      </c>
      <c r="D96" s="275"/>
      <c r="E96" s="276"/>
      <c r="F96" s="277" t="s">
        <v>651</v>
      </c>
      <c r="G96" s="278"/>
      <c r="H96" s="278"/>
      <c r="I96" s="278"/>
      <c r="J96" s="278"/>
      <c r="K96" s="278"/>
      <c r="L96" s="279"/>
    </row>
    <row r="97" spans="2:12" ht="17.25" thickBot="1" x14ac:dyDescent="0.35">
      <c r="B97" s="273"/>
      <c r="C97" s="174" t="s">
        <v>646</v>
      </c>
      <c r="D97" s="175" t="s">
        <v>647</v>
      </c>
      <c r="E97" s="175" t="s">
        <v>648</v>
      </c>
      <c r="F97" s="177" t="s">
        <v>649</v>
      </c>
      <c r="G97" s="177" t="s">
        <v>650</v>
      </c>
      <c r="H97" s="177" t="s">
        <v>652</v>
      </c>
      <c r="I97" s="177" t="s">
        <v>653</v>
      </c>
      <c r="J97" s="177" t="s">
        <v>654</v>
      </c>
      <c r="K97" s="177" t="s">
        <v>656</v>
      </c>
      <c r="L97" s="177" t="s">
        <v>655</v>
      </c>
    </row>
    <row r="98" spans="2:12" x14ac:dyDescent="0.3">
      <c r="B98" s="264" t="str">
        <f>Outputs│Tables!M17</f>
        <v>Applications and Renewals</v>
      </c>
      <c r="C98" s="200"/>
      <c r="D98" s="201"/>
      <c r="E98" s="201"/>
      <c r="F98" s="201"/>
      <c r="G98" s="222">
        <f>Outputs│Tables!P17*1000000</f>
        <v>0</v>
      </c>
      <c r="H98" s="241">
        <f>Outputs│Tables!Q17*1000000</f>
        <v>425728.83701583766</v>
      </c>
      <c r="I98" s="241">
        <f>Outputs│Tables!R17*1000000</f>
        <v>531852.54711253929</v>
      </c>
      <c r="J98" s="241">
        <f>Outputs│Tables!S17*1000000</f>
        <v>425728.83701583766</v>
      </c>
      <c r="K98" s="241">
        <f>Outputs│Tables!T17*1000000</f>
        <v>531852.54711253929</v>
      </c>
      <c r="L98" s="243">
        <f>Outputs│Tables!U17*1000000</f>
        <v>425728.83701583766</v>
      </c>
    </row>
    <row r="99" spans="2:12" x14ac:dyDescent="0.3">
      <c r="B99" s="264" t="str">
        <f>Outputs│Tables!M18</f>
        <v>Infrastructure Renewals</v>
      </c>
      <c r="C99" s="200"/>
      <c r="D99" s="201"/>
      <c r="E99" s="201"/>
      <c r="F99" s="201"/>
      <c r="G99" s="222">
        <f>Outputs│Tables!P18*1000000</f>
        <v>0</v>
      </c>
      <c r="H99" s="241">
        <f>Outputs│Tables!Q18*1000000</f>
        <v>138824.62076603403</v>
      </c>
      <c r="I99" s="241">
        <f>Outputs│Tables!R18*1000000</f>
        <v>46274.873588678005</v>
      </c>
      <c r="J99" s="241">
        <f>Outputs│Tables!S18*1000000</f>
        <v>46274.873588678005</v>
      </c>
      <c r="K99" s="241">
        <f>Outputs│Tables!T18*1000000</f>
        <v>46274.873588678005</v>
      </c>
      <c r="L99" s="243">
        <f>Outputs│Tables!U18*1000000</f>
        <v>0</v>
      </c>
    </row>
    <row r="100" spans="2:12" x14ac:dyDescent="0.3">
      <c r="B100" s="185"/>
      <c r="C100" s="200"/>
      <c r="D100" s="201"/>
      <c r="E100" s="201"/>
      <c r="F100" s="201"/>
      <c r="G100" s="202"/>
      <c r="H100" s="203"/>
      <c r="I100" s="201"/>
      <c r="J100" s="201"/>
      <c r="K100" s="201"/>
      <c r="L100" s="202"/>
    </row>
    <row r="101" spans="2:12" x14ac:dyDescent="0.3">
      <c r="B101" s="185"/>
      <c r="C101" s="200"/>
      <c r="D101" s="201"/>
      <c r="E101" s="201"/>
      <c r="F101" s="201"/>
      <c r="G101" s="202"/>
      <c r="H101" s="203"/>
      <c r="I101" s="201"/>
      <c r="J101" s="201"/>
      <c r="K101" s="201"/>
      <c r="L101" s="202"/>
    </row>
    <row r="102" spans="2:12" x14ac:dyDescent="0.3">
      <c r="B102" s="185"/>
      <c r="C102" s="200"/>
      <c r="D102" s="201"/>
      <c r="E102" s="201"/>
      <c r="F102" s="201"/>
      <c r="G102" s="202"/>
      <c r="H102" s="203"/>
      <c r="I102" s="201"/>
      <c r="J102" s="201"/>
      <c r="K102" s="201"/>
      <c r="L102" s="202"/>
    </row>
    <row r="103" spans="2:12" x14ac:dyDescent="0.3">
      <c r="B103" s="185"/>
      <c r="C103" s="200"/>
      <c r="D103" s="201"/>
      <c r="E103" s="201"/>
      <c r="F103" s="201"/>
      <c r="G103" s="202"/>
      <c r="H103" s="203"/>
      <c r="I103" s="201"/>
      <c r="J103" s="201"/>
      <c r="K103" s="201"/>
      <c r="L103" s="202"/>
    </row>
    <row r="104" spans="2:12" x14ac:dyDescent="0.3">
      <c r="B104" s="185"/>
      <c r="C104" s="200"/>
      <c r="D104" s="201"/>
      <c r="E104" s="201"/>
      <c r="F104" s="201"/>
      <c r="G104" s="202"/>
      <c r="H104" s="203"/>
      <c r="I104" s="221"/>
      <c r="J104" s="221"/>
      <c r="K104" s="221"/>
      <c r="L104" s="202"/>
    </row>
    <row r="105" spans="2:12" x14ac:dyDescent="0.3">
      <c r="B105" s="185"/>
      <c r="C105" s="200"/>
      <c r="D105" s="201"/>
      <c r="E105" s="201"/>
      <c r="F105" s="201"/>
      <c r="G105" s="202"/>
      <c r="H105" s="203"/>
      <c r="I105" s="221"/>
      <c r="J105" s="221"/>
      <c r="K105" s="221"/>
      <c r="L105" s="202"/>
    </row>
    <row r="106" spans="2:12" x14ac:dyDescent="0.3">
      <c r="B106" s="185"/>
      <c r="C106" s="200"/>
      <c r="D106" s="201"/>
      <c r="E106" s="201"/>
      <c r="F106" s="201"/>
      <c r="G106" s="202"/>
      <c r="H106" s="203"/>
      <c r="I106" s="221"/>
      <c r="J106" s="221"/>
      <c r="K106" s="221"/>
      <c r="L106" s="202"/>
    </row>
    <row r="107" spans="2:12" x14ac:dyDescent="0.3">
      <c r="B107" s="185"/>
      <c r="C107" s="200"/>
      <c r="D107" s="201"/>
      <c r="E107" s="201"/>
      <c r="F107" s="201"/>
      <c r="G107" s="202"/>
      <c r="H107" s="203"/>
      <c r="I107" s="221"/>
      <c r="J107" s="221"/>
      <c r="K107" s="221"/>
      <c r="L107" s="202"/>
    </row>
    <row r="108" spans="2:12" x14ac:dyDescent="0.3">
      <c r="B108" s="185"/>
      <c r="C108" s="200"/>
      <c r="D108" s="201"/>
      <c r="E108" s="201"/>
      <c r="F108" s="201"/>
      <c r="G108" s="202"/>
      <c r="H108" s="203"/>
      <c r="I108" s="221"/>
      <c r="J108" s="221"/>
      <c r="K108" s="221"/>
      <c r="L108" s="202"/>
    </row>
    <row r="109" spans="2:12" x14ac:dyDescent="0.3">
      <c r="B109" s="185"/>
      <c r="C109" s="200"/>
      <c r="D109" s="201"/>
      <c r="E109" s="201"/>
      <c r="F109" s="201"/>
      <c r="G109" s="202"/>
      <c r="H109" s="203"/>
      <c r="I109" s="221"/>
      <c r="J109" s="221"/>
      <c r="K109" s="221"/>
      <c r="L109" s="202"/>
    </row>
    <row r="110" spans="2:12" x14ac:dyDescent="0.3">
      <c r="B110" s="185"/>
      <c r="C110" s="200"/>
      <c r="D110" s="201"/>
      <c r="E110" s="201"/>
      <c r="F110" s="201"/>
      <c r="G110" s="202"/>
      <c r="H110" s="203"/>
      <c r="I110" s="221"/>
      <c r="J110" s="221"/>
      <c r="K110" s="221"/>
      <c r="L110" s="202"/>
    </row>
    <row r="111" spans="2:12" x14ac:dyDescent="0.3">
      <c r="B111" s="185"/>
      <c r="C111" s="200"/>
      <c r="D111" s="201"/>
      <c r="E111" s="201"/>
      <c r="F111" s="201"/>
      <c r="G111" s="202"/>
      <c r="H111" s="203"/>
      <c r="I111" s="221"/>
      <c r="J111" s="221"/>
      <c r="K111" s="221"/>
      <c r="L111" s="202"/>
    </row>
    <row r="112" spans="2:12" x14ac:dyDescent="0.3">
      <c r="B112" s="185"/>
      <c r="C112" s="200"/>
      <c r="D112" s="201"/>
      <c r="E112" s="201"/>
      <c r="F112" s="201"/>
      <c r="G112" s="202"/>
      <c r="H112" s="203"/>
      <c r="I112" s="201"/>
      <c r="J112" s="201"/>
      <c r="K112" s="201"/>
      <c r="L112" s="202"/>
    </row>
    <row r="113" spans="2:12" x14ac:dyDescent="0.3">
      <c r="B113" s="185"/>
      <c r="C113" s="200"/>
      <c r="D113" s="201"/>
      <c r="E113" s="201"/>
      <c r="F113" s="201"/>
      <c r="G113" s="202"/>
      <c r="H113" s="203"/>
      <c r="I113" s="201"/>
      <c r="J113" s="201"/>
      <c r="K113" s="201"/>
      <c r="L113" s="202"/>
    </row>
    <row r="114" spans="2:12" x14ac:dyDescent="0.3">
      <c r="B114" s="185"/>
      <c r="C114" s="200"/>
      <c r="D114" s="201"/>
      <c r="E114" s="201"/>
      <c r="F114" s="201"/>
      <c r="G114" s="202"/>
      <c r="H114" s="203"/>
      <c r="I114" s="201"/>
      <c r="J114" s="201"/>
      <c r="K114" s="201"/>
      <c r="L114" s="202"/>
    </row>
    <row r="115" spans="2:12" x14ac:dyDescent="0.3">
      <c r="B115" s="185"/>
      <c r="C115" s="200"/>
      <c r="D115" s="201"/>
      <c r="E115" s="201"/>
      <c r="F115" s="201"/>
      <c r="G115" s="202"/>
      <c r="H115" s="203"/>
      <c r="I115" s="201"/>
      <c r="J115" s="201"/>
      <c r="K115" s="201"/>
      <c r="L115" s="202"/>
    </row>
    <row r="116" spans="2:12" x14ac:dyDescent="0.3">
      <c r="B116" s="185"/>
      <c r="C116" s="200"/>
      <c r="D116" s="201"/>
      <c r="E116" s="201"/>
      <c r="F116" s="201"/>
      <c r="G116" s="202"/>
      <c r="H116" s="203"/>
      <c r="I116" s="201"/>
      <c r="J116" s="201"/>
      <c r="K116" s="201"/>
      <c r="L116" s="202"/>
    </row>
    <row r="117" spans="2:12" x14ac:dyDescent="0.3">
      <c r="B117" s="185"/>
      <c r="C117" s="200"/>
      <c r="D117" s="201"/>
      <c r="E117" s="201"/>
      <c r="F117" s="201"/>
      <c r="G117" s="202"/>
      <c r="H117" s="203"/>
      <c r="I117" s="201"/>
      <c r="J117" s="201"/>
      <c r="K117" s="201"/>
      <c r="L117" s="202"/>
    </row>
    <row r="118" spans="2:12" x14ac:dyDescent="0.3">
      <c r="B118" s="185"/>
      <c r="C118" s="200"/>
      <c r="D118" s="201"/>
      <c r="E118" s="201"/>
      <c r="F118" s="201"/>
      <c r="G118" s="202"/>
      <c r="H118" s="203"/>
      <c r="I118" s="201"/>
      <c r="J118" s="201"/>
      <c r="K118" s="201"/>
      <c r="L118" s="202"/>
    </row>
    <row r="119" spans="2:12" x14ac:dyDescent="0.3">
      <c r="B119" s="185"/>
      <c r="C119" s="200"/>
      <c r="D119" s="201"/>
      <c r="E119" s="201"/>
      <c r="F119" s="201"/>
      <c r="G119" s="202"/>
      <c r="H119" s="203"/>
      <c r="I119" s="201"/>
      <c r="J119" s="201"/>
      <c r="K119" s="201"/>
      <c r="L119" s="202"/>
    </row>
    <row r="120" spans="2:12" x14ac:dyDescent="0.3">
      <c r="B120" s="185"/>
      <c r="C120" s="200"/>
      <c r="D120" s="201"/>
      <c r="E120" s="201"/>
      <c r="F120" s="201"/>
      <c r="G120" s="202"/>
      <c r="H120" s="203"/>
      <c r="I120" s="201"/>
      <c r="J120" s="201"/>
      <c r="K120" s="201"/>
      <c r="L120" s="202"/>
    </row>
    <row r="121" spans="2:12" x14ac:dyDescent="0.3">
      <c r="B121" s="185"/>
      <c r="C121" s="200"/>
      <c r="D121" s="201"/>
      <c r="E121" s="201"/>
      <c r="F121" s="201"/>
      <c r="G121" s="202"/>
      <c r="H121" s="203"/>
      <c r="I121" s="201"/>
      <c r="J121" s="201"/>
      <c r="K121" s="201"/>
      <c r="L121" s="202"/>
    </row>
    <row r="122" spans="2:12" x14ac:dyDescent="0.3">
      <c r="B122" s="185"/>
      <c r="C122" s="200"/>
      <c r="D122" s="201"/>
      <c r="E122" s="201"/>
      <c r="F122" s="201"/>
      <c r="G122" s="202"/>
      <c r="H122" s="203"/>
      <c r="I122" s="201"/>
      <c r="J122" s="201"/>
      <c r="K122" s="201"/>
      <c r="L122" s="202"/>
    </row>
    <row r="123" spans="2:12" x14ac:dyDescent="0.3">
      <c r="B123" s="185"/>
      <c r="C123" s="200"/>
      <c r="D123" s="201"/>
      <c r="E123" s="201"/>
      <c r="F123" s="201"/>
      <c r="G123" s="202"/>
      <c r="H123" s="203"/>
      <c r="I123" s="201"/>
      <c r="J123" s="201"/>
      <c r="K123" s="201"/>
      <c r="L123" s="202"/>
    </row>
    <row r="124" spans="2:12" x14ac:dyDescent="0.3">
      <c r="B124" s="185"/>
      <c r="C124" s="200"/>
      <c r="D124" s="201"/>
      <c r="E124" s="201"/>
      <c r="F124" s="201"/>
      <c r="G124" s="202"/>
      <c r="H124" s="203"/>
      <c r="I124" s="201"/>
      <c r="J124" s="201"/>
      <c r="K124" s="201"/>
      <c r="L124" s="202"/>
    </row>
    <row r="125" spans="2:12" x14ac:dyDescent="0.3">
      <c r="B125" s="185"/>
      <c r="C125" s="200"/>
      <c r="D125" s="201"/>
      <c r="E125" s="201"/>
      <c r="F125" s="201"/>
      <c r="G125" s="202"/>
      <c r="H125" s="203"/>
      <c r="I125" s="201"/>
      <c r="J125" s="201"/>
      <c r="K125" s="201"/>
      <c r="L125" s="202"/>
    </row>
    <row r="126" spans="2:12" x14ac:dyDescent="0.3">
      <c r="B126" s="185"/>
      <c r="C126" s="200"/>
      <c r="D126" s="201"/>
      <c r="E126" s="201"/>
      <c r="F126" s="201"/>
      <c r="G126" s="202"/>
      <c r="H126" s="203"/>
      <c r="I126" s="201"/>
      <c r="J126" s="201"/>
      <c r="K126" s="201"/>
      <c r="L126" s="202"/>
    </row>
    <row r="127" spans="2:12" x14ac:dyDescent="0.3">
      <c r="B127" s="185"/>
      <c r="C127" s="200"/>
      <c r="D127" s="201"/>
      <c r="E127" s="201"/>
      <c r="F127" s="201"/>
      <c r="G127" s="202"/>
      <c r="H127" s="203"/>
      <c r="I127" s="201"/>
      <c r="J127" s="201"/>
      <c r="K127" s="201"/>
      <c r="L127" s="202"/>
    </row>
    <row r="128" spans="2:12" x14ac:dyDescent="0.3">
      <c r="B128" s="185"/>
      <c r="C128" s="200"/>
      <c r="D128" s="201"/>
      <c r="E128" s="201"/>
      <c r="F128" s="201"/>
      <c r="G128" s="202"/>
      <c r="H128" s="203"/>
      <c r="I128" s="201"/>
      <c r="J128" s="201"/>
      <c r="K128" s="201"/>
      <c r="L128" s="202"/>
    </row>
    <row r="129" spans="2:12" x14ac:dyDescent="0.3">
      <c r="B129" s="185"/>
      <c r="C129" s="200"/>
      <c r="D129" s="201"/>
      <c r="E129" s="201"/>
      <c r="F129" s="201"/>
      <c r="G129" s="202"/>
      <c r="H129" s="203"/>
      <c r="I129" s="201"/>
      <c r="J129" s="201"/>
      <c r="K129" s="201"/>
      <c r="L129" s="202"/>
    </row>
    <row r="130" spans="2:12" x14ac:dyDescent="0.3">
      <c r="B130" s="185"/>
      <c r="C130" s="200"/>
      <c r="D130" s="201"/>
      <c r="E130" s="201"/>
      <c r="F130" s="201"/>
      <c r="G130" s="202"/>
      <c r="H130" s="203"/>
      <c r="I130" s="201"/>
      <c r="J130" s="201"/>
      <c r="K130" s="201"/>
      <c r="L130" s="202"/>
    </row>
    <row r="131" spans="2:12" x14ac:dyDescent="0.3">
      <c r="B131" s="185"/>
      <c r="C131" s="200"/>
      <c r="D131" s="201"/>
      <c r="E131" s="201"/>
      <c r="F131" s="201"/>
      <c r="G131" s="202"/>
      <c r="H131" s="203"/>
      <c r="I131" s="201"/>
      <c r="J131" s="201"/>
      <c r="K131" s="201"/>
      <c r="L131" s="202"/>
    </row>
    <row r="132" spans="2:12" ht="17.25" thickBot="1" x14ac:dyDescent="0.35">
      <c r="B132" s="190"/>
      <c r="C132" s="204"/>
      <c r="D132" s="205"/>
      <c r="E132" s="205"/>
      <c r="F132" s="205"/>
      <c r="G132" s="206"/>
      <c r="H132" s="207"/>
      <c r="I132" s="205"/>
      <c r="J132" s="205"/>
      <c r="K132" s="205"/>
      <c r="L132" s="206"/>
    </row>
    <row r="133" spans="2:12" ht="17.25" thickBot="1" x14ac:dyDescent="0.35">
      <c r="B133" s="195" t="s">
        <v>62</v>
      </c>
      <c r="C133" s="196">
        <f t="shared" ref="C133:L133" si="3">SUM(C98:C132)</f>
        <v>0</v>
      </c>
      <c r="D133" s="197">
        <f t="shared" si="3"/>
        <v>0</v>
      </c>
      <c r="E133" s="197">
        <f t="shared" si="3"/>
        <v>0</v>
      </c>
      <c r="F133" s="197">
        <f t="shared" si="3"/>
        <v>0</v>
      </c>
      <c r="G133" s="198">
        <f t="shared" si="3"/>
        <v>0</v>
      </c>
      <c r="H133" s="255">
        <f t="shared" si="3"/>
        <v>564553.45778187166</v>
      </c>
      <c r="I133" s="256">
        <f t="shared" si="3"/>
        <v>578127.42070121726</v>
      </c>
      <c r="J133" s="256">
        <f t="shared" si="3"/>
        <v>472003.71060451568</v>
      </c>
      <c r="K133" s="256">
        <f t="shared" si="3"/>
        <v>578127.42070121726</v>
      </c>
      <c r="L133" s="257">
        <f t="shared" si="3"/>
        <v>425728.83701583766</v>
      </c>
    </row>
    <row r="136" spans="2:12" x14ac:dyDescent="0.3">
      <c r="B136" s="210"/>
      <c r="L136" s="211"/>
    </row>
    <row r="137" spans="2:12" ht="19.5" thickBot="1" x14ac:dyDescent="0.35">
      <c r="B137" s="212" t="s">
        <v>613</v>
      </c>
      <c r="C137" s="212"/>
      <c r="D137" s="212"/>
      <c r="E137" s="212"/>
      <c r="F137" s="228"/>
      <c r="G137" s="229"/>
      <c r="H137" s="229"/>
      <c r="I137" s="229"/>
      <c r="J137" s="229"/>
      <c r="K137" s="229"/>
      <c r="L137" s="230"/>
    </row>
    <row r="138" spans="2:12" x14ac:dyDescent="0.3">
      <c r="B138" s="280"/>
      <c r="C138" s="282"/>
      <c r="D138" s="282"/>
      <c r="E138" s="282"/>
      <c r="F138" s="284" t="s">
        <v>651</v>
      </c>
      <c r="G138" s="285"/>
      <c r="H138" s="285"/>
      <c r="I138" s="285"/>
      <c r="J138" s="285"/>
      <c r="K138" s="285"/>
      <c r="L138" s="286"/>
    </row>
    <row r="139" spans="2:12" ht="17.25" thickBot="1" x14ac:dyDescent="0.35">
      <c r="B139" s="281"/>
      <c r="C139" s="283"/>
      <c r="D139" s="283"/>
      <c r="E139" s="283"/>
      <c r="F139" s="213" t="s">
        <v>649</v>
      </c>
      <c r="G139" s="213" t="s">
        <v>650</v>
      </c>
      <c r="H139" s="214" t="s">
        <v>652</v>
      </c>
      <c r="I139" s="215" t="s">
        <v>653</v>
      </c>
      <c r="J139" s="215" t="s">
        <v>654</v>
      </c>
      <c r="K139" s="215" t="s">
        <v>656</v>
      </c>
      <c r="L139" s="215" t="s">
        <v>655</v>
      </c>
    </row>
    <row r="140" spans="2:12" x14ac:dyDescent="0.3">
      <c r="B140" s="216" t="s">
        <v>601</v>
      </c>
      <c r="C140" s="217"/>
      <c r="D140" s="217"/>
      <c r="E140" s="217"/>
      <c r="F140" s="231"/>
      <c r="G140" s="265">
        <f ca="1">Calculation│RIN!B130*1000000</f>
        <v>2896981.5750291627</v>
      </c>
      <c r="H140" s="252">
        <f ca="1">Calculation│RIN!C130*1000000</f>
        <v>4188707.4647045182</v>
      </c>
      <c r="I140" s="252">
        <f ca="1">Calculation│RIN!D130*1000000</f>
        <v>2611629.8585913121</v>
      </c>
      <c r="J140" s="252">
        <f ca="1">Calculation│RIN!E130*1000000</f>
        <v>1154857.3527145251</v>
      </c>
      <c r="K140" s="252">
        <f ca="1">Calculation│RIN!F130*1000000</f>
        <v>1402836.171669648</v>
      </c>
      <c r="L140" s="253">
        <f ca="1">Calculation│RIN!G130*1000000</f>
        <v>1389268.492104911</v>
      </c>
    </row>
    <row r="141" spans="2:12" x14ac:dyDescent="0.3">
      <c r="B141" s="218" t="s">
        <v>602</v>
      </c>
      <c r="C141" s="219"/>
      <c r="D141" s="219"/>
      <c r="E141" s="219"/>
      <c r="F141" s="233"/>
      <c r="G141" s="265">
        <f ca="1">Calculation│RIN!B131*1000000</f>
        <v>4344081.2734496193</v>
      </c>
      <c r="H141" s="252">
        <f ca="1">Calculation│RIN!C131*1000000</f>
        <v>6341930.6196367498</v>
      </c>
      <c r="I141" s="252">
        <f ca="1">Calculation│RIN!D131*1000000</f>
        <v>3925748.5773680322</v>
      </c>
      <c r="J141" s="252">
        <f ca="1">Calculation│RIN!E131*1000000</f>
        <v>1639021.8616638831</v>
      </c>
      <c r="K141" s="252">
        <f ca="1">Calculation│RIN!F131*1000000</f>
        <v>2001412.4375123456</v>
      </c>
      <c r="L141" s="253">
        <f ca="1">Calculation│RIN!G131*1000000</f>
        <v>1949494.7215157656</v>
      </c>
    </row>
    <row r="142" spans="2:12" x14ac:dyDescent="0.3">
      <c r="B142" s="218" t="s">
        <v>603</v>
      </c>
      <c r="C142" s="219"/>
      <c r="D142" s="219"/>
      <c r="E142" s="219"/>
      <c r="F142" s="233"/>
      <c r="G142" s="265">
        <f ca="1">Calculation│RIN!B132*1000000</f>
        <v>7560229.9626615802</v>
      </c>
      <c r="H142" s="252">
        <f ca="1">Calculation│RIN!C132*1000000</f>
        <v>10360887.355397448</v>
      </c>
      <c r="I142" s="254">
        <f ca="1">Calculation│RIN!D132*1000000</f>
        <v>6249579.2851306219</v>
      </c>
      <c r="J142" s="254">
        <f ca="1">Calculation│RIN!E132*1000000</f>
        <v>2762854.5736749927</v>
      </c>
      <c r="K142" s="254">
        <f ca="1">Calculation│RIN!F132*1000000</f>
        <v>3327327.4895903054</v>
      </c>
      <c r="L142" s="253">
        <f ca="1">Calculation│RIN!G132*1000000</f>
        <v>4789817.5498950938</v>
      </c>
    </row>
    <row r="143" spans="2:12" x14ac:dyDescent="0.3">
      <c r="B143" s="218" t="s">
        <v>604</v>
      </c>
      <c r="C143" s="219"/>
      <c r="D143" s="219"/>
      <c r="E143" s="219"/>
      <c r="F143" s="233"/>
      <c r="G143" s="265">
        <f ca="1">Calculation│RIN!B133*1000000</f>
        <v>527319.39331841213</v>
      </c>
      <c r="H143" s="252">
        <f ca="1">Calculation│RIN!C133*1000000</f>
        <v>723411.48293093697</v>
      </c>
      <c r="I143" s="254">
        <f ca="1">Calculation│RIN!D133*1000000</f>
        <v>431110.99636318575</v>
      </c>
      <c r="J143" s="254">
        <f ca="1">Calculation│RIN!E133*1000000</f>
        <v>180858.1216136922</v>
      </c>
      <c r="K143" s="254">
        <f ca="1">Calculation│RIN!F133*1000000</f>
        <v>218122.89909413125</v>
      </c>
      <c r="L143" s="253">
        <f ca="1">Calculation│RIN!G133*1000000</f>
        <v>226112.32658644312</v>
      </c>
    </row>
    <row r="144" spans="2:12" ht="17.25" thickBot="1" x14ac:dyDescent="0.35">
      <c r="B144" s="218" t="s">
        <v>605</v>
      </c>
      <c r="C144" s="219"/>
      <c r="D144" s="219"/>
      <c r="E144" s="219"/>
      <c r="F144" s="233"/>
      <c r="G144" s="265">
        <f ca="1">Calculation│RIN!B134*1000000</f>
        <v>2891246.609283295</v>
      </c>
      <c r="H144" s="252">
        <f ca="1">Calculation│RIN!C134*1000000</f>
        <v>4306812.6503157755</v>
      </c>
      <c r="I144" s="254">
        <f ca="1">Calculation│RIN!D134*1000000</f>
        <v>2691148.5463952124</v>
      </c>
      <c r="J144" s="254">
        <f ca="1">Calculation│RIN!E134*1000000</f>
        <v>1107308.7834469639</v>
      </c>
      <c r="K144" s="254">
        <f ca="1">Calculation│RIN!F134*1000000</f>
        <v>1359877.6711843258</v>
      </c>
      <c r="L144" s="253">
        <f ca="1">Calculation│RIN!G134*1000000</f>
        <v>1295397.4263831647</v>
      </c>
    </row>
    <row r="145" spans="2:12" ht="17.25" thickBot="1" x14ac:dyDescent="0.35">
      <c r="B145" s="195" t="s">
        <v>62</v>
      </c>
      <c r="C145" s="220"/>
      <c r="D145" s="220"/>
      <c r="E145" s="220"/>
      <c r="F145" s="232">
        <f t="shared" ref="F145:L145" si="4">SUM(F140:F144)</f>
        <v>0</v>
      </c>
      <c r="G145" s="259">
        <f t="shared" ca="1" si="4"/>
        <v>18219858.813742071</v>
      </c>
      <c r="H145" s="260">
        <f t="shared" ca="1" si="4"/>
        <v>25921749.572985429</v>
      </c>
      <c r="I145" s="261">
        <f t="shared" ca="1" si="4"/>
        <v>15909217.263848364</v>
      </c>
      <c r="J145" s="261">
        <f t="shared" ca="1" si="4"/>
        <v>6844900.6931140572</v>
      </c>
      <c r="K145" s="261">
        <f t="shared" ca="1" si="4"/>
        <v>8309576.669050755</v>
      </c>
      <c r="L145" s="262">
        <f t="shared" ca="1" si="4"/>
        <v>9650090.5164853781</v>
      </c>
    </row>
    <row r="147" spans="2:12" x14ac:dyDescent="0.3">
      <c r="G147" s="258">
        <f>G50+G92+G133</f>
        <v>18219858.813742071</v>
      </c>
      <c r="H147" s="258">
        <f t="shared" ref="H147:L147" si="5">H50+H92+H133</f>
        <v>25921749.572985429</v>
      </c>
      <c r="I147" s="258">
        <f t="shared" si="5"/>
        <v>15909217.263848364</v>
      </c>
      <c r="J147" s="258">
        <f t="shared" si="5"/>
        <v>6844900.6931140572</v>
      </c>
      <c r="K147" s="258">
        <f t="shared" si="5"/>
        <v>8309576.6690507559</v>
      </c>
      <c r="L147" s="258">
        <f t="shared" si="5"/>
        <v>9650090.5164853763</v>
      </c>
    </row>
    <row r="148" spans="2:12" x14ac:dyDescent="0.3">
      <c r="G148" s="258">
        <f ca="1">G145-G147</f>
        <v>0</v>
      </c>
      <c r="H148" s="258">
        <f t="shared" ref="H148:L148" ca="1" si="6">H145-H147</f>
        <v>0</v>
      </c>
      <c r="I148" s="258">
        <f t="shared" ca="1" si="6"/>
        <v>0</v>
      </c>
      <c r="J148" s="258">
        <f t="shared" ca="1" si="6"/>
        <v>0</v>
      </c>
      <c r="K148" s="258">
        <f t="shared" ca="1" si="6"/>
        <v>0</v>
      </c>
      <c r="L148" s="258">
        <f t="shared" ca="1" si="6"/>
        <v>0</v>
      </c>
    </row>
  </sheetData>
  <mergeCells count="14">
    <mergeCell ref="B96:B97"/>
    <mergeCell ref="C96:E96"/>
    <mergeCell ref="F96:L96"/>
    <mergeCell ref="B138:B139"/>
    <mergeCell ref="C138:C139"/>
    <mergeCell ref="D138:D139"/>
    <mergeCell ref="E138:E139"/>
    <mergeCell ref="F138:L138"/>
    <mergeCell ref="B13:B14"/>
    <mergeCell ref="C13:E13"/>
    <mergeCell ref="F13:L13"/>
    <mergeCell ref="B55:B56"/>
    <mergeCell ref="C55:E55"/>
    <mergeCell ref="F55:L5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282A"/>
  </sheetPr>
  <dimension ref="A1:Y176"/>
  <sheetViews>
    <sheetView topLeftCell="A49" zoomScale="160" zoomScaleNormal="160" workbookViewId="0">
      <selection activeCell="B70" sqref="B70:G73"/>
    </sheetView>
  </sheetViews>
  <sheetFormatPr defaultRowHeight="16.5" x14ac:dyDescent="0.3"/>
  <cols>
    <col min="1" max="1" width="9.375" customWidth="1"/>
    <col min="2" max="2" width="26.125" customWidth="1"/>
    <col min="3" max="3" width="9.25" style="71" customWidth="1"/>
    <col min="4" max="4" width="11.125" customWidth="1"/>
    <col min="13" max="13" width="38.75" customWidth="1"/>
    <col min="14" max="14" width="11.875" customWidth="1"/>
    <col min="15" max="15" width="12.875" bestFit="1" customWidth="1"/>
    <col min="16" max="16" width="10.875" customWidth="1"/>
    <col min="17" max="19" width="10.875" bestFit="1" customWidth="1"/>
    <col min="20" max="20" width="12.875" bestFit="1" customWidth="1"/>
  </cols>
  <sheetData>
    <row r="1" spans="1:25" s="2" customFormat="1" ht="13.5" x14ac:dyDescent="0.25"/>
    <row r="2" spans="1:25" s="2" customFormat="1" ht="13.5" x14ac:dyDescent="0.25"/>
    <row r="3" spans="1:25" s="2" customFormat="1" ht="13.5" x14ac:dyDescent="0.25"/>
    <row r="4" spans="1:25" s="2" customFormat="1" ht="13.5" x14ac:dyDescent="0.25"/>
    <row r="5" spans="1:25" s="2" customFormat="1" ht="13.5" x14ac:dyDescent="0.25"/>
    <row r="6" spans="1:25" s="2" customFormat="1" ht="13.5" x14ac:dyDescent="0.25"/>
    <row r="7" spans="1:25" s="2" customFormat="1" ht="13.5" x14ac:dyDescent="0.25"/>
    <row r="8" spans="1:25" s="2" customFormat="1" ht="13.5" x14ac:dyDescent="0.25"/>
    <row r="9" spans="1:25" s="2" customFormat="1" ht="13.5" x14ac:dyDescent="0.25"/>
    <row r="10" spans="1:25" s="4" customFormat="1" ht="20.25" x14ac:dyDescent="0.3">
      <c r="A10" s="45" t="str">
        <f ca="1">RIGHT(CELL("filename",A1),LEN(CELL("filename",A1))-FIND("]",CELL("filename",A1)))</f>
        <v>Outputs│Tables</v>
      </c>
      <c r="B10" s="2"/>
      <c r="C10" s="2"/>
      <c r="D10" s="2"/>
      <c r="E10" s="2"/>
      <c r="F10" s="2"/>
      <c r="G10" s="2"/>
      <c r="H10" s="2"/>
      <c r="I10" s="2"/>
      <c r="J10" s="2"/>
      <c r="K10" s="2"/>
      <c r="L10" s="2"/>
      <c r="M10" s="2"/>
      <c r="N10" s="2"/>
    </row>
    <row r="11" spans="1:25" ht="17.25" thickBot="1" x14ac:dyDescent="0.35">
      <c r="A11" s="46"/>
      <c r="B11" s="2"/>
      <c r="C11" s="2"/>
      <c r="D11" s="2"/>
      <c r="E11" s="2"/>
      <c r="F11" s="2"/>
      <c r="G11" s="2"/>
      <c r="H11" s="46"/>
      <c r="I11" s="46"/>
      <c r="J11" s="46"/>
      <c r="K11" s="46"/>
      <c r="L11" s="46"/>
      <c r="M11" s="1"/>
      <c r="N11" s="1"/>
      <c r="O11" s="1"/>
      <c r="P11" s="1"/>
      <c r="Q11" s="1"/>
      <c r="R11" s="1"/>
      <c r="S11" s="1"/>
      <c r="T11" s="1"/>
      <c r="U11" s="1"/>
      <c r="V11" s="1"/>
      <c r="W11" s="1"/>
      <c r="X11" s="1"/>
      <c r="Y11" s="1"/>
    </row>
    <row r="12" spans="1:25" s="16" customFormat="1" ht="33.75" thickBot="1" x14ac:dyDescent="0.35">
      <c r="A12" s="46"/>
      <c r="B12" s="2"/>
      <c r="C12" s="2"/>
      <c r="D12" s="2"/>
      <c r="E12" s="2"/>
      <c r="F12" s="2"/>
      <c r="G12" s="2"/>
      <c r="H12" s="46"/>
      <c r="I12" s="46"/>
      <c r="J12" s="46"/>
      <c r="K12" s="46"/>
      <c r="L12" s="46"/>
      <c r="M12" s="51" t="s">
        <v>129</v>
      </c>
      <c r="N12" s="51"/>
      <c r="O12" s="51"/>
      <c r="P12" s="53">
        <v>17</v>
      </c>
      <c r="Q12" s="53">
        <v>18</v>
      </c>
      <c r="R12" s="53">
        <v>19</v>
      </c>
      <c r="S12" s="53">
        <v>20</v>
      </c>
      <c r="T12" s="53">
        <v>21</v>
      </c>
      <c r="U12" s="53">
        <v>22</v>
      </c>
      <c r="V12" s="53" t="s">
        <v>191</v>
      </c>
      <c r="W12" s="1"/>
      <c r="X12" s="1"/>
      <c r="Y12" s="34" t="s">
        <v>65</v>
      </c>
    </row>
    <row r="13" spans="1:25" s="16" customFormat="1" ht="17.25" thickBot="1" x14ac:dyDescent="0.35">
      <c r="A13" s="46"/>
      <c r="B13" s="13" t="s">
        <v>555</v>
      </c>
      <c r="C13" s="14"/>
      <c r="D13" s="14"/>
      <c r="E13" s="2"/>
      <c r="F13" s="2"/>
      <c r="G13" s="2"/>
      <c r="H13" s="2"/>
      <c r="I13" s="46"/>
      <c r="J13" s="46"/>
      <c r="K13" s="46"/>
      <c r="L13" s="46"/>
      <c r="M13" s="50" t="str">
        <f>VLOOKUP(O13,'inputs¦other'!$A$49:$B$64,2,FALSE)</f>
        <v>Urban Risk Reduction</v>
      </c>
      <c r="N13" s="52" t="str">
        <f>'inputs¦other'!$B$13</f>
        <v>$2016/17</v>
      </c>
      <c r="O13" s="52" t="s">
        <v>139</v>
      </c>
      <c r="P13" s="52">
        <f>SUMIF('calculation¦real dollars'!$B$14:$B$214,Outputs│Tables!$O13,'calculation¦real dollars'!D$14:D$214)/1000</f>
        <v>8.1839999999999993</v>
      </c>
      <c r="Q13" s="52">
        <f>SUMIF('calculation¦real dollars'!$B$14:$B$214,Outputs│Tables!$O13,'calculation¦real dollars'!E$14:E$214)/1000</f>
        <v>1.6879499999999998</v>
      </c>
      <c r="R13" s="52">
        <f>SUMIF('calculation¦real dollars'!$B$14:$B$214,Outputs│Tables!$O13,'calculation¦real dollars'!F$14:F$214)/1000</f>
        <v>0.30689999999999995</v>
      </c>
      <c r="S13" s="52">
        <f>SUMIF('calculation¦real dollars'!$B$14:$B$214,Outputs│Tables!$O13,'calculation¦real dollars'!G$14:G$214)/1000</f>
        <v>0.30689999999999995</v>
      </c>
      <c r="T13" s="52">
        <f>SUMIF('calculation¦real dollars'!$B$14:$B$214,Outputs│Tables!$O13,'calculation¦real dollars'!H$14:H$214)/1000</f>
        <v>0.30689999999999995</v>
      </c>
      <c r="U13" s="52">
        <f>SUMIF('calculation¦real dollars'!$B$14:$B$214,Outputs│Tables!$O13,'calculation¦real dollars'!I$14:I$214)/1000</f>
        <v>0.30689999999999995</v>
      </c>
      <c r="V13" s="52">
        <f t="shared" ref="V13:V18" si="0">SUM(Q13:U13)</f>
        <v>2.9155499999999996</v>
      </c>
      <c r="W13" s="1"/>
      <c r="X13" s="1"/>
      <c r="Y13" s="34" t="b">
        <f>SUM(P13:U13)=SUMIF('calculation¦real dollars'!$B$14:$B$214,O13,'calculation¦real dollars'!$J$14:$J$214)/1000</f>
        <v>1</v>
      </c>
    </row>
    <row r="14" spans="1:25" s="1" customFormat="1" ht="17.25" thickBot="1" x14ac:dyDescent="0.35">
      <c r="A14" s="46"/>
      <c r="B14" s="47"/>
      <c r="C14" s="47"/>
      <c r="D14" s="2"/>
      <c r="E14" s="2"/>
      <c r="F14" s="2"/>
      <c r="G14" s="2"/>
      <c r="H14" s="2"/>
      <c r="I14" s="2"/>
      <c r="J14" s="2"/>
      <c r="K14" s="2"/>
      <c r="L14" s="2"/>
      <c r="M14" s="50" t="str">
        <f>VLOOKUP(O14,'inputs¦other'!$A$49:$B$64,2,FALSE)</f>
        <v>Pipeline Integrity Management</v>
      </c>
      <c r="N14" s="52" t="str">
        <f>'inputs¦other'!$B$13</f>
        <v>$2016/17</v>
      </c>
      <c r="O14" s="52" t="s">
        <v>138</v>
      </c>
      <c r="P14" s="52">
        <f>SUMIF('calculation¦real dollars'!$B$14:$B$214,Outputs│Tables!$O14,'calculation¦real dollars'!D$14:D$214)/1000</f>
        <v>6.2546219999999986</v>
      </c>
      <c r="Q14" s="52">
        <f>SUMIF('calculation¦real dollars'!$B$14:$B$214,Outputs│Tables!$O14,'calculation¦real dollars'!E$14:E$214)/1000</f>
        <v>8.6954999999999991</v>
      </c>
      <c r="R14" s="52">
        <f>SUMIF('calculation¦real dollars'!$B$14:$B$214,Outputs│Tables!$O14,'calculation¦real dollars'!F$14:F$214)/1000</f>
        <v>10.248413999999999</v>
      </c>
      <c r="S14" s="52">
        <f>SUMIF('calculation¦real dollars'!$B$14:$B$214,Outputs│Tables!$O14,'calculation¦real dollars'!G$14:G$214)/1000</f>
        <v>5.4556589999999989</v>
      </c>
      <c r="T14" s="52">
        <f>SUMIF('calculation¦real dollars'!$B$14:$B$214,Outputs│Tables!$O14,'calculation¦real dollars'!H$14:H$214)/1000</f>
        <v>6.8111339999999982</v>
      </c>
      <c r="U14" s="52">
        <f>SUMIF('calculation¦real dollars'!$B$14:$B$214,Outputs│Tables!$O14,'calculation¦real dollars'!I$14:I$214)/1000</f>
        <v>6.377381999999999</v>
      </c>
      <c r="V14" s="52">
        <f t="shared" si="0"/>
        <v>37.588088999999997</v>
      </c>
      <c r="Y14" s="34" t="b">
        <f>SUM(P14:U14)=SUMIF('calculation¦real dollars'!$B$14:$B$214,O14,'calculation¦real dollars'!$J$14:$J$214)/1000</f>
        <v>1</v>
      </c>
    </row>
    <row r="15" spans="1:25" s="1" customFormat="1" ht="17.25" thickBot="1" x14ac:dyDescent="0.35">
      <c r="A15" s="46"/>
      <c r="B15" s="43"/>
      <c r="C15" s="44" t="str">
        <f>D23</f>
        <v>2017/18</v>
      </c>
      <c r="D15" s="44" t="str">
        <f>E23</f>
        <v>2018/19</v>
      </c>
      <c r="E15" s="44" t="str">
        <f>F23</f>
        <v>2019/20</v>
      </c>
      <c r="F15" s="44" t="str">
        <f>G23</f>
        <v>2020/21</v>
      </c>
      <c r="G15" s="44" t="str">
        <f>H23</f>
        <v>2021/22</v>
      </c>
      <c r="H15" s="44" t="s">
        <v>62</v>
      </c>
      <c r="I15" s="2"/>
      <c r="J15" s="2"/>
      <c r="K15" s="2"/>
      <c r="L15" s="2"/>
      <c r="M15" s="50" t="str">
        <f>VLOOKUP(O15,'inputs¦other'!$A$49:$B$64,2,FALSE)</f>
        <v>Toowoomba Crossing</v>
      </c>
      <c r="N15" s="52" t="str">
        <f>'inputs¦other'!$B$13</f>
        <v>$2016/17</v>
      </c>
      <c r="O15" s="52" t="s">
        <v>140</v>
      </c>
      <c r="P15" s="52">
        <f>SUMIF('calculation¦real dollars'!$B$14:$B$214,Outputs│Tables!$O15,'calculation¦real dollars'!D$14:D$214)/1000</f>
        <v>0.30689999999999995</v>
      </c>
      <c r="Q15" s="52">
        <f>SUMIF('calculation¦real dollars'!$B$14:$B$214,Outputs│Tables!$O15,'calculation¦real dollars'!E$14:E$214)/1000</f>
        <v>11.917949999999999</v>
      </c>
      <c r="R15" s="52">
        <f>SUMIF('calculation¦real dollars'!$B$14:$B$214,Outputs│Tables!$O15,'calculation¦real dollars'!F$14:F$214)/1000</f>
        <v>3.5804999999999993</v>
      </c>
      <c r="S15" s="52">
        <f>SUMIF('calculation¦real dollars'!$B$14:$B$214,Outputs│Tables!$O15,'calculation¦real dollars'!G$14:G$214)/1000</f>
        <v>0</v>
      </c>
      <c r="T15" s="52">
        <f>SUMIF('calculation¦real dollars'!$B$14:$B$214,Outputs│Tables!$O15,'calculation¦real dollars'!H$14:H$214)/1000</f>
        <v>0</v>
      </c>
      <c r="U15" s="52">
        <f>SUMIF('calculation¦real dollars'!$B$14:$B$214,Outputs│Tables!$O15,'calculation¦real dollars'!I$14:I$214)/1000</f>
        <v>0</v>
      </c>
      <c r="V15" s="52">
        <f t="shared" si="0"/>
        <v>15.498449999999998</v>
      </c>
      <c r="Y15" s="34" t="b">
        <f>SUM(P15:U15)=SUMIF('calculation¦real dollars'!$B$14:$B$214,O15,'calculation¦real dollars'!$J$14:$J$214)/1000</f>
        <v>1</v>
      </c>
    </row>
    <row r="16" spans="1:25" s="1" customFormat="1" ht="17.25" thickBot="1" x14ac:dyDescent="0.35">
      <c r="A16" s="46"/>
      <c r="B16" s="112" t="s">
        <v>94</v>
      </c>
      <c r="C16" s="48">
        <v>0</v>
      </c>
      <c r="D16" s="48">
        <v>0</v>
      </c>
      <c r="E16" s="48">
        <v>0</v>
      </c>
      <c r="F16" s="48">
        <v>0</v>
      </c>
      <c r="G16" s="48">
        <v>0</v>
      </c>
      <c r="H16" s="48">
        <f>SUM(C16:G16)</f>
        <v>0</v>
      </c>
      <c r="I16" s="2"/>
      <c r="J16" s="2"/>
      <c r="K16" s="2"/>
      <c r="L16" s="2"/>
      <c r="M16" s="50" t="str">
        <f>VLOOKUP(O16,'inputs¦other'!$A$49:$B$64,2,FALSE)</f>
        <v>Dalby Turbine Overhaul</v>
      </c>
      <c r="N16" s="52" t="str">
        <f>'inputs¦other'!$B$13</f>
        <v>$2016/17</v>
      </c>
      <c r="O16" s="52" t="s">
        <v>141</v>
      </c>
      <c r="P16" s="52">
        <f>SUMIF('calculation¦real dollars'!$B$14:$B$214,Outputs│Tables!$O16,'calculation¦real dollars'!D$14:D$214)/1000</f>
        <v>0</v>
      </c>
      <c r="Q16" s="52">
        <f>SUMIF('calculation¦real dollars'!$B$14:$B$214,Outputs│Tables!$O16,'calculation¦real dollars'!E$14:E$214)/1000</f>
        <v>0</v>
      </c>
      <c r="R16" s="52">
        <f>SUMIF('calculation¦real dollars'!$B$14:$B$214,Outputs│Tables!$O16,'calculation¦real dollars'!F$14:F$214)/1000</f>
        <v>0</v>
      </c>
      <c r="S16" s="52">
        <f>SUMIF('calculation¦real dollars'!$B$14:$B$214,Outputs│Tables!$O16,'calculation¦real dollars'!G$14:G$214)/1000</f>
        <v>0</v>
      </c>
      <c r="T16" s="52">
        <f>SUMIF('calculation¦real dollars'!$B$14:$B$214,Outputs│Tables!$O16,'calculation¦real dollars'!H$14:H$214)/1000</f>
        <v>0</v>
      </c>
      <c r="U16" s="52">
        <f>SUMIF('calculation¦real dollars'!$B$14:$B$214,Outputs│Tables!$O16,'calculation¦real dollars'!I$14:I$214)/1000</f>
        <v>1.3298999999999999</v>
      </c>
      <c r="V16" s="52">
        <f t="shared" si="0"/>
        <v>1.3298999999999999</v>
      </c>
      <c r="Y16" s="34" t="b">
        <f>SUM(P16:U16)=SUMIF('calculation¦real dollars'!$B$14:$B$214,O16,'calculation¦real dollars'!$J$14:$J$214)/1000</f>
        <v>1</v>
      </c>
    </row>
    <row r="17" spans="1:25" s="1" customFormat="1" ht="17.25" thickBot="1" x14ac:dyDescent="0.35">
      <c r="A17" s="46"/>
      <c r="B17" s="112" t="s">
        <v>122</v>
      </c>
      <c r="C17" s="48">
        <f>Q14</f>
        <v>8.6954999999999991</v>
      </c>
      <c r="D17" s="48">
        <f t="shared" ref="D17:G17" si="1">R14</f>
        <v>10.248413999999999</v>
      </c>
      <c r="E17" s="48">
        <f t="shared" si="1"/>
        <v>5.4556589999999989</v>
      </c>
      <c r="F17" s="48">
        <f t="shared" si="1"/>
        <v>6.8111339999999982</v>
      </c>
      <c r="G17" s="48">
        <f t="shared" si="1"/>
        <v>6.377381999999999</v>
      </c>
      <c r="H17" s="48">
        <f>SUM(C17:G17)</f>
        <v>37.588088999999997</v>
      </c>
      <c r="I17" s="2"/>
      <c r="J17" s="2"/>
      <c r="K17" s="2"/>
      <c r="L17" s="2"/>
      <c r="M17" s="50" t="str">
        <f>VLOOKUP(O17,'inputs¦other'!$A$49:$B$64,2,FALSE)</f>
        <v>Applications and Renewals</v>
      </c>
      <c r="N17" s="52" t="str">
        <f>'inputs¦other'!$B$13</f>
        <v>$2016/17</v>
      </c>
      <c r="O17" s="52" t="s">
        <v>117</v>
      </c>
      <c r="P17" s="52">
        <f>SUMIF('calculation¦real dollars'!$B$14:$B$214,Outputs│Tables!$O17,'calculation¦real dollars'!D$14:D$214)/1000</f>
        <v>0</v>
      </c>
      <c r="Q17" s="52">
        <f>SUMIF('calculation¦real dollars'!$B$14:$B$214,Outputs│Tables!$O17,'calculation¦real dollars'!E$14:E$214)/1000</f>
        <v>0.42572883701583769</v>
      </c>
      <c r="R17" s="52">
        <f>SUMIF('calculation¦real dollars'!$B$14:$B$214,Outputs│Tables!$O17,'calculation¦real dollars'!F$14:F$214)/1000</f>
        <v>0.53185254711253926</v>
      </c>
      <c r="S17" s="52">
        <f>SUMIF('calculation¦real dollars'!$B$14:$B$214,Outputs│Tables!$O17,'calculation¦real dollars'!G$14:G$214)/1000</f>
        <v>0.42572883701583769</v>
      </c>
      <c r="T17" s="52">
        <f>SUMIF('calculation¦real dollars'!$B$14:$B$214,Outputs│Tables!$O17,'calculation¦real dollars'!H$14:H$214)/1000</f>
        <v>0.53185254711253926</v>
      </c>
      <c r="U17" s="52">
        <f>SUMIF('calculation¦real dollars'!$B$14:$B$214,Outputs│Tables!$O17,'calculation¦real dollars'!I$14:I$214)/1000</f>
        <v>0.42572883701583769</v>
      </c>
      <c r="V17" s="52">
        <f t="shared" si="0"/>
        <v>2.3408916052725917</v>
      </c>
      <c r="Y17" s="34" t="b">
        <f>SUM(P17:U17)=SUMIF('calculation¦real dollars'!$B$14:$B$214,O17,'calculation¦real dollars'!$J$14:$J$214)/1000</f>
        <v>1</v>
      </c>
    </row>
    <row r="18" spans="1:25" s="1" customFormat="1" ht="17.25" thickBot="1" x14ac:dyDescent="0.35">
      <c r="A18" s="46"/>
      <c r="B18" s="112" t="s">
        <v>119</v>
      </c>
      <c r="C18" s="48">
        <f>C19-C17</f>
        <v>17.226249572985431</v>
      </c>
      <c r="D18" s="48">
        <f t="shared" ref="D18:G18" si="2">D19-D17</f>
        <v>5.660803263848365</v>
      </c>
      <c r="E18" s="48">
        <f t="shared" si="2"/>
        <v>1.3892416931140579</v>
      </c>
      <c r="F18" s="48">
        <f t="shared" si="2"/>
        <v>1.4984426690507577</v>
      </c>
      <c r="G18" s="48">
        <f t="shared" si="2"/>
        <v>3.2727085164853786</v>
      </c>
      <c r="H18" s="48">
        <f>SUM(C18:G18)</f>
        <v>29.047445715483988</v>
      </c>
      <c r="I18" s="2"/>
      <c r="J18" s="2"/>
      <c r="K18" s="2"/>
      <c r="L18" s="2"/>
      <c r="M18" s="50" t="str">
        <f>VLOOKUP(O18,'inputs¦other'!$A$49:$B$64,2,FALSE)</f>
        <v>Infrastructure Renewals</v>
      </c>
      <c r="N18" s="52" t="str">
        <f>'inputs¦other'!$B$13</f>
        <v>$2016/17</v>
      </c>
      <c r="O18" s="52" t="s">
        <v>118</v>
      </c>
      <c r="P18" s="52">
        <f>SUMIF('calculation¦real dollars'!$B$14:$B$214,Outputs│Tables!$O18,'calculation¦real dollars'!D$14:D$214)/1000</f>
        <v>0</v>
      </c>
      <c r="Q18" s="52">
        <f>SUMIF('calculation¦real dollars'!$B$14:$B$214,Outputs│Tables!$O18,'calculation¦real dollars'!E$14:E$214)/1000</f>
        <v>0.13882462076603402</v>
      </c>
      <c r="R18" s="52">
        <f>SUMIF('calculation¦real dollars'!$B$14:$B$214,Outputs│Tables!$O18,'calculation¦real dollars'!F$14:F$214)/1000</f>
        <v>4.6274873588678003E-2</v>
      </c>
      <c r="S18" s="52">
        <f>SUMIF('calculation¦real dollars'!$B$14:$B$214,Outputs│Tables!$O18,'calculation¦real dollars'!G$14:G$214)/1000</f>
        <v>4.6274873588678003E-2</v>
      </c>
      <c r="T18" s="52">
        <f>SUMIF('calculation¦real dollars'!$B$14:$B$214,Outputs│Tables!$O18,'calculation¦real dollars'!H$14:H$214)/1000</f>
        <v>4.6274873588678003E-2</v>
      </c>
      <c r="U18" s="52">
        <f>SUMIF('calculation¦real dollars'!$B$14:$B$214,Outputs│Tables!$O18,'calculation¦real dollars'!I$14:I$214)/1000</f>
        <v>0</v>
      </c>
      <c r="V18" s="52">
        <f t="shared" si="0"/>
        <v>0.27764924153206799</v>
      </c>
      <c r="Y18" s="34" t="b">
        <f>SUM(P18:U18)=SUMIF('calculation¦real dollars'!$B$14:$B$214,O18,'calculation¦real dollars'!$J$14:$J$214)/1000</f>
        <v>1</v>
      </c>
    </row>
    <row r="19" spans="1:25" s="1" customFormat="1" ht="17.25" thickBot="1" x14ac:dyDescent="0.35">
      <c r="A19" s="46"/>
      <c r="B19" s="113" t="s">
        <v>62</v>
      </c>
      <c r="C19" s="49">
        <f>Outputs│PTRM!E25</f>
        <v>25.92174957298543</v>
      </c>
      <c r="D19" s="49">
        <f>Outputs│PTRM!F25</f>
        <v>15.909217263848364</v>
      </c>
      <c r="E19" s="49">
        <f>Outputs│PTRM!G25</f>
        <v>6.8449006931140568</v>
      </c>
      <c r="F19" s="49">
        <f>Outputs│PTRM!H25</f>
        <v>8.309576669050756</v>
      </c>
      <c r="G19" s="49">
        <f>Outputs│PTRM!I25</f>
        <v>9.6500905164853776</v>
      </c>
      <c r="H19" s="49">
        <f t="shared" ref="H19" si="3">SUM(H16:H18)</f>
        <v>66.635534715483985</v>
      </c>
      <c r="I19" s="2"/>
      <c r="J19" s="2"/>
      <c r="K19" s="2"/>
    </row>
    <row r="20" spans="1:25" s="1" customFormat="1" ht="17.25" thickBot="1" x14ac:dyDescent="0.35">
      <c r="A20" s="46"/>
      <c r="B20" s="2"/>
      <c r="C20" s="2"/>
      <c r="D20" s="2"/>
      <c r="E20" s="2"/>
      <c r="F20" s="46"/>
      <c r="G20" s="2"/>
      <c r="H20" s="2"/>
      <c r="I20" s="2"/>
      <c r="J20" s="2"/>
      <c r="K20" s="2"/>
      <c r="L20" s="2"/>
      <c r="M20" s="51" t="s">
        <v>131</v>
      </c>
      <c r="N20" s="51"/>
      <c r="O20" s="53">
        <v>17</v>
      </c>
      <c r="P20" s="53" t="s">
        <v>151</v>
      </c>
      <c r="Q20" s="53" t="s">
        <v>152</v>
      </c>
    </row>
    <row r="21" spans="1:25" s="1" customFormat="1" ht="17.25" thickBot="1" x14ac:dyDescent="0.35">
      <c r="A21" s="46"/>
      <c r="B21" s="13" t="s">
        <v>560</v>
      </c>
      <c r="C21" s="46"/>
      <c r="D21" s="46"/>
      <c r="E21" s="46"/>
      <c r="F21" s="46"/>
      <c r="G21" s="46"/>
      <c r="H21" s="46"/>
      <c r="I21" s="2"/>
      <c r="J21" s="2"/>
      <c r="K21" s="2"/>
      <c r="L21" s="2"/>
      <c r="M21" s="50" t="s">
        <v>215</v>
      </c>
      <c r="N21" s="52" t="s">
        <v>142</v>
      </c>
      <c r="O21" s="52">
        <f>'calculation¦real dollars'!X14/1000</f>
        <v>18.219858813742075</v>
      </c>
      <c r="P21" s="52">
        <f>SUM(O21,Q21)</f>
        <v>84.855393529226063</v>
      </c>
      <c r="Q21" s="52">
        <f>H19</f>
        <v>66.635534715483985</v>
      </c>
    </row>
    <row r="22" spans="1:25" s="1" customFormat="1" ht="17.25" thickBot="1" x14ac:dyDescent="0.35">
      <c r="A22" s="46"/>
      <c r="B22" s="46"/>
      <c r="C22" s="46"/>
      <c r="D22" s="46"/>
      <c r="E22" s="46"/>
      <c r="F22" s="46"/>
      <c r="G22" s="46"/>
      <c r="H22" s="46"/>
      <c r="I22" s="2"/>
      <c r="J22" s="2"/>
      <c r="K22" s="2"/>
      <c r="L22" s="2"/>
      <c r="M22" s="50" t="s">
        <v>129</v>
      </c>
      <c r="N22" s="52" t="s">
        <v>142</v>
      </c>
      <c r="O22" s="52">
        <f>SUM(P13:P18)</f>
        <v>14.745521999999999</v>
      </c>
      <c r="P22" s="52">
        <f>SUM(P13:U18)</f>
        <v>74.696051846804622</v>
      </c>
      <c r="Q22" s="52">
        <f>SUM(V13:V18)</f>
        <v>59.950529846804649</v>
      </c>
    </row>
    <row r="23" spans="1:25" s="1" customFormat="1" ht="17.25" thickBot="1" x14ac:dyDescent="0.35">
      <c r="A23" s="46"/>
      <c r="B23" s="51"/>
      <c r="C23" s="53" t="s">
        <v>225</v>
      </c>
      <c r="D23" s="53" t="s">
        <v>183</v>
      </c>
      <c r="E23" s="53" t="s">
        <v>184</v>
      </c>
      <c r="F23" s="53" t="s">
        <v>185</v>
      </c>
      <c r="G23" s="53" t="s">
        <v>186</v>
      </c>
      <c r="H23" s="53" t="s">
        <v>187</v>
      </c>
      <c r="I23" s="2"/>
      <c r="J23" s="2"/>
      <c r="K23" s="2"/>
      <c r="L23" s="2"/>
      <c r="M23" s="105" t="s">
        <v>131</v>
      </c>
      <c r="N23" s="104" t="s">
        <v>542</v>
      </c>
      <c r="O23" s="110">
        <f>O22/O21</f>
        <v>0.80931044256382467</v>
      </c>
      <c r="P23" s="110">
        <f>P22/P21</f>
        <v>0.88027465008547345</v>
      </c>
      <c r="Q23" s="110">
        <f>Q22/Q21</f>
        <v>0.89967807871246885</v>
      </c>
    </row>
    <row r="24" spans="1:25" ht="17.25" thickBot="1" x14ac:dyDescent="0.35">
      <c r="A24" s="46"/>
      <c r="B24" s="105" t="s">
        <v>530</v>
      </c>
      <c r="C24" s="109">
        <f>'inputs¦other'!C88</f>
        <v>108</v>
      </c>
      <c r="D24" s="109">
        <f>'inputs¦other'!D88</f>
        <v>116</v>
      </c>
      <c r="E24" s="109">
        <f>'inputs¦other'!E88</f>
        <v>130</v>
      </c>
      <c r="F24" s="109">
        <f>'inputs¦other'!F88</f>
        <v>91</v>
      </c>
      <c r="G24" s="109">
        <f>'inputs¦other'!G88</f>
        <v>85</v>
      </c>
      <c r="H24" s="109">
        <f>'inputs¦other'!H88</f>
        <v>100</v>
      </c>
      <c r="I24" s="46"/>
      <c r="J24" s="46"/>
      <c r="K24" s="46"/>
      <c r="W24" s="1"/>
      <c r="X24" s="1"/>
    </row>
    <row r="25" spans="1:25" ht="17.25" thickBot="1" x14ac:dyDescent="0.35">
      <c r="A25" s="46"/>
      <c r="B25" s="46"/>
      <c r="C25" s="46"/>
      <c r="D25" s="46"/>
      <c r="E25" s="46"/>
      <c r="F25" s="46"/>
      <c r="G25" s="46"/>
      <c r="H25" s="46"/>
      <c r="I25" s="46"/>
      <c r="J25" s="46"/>
      <c r="K25" s="46"/>
      <c r="L25" s="13" t="s">
        <v>143</v>
      </c>
      <c r="M25" s="1"/>
      <c r="N25" s="1"/>
      <c r="O25" s="1"/>
      <c r="P25" s="1"/>
      <c r="Q25" s="1"/>
      <c r="R25" s="1"/>
      <c r="S25" s="1"/>
      <c r="T25" s="1"/>
      <c r="U25" s="1"/>
      <c r="V25" s="1"/>
      <c r="W25" s="1"/>
      <c r="X25" s="1"/>
      <c r="Y25" s="1"/>
    </row>
    <row r="26" spans="1:25" ht="33.75" thickBot="1" x14ac:dyDescent="0.35">
      <c r="A26" s="46"/>
      <c r="B26" s="13" t="s">
        <v>561</v>
      </c>
      <c r="C26" s="46"/>
      <c r="D26" s="46"/>
      <c r="E26" s="46"/>
      <c r="F26" s="46"/>
      <c r="G26" s="46"/>
      <c r="H26" s="46"/>
      <c r="I26" s="46"/>
      <c r="J26" s="46"/>
      <c r="K26" s="46"/>
      <c r="L26" s="46"/>
      <c r="M26" s="51" t="s">
        <v>92</v>
      </c>
      <c r="N26" s="51"/>
      <c r="O26" s="51" t="s">
        <v>144</v>
      </c>
      <c r="P26" s="51" t="s">
        <v>145</v>
      </c>
      <c r="Q26" s="1"/>
      <c r="R26" s="1"/>
      <c r="S26" s="1"/>
      <c r="T26" s="1"/>
      <c r="U26" s="1"/>
      <c r="V26" s="1"/>
      <c r="W26" s="1"/>
      <c r="X26" s="1"/>
      <c r="Y26" s="1"/>
    </row>
    <row r="27" spans="1:25" ht="17.25" thickBot="1" x14ac:dyDescent="0.35">
      <c r="A27" s="46"/>
      <c r="B27" s="46"/>
      <c r="C27" s="46"/>
      <c r="D27" s="46"/>
      <c r="E27" s="46"/>
      <c r="F27" s="46"/>
      <c r="G27" s="46"/>
      <c r="H27" s="46"/>
      <c r="I27" s="46"/>
      <c r="J27" s="46"/>
      <c r="K27" s="46"/>
      <c r="L27" s="46"/>
      <c r="M27" s="50" t="str">
        <f>INDEX('calculation¦real dollars'!$A$14:$A$214,MATCH(O27*1000,'calculation¦real dollars'!$J$14:$J$214,0),1)</f>
        <v>DN250 INTEGRITY UPGRADE PROGRAM</v>
      </c>
      <c r="N27" s="52" t="s">
        <v>142</v>
      </c>
      <c r="O27" s="52">
        <f>IF(LARGE('calculation¦real dollars'!$J$14:$J$114,ROW(M27)-26)/1000&gt;1,LARGE('calculation¦real dollars'!$J$14:$J$114,ROW(M27)-26)/1000,"")</f>
        <v>28.699241999999995</v>
      </c>
      <c r="P27" s="52" t="str">
        <f>VLOOKUP(M27,'calculation¦real dollars'!$A$14:$J$114,2,FALSE)</f>
        <v>AA-03</v>
      </c>
      <c r="Q27" s="1"/>
      <c r="R27" s="1"/>
      <c r="S27" s="1"/>
      <c r="T27" s="1"/>
      <c r="U27" s="1"/>
      <c r="V27" s="1"/>
      <c r="W27" s="1"/>
      <c r="X27" s="1"/>
      <c r="Y27" s="1"/>
    </row>
    <row r="28" spans="1:25" ht="17.25" thickBot="1" x14ac:dyDescent="0.35">
      <c r="A28" s="46"/>
      <c r="B28" s="111"/>
      <c r="C28" s="53" t="s">
        <v>183</v>
      </c>
      <c r="D28" s="53" t="s">
        <v>184</v>
      </c>
      <c r="E28" s="53" t="s">
        <v>185</v>
      </c>
      <c r="F28" s="53" t="s">
        <v>186</v>
      </c>
      <c r="G28" s="53" t="s">
        <v>187</v>
      </c>
      <c r="H28" s="53" t="s">
        <v>62</v>
      </c>
      <c r="I28" s="46"/>
      <c r="J28" s="46"/>
      <c r="K28" s="46"/>
      <c r="L28" s="46"/>
      <c r="M28" s="50" t="str">
        <f>INDEX('calculation¦real dollars'!$A$14:$A$214,MATCH(O28*1000,'calculation¦real dollars'!$J$14:$J$214,0),1)</f>
        <v>TOOWOOMBA DN250 RAIL CROSSING</v>
      </c>
      <c r="N28" s="52" t="s">
        <v>142</v>
      </c>
      <c r="O28" s="52">
        <f>IF(LARGE('calculation¦real dollars'!$J$14:$J$114,ROW(M28)-26)/1000&gt;1,LARGE('calculation¦real dollars'!$J$14:$J$114,ROW(M28)-26)/1000,"")</f>
        <v>14.833499999999999</v>
      </c>
      <c r="P28" s="52" t="str">
        <f>VLOOKUP(M28,'calculation¦real dollars'!$A$14:$J$114,2,FALSE)</f>
        <v>AA-06</v>
      </c>
      <c r="Q28" s="1"/>
      <c r="R28" s="1"/>
      <c r="S28" s="1"/>
      <c r="T28" s="1"/>
      <c r="U28" s="1"/>
      <c r="V28" s="1"/>
      <c r="W28" s="1"/>
      <c r="X28" s="1"/>
      <c r="Y28" s="1"/>
    </row>
    <row r="29" spans="1:25" ht="33.75" thickBot="1" x14ac:dyDescent="0.35">
      <c r="A29" s="46"/>
      <c r="B29" s="50" t="str">
        <f>M76</f>
        <v>ILI</v>
      </c>
      <c r="C29" s="52">
        <f ca="1">O76</f>
        <v>2.0459999999999998</v>
      </c>
      <c r="D29" s="52">
        <f ca="1">P76</f>
        <v>2.8950899999999997</v>
      </c>
      <c r="E29" s="52">
        <f ca="1">Q76</f>
        <v>0.33758999999999995</v>
      </c>
      <c r="F29" s="52">
        <f ca="1">R76</f>
        <v>1.8413999999999999</v>
      </c>
      <c r="G29" s="52">
        <f ca="1">S76</f>
        <v>1.1457599999999999</v>
      </c>
      <c r="H29" s="52">
        <f ca="1">SUM(C29:G29)</f>
        <v>8.265839999999999</v>
      </c>
      <c r="I29" s="46"/>
      <c r="J29" s="46"/>
      <c r="K29" s="46"/>
      <c r="L29" s="46"/>
      <c r="M29" s="50" t="str">
        <f>INDEX('calculation¦real dollars'!$A$14:$A$214,MATCH(O29*1000,'calculation¦real dollars'!$J$14:$J$214,0),1)</f>
        <v>RBP RISK MITIGATION - FEED and IMPLEMENTATION</v>
      </c>
      <c r="N29" s="52" t="s">
        <v>142</v>
      </c>
      <c r="O29" s="52">
        <f>IF(LARGE('calculation¦real dollars'!$J$14:$J$114,ROW(M29)-26)/1000&gt;1,LARGE('calculation¦real dollars'!$J$14:$J$114,ROW(M29)-26)/1000,"")</f>
        <v>11.099549999999997</v>
      </c>
      <c r="P29" s="52" t="str">
        <f>VLOOKUP(M29,'calculation¦real dollars'!$A$14:$J$114,2,FALSE)</f>
        <v>AA-02</v>
      </c>
      <c r="Q29" s="1"/>
      <c r="R29" s="1"/>
      <c r="S29" s="1"/>
      <c r="T29" s="1"/>
      <c r="U29" s="1"/>
      <c r="V29" s="1"/>
      <c r="W29" s="1"/>
      <c r="X29" s="1"/>
      <c r="Y29" s="1"/>
    </row>
    <row r="30" spans="1:25" ht="17.25" thickBot="1" x14ac:dyDescent="0.35">
      <c r="A30" s="46"/>
      <c r="B30" s="50" t="s">
        <v>559</v>
      </c>
      <c r="C30" s="52">
        <f ca="1">O78</f>
        <v>5.414739</v>
      </c>
      <c r="D30" s="52">
        <f ca="1">P78</f>
        <v>6.1073099999999991</v>
      </c>
      <c r="E30" s="52">
        <f ca="1">Q78</f>
        <v>4.0715399999999997</v>
      </c>
      <c r="F30" s="52">
        <f ca="1">R78</f>
        <v>3.7646399999999995</v>
      </c>
      <c r="G30" s="52">
        <f ca="1">S78</f>
        <v>4.3283129999999996</v>
      </c>
      <c r="H30" s="52">
        <f t="shared" ref="H30:H32" ca="1" si="4">SUM(C30:G30)</f>
        <v>23.686541999999996</v>
      </c>
      <c r="I30" s="46"/>
      <c r="J30" s="46"/>
      <c r="K30" s="46"/>
      <c r="L30" s="46"/>
      <c r="M30" s="50" t="str">
        <f>INDEX('calculation¦real dollars'!$A$14:$A$214,MATCH(O30*1000,'calculation¦real dollars'!$J$14:$J$214,0),1)</f>
        <v>RBP CP UPGRADE PROGRAM</v>
      </c>
      <c r="N30" s="52" t="s">
        <v>142</v>
      </c>
      <c r="O30" s="52">
        <f>IF(LARGE('calculation¦real dollars'!$J$14:$J$114,ROW(M30)-26)/1000&gt;1,LARGE('calculation¦real dollars'!$J$14:$J$114,ROW(M30)-26)/1000,"")</f>
        <v>3.9518489999999997</v>
      </c>
      <c r="P30" s="52" t="str">
        <f>VLOOKUP(M30,'calculation¦real dollars'!$A$14:$J$114,2,FALSE)</f>
        <v>AA-03</v>
      </c>
      <c r="Q30" s="1"/>
      <c r="R30" s="1"/>
      <c r="S30" s="1"/>
      <c r="T30" s="1"/>
      <c r="U30" s="1"/>
      <c r="V30" s="1"/>
      <c r="W30" s="1"/>
      <c r="X30" s="1"/>
      <c r="Y30" s="1"/>
    </row>
    <row r="31" spans="1:25" ht="17.25" thickBot="1" x14ac:dyDescent="0.35">
      <c r="A31" s="46"/>
      <c r="B31" s="50" t="str">
        <f>M77</f>
        <v>CP upgrade</v>
      </c>
      <c r="C31" s="52">
        <f ca="1">O77</f>
        <v>1.0301609999999999</v>
      </c>
      <c r="D31" s="52">
        <f ca="1">P77</f>
        <v>1.0414139999999998</v>
      </c>
      <c r="E31" s="52">
        <f ca="1">Q77</f>
        <v>1.046529</v>
      </c>
      <c r="F31" s="52">
        <f ca="1">R77</f>
        <v>1.051644</v>
      </c>
      <c r="G31" s="52">
        <f ca="1">S77</f>
        <v>0.90330899999999992</v>
      </c>
      <c r="H31" s="52">
        <f t="shared" ca="1" si="4"/>
        <v>5.0730570000000004</v>
      </c>
      <c r="I31" s="46"/>
      <c r="J31" s="46"/>
      <c r="K31" s="46"/>
      <c r="L31" s="46"/>
      <c r="M31" s="50" t="str">
        <f>INDEX('calculation¦real dollars'!$A$14:$A$214,MATCH(O31*1000,'calculation¦real dollars'!$J$14:$J$214,0),1)</f>
        <v xml:space="preserve">RBP SCCMP EMAT ILI - DN250 </v>
      </c>
      <c r="N31" s="52" t="s">
        <v>142</v>
      </c>
      <c r="O31" s="52">
        <f>IF(LARGE('calculation¦real dollars'!$J$14:$J$114,ROW(M31)-26)/1000&gt;1,LARGE('calculation¦real dollars'!$J$14:$J$114,ROW(M31)-26)/1000,"")</f>
        <v>3.069</v>
      </c>
      <c r="P31" s="52" t="str">
        <f>VLOOKUP(M31,'calculation¦real dollars'!$A$14:$J$114,2,FALSE)</f>
        <v>AA-03</v>
      </c>
      <c r="Q31" s="1"/>
      <c r="R31" s="1"/>
      <c r="S31" s="1"/>
      <c r="T31" s="1"/>
      <c r="U31" s="1"/>
      <c r="V31" s="1"/>
      <c r="W31" s="1"/>
      <c r="X31" s="1"/>
      <c r="Y31" s="1"/>
    </row>
    <row r="32" spans="1:25" ht="17.25" thickBot="1" x14ac:dyDescent="0.35">
      <c r="A32" s="46"/>
      <c r="B32" s="50" t="str">
        <f>M79</f>
        <v>Other</v>
      </c>
      <c r="C32" s="52">
        <f ca="1">O79</f>
        <v>0.20459999999999998</v>
      </c>
      <c r="D32" s="52">
        <f ca="1">P79</f>
        <v>0.20459999999999998</v>
      </c>
      <c r="E32" s="52">
        <f ca="1">Q79</f>
        <v>0</v>
      </c>
      <c r="F32" s="52">
        <f ca="1">R79</f>
        <v>0.15344999999999998</v>
      </c>
      <c r="G32" s="52">
        <f ca="1">S79</f>
        <v>0</v>
      </c>
      <c r="H32" s="52">
        <f t="shared" ca="1" si="4"/>
        <v>0.56264999999999987</v>
      </c>
      <c r="I32" s="46"/>
      <c r="J32" s="46"/>
      <c r="K32" s="46"/>
      <c r="L32" s="46"/>
      <c r="M32" s="50" t="str">
        <f>INDEX('calculation¦real dollars'!$A$14:$A$214,MATCH(O32*1000,'calculation¦real dollars'!$J$14:$J$214,0),1)</f>
        <v>Applications and Renewals</v>
      </c>
      <c r="N32" s="52" t="s">
        <v>142</v>
      </c>
      <c r="O32" s="52">
        <f>IF(LARGE('calculation¦real dollars'!$J$14:$J$114,ROW(M32)-26)/1000&gt;1,LARGE('calculation¦real dollars'!$J$14:$J$114,ROW(M32)-26)/1000,"")</f>
        <v>2.3408916052725917</v>
      </c>
      <c r="P32" s="52" t="str">
        <f>VLOOKUP(M32,'calculation¦real dollars'!$A$14:$J$114,2,FALSE)</f>
        <v>RBP01</v>
      </c>
      <c r="Q32" s="1"/>
      <c r="R32" s="1"/>
      <c r="S32" s="1"/>
      <c r="T32" s="1"/>
      <c r="U32" s="1"/>
      <c r="V32" s="1"/>
      <c r="W32" s="1"/>
      <c r="X32" s="1"/>
      <c r="Y32" s="1"/>
    </row>
    <row r="33" spans="1:25" ht="17.25" thickBot="1" x14ac:dyDescent="0.35">
      <c r="A33" s="46"/>
      <c r="B33" s="106" t="s">
        <v>558</v>
      </c>
      <c r="C33" s="114">
        <f>Q14</f>
        <v>8.6954999999999991</v>
      </c>
      <c r="D33" s="114">
        <f>R14</f>
        <v>10.248413999999999</v>
      </c>
      <c r="E33" s="114">
        <f>S14</f>
        <v>5.4556589999999989</v>
      </c>
      <c r="F33" s="114">
        <f>T14</f>
        <v>6.8111339999999982</v>
      </c>
      <c r="G33" s="114">
        <f>U14</f>
        <v>6.377381999999999</v>
      </c>
      <c r="H33" s="114">
        <f>SUM(C33:G33)</f>
        <v>37.588088999999997</v>
      </c>
      <c r="I33" s="46"/>
      <c r="J33" s="46"/>
      <c r="K33" s="46"/>
      <c r="L33" s="46"/>
      <c r="M33" s="50" t="str">
        <f>INDEX('calculation¦real dollars'!$A$14:$A$214,MATCH(O33*1000,'calculation¦real dollars'!$J$14:$J$214,0),1)</f>
        <v>AA Costs</v>
      </c>
      <c r="N33" s="52" t="s">
        <v>142</v>
      </c>
      <c r="O33" s="52">
        <f>IF(LARGE('calculation¦real dollars'!$J$14:$J$114,ROW(M33)-26)/1000&gt;1,LARGE('calculation¦real dollars'!$J$14:$J$114,ROW(M33)-26)/1000,"")</f>
        <v>1.9555611428099999</v>
      </c>
      <c r="P33" s="52">
        <f>VLOOKUP(M33,'calculation¦real dollars'!$A$14:$J$114,2,FALSE)</f>
        <v>0</v>
      </c>
      <c r="Q33" s="1"/>
      <c r="R33" s="1"/>
      <c r="S33" s="1"/>
      <c r="T33" s="1"/>
      <c r="U33" s="1"/>
      <c r="V33" s="1"/>
      <c r="W33" s="1"/>
      <c r="X33" s="1"/>
      <c r="Y33" s="1"/>
    </row>
    <row r="34" spans="1:25" ht="17.25" thickBot="1" x14ac:dyDescent="0.35">
      <c r="A34" s="46"/>
      <c r="B34" s="46"/>
      <c r="C34" s="46"/>
      <c r="D34" s="46"/>
      <c r="E34" s="46"/>
      <c r="F34" s="46"/>
      <c r="G34" s="46"/>
      <c r="H34" s="46"/>
      <c r="I34" s="46"/>
      <c r="J34" s="46"/>
      <c r="K34" s="46"/>
      <c r="L34" s="46"/>
      <c r="M34" s="50" t="str">
        <f>INDEX('calculation¦real dollars'!$A$14:$A$214,MATCH(O34*1000,'calculation¦real dollars'!$J$14:$J$214,0),1)</f>
        <v>RBP LOOPING ILI - DN400</v>
      </c>
      <c r="N34" s="52" t="s">
        <v>142</v>
      </c>
      <c r="O34" s="52">
        <f>IF(LARGE('calculation¦real dollars'!$J$14:$J$114,ROW(M34)-26)/1000&gt;1,LARGE('calculation¦real dollars'!$J$14:$J$114,ROW(M34)-26)/1000,"")</f>
        <v>1.8413999999999999</v>
      </c>
      <c r="P34" s="52" t="str">
        <f>VLOOKUP(M34,'calculation¦real dollars'!$A$14:$J$114,2,FALSE)</f>
        <v>AA-03</v>
      </c>
      <c r="Q34" s="1"/>
      <c r="R34" s="1"/>
      <c r="S34" s="1"/>
      <c r="T34" s="1"/>
      <c r="U34" s="1"/>
      <c r="V34" s="1"/>
      <c r="W34" s="1"/>
      <c r="X34" s="1"/>
      <c r="Y34" s="1"/>
    </row>
    <row r="35" spans="1:25" ht="17.25" thickBot="1" x14ac:dyDescent="0.35">
      <c r="A35" s="46"/>
      <c r="B35" s="13" t="s">
        <v>556</v>
      </c>
      <c r="C35" s="46"/>
      <c r="D35" s="46"/>
      <c r="E35" s="46"/>
      <c r="F35" s="46"/>
      <c r="G35" s="46"/>
      <c r="H35" s="46"/>
      <c r="I35" s="46"/>
      <c r="J35" s="46"/>
      <c r="K35" s="46"/>
      <c r="L35" s="46"/>
      <c r="M35" s="50" t="str">
        <f>INDEX('calculation¦real dollars'!$A$14:$A$214,MATCH(O35*1000,'calculation¦real dollars'!$J$14:$J$214,0),1)</f>
        <v>RBP MAINLINE ILI PROGRAM - DN250</v>
      </c>
      <c r="N35" s="52" t="s">
        <v>142</v>
      </c>
      <c r="O35" s="52">
        <f>IF(LARGE('calculation¦real dollars'!$J$14:$J$114,ROW(M35)-26)/1000&gt;1,LARGE('calculation¦real dollars'!$J$14:$J$114,ROW(M35)-26)/1000,"")</f>
        <v>1.5344999999999998</v>
      </c>
      <c r="P35" s="52" t="str">
        <f>VLOOKUP(M35,'calculation¦real dollars'!$A$14:$J$114,2,FALSE)</f>
        <v>AA-03</v>
      </c>
      <c r="Q35" s="1"/>
      <c r="R35" s="1"/>
      <c r="S35" s="1"/>
      <c r="T35" s="1"/>
      <c r="U35" s="1"/>
      <c r="V35" s="1"/>
      <c r="W35" s="1"/>
      <c r="X35" s="1"/>
      <c r="Y35" s="1"/>
    </row>
    <row r="36" spans="1:25" ht="17.25" thickBot="1" x14ac:dyDescent="0.35">
      <c r="A36" s="46"/>
      <c r="B36" s="46"/>
      <c r="C36" s="46"/>
      <c r="D36" s="46"/>
      <c r="E36" s="46"/>
      <c r="F36" s="46"/>
      <c r="G36" s="46"/>
      <c r="H36" s="46"/>
      <c r="I36" s="46"/>
      <c r="J36" s="46"/>
      <c r="K36" s="46"/>
      <c r="L36" s="46"/>
      <c r="M36" s="50" t="str">
        <f>INDEX('calculation¦real dollars'!$A$14:$A$214,MATCH(O36*1000,'calculation¦real dollars'!$J$14:$J$214,0),1)</f>
        <v>ANODE BED EASEMENTS PROGRAM</v>
      </c>
      <c r="N36" s="52" t="s">
        <v>142</v>
      </c>
      <c r="O36" s="52">
        <f>IF(LARGE('calculation¦real dollars'!$J$14:$J$114,ROW(M36)-26)/1000&gt;1,LARGE('calculation¦real dollars'!$J$14:$J$114,ROW(M36)-26)/1000,"")</f>
        <v>1.3657049999999997</v>
      </c>
      <c r="P36" s="52" t="str">
        <f>VLOOKUP(M36,'calculation¦real dollars'!$A$14:$J$114,2,FALSE)</f>
        <v>AA-03</v>
      </c>
      <c r="Q36" s="1"/>
      <c r="R36" s="1"/>
      <c r="S36" s="1"/>
      <c r="T36" s="1"/>
      <c r="U36" s="1"/>
      <c r="V36" s="1"/>
      <c r="W36" s="1"/>
      <c r="X36" s="1"/>
      <c r="Y36" s="1"/>
    </row>
    <row r="37" spans="1:25" ht="17.25" thickBot="1" x14ac:dyDescent="0.35">
      <c r="A37" s="46"/>
      <c r="B37" s="51"/>
      <c r="C37" s="53" t="s">
        <v>183</v>
      </c>
      <c r="D37" s="53" t="s">
        <v>184</v>
      </c>
      <c r="E37" s="53" t="s">
        <v>185</v>
      </c>
      <c r="F37" s="53" t="s">
        <v>186</v>
      </c>
      <c r="G37" s="53" t="s">
        <v>187</v>
      </c>
      <c r="H37" s="53" t="s">
        <v>62</v>
      </c>
      <c r="I37" s="46"/>
      <c r="J37" s="46"/>
      <c r="K37" s="46"/>
      <c r="L37" s="46"/>
      <c r="M37" s="1"/>
      <c r="N37" s="1"/>
      <c r="O37" s="1"/>
      <c r="P37" s="1"/>
      <c r="Q37" s="1"/>
      <c r="R37" s="1"/>
      <c r="S37" s="1"/>
      <c r="T37" s="1"/>
      <c r="U37" s="1"/>
      <c r="V37" s="1"/>
      <c r="W37" s="1"/>
      <c r="X37" s="1"/>
      <c r="Y37" s="1"/>
    </row>
    <row r="38" spans="1:25" ht="17.25" thickBot="1" x14ac:dyDescent="0.35">
      <c r="A38" s="46"/>
      <c r="B38" s="105" t="s">
        <v>562</v>
      </c>
      <c r="C38" s="108">
        <f>Q15</f>
        <v>11.917949999999999</v>
      </c>
      <c r="D38" s="108">
        <f t="shared" ref="D38:G38" si="5">R15</f>
        <v>3.5804999999999993</v>
      </c>
      <c r="E38" s="108">
        <f t="shared" si="5"/>
        <v>0</v>
      </c>
      <c r="F38" s="108">
        <f t="shared" si="5"/>
        <v>0</v>
      </c>
      <c r="G38" s="108">
        <f t="shared" si="5"/>
        <v>0</v>
      </c>
      <c r="H38" s="108">
        <f>SUM(C38:G38)</f>
        <v>15.498449999999998</v>
      </c>
      <c r="I38" s="46"/>
      <c r="J38" s="46"/>
      <c r="K38" s="46"/>
      <c r="L38" s="46"/>
      <c r="M38" s="1"/>
      <c r="N38" s="1"/>
      <c r="O38" s="1"/>
      <c r="P38" s="1"/>
      <c r="Q38" s="1"/>
      <c r="R38" s="1"/>
      <c r="S38" s="1"/>
      <c r="T38" s="1"/>
      <c r="U38" s="1"/>
      <c r="V38" s="1"/>
      <c r="W38" s="1"/>
      <c r="X38" s="1"/>
      <c r="Y38" s="1"/>
    </row>
    <row r="39" spans="1:25" ht="17.25" thickBot="1" x14ac:dyDescent="0.35">
      <c r="A39" s="46"/>
      <c r="B39" s="46"/>
      <c r="C39" s="46"/>
      <c r="D39" s="46"/>
      <c r="E39" s="46"/>
      <c r="F39" s="46"/>
      <c r="G39" s="46"/>
      <c r="H39" s="46"/>
      <c r="I39" s="46"/>
      <c r="J39" s="46"/>
      <c r="K39" s="46"/>
      <c r="L39" s="46"/>
      <c r="M39" s="13" t="s">
        <v>188</v>
      </c>
      <c r="N39" s="1"/>
      <c r="O39" s="1"/>
      <c r="P39" s="1"/>
      <c r="Q39" s="1"/>
      <c r="R39" s="1"/>
      <c r="S39" s="1"/>
      <c r="T39" s="1"/>
      <c r="U39" s="1"/>
      <c r="V39" s="1"/>
      <c r="W39" s="1"/>
      <c r="X39" s="1"/>
      <c r="Y39" s="1"/>
    </row>
    <row r="40" spans="1:25" ht="33.75" thickBot="1" x14ac:dyDescent="0.35">
      <c r="A40" s="46"/>
      <c r="B40" s="47" t="s">
        <v>563</v>
      </c>
      <c r="C40" s="46"/>
      <c r="D40" s="46"/>
      <c r="E40" s="46"/>
      <c r="F40" s="46"/>
      <c r="G40" s="46"/>
      <c r="H40" s="46"/>
      <c r="I40" s="46"/>
      <c r="J40" s="46"/>
      <c r="K40" s="46"/>
      <c r="L40" s="46"/>
      <c r="M40" s="51" t="s">
        <v>92</v>
      </c>
      <c r="N40" s="51"/>
      <c r="O40" s="51" t="s">
        <v>144</v>
      </c>
      <c r="P40" s="51" t="s">
        <v>145</v>
      </c>
      <c r="Q40" s="1"/>
      <c r="R40" s="1"/>
      <c r="S40" s="1"/>
      <c r="T40" s="1"/>
      <c r="U40" s="1"/>
      <c r="V40" s="1"/>
      <c r="W40" s="1"/>
      <c r="X40" s="1"/>
      <c r="Y40" s="1"/>
    </row>
    <row r="41" spans="1:25" ht="33.75" thickBot="1" x14ac:dyDescent="0.35">
      <c r="A41" s="46"/>
      <c r="B41" s="46"/>
      <c r="C41" s="46"/>
      <c r="D41" s="46"/>
      <c r="E41" s="46"/>
      <c r="F41" s="46"/>
      <c r="G41" s="46"/>
      <c r="H41" s="46"/>
      <c r="I41" s="46"/>
      <c r="J41" s="46"/>
      <c r="K41" s="46"/>
      <c r="L41" s="46"/>
      <c r="M41" s="50" t="str">
        <f>INDEX('calculation¦real dollars'!$A$14:$A$214,MATCH(O41*1000,'calculation¦real dollars'!$D$14:$D$214,0),1)</f>
        <v>RBP RISK MITIGATION - FEED and IMPLEMENTATION</v>
      </c>
      <c r="N41" s="52" t="s">
        <v>142</v>
      </c>
      <c r="O41" s="52">
        <f>LARGE('calculation¦real dollars'!$D$14:$D$214,ROW(M41)-40)/1000</f>
        <v>8.1839999999999993</v>
      </c>
      <c r="P41" s="52" t="str">
        <f>VLOOKUP(M41,'calculation¦real dollars'!$A$14:$J$214,2,FALSE)</f>
        <v>AA-02</v>
      </c>
      <c r="Q41" s="1"/>
      <c r="R41" s="1"/>
      <c r="S41" s="1"/>
      <c r="T41" s="1"/>
      <c r="U41" s="1"/>
      <c r="V41" s="1"/>
      <c r="W41" s="1"/>
      <c r="X41" s="1"/>
      <c r="Y41" s="1"/>
    </row>
    <row r="42" spans="1:25" ht="17.25" thickBot="1" x14ac:dyDescent="0.35">
      <c r="A42" s="46"/>
      <c r="B42" s="51"/>
      <c r="C42" s="53" t="s">
        <v>183</v>
      </c>
      <c r="D42" s="53" t="s">
        <v>184</v>
      </c>
      <c r="E42" s="53" t="s">
        <v>185</v>
      </c>
      <c r="F42" s="53" t="s">
        <v>186</v>
      </c>
      <c r="G42" s="53" t="s">
        <v>187</v>
      </c>
      <c r="H42" s="53" t="s">
        <v>62</v>
      </c>
      <c r="I42" s="46"/>
      <c r="J42" s="46"/>
      <c r="K42" s="46"/>
      <c r="L42" s="46"/>
      <c r="M42" s="50" t="str">
        <f>INDEX('calculation¦real dollars'!$A$14:$A$214,MATCH(O42*1000,'calculation¦real dollars'!$D$14:$D$214,0),1)</f>
        <v>DN250 INTEGRITY UPGRADE PROGRAM</v>
      </c>
      <c r="N42" s="52" t="s">
        <v>142</v>
      </c>
      <c r="O42" s="52">
        <f>LARGE('calculation¦real dollars'!$D$14:$D$214,ROW(M42)-40)/1000</f>
        <v>5.0126999999999988</v>
      </c>
      <c r="P42" s="52" t="str">
        <f>VLOOKUP(M42,'calculation¦real dollars'!$A$14:$J$214,2,FALSE)</f>
        <v>AA-03</v>
      </c>
      <c r="Q42" s="1"/>
      <c r="R42" s="1"/>
      <c r="S42" s="1"/>
      <c r="T42" s="1"/>
      <c r="U42" s="1"/>
      <c r="V42" s="1"/>
      <c r="W42" s="1"/>
      <c r="X42" s="1"/>
      <c r="Y42" s="1"/>
    </row>
    <row r="43" spans="1:25" ht="17.25" thickBot="1" x14ac:dyDescent="0.35">
      <c r="A43" s="46"/>
      <c r="B43" s="105" t="s">
        <v>564</v>
      </c>
      <c r="C43" s="108">
        <f>Q13</f>
        <v>1.6879499999999998</v>
      </c>
      <c r="D43" s="108">
        <f t="shared" ref="D43:G43" si="6">R13</f>
        <v>0.30689999999999995</v>
      </c>
      <c r="E43" s="108">
        <f t="shared" si="6"/>
        <v>0.30689999999999995</v>
      </c>
      <c r="F43" s="108">
        <f t="shared" si="6"/>
        <v>0.30689999999999995</v>
      </c>
      <c r="G43" s="108">
        <f t="shared" si="6"/>
        <v>0.30689999999999995</v>
      </c>
      <c r="H43" s="108">
        <f>SUM(C43:G43)</f>
        <v>2.9155499999999996</v>
      </c>
      <c r="I43" s="46"/>
      <c r="J43" s="46"/>
      <c r="K43" s="46"/>
      <c r="L43" s="46"/>
      <c r="M43" s="50" t="str">
        <f>INDEX('calculation¦real dollars'!$A$14:$A$214,MATCH(O43*1000,'calculation¦real dollars'!$D$14:$D$214,0),1)</f>
        <v>AA Costs</v>
      </c>
      <c r="N43" s="52" t="s">
        <v>142</v>
      </c>
      <c r="O43" s="52">
        <f>LARGE('calculation¦real dollars'!$D$14:$D$214,ROW(M43)-40)/1000</f>
        <v>0.91185669695999994</v>
      </c>
      <c r="P43" s="52">
        <f>VLOOKUP(M43,'calculation¦real dollars'!$A$14:$J$214,2,FALSE)</f>
        <v>0</v>
      </c>
      <c r="Q43" s="1"/>
      <c r="R43" s="1"/>
      <c r="S43" s="1"/>
      <c r="T43" s="1"/>
      <c r="U43" s="1"/>
      <c r="V43" s="1"/>
      <c r="W43" s="1"/>
      <c r="X43" s="1"/>
      <c r="Y43" s="1"/>
    </row>
    <row r="44" spans="1:25" ht="17.25" thickBot="1" x14ac:dyDescent="0.35">
      <c r="A44" s="46"/>
      <c r="B44" s="46"/>
      <c r="C44" s="46"/>
      <c r="D44" s="46"/>
      <c r="E44" s="46"/>
      <c r="F44" s="46"/>
      <c r="G44" s="46"/>
      <c r="H44" s="46"/>
      <c r="I44" s="46"/>
      <c r="J44" s="46"/>
      <c r="K44" s="46"/>
      <c r="L44" s="46"/>
      <c r="M44" s="50" t="str">
        <f>INDEX('calculation¦real dollars'!$A$14:$A$214,MATCH(O44*1000,'calculation¦real dollars'!$D$14:$D$214,0),1)</f>
        <v>RBP CP UPGRADE PROGRAM</v>
      </c>
      <c r="N44" s="52" t="s">
        <v>142</v>
      </c>
      <c r="O44" s="52">
        <f>LARGE('calculation¦real dollars'!$D$14:$D$214,ROW(M44)-40)/1000</f>
        <v>0.6434669999999999</v>
      </c>
      <c r="P44" s="52" t="str">
        <f>VLOOKUP(M44,'calculation¦real dollars'!$A$14:$J$214,2,FALSE)</f>
        <v>AA-03</v>
      </c>
      <c r="Q44" s="1"/>
      <c r="R44" s="1"/>
      <c r="S44" s="1"/>
      <c r="T44" s="1"/>
      <c r="U44" s="1"/>
      <c r="V44" s="1"/>
      <c r="W44" s="1"/>
      <c r="X44" s="1"/>
      <c r="Y44" s="1"/>
    </row>
    <row r="45" spans="1:25" ht="17.25" thickBot="1" x14ac:dyDescent="0.35">
      <c r="A45" s="46"/>
      <c r="B45" s="47" t="s">
        <v>557</v>
      </c>
      <c r="C45" s="46"/>
      <c r="D45" s="46"/>
      <c r="E45" s="46"/>
      <c r="F45" s="46"/>
      <c r="G45" s="46"/>
      <c r="H45" s="46"/>
      <c r="I45" s="46"/>
      <c r="J45" s="46"/>
      <c r="K45" s="46"/>
      <c r="L45" s="46"/>
      <c r="M45" s="50" t="str">
        <f>INDEX('calculation¦real dollars'!$A$14:$A$214,MATCH(O45*1000,'calculation¦real dollars'!$D$14:$D$214,0),1)</f>
        <v>APA Grid Extend</v>
      </c>
      <c r="N45" s="52" t="s">
        <v>142</v>
      </c>
      <c r="O45" s="52">
        <f>LARGE('calculation¦real dollars'!$D$14:$D$214,ROW(M45)-40)/1000</f>
        <v>0.48705107877275855</v>
      </c>
      <c r="P45" s="52">
        <f>VLOOKUP(M45,'calculation¦real dollars'!$A$14:$J$214,2,FALSE)</f>
        <v>0</v>
      </c>
      <c r="Q45" s="1"/>
      <c r="R45" s="1"/>
      <c r="S45" s="1"/>
      <c r="T45" s="1"/>
      <c r="U45" s="1"/>
      <c r="V45" s="1"/>
      <c r="W45" s="1"/>
      <c r="X45" s="1"/>
      <c r="Y45" s="1"/>
    </row>
    <row r="46" spans="1:25" ht="33.75" thickBot="1" x14ac:dyDescent="0.35">
      <c r="A46" s="46"/>
      <c r="B46" s="46"/>
      <c r="C46" s="46"/>
      <c r="D46" s="46"/>
      <c r="E46" s="46"/>
      <c r="F46" s="46"/>
      <c r="G46" s="46"/>
      <c r="H46" s="46"/>
      <c r="I46" s="46"/>
      <c r="J46" s="46"/>
      <c r="K46" s="46"/>
      <c r="L46" s="46"/>
      <c r="M46" s="50" t="str">
        <f>INDEX('calculation¦real dollars'!$A$14:$A$214,MATCH(O46*1000,'calculation¦real dollars'!$D$14:$D$214,0),1)</f>
        <v>TOOWOOMBA RANGE SLOPE MONITORING WORKS</v>
      </c>
      <c r="N46" s="52" t="s">
        <v>142</v>
      </c>
      <c r="O46" s="52">
        <f>LARGE('calculation¦real dollars'!$D$14:$D$214,ROW(M46)-40)/1000</f>
        <v>0.30689999999999995</v>
      </c>
      <c r="P46" s="52" t="str">
        <f>VLOOKUP(M46,'calculation¦real dollars'!$A$14:$J$214,2,FALSE)</f>
        <v>AA-06</v>
      </c>
      <c r="Q46" s="1"/>
      <c r="R46" s="1"/>
      <c r="S46" s="1"/>
      <c r="T46" s="1"/>
      <c r="U46" s="1"/>
      <c r="V46" s="1"/>
      <c r="W46" s="1"/>
      <c r="X46" s="1"/>
      <c r="Y46" s="1"/>
    </row>
    <row r="47" spans="1:25" ht="17.25" thickBot="1" x14ac:dyDescent="0.35">
      <c r="A47" s="46"/>
      <c r="B47" s="51"/>
      <c r="C47" s="53" t="s">
        <v>183</v>
      </c>
      <c r="D47" s="53" t="s">
        <v>184</v>
      </c>
      <c r="E47" s="53" t="s">
        <v>185</v>
      </c>
      <c r="F47" s="53" t="s">
        <v>186</v>
      </c>
      <c r="G47" s="53" t="s">
        <v>187</v>
      </c>
      <c r="H47" s="53" t="s">
        <v>62</v>
      </c>
      <c r="I47" s="46"/>
      <c r="J47" s="46"/>
      <c r="K47" s="46"/>
      <c r="L47" s="46"/>
      <c r="M47" s="50" t="str">
        <f>INDEX('calculation¦real dollars'!$A$14:$A$214,MATCH(O47*1000,'calculation¦real dollars'!$D$14:$D$214,0),1)</f>
        <v>Enterprise Content Management</v>
      </c>
      <c r="N47" s="52" t="s">
        <v>142</v>
      </c>
      <c r="O47" s="52">
        <f>LARGE('calculation¦real dollars'!$D$14:$D$214,ROW(M47)-40)/1000</f>
        <v>0.29026432700406157</v>
      </c>
      <c r="P47" s="52">
        <f>VLOOKUP(M47,'calculation¦real dollars'!$A$14:$J$214,2,FALSE)</f>
        <v>0</v>
      </c>
      <c r="Q47" s="1"/>
      <c r="R47" s="1"/>
      <c r="S47" s="1"/>
      <c r="T47" s="1"/>
      <c r="U47" s="1"/>
      <c r="V47" s="1"/>
      <c r="W47" s="1"/>
      <c r="X47" s="1"/>
      <c r="Y47" s="1"/>
    </row>
    <row r="48" spans="1:25" ht="17.25" thickBot="1" x14ac:dyDescent="0.35">
      <c r="A48" s="46"/>
      <c r="B48" s="105" t="s">
        <v>130</v>
      </c>
      <c r="C48" s="108">
        <f>Q$16</f>
        <v>0</v>
      </c>
      <c r="D48" s="108">
        <f t="shared" ref="D48" si="7">R$16</f>
        <v>0</v>
      </c>
      <c r="E48" s="108">
        <f t="shared" ref="E48" si="8">S$16</f>
        <v>0</v>
      </c>
      <c r="F48" s="108">
        <f t="shared" ref="F48" si="9">T$16</f>
        <v>0</v>
      </c>
      <c r="G48" s="108">
        <f t="shared" ref="G48" si="10">U$16</f>
        <v>1.3298999999999999</v>
      </c>
      <c r="H48" s="108">
        <f>SUM(C48:G48)</f>
        <v>1.3298999999999999</v>
      </c>
      <c r="I48" s="46"/>
      <c r="J48" s="46"/>
      <c r="K48" s="46"/>
      <c r="L48" s="46"/>
      <c r="M48" s="50" t="str">
        <f>INDEX('calculation¦real dollars'!$A$14:$A$214,MATCH(O48*1000,'calculation¦real dollars'!$D$14:$D$214,0),1)</f>
        <v>Portable Slug Catcher - DN400</v>
      </c>
      <c r="N48" s="52" t="s">
        <v>142</v>
      </c>
      <c r="O48" s="52">
        <f>LARGE('calculation¦real dollars'!$D$14:$D$214,ROW(M48)-40)/1000</f>
        <v>0.22836596501908257</v>
      </c>
      <c r="P48" s="52" t="str">
        <f>VLOOKUP(M48,'calculation¦real dollars'!$A$14:$J$214,2,FALSE)</f>
        <v>AA-05</v>
      </c>
      <c r="Q48" s="1"/>
      <c r="R48" s="1"/>
      <c r="S48" s="1"/>
      <c r="T48" s="1"/>
      <c r="U48" s="1"/>
      <c r="V48" s="1"/>
      <c r="W48" s="1"/>
      <c r="X48" s="1"/>
      <c r="Y48" s="1"/>
    </row>
    <row r="49" spans="1:25" ht="17.25" thickBot="1" x14ac:dyDescent="0.35">
      <c r="A49" s="46"/>
      <c r="B49" s="46"/>
      <c r="C49" s="46"/>
      <c r="D49" s="46"/>
      <c r="E49" s="46"/>
      <c r="F49" s="46"/>
      <c r="G49" s="46"/>
      <c r="H49" s="46"/>
      <c r="I49" s="46"/>
      <c r="J49" s="46"/>
      <c r="K49" s="46"/>
      <c r="L49" s="46"/>
      <c r="M49" s="50" t="str">
        <f>INDEX('calculation¦real dollars'!$A$14:$A$214,MATCH(O49*1000,'calculation¦real dollars'!$D$14:$D$214,0),1)</f>
        <v>RBP METRO ILI - DN300</v>
      </c>
      <c r="N49" s="52" t="s">
        <v>142</v>
      </c>
      <c r="O49" s="52">
        <f>LARGE('calculation¦real dollars'!$D$14:$D$214,ROW(M49)-40)/1000</f>
        <v>0.22505999999999998</v>
      </c>
      <c r="P49" s="52" t="str">
        <f>VLOOKUP(M49,'calculation¦real dollars'!$A$14:$J$214,2,FALSE)</f>
        <v>AA-03</v>
      </c>
      <c r="Q49" s="1"/>
      <c r="R49" s="1"/>
      <c r="S49" s="1"/>
      <c r="T49" s="1"/>
      <c r="U49" s="1"/>
      <c r="V49" s="1"/>
      <c r="W49" s="1"/>
      <c r="X49" s="1"/>
      <c r="Y49" s="1"/>
    </row>
    <row r="50" spans="1:25" ht="17.25" thickBot="1" x14ac:dyDescent="0.35">
      <c r="A50" s="46"/>
      <c r="B50" s="13" t="s">
        <v>576</v>
      </c>
      <c r="C50" s="46"/>
      <c r="D50" s="46"/>
      <c r="E50" s="46"/>
      <c r="F50" s="46"/>
      <c r="G50" s="46"/>
      <c r="H50" s="46"/>
      <c r="I50" s="46"/>
      <c r="J50" s="46"/>
      <c r="K50" s="46"/>
      <c r="L50" s="46"/>
      <c r="M50" s="50" t="str">
        <f>INDEX('calculation¦real dollars'!$A$14:$A$214,MATCH(O50*1000,'calculation¦real dollars'!$D$14:$D$214,0),1)</f>
        <v>ANODE BED EASEMENTS PROGRAM</v>
      </c>
      <c r="N50" s="52" t="s">
        <v>142</v>
      </c>
      <c r="O50" s="52">
        <f>LARGE('calculation¦real dollars'!$D$14:$D$214,ROW(M50)-40)/1000</f>
        <v>0.21482999999999999</v>
      </c>
      <c r="P50" s="52" t="str">
        <f>VLOOKUP(M50,'calculation¦real dollars'!$A$14:$J$214,2,FALSE)</f>
        <v>AA-03</v>
      </c>
      <c r="Q50" s="1"/>
      <c r="R50" s="1"/>
      <c r="S50" s="1"/>
      <c r="T50" s="1"/>
      <c r="U50" s="1"/>
      <c r="V50" s="1"/>
      <c r="W50" s="1"/>
      <c r="X50" s="1"/>
      <c r="Y50" s="1"/>
    </row>
    <row r="51" spans="1:25" ht="17.25" thickBot="1" x14ac:dyDescent="0.35">
      <c r="A51" s="46"/>
      <c r="B51" s="46"/>
      <c r="C51" s="46"/>
      <c r="D51" s="46"/>
      <c r="E51" s="46"/>
      <c r="F51" s="46"/>
      <c r="G51" s="46"/>
      <c r="H51" s="46"/>
      <c r="I51" s="46"/>
      <c r="J51" s="46"/>
      <c r="K51" s="46"/>
      <c r="L51" s="46"/>
      <c r="M51" s="1"/>
      <c r="N51" s="1"/>
      <c r="O51" s="1"/>
      <c r="P51" s="1"/>
      <c r="Q51" s="1"/>
      <c r="R51" s="1"/>
      <c r="S51" s="1"/>
      <c r="T51" s="1"/>
      <c r="U51" s="1"/>
      <c r="V51" s="1"/>
      <c r="W51" s="46"/>
      <c r="X51" s="46"/>
      <c r="Y51" s="46"/>
    </row>
    <row r="52" spans="1:25" ht="17.25" thickBot="1" x14ac:dyDescent="0.35">
      <c r="A52" s="46"/>
      <c r="B52" s="51" t="str">
        <f>'inputs¦other'!A91</f>
        <v>Upgrade Projects</v>
      </c>
      <c r="C52" s="111" t="str">
        <f>C47</f>
        <v>2017/18</v>
      </c>
      <c r="D52" s="111" t="str">
        <f t="shared" ref="D52:G52" si="11">D47</f>
        <v>2018/19</v>
      </c>
      <c r="E52" s="111" t="str">
        <f t="shared" si="11"/>
        <v>2019/20</v>
      </c>
      <c r="F52" s="111" t="str">
        <f t="shared" si="11"/>
        <v>2020/21</v>
      </c>
      <c r="G52" s="111" t="str">
        <f t="shared" si="11"/>
        <v>2021/22</v>
      </c>
      <c r="H52" s="46"/>
      <c r="I52" s="46"/>
      <c r="J52" s="46"/>
      <c r="K52" s="46"/>
      <c r="L52" s="46"/>
      <c r="M52" s="13" t="s">
        <v>541</v>
      </c>
      <c r="N52" s="46"/>
      <c r="O52" s="46"/>
      <c r="P52" s="2"/>
      <c r="Q52" s="46"/>
      <c r="R52" s="46"/>
      <c r="S52" s="46"/>
      <c r="T52" s="46"/>
      <c r="U52" s="46"/>
      <c r="V52" s="46"/>
      <c r="W52" s="46"/>
      <c r="X52" s="46"/>
      <c r="Y52" s="46"/>
    </row>
    <row r="53" spans="1:25" ht="17.25" thickBot="1" x14ac:dyDescent="0.35">
      <c r="A53" s="46"/>
      <c r="B53" s="50" t="str">
        <f>'inputs¦other'!A92</f>
        <v>Energy Components</v>
      </c>
      <c r="C53" s="153" t="str">
        <f>IF('inputs¦other'!B92="X","X","")</f>
        <v>X</v>
      </c>
      <c r="D53" s="153" t="str">
        <f>IF('inputs¦other'!C92="X","X","")</f>
        <v/>
      </c>
      <c r="E53" s="153" t="str">
        <f>IF('inputs¦other'!D92="X","X","")</f>
        <v>X</v>
      </c>
      <c r="F53" s="153" t="str">
        <f>IF('inputs¦other'!E92="X","X","")</f>
        <v/>
      </c>
      <c r="G53" s="153" t="str">
        <f>IF('inputs¦other'!F92="X","X","")</f>
        <v>X</v>
      </c>
      <c r="H53" s="46"/>
      <c r="I53" s="46"/>
      <c r="J53" s="46"/>
      <c r="K53" s="46" t="s">
        <v>532</v>
      </c>
      <c r="L53" s="46"/>
      <c r="M53" s="46"/>
      <c r="N53" s="46"/>
      <c r="O53" s="46"/>
      <c r="P53" s="2"/>
      <c r="Q53" s="46"/>
      <c r="R53" s="46"/>
      <c r="S53" s="46"/>
      <c r="T53" s="46"/>
      <c r="U53" s="46"/>
      <c r="V53" s="46"/>
      <c r="W53" s="46"/>
      <c r="X53" s="46"/>
      <c r="Y53" s="46"/>
    </row>
    <row r="54" spans="1:25" ht="17.25" thickBot="1" x14ac:dyDescent="0.35">
      <c r="A54" s="46"/>
      <c r="B54" s="50" t="str">
        <f>'inputs¦other'!A93</f>
        <v>Historian</v>
      </c>
      <c r="C54" s="153" t="str">
        <f>IF('inputs¦other'!B93="X","X","")</f>
        <v/>
      </c>
      <c r="D54" s="153" t="str">
        <f>IF('inputs¦other'!C93="X","X","")</f>
        <v>X</v>
      </c>
      <c r="E54" s="153" t="str">
        <f>IF('inputs¦other'!D93="X","X","")</f>
        <v/>
      </c>
      <c r="F54" s="153" t="str">
        <f>IF('inputs¦other'!E93="X","X","")</f>
        <v>X</v>
      </c>
      <c r="G54" s="153" t="str">
        <f>IF('inputs¦other'!F93="X","X","")</f>
        <v/>
      </c>
      <c r="H54" s="46"/>
      <c r="I54" s="46"/>
      <c r="J54" s="46"/>
      <c r="K54" s="46"/>
      <c r="L54" s="46" t="s">
        <v>531</v>
      </c>
      <c r="M54" s="51" t="s">
        <v>92</v>
      </c>
      <c r="N54" s="53" t="s">
        <v>225</v>
      </c>
      <c r="O54" s="53" t="s">
        <v>183</v>
      </c>
      <c r="P54" s="53" t="s">
        <v>184</v>
      </c>
      <c r="Q54" s="53" t="s">
        <v>185</v>
      </c>
      <c r="R54" s="53" t="s">
        <v>186</v>
      </c>
      <c r="S54" s="53" t="s">
        <v>187</v>
      </c>
      <c r="T54" s="53" t="s">
        <v>62</v>
      </c>
      <c r="U54" s="46"/>
      <c r="V54" s="46"/>
      <c r="W54" s="46"/>
      <c r="X54" s="46"/>
      <c r="Y54" s="46"/>
    </row>
    <row r="55" spans="1:25" ht="17.25" thickBot="1" x14ac:dyDescent="0.35">
      <c r="A55" s="46"/>
      <c r="B55" s="50" t="str">
        <f>'inputs¦other'!A94</f>
        <v>SCADA</v>
      </c>
      <c r="C55" s="153" t="str">
        <f>IF('inputs¦other'!B94="X","X","")</f>
        <v/>
      </c>
      <c r="D55" s="153" t="str">
        <f>IF('inputs¦other'!C94="X","X","")</f>
        <v>X</v>
      </c>
      <c r="E55" s="153" t="str">
        <f>IF('inputs¦other'!D94="X","X","")</f>
        <v/>
      </c>
      <c r="F55" s="153" t="str">
        <f>IF('inputs¦other'!E94="X","X","")</f>
        <v>X</v>
      </c>
      <c r="G55" s="153" t="str">
        <f>IF('inputs¦other'!F94="X","X","")</f>
        <v/>
      </c>
      <c r="H55" s="46"/>
      <c r="I55" s="46"/>
      <c r="J55" s="46"/>
      <c r="K55" s="46">
        <f ca="1">IFERROR(FIND("ILI",M55),)</f>
        <v>0</v>
      </c>
      <c r="L55" s="46">
        <f>+IF('inputs¦Engineering'!AG6="AA-03",ROW('inputs¦Engineering'!AG6),"delete")</f>
        <v>6</v>
      </c>
      <c r="M55" s="50" t="str">
        <f t="shared" ref="M55:M70" ca="1" si="12">INDIRECT("'inputs¦Engineering'!E"&amp;L55)</f>
        <v>ANODE BED EASEMENTS PROGRAM</v>
      </c>
      <c r="N55" s="52">
        <f ca="1">VLOOKUP($M55,'calculation¦real dollars'!$A$14:$I$113,COLUMN(N54)-10,FALSE)/1000</f>
        <v>0.21482999999999999</v>
      </c>
      <c r="O55" s="52">
        <f ca="1">VLOOKUP($M55,'calculation¦real dollars'!$A$14:$I$113,COLUMN(O54)-10,FALSE)/1000</f>
        <v>0.21994499999999997</v>
      </c>
      <c r="P55" s="52">
        <f ca="1">VLOOKUP($M55,'calculation¦real dollars'!$A$14:$I$113,COLUMN(P54)-10,FALSE)/1000</f>
        <v>0.22505999999999998</v>
      </c>
      <c r="Q55" s="52">
        <f ca="1">VLOOKUP($M55,'calculation¦real dollars'!$A$14:$I$113,COLUMN(Q54)-10,FALSE)/1000</f>
        <v>0.23017499999999999</v>
      </c>
      <c r="R55" s="52">
        <f ca="1">VLOOKUP($M55,'calculation¦real dollars'!$A$14:$I$113,COLUMN(R54)-10,FALSE)/1000</f>
        <v>0.23528999999999997</v>
      </c>
      <c r="S55" s="52">
        <f ca="1">VLOOKUP($M55,'calculation¦real dollars'!$A$14:$I$113,COLUMN(S54)-10,FALSE)/1000</f>
        <v>0.24040499999999998</v>
      </c>
      <c r="T55" s="52">
        <f t="shared" ref="T55:T70" ca="1" si="13">SUM(N55:S55)</f>
        <v>1.3657049999999999</v>
      </c>
      <c r="U55" s="46"/>
      <c r="V55" s="46"/>
      <c r="W55" s="46"/>
      <c r="X55" s="46"/>
      <c r="Y55" s="46"/>
    </row>
    <row r="56" spans="1:25" ht="17.25" thickBot="1" x14ac:dyDescent="0.35">
      <c r="A56" s="46"/>
      <c r="B56" s="50" t="str">
        <f>'inputs¦other'!A95</f>
        <v>Middleware</v>
      </c>
      <c r="C56" s="153" t="str">
        <f>IF('inputs¦other'!B95="X","X","")</f>
        <v/>
      </c>
      <c r="D56" s="153" t="str">
        <f>IF('inputs¦other'!C95="X","X","")</f>
        <v>X</v>
      </c>
      <c r="E56" s="153" t="str">
        <f>IF('inputs¦other'!D95="X","X","")</f>
        <v/>
      </c>
      <c r="F56" s="153" t="str">
        <f>IF('inputs¦other'!E95="X","X","")</f>
        <v>X</v>
      </c>
      <c r="G56" s="153" t="str">
        <f>IF('inputs¦other'!F95="X","X","")</f>
        <v/>
      </c>
      <c r="H56" s="46"/>
      <c r="I56" s="46"/>
      <c r="J56" s="46"/>
      <c r="K56" s="46">
        <f t="shared" ref="K56:K70" ca="1" si="14">IFERROR(FIND("ILI",M56),)</f>
        <v>0</v>
      </c>
      <c r="L56" s="46">
        <f>+IF('inputs¦Engineering'!AG12="AA-03",ROW('inputs¦Engineering'!AG12),"delete")</f>
        <v>12</v>
      </c>
      <c r="M56" s="50" t="str">
        <f t="shared" ca="1" si="12"/>
        <v>DN250 INTEGRITY UPGRADE PROGRAM</v>
      </c>
      <c r="N56" s="52">
        <f ca="1">VLOOKUP($M56,'calculation¦real dollars'!$A$14:$I$113,COLUMN(N55)-10,FALSE)/1000</f>
        <v>5.0126999999999988</v>
      </c>
      <c r="O56" s="52">
        <f ca="1">VLOOKUP($M56,'calculation¦real dollars'!$A$14:$I$113,COLUMN(O55)-10,FALSE)/1000</f>
        <v>5.414739</v>
      </c>
      <c r="P56" s="52">
        <f ca="1">VLOOKUP($M56,'calculation¦real dollars'!$A$14:$I$113,COLUMN(P55)-10,FALSE)/1000</f>
        <v>6.1073099999999991</v>
      </c>
      <c r="Q56" s="52">
        <f ca="1">VLOOKUP($M56,'calculation¦real dollars'!$A$14:$I$113,COLUMN(Q55)-10,FALSE)/1000</f>
        <v>4.0715399999999997</v>
      </c>
      <c r="R56" s="52">
        <f ca="1">VLOOKUP($M56,'calculation¦real dollars'!$A$14:$I$113,COLUMN(R55)-10,FALSE)/1000</f>
        <v>3.7646399999999995</v>
      </c>
      <c r="S56" s="52">
        <f ca="1">VLOOKUP($M56,'calculation¦real dollars'!$A$14:$I$113,COLUMN(S55)-10,FALSE)/1000</f>
        <v>4.3283129999999996</v>
      </c>
      <c r="T56" s="52">
        <f t="shared" ca="1" si="13"/>
        <v>28.699241999999998</v>
      </c>
      <c r="U56" s="46"/>
      <c r="V56" s="46"/>
      <c r="W56" s="46"/>
      <c r="X56" s="46"/>
      <c r="Y56" s="46"/>
    </row>
    <row r="57" spans="1:25" s="71" customFormat="1" ht="17.25" thickBot="1" x14ac:dyDescent="0.35">
      <c r="A57" s="46"/>
      <c r="B57" s="50" t="str">
        <f>'inputs¦other'!A96</f>
        <v>DBYD</v>
      </c>
      <c r="C57" s="153" t="str">
        <f>IF('inputs¦other'!B96="X","X","")</f>
        <v/>
      </c>
      <c r="D57" s="153" t="str">
        <f>IF('inputs¦other'!C96="X","X","")</f>
        <v>X</v>
      </c>
      <c r="E57" s="153" t="str">
        <f>IF('inputs¦other'!D96="X","X","")</f>
        <v/>
      </c>
      <c r="F57" s="153" t="str">
        <f>IF('inputs¦other'!E96="X","X","")</f>
        <v>X</v>
      </c>
      <c r="G57" s="153" t="str">
        <f>IF('inputs¦other'!F96="X","X","")</f>
        <v/>
      </c>
      <c r="H57" s="46"/>
      <c r="I57" s="46"/>
      <c r="J57" s="46"/>
      <c r="K57" s="46">
        <f t="shared" ca="1" si="14"/>
        <v>0</v>
      </c>
      <c r="L57" s="46">
        <f>+IF('inputs¦Engineering'!AG23="AA-03",ROW('inputs¦Engineering'!AG23),"delete")</f>
        <v>23</v>
      </c>
      <c r="M57" s="50" t="str">
        <f t="shared" ca="1" si="12"/>
        <v>Laser Scanner for Feature Assessment</v>
      </c>
      <c r="N57" s="52">
        <f ca="1">VLOOKUP($M57,'calculation¦real dollars'!$A$14:$I$113,COLUMN(N56)-10,FALSE)/1000</f>
        <v>0</v>
      </c>
      <c r="O57" s="52">
        <f ca="1">VLOOKUP($M57,'calculation¦real dollars'!$A$14:$I$113,COLUMN(O56)-10,FALSE)/1000</f>
        <v>0</v>
      </c>
      <c r="P57" s="52">
        <f ca="1">VLOOKUP($M57,'calculation¦real dollars'!$A$14:$I$113,COLUMN(P56)-10,FALSE)/1000</f>
        <v>0</v>
      </c>
      <c r="Q57" s="52">
        <f ca="1">VLOOKUP($M57,'calculation¦real dollars'!$A$14:$I$113,COLUMN(Q56)-10,FALSE)/1000</f>
        <v>0</v>
      </c>
      <c r="R57" s="52">
        <f ca="1">VLOOKUP($M57,'calculation¦real dollars'!$A$14:$I$113,COLUMN(R56)-10,FALSE)/1000</f>
        <v>0.15344999999999998</v>
      </c>
      <c r="S57" s="52">
        <f ca="1">VLOOKUP($M57,'calculation¦real dollars'!$A$14:$I$113,COLUMN(S56)-10,FALSE)/1000</f>
        <v>0</v>
      </c>
      <c r="T57" s="52">
        <f t="shared" ref="T57" ca="1" si="15">SUM(N57:S57)</f>
        <v>0.15344999999999998</v>
      </c>
      <c r="U57" s="46"/>
      <c r="V57" s="46"/>
      <c r="W57" s="46"/>
      <c r="X57" s="46"/>
      <c r="Y57" s="46"/>
    </row>
    <row r="58" spans="1:25" ht="17.25" thickBot="1" x14ac:dyDescent="0.35">
      <c r="A58" s="46"/>
      <c r="B58" s="50" t="str">
        <f>'inputs¦other'!A97</f>
        <v>Field Data / Mobility</v>
      </c>
      <c r="C58" s="153" t="str">
        <f>IF('inputs¦other'!B97="X","X","")</f>
        <v>X</v>
      </c>
      <c r="D58" s="153" t="str">
        <f>IF('inputs¦other'!C97="X","X","")</f>
        <v>X</v>
      </c>
      <c r="E58" s="153" t="str">
        <f>IF('inputs¦other'!D97="X","X","")</f>
        <v>X</v>
      </c>
      <c r="F58" s="153" t="str">
        <f>IF('inputs¦other'!E97="X","X","")</f>
        <v>X</v>
      </c>
      <c r="G58" s="153" t="str">
        <f>IF('inputs¦other'!F97="X","X","")</f>
        <v>X</v>
      </c>
      <c r="H58" s="46"/>
      <c r="I58" s="46"/>
      <c r="J58" s="46"/>
      <c r="K58" s="46">
        <f t="shared" ca="1" si="14"/>
        <v>14</v>
      </c>
      <c r="L58" s="46">
        <f>+IF('inputs¦Engineering'!AG28="AA-03",ROW('inputs¦Engineering'!AG28),"delete")</f>
        <v>28</v>
      </c>
      <c r="M58" s="50" t="str">
        <f t="shared" ca="1" si="12"/>
        <v xml:space="preserve">PEAT LATERAL ILI - DN250 </v>
      </c>
      <c r="N58" s="52">
        <f ca="1">VLOOKUP($M58,'calculation¦real dollars'!$A$14:$I$113,COLUMN(N57)-10,FALSE)/1000</f>
        <v>0</v>
      </c>
      <c r="O58" s="52">
        <f ca="1">VLOOKUP($M58,'calculation¦real dollars'!$A$14:$I$113,COLUMN(O57)-10,FALSE)/1000</f>
        <v>0</v>
      </c>
      <c r="P58" s="52">
        <f ca="1">VLOOKUP($M58,'calculation¦real dollars'!$A$14:$I$113,COLUMN(P57)-10,FALSE)/1000</f>
        <v>0</v>
      </c>
      <c r="Q58" s="52">
        <f ca="1">VLOOKUP($M58,'calculation¦real dollars'!$A$14:$I$113,COLUMN(Q57)-10,FALSE)/1000</f>
        <v>0.14321999999999996</v>
      </c>
      <c r="R58" s="52">
        <f ca="1">VLOOKUP($M58,'calculation¦real dollars'!$A$14:$I$113,COLUMN(R57)-10,FALSE)/1000</f>
        <v>0</v>
      </c>
      <c r="S58" s="52">
        <f ca="1">VLOOKUP($M58,'calculation¦real dollars'!$A$14:$I$113,COLUMN(S57)-10,FALSE)/1000</f>
        <v>0</v>
      </c>
      <c r="T58" s="52">
        <f t="shared" ca="1" si="13"/>
        <v>0.14321999999999996</v>
      </c>
      <c r="U58" s="46"/>
      <c r="V58" s="46"/>
      <c r="W58" s="46"/>
      <c r="X58" s="46"/>
      <c r="Y58" s="46"/>
    </row>
    <row r="59" spans="1:25" ht="17.25" thickBot="1" x14ac:dyDescent="0.35">
      <c r="A59" s="46"/>
      <c r="B59" s="50" t="str">
        <f>'inputs¦other'!A98</f>
        <v>GIS</v>
      </c>
      <c r="C59" s="153" t="str">
        <f>IF('inputs¦other'!B98="X","X","")</f>
        <v/>
      </c>
      <c r="D59" s="153" t="str">
        <f>IF('inputs¦other'!C98="X","X","")</f>
        <v>X</v>
      </c>
      <c r="E59" s="153" t="str">
        <f>IF('inputs¦other'!D98="X","X","")</f>
        <v/>
      </c>
      <c r="F59" s="153" t="str">
        <f>IF('inputs¦other'!E98="X","X","")</f>
        <v>X</v>
      </c>
      <c r="G59" s="153" t="str">
        <f>IF('inputs¦other'!F98="X","X","")</f>
        <v/>
      </c>
      <c r="H59" s="46"/>
      <c r="I59" s="46"/>
      <c r="J59" s="46"/>
      <c r="K59" s="46">
        <f t="shared" ca="1" si="14"/>
        <v>16</v>
      </c>
      <c r="L59" s="46">
        <f>+IF('inputs¦Engineering'!AG40="AA-03",ROW('inputs¦Engineering'!AG40),"delete")</f>
        <v>40</v>
      </c>
      <c r="M59" s="50" t="str">
        <f t="shared" ca="1" si="12"/>
        <v>RBP CE Lateral ILI - DN400</v>
      </c>
      <c r="N59" s="52">
        <f ca="1">VLOOKUP($M59,'calculation¦real dollars'!$A$14:$I$113,COLUMN(N58)-10,FALSE)/1000</f>
        <v>0</v>
      </c>
      <c r="O59" s="52">
        <f ca="1">VLOOKUP($M59,'calculation¦real dollars'!$A$14:$I$113,COLUMN(O58)-10,FALSE)/1000</f>
        <v>0</v>
      </c>
      <c r="P59" s="52">
        <f ca="1">VLOOKUP($M59,'calculation¦real dollars'!$A$14:$I$113,COLUMN(P58)-10,FALSE)/1000</f>
        <v>1.023E-2</v>
      </c>
      <c r="Q59" s="52">
        <f ca="1">VLOOKUP($M59,'calculation¦real dollars'!$A$14:$I$113,COLUMN(Q58)-10,FALSE)/1000</f>
        <v>0.19436999999999999</v>
      </c>
      <c r="R59" s="52">
        <f ca="1">VLOOKUP($M59,'calculation¦real dollars'!$A$14:$I$113,COLUMN(R58)-10,FALSE)/1000</f>
        <v>0</v>
      </c>
      <c r="S59" s="52">
        <f ca="1">VLOOKUP($M59,'calculation¦real dollars'!$A$14:$I$113,COLUMN(S58)-10,FALSE)/1000</f>
        <v>0</v>
      </c>
      <c r="T59" s="52">
        <f t="shared" ca="1" si="13"/>
        <v>0.20459999999999998</v>
      </c>
      <c r="U59" s="46"/>
      <c r="V59" s="46"/>
      <c r="W59" s="46"/>
      <c r="X59" s="46"/>
      <c r="Y59" s="46"/>
    </row>
    <row r="60" spans="1:25" ht="17.25" thickBot="1" x14ac:dyDescent="0.35">
      <c r="A60" s="46"/>
      <c r="B60" s="50" t="str">
        <f>'inputs¦other'!A99</f>
        <v>EAM</v>
      </c>
      <c r="C60" s="153" t="str">
        <f>IF('inputs¦other'!B99="X","X","")</f>
        <v>X</v>
      </c>
      <c r="D60" s="153" t="str">
        <f>IF('inputs¦other'!C99="X","X","")</f>
        <v/>
      </c>
      <c r="E60" s="153" t="str">
        <f>IF('inputs¦other'!D99="X","X","")</f>
        <v>X</v>
      </c>
      <c r="F60" s="153" t="str">
        <f>IF('inputs¦other'!E99="X","X","")</f>
        <v/>
      </c>
      <c r="G60" s="153" t="str">
        <f>IF('inputs¦other'!F99="X","X","")</f>
        <v>X</v>
      </c>
      <c r="H60" s="46"/>
      <c r="I60" s="46"/>
      <c r="J60" s="46"/>
      <c r="K60" s="46">
        <f t="shared" ca="1" si="14"/>
        <v>0</v>
      </c>
      <c r="L60" s="46">
        <f>+IF('inputs¦Engineering'!AG42="AA-03",ROW('inputs¦Engineering'!AG42),"delete")</f>
        <v>42</v>
      </c>
      <c r="M60" s="50" t="str">
        <f t="shared" ca="1" si="12"/>
        <v>RBP CP TELEMETRY UPGRADE</v>
      </c>
      <c r="N60" s="52">
        <f ca="1">VLOOKUP($M60,'calculation¦real dollars'!$A$14:$I$113,COLUMN(N59)-10,FALSE)/1000</f>
        <v>0.15344999999999998</v>
      </c>
      <c r="O60" s="52">
        <f ca="1">VLOOKUP($M60,'calculation¦real dollars'!$A$14:$I$113,COLUMN(O59)-10,FALSE)/1000</f>
        <v>0.15344999999999998</v>
      </c>
      <c r="P60" s="52">
        <f ca="1">VLOOKUP($M60,'calculation¦real dollars'!$A$14:$I$113,COLUMN(P59)-10,FALSE)/1000</f>
        <v>0.15344999999999998</v>
      </c>
      <c r="Q60" s="52">
        <f ca="1">VLOOKUP($M60,'calculation¦real dollars'!$A$14:$I$113,COLUMN(Q59)-10,FALSE)/1000</f>
        <v>0.15344999999999998</v>
      </c>
      <c r="R60" s="52">
        <f ca="1">VLOOKUP($M60,'calculation¦real dollars'!$A$14:$I$113,COLUMN(R59)-10,FALSE)/1000</f>
        <v>0.15344999999999998</v>
      </c>
      <c r="S60" s="52">
        <f ca="1">VLOOKUP($M60,'calculation¦real dollars'!$A$14:$I$113,COLUMN(S59)-10,FALSE)/1000</f>
        <v>0</v>
      </c>
      <c r="T60" s="52">
        <f t="shared" ca="1" si="13"/>
        <v>0.76724999999999988</v>
      </c>
      <c r="U60" s="46"/>
      <c r="V60" s="46"/>
      <c r="W60" s="46"/>
      <c r="X60" s="46"/>
      <c r="Y60" s="46"/>
    </row>
    <row r="61" spans="1:25" ht="17.25" thickBot="1" x14ac:dyDescent="0.35">
      <c r="A61" s="46"/>
      <c r="B61" s="46"/>
      <c r="C61" s="46"/>
      <c r="D61" s="46"/>
      <c r="E61" s="46"/>
      <c r="F61" s="46"/>
      <c r="G61" s="46"/>
      <c r="H61" s="46"/>
      <c r="I61" s="46"/>
      <c r="J61" s="46"/>
      <c r="K61" s="46">
        <f t="shared" ca="1" si="14"/>
        <v>0</v>
      </c>
      <c r="L61" s="46">
        <f>+IF('inputs¦Engineering'!AG43="AA-03",ROW('inputs¦Engineering'!AG43),"delete")</f>
        <v>43</v>
      </c>
      <c r="M61" s="50" t="str">
        <f t="shared" ca="1" si="12"/>
        <v>RBP CP UPGRADE PROGRAM</v>
      </c>
      <c r="N61" s="52">
        <f ca="1">VLOOKUP($M61,'calculation¦real dollars'!$A$14:$I$113,COLUMN(N60)-10,FALSE)/1000</f>
        <v>0.6434669999999999</v>
      </c>
      <c r="O61" s="52">
        <f ca="1">VLOOKUP($M61,'calculation¦real dollars'!$A$14:$I$113,COLUMN(O60)-10,FALSE)/1000</f>
        <v>0.65676599999999996</v>
      </c>
      <c r="P61" s="52">
        <f ca="1">VLOOKUP($M61,'calculation¦real dollars'!$A$14:$I$113,COLUMN(P60)-10,FALSE)/1000</f>
        <v>0.66290399999999994</v>
      </c>
      <c r="Q61" s="52">
        <f ca="1">VLOOKUP($M61,'calculation¦real dollars'!$A$14:$I$113,COLUMN(Q60)-10,FALSE)/1000</f>
        <v>0.66290399999999994</v>
      </c>
      <c r="R61" s="52">
        <f ca="1">VLOOKUP($M61,'calculation¦real dollars'!$A$14:$I$113,COLUMN(R60)-10,FALSE)/1000</f>
        <v>0.66290399999999994</v>
      </c>
      <c r="S61" s="52">
        <f ca="1">VLOOKUP($M61,'calculation¦real dollars'!$A$14:$I$113,COLUMN(S60)-10,FALSE)/1000</f>
        <v>0.66290399999999994</v>
      </c>
      <c r="T61" s="52">
        <f t="shared" ca="1" si="13"/>
        <v>3.9518490000000002</v>
      </c>
      <c r="U61" s="46"/>
      <c r="V61" s="46"/>
      <c r="W61" s="46"/>
      <c r="X61" s="46"/>
      <c r="Y61" s="46"/>
    </row>
    <row r="62" spans="1:25" ht="17.25" thickBot="1" x14ac:dyDescent="0.35">
      <c r="A62" s="46"/>
      <c r="B62" s="13" t="s">
        <v>577</v>
      </c>
      <c r="C62" s="46"/>
      <c r="D62" s="46"/>
      <c r="E62" s="46"/>
      <c r="F62" s="46"/>
      <c r="G62" s="46"/>
      <c r="H62" s="46"/>
      <c r="I62" s="46"/>
      <c r="J62" s="46"/>
      <c r="K62" s="46">
        <f t="shared" ca="1" si="14"/>
        <v>13</v>
      </c>
      <c r="L62" s="46">
        <f>+IF('inputs¦Engineering'!AG46="AA-03",ROW('inputs¦Engineering'!AG46),"delete")</f>
        <v>46</v>
      </c>
      <c r="M62" s="50" t="str">
        <f t="shared" ca="1" si="12"/>
        <v>RBP LOOPING ILI - DN400</v>
      </c>
      <c r="N62" s="52">
        <f ca="1">VLOOKUP($M62,'calculation¦real dollars'!$A$14:$I$113,COLUMN(N61)-10,FALSE)/1000</f>
        <v>0</v>
      </c>
      <c r="O62" s="52">
        <f ca="1">VLOOKUP($M62,'calculation¦real dollars'!$A$14:$I$113,COLUMN(O61)-10,FALSE)/1000</f>
        <v>0</v>
      </c>
      <c r="P62" s="52">
        <f ca="1">VLOOKUP($M62,'calculation¦real dollars'!$A$14:$I$113,COLUMN(P61)-10,FALSE)/1000</f>
        <v>0</v>
      </c>
      <c r="Q62" s="52">
        <f ca="1">VLOOKUP($M62,'calculation¦real dollars'!$A$14:$I$113,COLUMN(Q61)-10,FALSE)/1000</f>
        <v>0</v>
      </c>
      <c r="R62" s="52">
        <f ca="1">VLOOKUP($M62,'calculation¦real dollars'!$A$14:$I$113,COLUMN(R61)-10,FALSE)/1000</f>
        <v>1.8413999999999999</v>
      </c>
      <c r="S62" s="52">
        <f ca="1">VLOOKUP($M62,'calculation¦real dollars'!$A$14:$I$113,COLUMN(S61)-10,FALSE)/1000</f>
        <v>0</v>
      </c>
      <c r="T62" s="52">
        <f t="shared" ca="1" si="13"/>
        <v>1.8413999999999999</v>
      </c>
      <c r="U62" s="46"/>
      <c r="V62" s="46"/>
      <c r="W62" s="46"/>
      <c r="X62" s="46"/>
      <c r="Y62" s="46"/>
    </row>
    <row r="63" spans="1:25" ht="17.25" thickBot="1" x14ac:dyDescent="0.35">
      <c r="A63" s="46"/>
      <c r="B63" s="46"/>
      <c r="C63" s="46"/>
      <c r="D63" s="46"/>
      <c r="E63" s="46"/>
      <c r="F63" s="46"/>
      <c r="G63" s="46"/>
      <c r="H63" s="46"/>
      <c r="I63" s="46"/>
      <c r="J63" s="46"/>
      <c r="K63" s="46">
        <f t="shared" ca="1" si="14"/>
        <v>20</v>
      </c>
      <c r="L63" s="46">
        <f>+IF('inputs¦Engineering'!AG47="AA-03",ROW('inputs¦Engineering'!AG47),"delete")</f>
        <v>47</v>
      </c>
      <c r="M63" s="50" t="str">
        <f t="shared" ca="1" si="12"/>
        <v xml:space="preserve">RBP LYTTON LATERAL ILI - DN200 </v>
      </c>
      <c r="N63" s="52">
        <f ca="1">VLOOKUP($M63,'calculation¦real dollars'!$A$14:$I$113,COLUMN(N62)-10,FALSE)/1000</f>
        <v>5.1149999999999998E-3</v>
      </c>
      <c r="O63" s="52">
        <f ca="1">VLOOKUP($M63,'calculation¦real dollars'!$A$14:$I$113,COLUMN(O62)-10,FALSE)/1000</f>
        <v>0.14321999999999996</v>
      </c>
      <c r="P63" s="52">
        <f ca="1">VLOOKUP($M63,'calculation¦real dollars'!$A$14:$I$113,COLUMN(P62)-10,FALSE)/1000</f>
        <v>0</v>
      </c>
      <c r="Q63" s="52">
        <f ca="1">VLOOKUP($M63,'calculation¦real dollars'!$A$14:$I$113,COLUMN(Q62)-10,FALSE)/1000</f>
        <v>0</v>
      </c>
      <c r="R63" s="52">
        <f ca="1">VLOOKUP($M63,'calculation¦real dollars'!$A$14:$I$113,COLUMN(R62)-10,FALSE)/1000</f>
        <v>0</v>
      </c>
      <c r="S63" s="52">
        <f ca="1">VLOOKUP($M63,'calculation¦real dollars'!$A$14:$I$113,COLUMN(S62)-10,FALSE)/1000</f>
        <v>0</v>
      </c>
      <c r="T63" s="52">
        <f t="shared" ca="1" si="13"/>
        <v>0.14833499999999997</v>
      </c>
      <c r="U63" s="46"/>
      <c r="V63" s="46"/>
      <c r="W63" s="46"/>
      <c r="X63" s="46"/>
      <c r="Y63" s="46"/>
    </row>
    <row r="64" spans="1:25" ht="17.25" thickBot="1" x14ac:dyDescent="0.35">
      <c r="A64" s="46"/>
      <c r="B64" s="51"/>
      <c r="C64" s="53" t="s">
        <v>183</v>
      </c>
      <c r="D64" s="53" t="s">
        <v>184</v>
      </c>
      <c r="E64" s="53" t="s">
        <v>185</v>
      </c>
      <c r="F64" s="53" t="s">
        <v>186</v>
      </c>
      <c r="G64" s="53" t="s">
        <v>187</v>
      </c>
      <c r="H64" s="53" t="s">
        <v>62</v>
      </c>
      <c r="I64" s="46"/>
      <c r="J64" s="46"/>
      <c r="K64" s="46">
        <f t="shared" ca="1" si="14"/>
        <v>14</v>
      </c>
      <c r="L64" s="46">
        <f>+IF('inputs¦Engineering'!AG48="AA-03",ROW('inputs¦Engineering'!AG48),"delete")</f>
        <v>48</v>
      </c>
      <c r="M64" s="50" t="str">
        <f t="shared" ca="1" si="12"/>
        <v>RBP MAINLINE ILI PROGRAM - DN250</v>
      </c>
      <c r="N64" s="52">
        <f ca="1">VLOOKUP($M64,'calculation¦real dollars'!$A$14:$I$113,COLUMN(N63)-10,FALSE)/1000</f>
        <v>0</v>
      </c>
      <c r="O64" s="52">
        <f ca="1">VLOOKUP($M64,'calculation¦real dollars'!$A$14:$I$113,COLUMN(O63)-10,FALSE)/1000</f>
        <v>0</v>
      </c>
      <c r="P64" s="52">
        <f ca="1">VLOOKUP($M64,'calculation¦real dollars'!$A$14:$I$113,COLUMN(P63)-10,FALSE)/1000</f>
        <v>1.5344999999999998</v>
      </c>
      <c r="Q64" s="52">
        <f ca="1">VLOOKUP($M64,'calculation¦real dollars'!$A$14:$I$113,COLUMN(Q63)-10,FALSE)/1000</f>
        <v>0</v>
      </c>
      <c r="R64" s="52">
        <f ca="1">VLOOKUP($M64,'calculation¦real dollars'!$A$14:$I$113,COLUMN(R63)-10,FALSE)/1000</f>
        <v>0</v>
      </c>
      <c r="S64" s="52">
        <f ca="1">VLOOKUP($M64,'calculation¦real dollars'!$A$14:$I$113,COLUMN(S63)-10,FALSE)/1000</f>
        <v>0</v>
      </c>
      <c r="T64" s="52">
        <f t="shared" ca="1" si="13"/>
        <v>1.5344999999999998</v>
      </c>
      <c r="U64" s="46"/>
      <c r="V64" s="46"/>
      <c r="W64" s="46"/>
      <c r="X64" s="46"/>
      <c r="Y64" s="46"/>
    </row>
    <row r="65" spans="1:25" ht="17.25" thickBot="1" x14ac:dyDescent="0.35">
      <c r="A65" s="46"/>
      <c r="B65" s="267" t="s">
        <v>578</v>
      </c>
      <c r="C65" s="266">
        <f>Q17</f>
        <v>0.42572883701583769</v>
      </c>
      <c r="D65" s="266">
        <f t="shared" ref="D65:G65" si="16">R17</f>
        <v>0.53185254711253926</v>
      </c>
      <c r="E65" s="266">
        <f t="shared" si="16"/>
        <v>0.42572883701583769</v>
      </c>
      <c r="F65" s="266">
        <f t="shared" si="16"/>
        <v>0.53185254711253926</v>
      </c>
      <c r="G65" s="266">
        <f t="shared" si="16"/>
        <v>0.42572883701583769</v>
      </c>
      <c r="H65" s="266">
        <f>SUM(C65:G65)</f>
        <v>2.3408916052725917</v>
      </c>
      <c r="I65" s="46"/>
      <c r="J65" s="46"/>
      <c r="K65" s="46">
        <f t="shared" ca="1" si="14"/>
        <v>22</v>
      </c>
      <c r="L65" s="46">
        <f>+IF('inputs¦Engineering'!AG49="AA-03",ROW('inputs¦Engineering'!AG49),"delete")</f>
        <v>49</v>
      </c>
      <c r="M65" s="50" t="str">
        <f t="shared" ca="1" si="12"/>
        <v>RBP METRO (ORIGINAL) ILI - DN200</v>
      </c>
      <c r="N65" s="52">
        <f ca="1">VLOOKUP($M65,'calculation¦real dollars'!$A$14:$I$113,COLUMN(N64)-10,FALSE)/1000</f>
        <v>0</v>
      </c>
      <c r="O65" s="52">
        <f ca="1">VLOOKUP($M65,'calculation¦real dollars'!$A$14:$I$113,COLUMN(O64)-10,FALSE)/1000</f>
        <v>6.137999999999999E-2</v>
      </c>
      <c r="P65" s="52">
        <f ca="1">VLOOKUP($M65,'calculation¦real dollars'!$A$14:$I$113,COLUMN(P64)-10,FALSE)/1000</f>
        <v>0</v>
      </c>
      <c r="Q65" s="52">
        <f ca="1">VLOOKUP($M65,'calculation¦real dollars'!$A$14:$I$113,COLUMN(Q64)-10,FALSE)/1000</f>
        <v>0</v>
      </c>
      <c r="R65" s="52">
        <f ca="1">VLOOKUP($M65,'calculation¦real dollars'!$A$14:$I$113,COLUMN(R64)-10,FALSE)/1000</f>
        <v>0</v>
      </c>
      <c r="S65" s="52">
        <f ca="1">VLOOKUP($M65,'calculation¦real dollars'!$A$14:$I$113,COLUMN(S64)-10,FALSE)/1000</f>
        <v>0</v>
      </c>
      <c r="T65" s="52">
        <f t="shared" ca="1" si="13"/>
        <v>6.137999999999999E-2</v>
      </c>
      <c r="U65" s="46"/>
      <c r="V65" s="46"/>
      <c r="W65" s="46"/>
      <c r="X65" s="46"/>
      <c r="Y65" s="46"/>
    </row>
    <row r="66" spans="1:25" ht="17.25" thickBot="1" x14ac:dyDescent="0.35">
      <c r="A66" s="46"/>
      <c r="B66" s="46"/>
      <c r="C66" s="46"/>
      <c r="D66" s="46"/>
      <c r="E66" s="46"/>
      <c r="F66" s="46"/>
      <c r="G66" s="46"/>
      <c r="H66" s="46"/>
      <c r="I66" s="46"/>
      <c r="J66" s="46"/>
      <c r="K66" s="46">
        <f t="shared" ca="1" si="14"/>
        <v>11</v>
      </c>
      <c r="L66" s="46">
        <f>+IF('inputs¦Engineering'!AG50="AA-03",ROW('inputs¦Engineering'!AG50),"delete")</f>
        <v>50</v>
      </c>
      <c r="M66" s="50" t="str">
        <f t="shared" ca="1" si="12"/>
        <v>RBP METRO ILI - DN300</v>
      </c>
      <c r="N66" s="52">
        <f ca="1">VLOOKUP($M66,'calculation¦real dollars'!$A$14:$I$113,COLUMN(N65)-10,FALSE)/1000</f>
        <v>0.22505999999999998</v>
      </c>
      <c r="O66" s="52">
        <f ca="1">VLOOKUP($M66,'calculation¦real dollars'!$A$14:$I$113,COLUMN(O65)-10,FALSE)/1000</f>
        <v>0</v>
      </c>
      <c r="P66" s="52">
        <f ca="1">VLOOKUP($M66,'calculation¦real dollars'!$A$14:$I$113,COLUMN(P65)-10,FALSE)/1000</f>
        <v>0</v>
      </c>
      <c r="Q66" s="52">
        <f ca="1">VLOOKUP($M66,'calculation¦real dollars'!$A$14:$I$113,COLUMN(Q65)-10,FALSE)/1000</f>
        <v>0</v>
      </c>
      <c r="R66" s="52">
        <f ca="1">VLOOKUP($M66,'calculation¦real dollars'!$A$14:$I$113,COLUMN(R65)-10,FALSE)/1000</f>
        <v>0</v>
      </c>
      <c r="S66" s="52">
        <f ca="1">VLOOKUP($M66,'calculation¦real dollars'!$A$14:$I$113,COLUMN(S65)-10,FALSE)/1000</f>
        <v>0.22505999999999998</v>
      </c>
      <c r="T66" s="52">
        <f t="shared" ca="1" si="13"/>
        <v>0.45011999999999996</v>
      </c>
      <c r="U66" s="46"/>
      <c r="V66" s="46"/>
      <c r="W66" s="46"/>
      <c r="X66" s="46"/>
      <c r="Y66" s="46"/>
    </row>
    <row r="67" spans="1:25" ht="17.25" thickBot="1" x14ac:dyDescent="0.35">
      <c r="A67" s="46"/>
      <c r="B67" s="46" t="s">
        <v>657</v>
      </c>
      <c r="C67" s="46"/>
      <c r="D67" s="46"/>
      <c r="E67" s="46"/>
      <c r="F67" s="46"/>
      <c r="G67" s="46"/>
      <c r="H67" s="46"/>
      <c r="I67" s="46"/>
      <c r="J67" s="46"/>
      <c r="K67" s="46">
        <f t="shared" ca="1" si="14"/>
        <v>16</v>
      </c>
      <c r="L67" s="46">
        <f>+IF('inputs¦Engineering'!AG51="AA-03",ROW('inputs¦Engineering'!AG51),"delete")</f>
        <v>51</v>
      </c>
      <c r="M67" s="50" t="str">
        <f t="shared" ca="1" si="12"/>
        <v xml:space="preserve">RBP METRO LOOP ILI - DN400 </v>
      </c>
      <c r="N67" s="52">
        <f ca="1">VLOOKUP($M67,'calculation¦real dollars'!$A$14:$I$113,COLUMN(N66)-10,FALSE)/1000</f>
        <v>0</v>
      </c>
      <c r="O67" s="52">
        <f ca="1">VLOOKUP($M67,'calculation¦real dollars'!$A$14:$I$113,COLUMN(O66)-10,FALSE)/1000</f>
        <v>0</v>
      </c>
      <c r="P67" s="52">
        <f ca="1">VLOOKUP($M67,'calculation¦real dollars'!$A$14:$I$113,COLUMN(P66)-10,FALSE)/1000</f>
        <v>0.12275999999999998</v>
      </c>
      <c r="Q67" s="52">
        <f ca="1">VLOOKUP($M67,'calculation¦real dollars'!$A$14:$I$113,COLUMN(Q66)-10,FALSE)/1000</f>
        <v>0</v>
      </c>
      <c r="R67" s="52">
        <f ca="1">VLOOKUP($M67,'calculation¦real dollars'!$A$14:$I$113,COLUMN(R66)-10,FALSE)/1000</f>
        <v>0</v>
      </c>
      <c r="S67" s="52">
        <f ca="1">VLOOKUP($M67,'calculation¦real dollars'!$A$14:$I$113,COLUMN(S66)-10,FALSE)/1000</f>
        <v>0</v>
      </c>
      <c r="T67" s="52">
        <f t="shared" ca="1" si="13"/>
        <v>0.12275999999999998</v>
      </c>
      <c r="U67" s="46"/>
      <c r="V67" s="46"/>
      <c r="W67" s="46"/>
      <c r="X67" s="46"/>
      <c r="Y67" s="46"/>
    </row>
    <row r="68" spans="1:25" ht="17.25" thickBot="1" x14ac:dyDescent="0.35">
      <c r="A68" s="46"/>
      <c r="B68" s="46"/>
      <c r="C68" s="46"/>
      <c r="D68" s="46"/>
      <c r="E68" s="46"/>
      <c r="F68" s="46"/>
      <c r="G68" s="46"/>
      <c r="H68" s="46"/>
      <c r="I68" s="46"/>
      <c r="J68" s="46"/>
      <c r="K68" s="46">
        <f t="shared" ca="1" si="14"/>
        <v>14</v>
      </c>
      <c r="L68" s="46">
        <f>+IF('inputs¦Engineering'!AG55="AA-03",ROW('inputs¦Engineering'!AG55),"delete")</f>
        <v>55</v>
      </c>
      <c r="M68" s="50" t="str">
        <f t="shared" ca="1" si="12"/>
        <v>RBP SCC EMAT ILI - DN300</v>
      </c>
      <c r="N68" s="52">
        <f ca="1">VLOOKUP($M68,'calculation¦real dollars'!$A$14:$I$113,COLUMN(N67)-10,FALSE)/1000</f>
        <v>0</v>
      </c>
      <c r="O68" s="52">
        <f ca="1">VLOOKUP($M68,'calculation¦real dollars'!$A$14:$I$113,COLUMN(O67)-10,FALSE)/1000</f>
        <v>0</v>
      </c>
      <c r="P68" s="52">
        <f ca="1">VLOOKUP($M68,'calculation¦real dollars'!$A$14:$I$113,COLUMN(P67)-10,FALSE)/1000</f>
        <v>0</v>
      </c>
      <c r="Q68" s="52">
        <f ca="1">VLOOKUP($M68,'calculation¦real dollars'!$A$14:$I$113,COLUMN(Q67)-10,FALSE)/1000</f>
        <v>0</v>
      </c>
      <c r="R68" s="52">
        <f ca="1">VLOOKUP($M68,'calculation¦real dollars'!$A$14:$I$113,COLUMN(R67)-10,FALSE)/1000</f>
        <v>0</v>
      </c>
      <c r="S68" s="52">
        <f ca="1">VLOOKUP($M68,'calculation¦real dollars'!$A$14:$I$113,COLUMN(S67)-10,FALSE)/1000</f>
        <v>0.92069999999999996</v>
      </c>
      <c r="T68" s="52">
        <f t="shared" ca="1" si="13"/>
        <v>0.92069999999999996</v>
      </c>
      <c r="U68" s="46"/>
      <c r="V68" s="46"/>
      <c r="W68" s="46"/>
      <c r="X68" s="46"/>
      <c r="Y68" s="46"/>
    </row>
    <row r="69" spans="1:25" ht="17.25" thickBot="1" x14ac:dyDescent="0.35">
      <c r="A69" s="46"/>
      <c r="B69" s="53"/>
      <c r="C69" s="53" t="str">
        <f>C15</f>
        <v>2017/18</v>
      </c>
      <c r="D69" s="53" t="str">
        <f t="shared" ref="D69:G69" si="17">D15</f>
        <v>2018/19</v>
      </c>
      <c r="E69" s="53" t="str">
        <f t="shared" si="17"/>
        <v>2019/20</v>
      </c>
      <c r="F69" s="53" t="str">
        <f t="shared" si="17"/>
        <v>2020/21</v>
      </c>
      <c r="G69" s="53" t="str">
        <f t="shared" si="17"/>
        <v>2021/22</v>
      </c>
      <c r="H69" s="46"/>
      <c r="I69" s="46"/>
      <c r="J69" s="46"/>
      <c r="K69" s="46">
        <f t="shared" ca="1" si="14"/>
        <v>16</v>
      </c>
      <c r="L69" s="46">
        <f>+IF('inputs¦Engineering'!AG56="AA-03",ROW('inputs¦Engineering'!AG56),"delete")</f>
        <v>56</v>
      </c>
      <c r="M69" s="50" t="str">
        <f t="shared" ca="1" si="12"/>
        <v xml:space="preserve">RBP SCCMP EMAT ILI - DN250 </v>
      </c>
      <c r="N69" s="52">
        <f ca="1">VLOOKUP($M69,'calculation¦real dollars'!$A$14:$I$113,COLUMN(N68)-10,FALSE)/1000</f>
        <v>0</v>
      </c>
      <c r="O69" s="52">
        <f ca="1">VLOOKUP($M69,'calculation¦real dollars'!$A$14:$I$113,COLUMN(O68)-10,FALSE)/1000</f>
        <v>1.8413999999999999</v>
      </c>
      <c r="P69" s="52">
        <f ca="1">VLOOKUP($M69,'calculation¦real dollars'!$A$14:$I$113,COLUMN(P68)-10,FALSE)/1000</f>
        <v>1.2275999999999998</v>
      </c>
      <c r="Q69" s="52">
        <f ca="1">VLOOKUP($M69,'calculation¦real dollars'!$A$14:$I$113,COLUMN(Q68)-10,FALSE)/1000</f>
        <v>0</v>
      </c>
      <c r="R69" s="52">
        <f ca="1">VLOOKUP($M69,'calculation¦real dollars'!$A$14:$I$113,COLUMN(R68)-10,FALSE)/1000</f>
        <v>0</v>
      </c>
      <c r="S69" s="52">
        <f ca="1">VLOOKUP($M69,'calculation¦real dollars'!$A$14:$I$113,COLUMN(S68)-10,FALSE)/1000</f>
        <v>0</v>
      </c>
      <c r="T69" s="52">
        <f t="shared" ca="1" si="13"/>
        <v>3.069</v>
      </c>
      <c r="U69" s="46"/>
      <c r="V69" s="46"/>
      <c r="W69" s="46"/>
      <c r="X69" s="46"/>
      <c r="Y69" s="46"/>
    </row>
    <row r="70" spans="1:25" ht="17.25" thickBot="1" x14ac:dyDescent="0.35">
      <c r="A70" s="46"/>
      <c r="B70" s="50" t="s">
        <v>94</v>
      </c>
      <c r="C70" s="52">
        <f>Outputs│RIN!H50/1000000</f>
        <v>0</v>
      </c>
      <c r="D70" s="52">
        <f>Outputs│RIN!I50/1000000</f>
        <v>0</v>
      </c>
      <c r="E70" s="52">
        <f>Outputs│RIN!J50/1000000</f>
        <v>0</v>
      </c>
      <c r="F70" s="52">
        <f>Outputs│RIN!K50/1000000</f>
        <v>0</v>
      </c>
      <c r="G70" s="52">
        <f>Outputs│RIN!L50/1000000</f>
        <v>0</v>
      </c>
      <c r="H70" s="46"/>
      <c r="I70" s="46"/>
      <c r="J70" s="46"/>
      <c r="K70" s="46">
        <f t="shared" ca="1" si="14"/>
        <v>0</v>
      </c>
      <c r="L70" s="46">
        <f>+IF('inputs¦Engineering'!AG57="AA-03",ROW('inputs¦Engineering'!AG57),"delete")</f>
        <v>57</v>
      </c>
      <c r="M70" s="50" t="str">
        <f t="shared" ca="1" si="12"/>
        <v>RBP SCRAPER TRAP MODIFICATIONS</v>
      </c>
      <c r="N70" s="52">
        <f ca="1">VLOOKUP($M70,'calculation¦real dollars'!$A$14:$I$113,COLUMN(N69)-10,FALSE)/1000</f>
        <v>0</v>
      </c>
      <c r="O70" s="52">
        <f ca="1">VLOOKUP($M70,'calculation¦real dollars'!$A$14:$I$113,COLUMN(O69)-10,FALSE)/1000</f>
        <v>0.20459999999999998</v>
      </c>
      <c r="P70" s="52">
        <f ca="1">VLOOKUP($M70,'calculation¦real dollars'!$A$14:$I$113,COLUMN(P69)-10,FALSE)/1000</f>
        <v>0.20459999999999998</v>
      </c>
      <c r="Q70" s="52">
        <f ca="1">VLOOKUP($M70,'calculation¦real dollars'!$A$14:$I$113,COLUMN(Q69)-10,FALSE)/1000</f>
        <v>0</v>
      </c>
      <c r="R70" s="52">
        <f ca="1">VLOOKUP($M70,'calculation¦real dollars'!$A$14:$I$113,COLUMN(R69)-10,FALSE)/1000</f>
        <v>0</v>
      </c>
      <c r="S70" s="52">
        <f ca="1">VLOOKUP($M70,'calculation¦real dollars'!$A$14:$I$113,COLUMN(S69)-10,FALSE)/1000</f>
        <v>0</v>
      </c>
      <c r="T70" s="52">
        <f t="shared" ca="1" si="13"/>
        <v>0.40919999999999995</v>
      </c>
      <c r="U70" s="46"/>
      <c r="V70" s="46"/>
      <c r="W70" s="46"/>
      <c r="X70" s="46"/>
      <c r="Y70" s="46"/>
    </row>
    <row r="71" spans="1:25" ht="17.25" thickBot="1" x14ac:dyDescent="0.35">
      <c r="A71" s="46"/>
      <c r="B71" s="50" t="s">
        <v>119</v>
      </c>
      <c r="C71" s="52">
        <f>Outputs│RIN!H92/1000000</f>
        <v>25.357196115203561</v>
      </c>
      <c r="D71" s="52">
        <f>Outputs│RIN!I92/1000000</f>
        <v>15.331089843147147</v>
      </c>
      <c r="E71" s="52">
        <f>Outputs│RIN!J92/1000000</f>
        <v>6.3728969825095412</v>
      </c>
      <c r="F71" s="52">
        <f>Outputs│RIN!K92/1000000</f>
        <v>7.7314492483495387</v>
      </c>
      <c r="G71" s="52">
        <f>Outputs│RIN!L92/1000000</f>
        <v>9.2243616794695384</v>
      </c>
      <c r="H71" s="46"/>
      <c r="I71" s="46"/>
      <c r="J71" s="46"/>
      <c r="K71" s="46"/>
      <c r="L71" s="46"/>
      <c r="M71" s="105" t="s">
        <v>62</v>
      </c>
      <c r="N71" s="104">
        <f t="shared" ref="N71:T71" ca="1" si="18">SUM(N55:N70)</f>
        <v>6.2546219999999995</v>
      </c>
      <c r="O71" s="104">
        <f t="shared" ca="1" si="18"/>
        <v>8.6954999999999991</v>
      </c>
      <c r="P71" s="104">
        <f t="shared" ca="1" si="18"/>
        <v>10.248413999999997</v>
      </c>
      <c r="Q71" s="104">
        <f t="shared" ca="1" si="18"/>
        <v>5.4556590000000007</v>
      </c>
      <c r="R71" s="104">
        <f t="shared" ca="1" si="18"/>
        <v>6.811134</v>
      </c>
      <c r="S71" s="104">
        <f t="shared" ca="1" si="18"/>
        <v>6.3773819999999999</v>
      </c>
      <c r="T71" s="104">
        <f t="shared" ca="1" si="18"/>
        <v>43.842710999999994</v>
      </c>
      <c r="U71" s="46"/>
      <c r="V71" s="46"/>
      <c r="W71" s="46"/>
      <c r="X71" s="46"/>
      <c r="Y71" s="46"/>
    </row>
    <row r="72" spans="1:25" ht="17.25" thickBot="1" x14ac:dyDescent="0.35">
      <c r="A72" s="46"/>
      <c r="B72" s="50" t="s">
        <v>658</v>
      </c>
      <c r="C72" s="52">
        <f>Outputs│RIN!H133/1000000</f>
        <v>0.56455345778187171</v>
      </c>
      <c r="D72" s="52">
        <f>Outputs│RIN!I133/1000000</f>
        <v>0.57812742070121725</v>
      </c>
      <c r="E72" s="52">
        <f>Outputs│RIN!J133/1000000</f>
        <v>0.47200371060451568</v>
      </c>
      <c r="F72" s="52">
        <f>Outputs│RIN!K133/1000000</f>
        <v>0.57812742070121725</v>
      </c>
      <c r="G72" s="52">
        <f>Outputs│RIN!L133/1000000</f>
        <v>0.42572883701583769</v>
      </c>
      <c r="H72" s="46"/>
      <c r="I72" s="46"/>
      <c r="J72" s="46"/>
      <c r="K72" s="46"/>
      <c r="L72" s="46"/>
      <c r="M72" s="46"/>
      <c r="N72" s="46"/>
      <c r="O72" s="46"/>
      <c r="P72" s="46"/>
      <c r="Q72" s="46"/>
      <c r="R72" s="46"/>
      <c r="S72" s="46"/>
      <c r="T72" s="46"/>
      <c r="U72" s="46"/>
      <c r="V72" s="46"/>
      <c r="W72" s="46"/>
      <c r="X72" s="46"/>
      <c r="Y72" s="46"/>
    </row>
    <row r="73" spans="1:25" ht="17.25" thickBot="1" x14ac:dyDescent="0.35">
      <c r="A73" s="46"/>
      <c r="B73" s="267" t="s">
        <v>62</v>
      </c>
      <c r="C73" s="266">
        <f>C19</f>
        <v>25.92174957298543</v>
      </c>
      <c r="D73" s="266">
        <f t="shared" ref="D73:G73" si="19">D19</f>
        <v>15.909217263848364</v>
      </c>
      <c r="E73" s="266">
        <f t="shared" si="19"/>
        <v>6.8449006931140568</v>
      </c>
      <c r="F73" s="266">
        <f t="shared" si="19"/>
        <v>8.309576669050756</v>
      </c>
      <c r="G73" s="266">
        <f t="shared" si="19"/>
        <v>9.6500905164853776</v>
      </c>
      <c r="H73" s="46"/>
      <c r="I73" s="46"/>
      <c r="J73" s="46"/>
      <c r="K73" s="46"/>
      <c r="L73" s="46"/>
      <c r="M73" s="13" t="s">
        <v>540</v>
      </c>
      <c r="N73" s="101"/>
      <c r="O73" s="101"/>
      <c r="P73" s="101"/>
      <c r="Q73" s="101"/>
      <c r="R73" s="101"/>
      <c r="S73" s="101"/>
      <c r="T73" s="101"/>
      <c r="U73" s="46"/>
      <c r="V73" s="46"/>
      <c r="W73" s="46"/>
      <c r="X73" s="46"/>
      <c r="Y73" s="46"/>
    </row>
    <row r="74" spans="1:25" ht="17.25" thickBot="1"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row>
    <row r="75" spans="1:25" ht="17.25" thickBot="1" x14ac:dyDescent="0.35">
      <c r="A75" s="46"/>
      <c r="B75" s="46"/>
      <c r="C75" s="46"/>
      <c r="D75" s="46"/>
      <c r="E75" s="46"/>
      <c r="F75" s="46"/>
      <c r="G75" s="46"/>
      <c r="H75" s="46"/>
      <c r="I75" s="46"/>
      <c r="J75" s="46"/>
      <c r="K75" s="46"/>
      <c r="L75" s="46"/>
      <c r="M75" s="51"/>
      <c r="N75" s="53" t="str">
        <f t="shared" ref="N75:T75" si="20">N54</f>
        <v>2016/17</v>
      </c>
      <c r="O75" s="53" t="str">
        <f t="shared" si="20"/>
        <v>2017/18</v>
      </c>
      <c r="P75" s="53" t="str">
        <f t="shared" si="20"/>
        <v>2018/19</v>
      </c>
      <c r="Q75" s="53" t="str">
        <f t="shared" si="20"/>
        <v>2019/20</v>
      </c>
      <c r="R75" s="53" t="str">
        <f t="shared" si="20"/>
        <v>2020/21</v>
      </c>
      <c r="S75" s="53" t="str">
        <f t="shared" si="20"/>
        <v>2021/22</v>
      </c>
      <c r="T75" s="53" t="str">
        <f t="shared" si="20"/>
        <v>Total</v>
      </c>
      <c r="U75" s="53" t="s">
        <v>534</v>
      </c>
      <c r="V75" s="46"/>
      <c r="W75" s="46"/>
      <c r="X75" s="46"/>
      <c r="Y75" s="46"/>
    </row>
    <row r="76" spans="1:25" ht="17.25" thickBot="1" x14ac:dyDescent="0.35">
      <c r="A76" s="46"/>
      <c r="B76" s="46"/>
      <c r="C76" s="46"/>
      <c r="D76" s="46"/>
      <c r="E76" s="46"/>
      <c r="F76" s="46"/>
      <c r="G76" s="46"/>
      <c r="H76" s="46"/>
      <c r="I76" s="46"/>
      <c r="J76" s="46"/>
      <c r="K76" s="46"/>
      <c r="L76" s="46"/>
      <c r="M76" s="102" t="s">
        <v>532</v>
      </c>
      <c r="N76" s="103">
        <f ca="1">SUMIF($K$55:$K$70,"&gt;0",N$55:N$70)</f>
        <v>0.23017499999999999</v>
      </c>
      <c r="O76" s="103">
        <f t="shared" ref="O76:T76" ca="1" si="21">SUMIF($K$55:$K$70,"&gt;0",O$55:O$70)</f>
        <v>2.0459999999999998</v>
      </c>
      <c r="P76" s="103">
        <f t="shared" ca="1" si="21"/>
        <v>2.8950899999999997</v>
      </c>
      <c r="Q76" s="103">
        <f t="shared" ca="1" si="21"/>
        <v>0.33758999999999995</v>
      </c>
      <c r="R76" s="103">
        <f t="shared" ca="1" si="21"/>
        <v>1.8413999999999999</v>
      </c>
      <c r="S76" s="103">
        <f t="shared" ca="1" si="21"/>
        <v>1.1457599999999999</v>
      </c>
      <c r="T76" s="103">
        <f t="shared" ca="1" si="21"/>
        <v>8.4960149999999999</v>
      </c>
      <c r="U76" s="103">
        <f ca="1">AVERAGE(N76:S76)</f>
        <v>1.4160025000000001</v>
      </c>
      <c r="V76" s="46"/>
      <c r="W76" s="46"/>
      <c r="X76" s="46"/>
      <c r="Y76" s="46"/>
    </row>
    <row r="77" spans="1:25" ht="17.25" thickBot="1" x14ac:dyDescent="0.35">
      <c r="A77" s="46"/>
      <c r="B77" s="46"/>
      <c r="C77" s="46"/>
      <c r="D77" s="46"/>
      <c r="E77" s="46"/>
      <c r="F77" s="46"/>
      <c r="G77" s="46"/>
      <c r="H77" s="46"/>
      <c r="I77" s="46"/>
      <c r="J77" s="46"/>
      <c r="K77" s="46"/>
      <c r="L77" s="46"/>
      <c r="M77" s="102" t="s">
        <v>533</v>
      </c>
      <c r="N77" s="103">
        <f t="shared" ref="N77:T77" ca="1" si="22">N55+N60+N61</f>
        <v>1.0117469999999997</v>
      </c>
      <c r="O77" s="103">
        <f t="shared" ca="1" si="22"/>
        <v>1.0301609999999999</v>
      </c>
      <c r="P77" s="103">
        <f t="shared" ca="1" si="22"/>
        <v>1.0414139999999998</v>
      </c>
      <c r="Q77" s="103">
        <f t="shared" ca="1" si="22"/>
        <v>1.046529</v>
      </c>
      <c r="R77" s="103">
        <f t="shared" ca="1" si="22"/>
        <v>1.051644</v>
      </c>
      <c r="S77" s="103">
        <f t="shared" ca="1" si="22"/>
        <v>0.90330899999999992</v>
      </c>
      <c r="T77" s="103">
        <f t="shared" ca="1" si="22"/>
        <v>6.0848040000000001</v>
      </c>
      <c r="U77" s="103">
        <f ca="1">AVERAGE(N77:S77)</f>
        <v>1.0141339999999996</v>
      </c>
      <c r="V77" s="46"/>
      <c r="W77" s="46"/>
      <c r="X77" s="46"/>
      <c r="Y77" s="46"/>
    </row>
    <row r="78" spans="1:25" ht="17.25" thickBot="1" x14ac:dyDescent="0.35">
      <c r="A78" s="46"/>
      <c r="B78" s="46"/>
      <c r="C78" s="46"/>
      <c r="D78" s="46"/>
      <c r="E78" s="46"/>
      <c r="F78" s="46"/>
      <c r="G78" s="46"/>
      <c r="H78" s="46"/>
      <c r="I78" s="46"/>
      <c r="J78" s="46"/>
      <c r="K78" s="46"/>
      <c r="L78" s="46"/>
      <c r="M78" s="102" t="str">
        <f t="shared" ref="M78:T78" ca="1" si="23">M56</f>
        <v>DN250 INTEGRITY UPGRADE PROGRAM</v>
      </c>
      <c r="N78" s="103">
        <f t="shared" ca="1" si="23"/>
        <v>5.0126999999999988</v>
      </c>
      <c r="O78" s="103">
        <f t="shared" ca="1" si="23"/>
        <v>5.414739</v>
      </c>
      <c r="P78" s="103">
        <f t="shared" ca="1" si="23"/>
        <v>6.1073099999999991</v>
      </c>
      <c r="Q78" s="103">
        <f t="shared" ca="1" si="23"/>
        <v>4.0715399999999997</v>
      </c>
      <c r="R78" s="103">
        <f t="shared" ca="1" si="23"/>
        <v>3.7646399999999995</v>
      </c>
      <c r="S78" s="103">
        <f t="shared" ca="1" si="23"/>
        <v>4.3283129999999996</v>
      </c>
      <c r="T78" s="103">
        <f t="shared" ca="1" si="23"/>
        <v>28.699241999999998</v>
      </c>
      <c r="U78" s="103">
        <f ca="1">AVERAGE(N78:S78)</f>
        <v>4.783207</v>
      </c>
      <c r="V78" s="46"/>
      <c r="W78" s="46"/>
      <c r="X78" s="46"/>
      <c r="Y78" s="46"/>
    </row>
    <row r="79" spans="1:25" s="71" customFormat="1" ht="17.25" thickBot="1" x14ac:dyDescent="0.35">
      <c r="A79" s="46"/>
      <c r="B79" s="46"/>
      <c r="C79" s="46"/>
      <c r="D79" s="46"/>
      <c r="E79" s="46"/>
      <c r="F79" s="46"/>
      <c r="G79" s="46"/>
      <c r="H79" s="46"/>
      <c r="I79" s="46"/>
      <c r="J79" s="46"/>
      <c r="K79" s="46"/>
      <c r="L79" s="46"/>
      <c r="M79" s="102" t="s">
        <v>155</v>
      </c>
      <c r="N79" s="103">
        <f ca="1">N57+N70</f>
        <v>0</v>
      </c>
      <c r="O79" s="103">
        <f ca="1">O57+O70</f>
        <v>0.20459999999999998</v>
      </c>
      <c r="P79" s="103">
        <f t="shared" ref="P79:T79" ca="1" si="24">P57+P70</f>
        <v>0.20459999999999998</v>
      </c>
      <c r="Q79" s="103">
        <f t="shared" ca="1" si="24"/>
        <v>0</v>
      </c>
      <c r="R79" s="103">
        <f t="shared" ca="1" si="24"/>
        <v>0.15344999999999998</v>
      </c>
      <c r="S79" s="103">
        <f t="shared" ca="1" si="24"/>
        <v>0</v>
      </c>
      <c r="T79" s="103">
        <f t="shared" ca="1" si="24"/>
        <v>0.56264999999999987</v>
      </c>
      <c r="U79" s="103">
        <f ca="1">AVERAGE(N79:S79)</f>
        <v>9.3774999999999983E-2</v>
      </c>
      <c r="V79" s="46"/>
      <c r="W79" s="46"/>
      <c r="X79" s="46"/>
      <c r="Y79" s="46"/>
    </row>
    <row r="80" spans="1:25" ht="17.25" thickBot="1" x14ac:dyDescent="0.35">
      <c r="A80" s="46"/>
      <c r="B80" s="46"/>
      <c r="C80" s="46"/>
      <c r="D80" s="46"/>
      <c r="E80" s="46"/>
      <c r="F80" s="46"/>
      <c r="G80" s="46"/>
      <c r="H80" s="46"/>
      <c r="I80" s="46"/>
      <c r="J80" s="46"/>
      <c r="K80" s="46"/>
      <c r="L80" s="46"/>
      <c r="M80" s="106" t="s">
        <v>62</v>
      </c>
      <c r="N80" s="107">
        <f t="shared" ref="N80:T80" ca="1" si="25">SUM(N76:N79)</f>
        <v>6.2546219999999986</v>
      </c>
      <c r="O80" s="107">
        <f t="shared" ca="1" si="25"/>
        <v>8.6954999999999991</v>
      </c>
      <c r="P80" s="107">
        <f t="shared" ca="1" si="25"/>
        <v>10.248413999999997</v>
      </c>
      <c r="Q80" s="107">
        <f t="shared" ca="1" si="25"/>
        <v>5.4556589999999998</v>
      </c>
      <c r="R80" s="107">
        <f t="shared" ca="1" si="25"/>
        <v>6.811134</v>
      </c>
      <c r="S80" s="107">
        <f t="shared" ca="1" si="25"/>
        <v>6.377381999999999</v>
      </c>
      <c r="T80" s="107">
        <f t="shared" ca="1" si="25"/>
        <v>43.842710999999994</v>
      </c>
      <c r="U80" s="107">
        <f ca="1">AVERAGE(N80:S80)</f>
        <v>7.3071184999999987</v>
      </c>
      <c r="V80" s="46"/>
      <c r="W80" s="46"/>
      <c r="X80" s="46"/>
      <c r="Y80" s="46"/>
    </row>
    <row r="81" spans="1:25" ht="17.25" thickBot="1"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ht="17.25" thickBot="1" x14ac:dyDescent="0.35">
      <c r="A82" s="46"/>
      <c r="B82" s="46"/>
      <c r="C82" s="46"/>
      <c r="D82" s="46"/>
      <c r="E82" s="46"/>
      <c r="F82" s="46"/>
      <c r="G82" s="46"/>
      <c r="H82" s="46"/>
      <c r="I82" s="46"/>
      <c r="J82" s="46"/>
      <c r="K82" s="46"/>
      <c r="L82" s="46"/>
      <c r="M82" s="51" t="s">
        <v>535</v>
      </c>
      <c r="N82" s="51"/>
      <c r="O82" s="51"/>
      <c r="P82" s="51"/>
      <c r="Q82" s="51"/>
      <c r="R82" s="51"/>
      <c r="S82" s="51"/>
      <c r="T82" s="51"/>
      <c r="U82" s="46"/>
      <c r="V82" s="46"/>
      <c r="W82" s="46"/>
      <c r="X82" s="46"/>
      <c r="Y82" s="46"/>
    </row>
    <row r="83" spans="1:25" ht="17.25" thickBot="1" x14ac:dyDescent="0.35">
      <c r="A83" s="46"/>
      <c r="B83" s="46"/>
      <c r="C83" s="46"/>
      <c r="D83" s="46"/>
      <c r="E83" s="46"/>
      <c r="F83" s="46"/>
      <c r="G83" s="46"/>
      <c r="H83" s="46"/>
      <c r="I83" s="46"/>
      <c r="J83" s="46"/>
      <c r="K83" s="46"/>
      <c r="L83" s="46"/>
      <c r="M83" s="50" t="s">
        <v>536</v>
      </c>
      <c r="N83" s="52">
        <f ca="1">N58+N64+N65+N66+N68+N69</f>
        <v>0.22505999999999998</v>
      </c>
      <c r="O83" s="52">
        <f ca="1">O58+O64+O65+O66+O68+O69</f>
        <v>1.9027799999999999</v>
      </c>
      <c r="P83" s="52">
        <f t="shared" ref="P83:T83" ca="1" si="26">P58+P64+P65+P66+P68+P69</f>
        <v>2.7620999999999993</v>
      </c>
      <c r="Q83" s="52">
        <f t="shared" ca="1" si="26"/>
        <v>0.14321999999999996</v>
      </c>
      <c r="R83" s="52">
        <f t="shared" ca="1" si="26"/>
        <v>0</v>
      </c>
      <c r="S83" s="52">
        <f t="shared" ca="1" si="26"/>
        <v>1.1457599999999999</v>
      </c>
      <c r="T83" s="52">
        <f t="shared" ca="1" si="26"/>
        <v>6.1789199999999997</v>
      </c>
      <c r="U83" s="46"/>
      <c r="V83" s="46"/>
      <c r="W83" s="46"/>
      <c r="X83" s="46"/>
      <c r="Y83" s="46"/>
    </row>
    <row r="84" spans="1:25" ht="17.25" thickBot="1" x14ac:dyDescent="0.35">
      <c r="B84" s="71"/>
      <c r="D84" s="71"/>
      <c r="E84" s="71"/>
      <c r="F84" s="71"/>
      <c r="G84" s="71"/>
      <c r="H84" s="71"/>
      <c r="K84" s="46"/>
      <c r="L84" s="46"/>
      <c r="M84" s="50" t="s">
        <v>537</v>
      </c>
      <c r="N84" s="52">
        <f ca="1">N59+N62+N67</f>
        <v>0</v>
      </c>
      <c r="O84" s="52">
        <f ca="1">O59+O62+O67</f>
        <v>0</v>
      </c>
      <c r="P84" s="52">
        <f t="shared" ref="P84:T84" ca="1" si="27">P59+P62+P67</f>
        <v>0.13298999999999997</v>
      </c>
      <c r="Q84" s="52">
        <f t="shared" ca="1" si="27"/>
        <v>0.19436999999999999</v>
      </c>
      <c r="R84" s="52">
        <f t="shared" ca="1" si="27"/>
        <v>1.8413999999999999</v>
      </c>
      <c r="S84" s="52">
        <f t="shared" ca="1" si="27"/>
        <v>0</v>
      </c>
      <c r="T84" s="52">
        <f t="shared" ca="1" si="27"/>
        <v>2.1687599999999998</v>
      </c>
      <c r="U84" s="46"/>
      <c r="V84" s="46"/>
      <c r="W84" s="46"/>
      <c r="X84" s="46"/>
      <c r="Y84" s="46"/>
    </row>
    <row r="85" spans="1:25" s="71" customFormat="1" ht="17.25" thickBot="1" x14ac:dyDescent="0.35">
      <c r="B85"/>
      <c r="D85"/>
      <c r="E85"/>
      <c r="F85"/>
      <c r="G85"/>
      <c r="H85"/>
      <c r="K85" s="46"/>
      <c r="L85" s="46"/>
      <c r="M85" s="50" t="s">
        <v>538</v>
      </c>
      <c r="N85" s="52">
        <f ca="1">N63</f>
        <v>5.1149999999999998E-3</v>
      </c>
      <c r="O85" s="52">
        <f ca="1">O63</f>
        <v>0.14321999999999996</v>
      </c>
      <c r="P85" s="52">
        <f t="shared" ref="P85:T85" ca="1" si="28">P63</f>
        <v>0</v>
      </c>
      <c r="Q85" s="52">
        <f t="shared" ca="1" si="28"/>
        <v>0</v>
      </c>
      <c r="R85" s="52">
        <f t="shared" ca="1" si="28"/>
        <v>0</v>
      </c>
      <c r="S85" s="52">
        <f t="shared" ca="1" si="28"/>
        <v>0</v>
      </c>
      <c r="T85" s="52">
        <f t="shared" ca="1" si="28"/>
        <v>0.14833499999999997</v>
      </c>
      <c r="U85" s="46"/>
      <c r="V85" s="46"/>
      <c r="W85" s="46"/>
      <c r="X85" s="46"/>
      <c r="Y85" s="46"/>
    </row>
    <row r="86" spans="1:25" ht="17.25" thickBot="1" x14ac:dyDescent="0.35">
      <c r="K86" s="46"/>
      <c r="L86" s="46"/>
      <c r="M86" s="50" t="s">
        <v>155</v>
      </c>
      <c r="N86" s="52">
        <f ca="1">N70</f>
        <v>0</v>
      </c>
      <c r="O86" s="52">
        <f t="shared" ref="O86:T86" ca="1" si="29">O70</f>
        <v>0.20459999999999998</v>
      </c>
      <c r="P86" s="52">
        <f t="shared" ca="1" si="29"/>
        <v>0.20459999999999998</v>
      </c>
      <c r="Q86" s="52">
        <f t="shared" ca="1" si="29"/>
        <v>0</v>
      </c>
      <c r="R86" s="52">
        <f t="shared" ca="1" si="29"/>
        <v>0</v>
      </c>
      <c r="S86" s="52">
        <f t="shared" ca="1" si="29"/>
        <v>0</v>
      </c>
      <c r="T86" s="52">
        <f t="shared" ca="1" si="29"/>
        <v>0.40919999999999995</v>
      </c>
      <c r="U86" s="46"/>
      <c r="V86" s="46"/>
      <c r="W86" s="46"/>
      <c r="X86" s="46"/>
      <c r="Y86" s="46"/>
    </row>
    <row r="87" spans="1:25" ht="17.25" thickBot="1" x14ac:dyDescent="0.35">
      <c r="K87" s="46"/>
      <c r="L87" s="46"/>
      <c r="M87" s="105" t="s">
        <v>539</v>
      </c>
      <c r="N87" s="104">
        <f t="shared" ref="N87:T87" ca="1" si="30">SUM(N83:N86)</f>
        <v>0.23017499999999999</v>
      </c>
      <c r="O87" s="104">
        <f t="shared" ca="1" si="30"/>
        <v>2.2505999999999999</v>
      </c>
      <c r="P87" s="104">
        <f t="shared" ca="1" si="30"/>
        <v>3.0996899999999994</v>
      </c>
      <c r="Q87" s="104">
        <f t="shared" ca="1" si="30"/>
        <v>0.33758999999999995</v>
      </c>
      <c r="R87" s="104">
        <f t="shared" ca="1" si="30"/>
        <v>1.8413999999999999</v>
      </c>
      <c r="S87" s="104">
        <f t="shared" ca="1" si="30"/>
        <v>1.1457599999999999</v>
      </c>
      <c r="T87" s="104">
        <f t="shared" ca="1" si="30"/>
        <v>8.9052150000000001</v>
      </c>
      <c r="U87" s="46"/>
      <c r="V87" s="46"/>
      <c r="W87" s="46"/>
      <c r="X87" s="46"/>
      <c r="Y87" s="46"/>
    </row>
    <row r="88" spans="1:25" x14ac:dyDescent="0.3">
      <c r="K88" s="46"/>
      <c r="L88" s="46"/>
      <c r="M88" s="46"/>
      <c r="N88" s="46"/>
      <c r="O88" s="46"/>
      <c r="P88" s="46"/>
      <c r="Q88" s="46"/>
      <c r="R88" s="46"/>
      <c r="S88" s="46"/>
      <c r="T88" s="46"/>
      <c r="U88" s="46"/>
      <c r="V88" s="46"/>
      <c r="W88" s="46"/>
      <c r="X88" s="46"/>
      <c r="Y88" s="46"/>
    </row>
    <row r="89" spans="1:25" ht="17.25" thickBot="1" x14ac:dyDescent="0.35">
      <c r="K89" s="46"/>
      <c r="L89" s="46"/>
      <c r="M89" s="13" t="s">
        <v>543</v>
      </c>
      <c r="N89" s="46"/>
      <c r="O89" s="46"/>
      <c r="P89" s="46"/>
      <c r="Q89" s="46"/>
      <c r="R89" s="46"/>
      <c r="S89" s="46"/>
      <c r="T89" s="46"/>
      <c r="U89" s="46"/>
      <c r="V89" s="46"/>
      <c r="W89" s="46"/>
      <c r="X89" s="46"/>
      <c r="Y89" s="46"/>
    </row>
    <row r="90" spans="1:25" ht="17.25" thickBot="1" x14ac:dyDescent="0.35">
      <c r="K90" s="46"/>
      <c r="L90" s="46"/>
      <c r="M90" s="51" t="s">
        <v>92</v>
      </c>
      <c r="N90" s="51" t="s">
        <v>225</v>
      </c>
      <c r="O90" s="51" t="s">
        <v>183</v>
      </c>
      <c r="P90" s="51" t="s">
        <v>184</v>
      </c>
      <c r="Q90" s="51" t="s">
        <v>185</v>
      </c>
      <c r="R90" s="51" t="s">
        <v>186</v>
      </c>
      <c r="S90" s="51" t="s">
        <v>187</v>
      </c>
      <c r="T90" s="51" t="s">
        <v>62</v>
      </c>
      <c r="U90" s="46"/>
      <c r="V90" s="46"/>
      <c r="W90" s="46"/>
      <c r="X90" s="46"/>
      <c r="Y90" s="46"/>
    </row>
    <row r="91" spans="1:25" ht="17.25" thickBot="1" x14ac:dyDescent="0.35">
      <c r="K91" s="46"/>
      <c r="L91" s="46"/>
      <c r="M91" s="50" t="str">
        <f t="shared" ref="M91:M107" ca="1" si="31">M55</f>
        <v>ANODE BED EASEMENTS PROGRAM</v>
      </c>
      <c r="N91" s="52">
        <f ca="1">VLOOKUP($M91,'calculation¦RBP capex'!$A$14:$I$113,COLUMN(N90)-10,FALSE)/1000</f>
        <v>0.21</v>
      </c>
      <c r="O91" s="52">
        <f ca="1">VLOOKUP($M91,'calculation¦RBP capex'!$A$14:$I$113,COLUMN(O90)-10,FALSE)/1000</f>
        <v>0.215</v>
      </c>
      <c r="P91" s="52">
        <f ca="1">VLOOKUP($M91,'calculation¦RBP capex'!$A$14:$I$113,COLUMN(P90)-10,FALSE)/1000</f>
        <v>0.22</v>
      </c>
      <c r="Q91" s="52">
        <f ca="1">VLOOKUP($M91,'calculation¦RBP capex'!$A$14:$I$113,COLUMN(Q90)-10,FALSE)/1000</f>
        <v>0.22500000000000001</v>
      </c>
      <c r="R91" s="52">
        <f ca="1">VLOOKUP($M91,'calculation¦RBP capex'!$A$14:$I$113,COLUMN(R90)-10,FALSE)/1000</f>
        <v>0.23</v>
      </c>
      <c r="S91" s="52">
        <f ca="1">VLOOKUP($M91,'calculation¦RBP capex'!$A$14:$I$113,COLUMN(S90)-10,FALSE)/1000</f>
        <v>0.23499999999999999</v>
      </c>
      <c r="T91" s="52">
        <f t="shared" ref="T91:T107" ca="1" si="32">SUM(N91:S91)</f>
        <v>1.335</v>
      </c>
      <c r="U91" s="46"/>
      <c r="V91" s="46"/>
      <c r="W91" s="46"/>
      <c r="X91" s="46"/>
      <c r="Y91" s="46"/>
    </row>
    <row r="92" spans="1:25" ht="17.25" thickBot="1" x14ac:dyDescent="0.35">
      <c r="K92" s="46"/>
      <c r="L92" s="46"/>
      <c r="M92" s="50" t="str">
        <f t="shared" ca="1" si="31"/>
        <v>DN250 INTEGRITY UPGRADE PROGRAM</v>
      </c>
      <c r="N92" s="52">
        <f ca="1">VLOOKUP($M92,'calculation¦RBP capex'!$A$14:$I$113,COLUMN(N91)-10,FALSE)/1000</f>
        <v>4.9000000000000004</v>
      </c>
      <c r="O92" s="52">
        <f ca="1">VLOOKUP($M92,'calculation¦RBP capex'!$A$14:$I$113,COLUMN(O91)-10,FALSE)/1000</f>
        <v>5.2930000000000001</v>
      </c>
      <c r="P92" s="52">
        <f ca="1">VLOOKUP($M92,'calculation¦RBP capex'!$A$14:$I$113,COLUMN(P91)-10,FALSE)/1000</f>
        <v>5.97</v>
      </c>
      <c r="Q92" s="52">
        <f ca="1">VLOOKUP($M92,'calculation¦RBP capex'!$A$14:$I$113,COLUMN(Q91)-10,FALSE)/1000</f>
        <v>3.98</v>
      </c>
      <c r="R92" s="52">
        <f ca="1">VLOOKUP($M92,'calculation¦RBP capex'!$A$14:$I$113,COLUMN(R91)-10,FALSE)/1000</f>
        <v>3.68</v>
      </c>
      <c r="S92" s="52">
        <f ca="1">VLOOKUP($M92,'calculation¦RBP capex'!$A$14:$I$113,COLUMN(S91)-10,FALSE)/1000</f>
        <v>4.2309999999999999</v>
      </c>
      <c r="T92" s="52">
        <f t="shared" ca="1" si="32"/>
        <v>28.054000000000002</v>
      </c>
      <c r="U92" s="46"/>
      <c r="V92" s="46"/>
      <c r="W92" s="46"/>
      <c r="X92" s="46"/>
      <c r="Y92" s="46"/>
    </row>
    <row r="93" spans="1:25" ht="17.25" thickBot="1" x14ac:dyDescent="0.35">
      <c r="K93" s="46"/>
      <c r="L93" s="46"/>
      <c r="M93" s="50" t="str">
        <f t="shared" ca="1" si="31"/>
        <v>Laser Scanner for Feature Assessment</v>
      </c>
      <c r="N93" s="52">
        <f ca="1">VLOOKUP($M93,'calculation¦RBP capex'!$A$14:$I$113,COLUMN(N92)-10,FALSE)/1000</f>
        <v>0</v>
      </c>
      <c r="O93" s="52">
        <f ca="1">VLOOKUP($M93,'calculation¦RBP capex'!$A$14:$I$113,COLUMN(O92)-10,FALSE)/1000</f>
        <v>0</v>
      </c>
      <c r="P93" s="52">
        <f ca="1">VLOOKUP($M93,'calculation¦RBP capex'!$A$14:$I$113,COLUMN(P92)-10,FALSE)/1000</f>
        <v>0</v>
      </c>
      <c r="Q93" s="52">
        <f ca="1">VLOOKUP($M93,'calculation¦RBP capex'!$A$14:$I$113,COLUMN(Q92)-10,FALSE)/1000</f>
        <v>0</v>
      </c>
      <c r="R93" s="52">
        <f ca="1">VLOOKUP($M93,'calculation¦RBP capex'!$A$14:$I$113,COLUMN(R92)-10,FALSE)/1000</f>
        <v>0.15</v>
      </c>
      <c r="S93" s="52">
        <f ca="1">VLOOKUP($M93,'calculation¦RBP capex'!$A$14:$I$113,COLUMN(S92)-10,FALSE)/1000</f>
        <v>0</v>
      </c>
      <c r="T93" s="52">
        <f t="shared" ca="1" si="32"/>
        <v>0.15</v>
      </c>
      <c r="U93" s="46"/>
      <c r="V93" s="46"/>
      <c r="W93" s="46"/>
      <c r="X93" s="46"/>
      <c r="Y93" s="46"/>
    </row>
    <row r="94" spans="1:25" ht="17.25" thickBot="1" x14ac:dyDescent="0.35">
      <c r="K94" s="46"/>
      <c r="L94" s="46"/>
      <c r="M94" s="50" t="str">
        <f t="shared" ca="1" si="31"/>
        <v xml:space="preserve">PEAT LATERAL ILI - DN250 </v>
      </c>
      <c r="N94" s="52">
        <f ca="1">VLOOKUP($M94,'calculation¦RBP capex'!$A$14:$I$113,COLUMN(N93)-10,FALSE)/1000</f>
        <v>0</v>
      </c>
      <c r="O94" s="52">
        <f ca="1">VLOOKUP($M94,'calculation¦RBP capex'!$A$14:$I$113,COLUMN(O93)-10,FALSE)/1000</f>
        <v>0</v>
      </c>
      <c r="P94" s="52">
        <f ca="1">VLOOKUP($M94,'calculation¦RBP capex'!$A$14:$I$113,COLUMN(P93)-10,FALSE)/1000</f>
        <v>0</v>
      </c>
      <c r="Q94" s="52">
        <f ca="1">VLOOKUP($M94,'calculation¦RBP capex'!$A$14:$I$113,COLUMN(Q93)-10,FALSE)/1000</f>
        <v>0.14000000000000001</v>
      </c>
      <c r="R94" s="52">
        <f ca="1">VLOOKUP($M94,'calculation¦RBP capex'!$A$14:$I$113,COLUMN(R93)-10,FALSE)/1000</f>
        <v>0</v>
      </c>
      <c r="S94" s="52">
        <f ca="1">VLOOKUP($M94,'calculation¦RBP capex'!$A$14:$I$113,COLUMN(S93)-10,FALSE)/1000</f>
        <v>0</v>
      </c>
      <c r="T94" s="52">
        <f t="shared" ca="1" si="32"/>
        <v>0.14000000000000001</v>
      </c>
      <c r="U94" s="46"/>
      <c r="V94" s="46"/>
      <c r="W94" s="46"/>
      <c r="X94" s="46"/>
      <c r="Y94" s="46"/>
    </row>
    <row r="95" spans="1:25" ht="17.25" thickBot="1" x14ac:dyDescent="0.35">
      <c r="K95" s="46"/>
      <c r="L95" s="46"/>
      <c r="M95" s="50" t="str">
        <f t="shared" ca="1" si="31"/>
        <v>RBP CE Lateral ILI - DN400</v>
      </c>
      <c r="N95" s="52">
        <f ca="1">VLOOKUP($M95,'calculation¦RBP capex'!$A$14:$I$113,COLUMN(N94)-10,FALSE)/1000</f>
        <v>0</v>
      </c>
      <c r="O95" s="52">
        <f ca="1">VLOOKUP($M95,'calculation¦RBP capex'!$A$14:$I$113,COLUMN(O94)-10,FALSE)/1000</f>
        <v>0</v>
      </c>
      <c r="P95" s="52">
        <f ca="1">VLOOKUP($M95,'calculation¦RBP capex'!$A$14:$I$113,COLUMN(P94)-10,FALSE)/1000</f>
        <v>0.01</v>
      </c>
      <c r="Q95" s="52">
        <f ca="1">VLOOKUP($M95,'calculation¦RBP capex'!$A$14:$I$113,COLUMN(Q94)-10,FALSE)/1000</f>
        <v>0.19</v>
      </c>
      <c r="R95" s="52">
        <f ca="1">VLOOKUP($M95,'calculation¦RBP capex'!$A$14:$I$113,COLUMN(R94)-10,FALSE)/1000</f>
        <v>0</v>
      </c>
      <c r="S95" s="52">
        <f ca="1">VLOOKUP($M95,'calculation¦RBP capex'!$A$14:$I$113,COLUMN(S94)-10,FALSE)/1000</f>
        <v>0</v>
      </c>
      <c r="T95" s="52">
        <f t="shared" ca="1" si="32"/>
        <v>0.2</v>
      </c>
      <c r="U95" s="46"/>
      <c r="V95" s="46"/>
      <c r="W95" s="46"/>
      <c r="X95" s="46"/>
      <c r="Y95" s="46"/>
    </row>
    <row r="96" spans="1:25" ht="17.25" thickBot="1" x14ac:dyDescent="0.35">
      <c r="K96" s="46"/>
      <c r="L96" s="46"/>
      <c r="M96" s="50" t="str">
        <f t="shared" ca="1" si="31"/>
        <v>RBP CP TELEMETRY UPGRADE</v>
      </c>
      <c r="N96" s="52">
        <f ca="1">VLOOKUP($M96,'calculation¦RBP capex'!$A$14:$I$113,COLUMN(N95)-10,FALSE)/1000</f>
        <v>0.15</v>
      </c>
      <c r="O96" s="52">
        <f ca="1">VLOOKUP($M96,'calculation¦RBP capex'!$A$14:$I$113,COLUMN(O95)-10,FALSE)/1000</f>
        <v>0.15</v>
      </c>
      <c r="P96" s="52">
        <f ca="1">VLOOKUP($M96,'calculation¦RBP capex'!$A$14:$I$113,COLUMN(P95)-10,FALSE)/1000</f>
        <v>0.15</v>
      </c>
      <c r="Q96" s="52">
        <f ca="1">VLOOKUP($M96,'calculation¦RBP capex'!$A$14:$I$113,COLUMN(Q95)-10,FALSE)/1000</f>
        <v>0.15</v>
      </c>
      <c r="R96" s="52">
        <f ca="1">VLOOKUP($M96,'calculation¦RBP capex'!$A$14:$I$113,COLUMN(R95)-10,FALSE)/1000</f>
        <v>0.15</v>
      </c>
      <c r="S96" s="52">
        <f ca="1">VLOOKUP($M96,'calculation¦RBP capex'!$A$14:$I$113,COLUMN(S95)-10,FALSE)/1000</f>
        <v>0</v>
      </c>
      <c r="T96" s="52">
        <f t="shared" ca="1" si="32"/>
        <v>0.75</v>
      </c>
      <c r="U96" s="46"/>
      <c r="V96" s="46"/>
      <c r="W96" s="46"/>
      <c r="X96" s="46"/>
      <c r="Y96" s="46"/>
    </row>
    <row r="97" spans="2:25" ht="17.25" thickBot="1" x14ac:dyDescent="0.35">
      <c r="K97" s="46"/>
      <c r="L97" s="46"/>
      <c r="M97" s="50" t="str">
        <f t="shared" ca="1" si="31"/>
        <v>RBP CP UPGRADE PROGRAM</v>
      </c>
      <c r="N97" s="52">
        <f ca="1">VLOOKUP($M97,'calculation¦RBP capex'!$A$14:$I$113,COLUMN(N96)-10,FALSE)/1000</f>
        <v>0.629</v>
      </c>
      <c r="O97" s="52">
        <f ca="1">VLOOKUP($M97,'calculation¦RBP capex'!$A$14:$I$113,COLUMN(O96)-10,FALSE)/1000</f>
        <v>0.64200000000000002</v>
      </c>
      <c r="P97" s="52">
        <f ca="1">VLOOKUP($M97,'calculation¦RBP capex'!$A$14:$I$113,COLUMN(P96)-10,FALSE)/1000</f>
        <v>0.64800000000000002</v>
      </c>
      <c r="Q97" s="52">
        <f ca="1">VLOOKUP($M97,'calculation¦RBP capex'!$A$14:$I$113,COLUMN(Q96)-10,FALSE)/1000</f>
        <v>0.64800000000000002</v>
      </c>
      <c r="R97" s="52">
        <f ca="1">VLOOKUP($M97,'calculation¦RBP capex'!$A$14:$I$113,COLUMN(R96)-10,FALSE)/1000</f>
        <v>0.64800000000000002</v>
      </c>
      <c r="S97" s="52">
        <f ca="1">VLOOKUP($M97,'calculation¦RBP capex'!$A$14:$I$113,COLUMN(S96)-10,FALSE)/1000</f>
        <v>0.64800000000000002</v>
      </c>
      <c r="T97" s="52">
        <f t="shared" ca="1" si="32"/>
        <v>3.8630000000000004</v>
      </c>
      <c r="U97" s="46"/>
      <c r="V97" s="46"/>
      <c r="W97" s="46"/>
      <c r="X97" s="46"/>
      <c r="Y97" s="46"/>
    </row>
    <row r="98" spans="2:25" ht="17.25" thickBot="1" x14ac:dyDescent="0.35">
      <c r="K98" s="46"/>
      <c r="L98" s="46"/>
      <c r="M98" s="50" t="str">
        <f t="shared" ca="1" si="31"/>
        <v>RBP LOOPING ILI - DN400</v>
      </c>
      <c r="N98" s="52">
        <f ca="1">VLOOKUP($M98,'calculation¦RBP capex'!$A$14:$I$113,COLUMN(N97)-10,FALSE)/1000</f>
        <v>0</v>
      </c>
      <c r="O98" s="52">
        <f ca="1">VLOOKUP($M98,'calculation¦RBP capex'!$A$14:$I$113,COLUMN(O97)-10,FALSE)/1000</f>
        <v>0</v>
      </c>
      <c r="P98" s="52">
        <f ca="1">VLOOKUP($M98,'calculation¦RBP capex'!$A$14:$I$113,COLUMN(P97)-10,FALSE)/1000</f>
        <v>0</v>
      </c>
      <c r="Q98" s="52">
        <f ca="1">VLOOKUP($M98,'calculation¦RBP capex'!$A$14:$I$113,COLUMN(Q97)-10,FALSE)/1000</f>
        <v>0</v>
      </c>
      <c r="R98" s="52">
        <f ca="1">VLOOKUP($M98,'calculation¦RBP capex'!$A$14:$I$113,COLUMN(R97)-10,FALSE)/1000</f>
        <v>1.8</v>
      </c>
      <c r="S98" s="52">
        <f ca="1">VLOOKUP($M98,'calculation¦RBP capex'!$A$14:$I$113,COLUMN(S97)-10,FALSE)/1000</f>
        <v>0</v>
      </c>
      <c r="T98" s="52">
        <f t="shared" ca="1" si="32"/>
        <v>1.8</v>
      </c>
      <c r="U98" s="46"/>
      <c r="V98" s="46"/>
      <c r="W98" s="46"/>
      <c r="X98" s="46"/>
      <c r="Y98" s="46"/>
    </row>
    <row r="99" spans="2:25" ht="17.25" thickBot="1" x14ac:dyDescent="0.35">
      <c r="K99" s="46"/>
      <c r="L99" s="46"/>
      <c r="M99" s="50" t="str">
        <f t="shared" ca="1" si="31"/>
        <v xml:space="preserve">RBP LYTTON LATERAL ILI - DN200 </v>
      </c>
      <c r="N99" s="52">
        <f ca="1">VLOOKUP($M99,'calculation¦RBP capex'!$A$14:$I$113,COLUMN(N98)-10,FALSE)/1000</f>
        <v>5.0000000000000001E-3</v>
      </c>
      <c r="O99" s="52">
        <f ca="1">VLOOKUP($M99,'calculation¦RBP capex'!$A$14:$I$113,COLUMN(O98)-10,FALSE)/1000</f>
        <v>0.14000000000000001</v>
      </c>
      <c r="P99" s="52">
        <f ca="1">VLOOKUP($M99,'calculation¦RBP capex'!$A$14:$I$113,COLUMN(P98)-10,FALSE)/1000</f>
        <v>0</v>
      </c>
      <c r="Q99" s="52">
        <f ca="1">VLOOKUP($M99,'calculation¦RBP capex'!$A$14:$I$113,COLUMN(Q98)-10,FALSE)/1000</f>
        <v>0</v>
      </c>
      <c r="R99" s="52">
        <f ca="1">VLOOKUP($M99,'calculation¦RBP capex'!$A$14:$I$113,COLUMN(R98)-10,FALSE)/1000</f>
        <v>0</v>
      </c>
      <c r="S99" s="52">
        <f ca="1">VLOOKUP($M99,'calculation¦RBP capex'!$A$14:$I$113,COLUMN(S98)-10,FALSE)/1000</f>
        <v>0</v>
      </c>
      <c r="T99" s="52">
        <f t="shared" ca="1" si="32"/>
        <v>0.14500000000000002</v>
      </c>
      <c r="U99" s="46"/>
      <c r="V99" s="46"/>
      <c r="W99" s="46"/>
      <c r="X99" s="46"/>
      <c r="Y99" s="46"/>
    </row>
    <row r="100" spans="2:25" ht="17.25" thickBot="1" x14ac:dyDescent="0.35">
      <c r="K100" s="46"/>
      <c r="L100" s="46"/>
      <c r="M100" s="50" t="str">
        <f t="shared" ca="1" si="31"/>
        <v>RBP MAINLINE ILI PROGRAM - DN250</v>
      </c>
      <c r="N100" s="52">
        <f ca="1">VLOOKUP($M100,'calculation¦RBP capex'!$A$14:$I$113,COLUMN(N99)-10,FALSE)/1000</f>
        <v>0</v>
      </c>
      <c r="O100" s="52">
        <f ca="1">VLOOKUP($M100,'calculation¦RBP capex'!$A$14:$I$113,COLUMN(O99)-10,FALSE)/1000</f>
        <v>0</v>
      </c>
      <c r="P100" s="52">
        <f ca="1">VLOOKUP($M100,'calculation¦RBP capex'!$A$14:$I$113,COLUMN(P99)-10,FALSE)/1000</f>
        <v>1.5</v>
      </c>
      <c r="Q100" s="52">
        <f ca="1">VLOOKUP($M100,'calculation¦RBP capex'!$A$14:$I$113,COLUMN(Q99)-10,FALSE)/1000</f>
        <v>0</v>
      </c>
      <c r="R100" s="52">
        <f ca="1">VLOOKUP($M100,'calculation¦RBP capex'!$A$14:$I$113,COLUMN(R99)-10,FALSE)/1000</f>
        <v>0</v>
      </c>
      <c r="S100" s="52">
        <f ca="1">VLOOKUP($M100,'calculation¦RBP capex'!$A$14:$I$113,COLUMN(S99)-10,FALSE)/1000</f>
        <v>0</v>
      </c>
      <c r="T100" s="52">
        <f t="shared" ca="1" si="32"/>
        <v>1.5</v>
      </c>
      <c r="U100" s="46"/>
      <c r="V100" s="46"/>
      <c r="W100" s="46"/>
      <c r="X100" s="46"/>
      <c r="Y100" s="46"/>
    </row>
    <row r="101" spans="2:25" ht="17.25" thickBot="1" x14ac:dyDescent="0.35">
      <c r="K101" s="46"/>
      <c r="L101" s="46"/>
      <c r="M101" s="50" t="str">
        <f t="shared" ca="1" si="31"/>
        <v>RBP METRO (ORIGINAL) ILI - DN200</v>
      </c>
      <c r="N101" s="52">
        <f ca="1">VLOOKUP($M101,'calculation¦RBP capex'!$A$14:$I$113,COLUMN(N100)-10,FALSE)/1000</f>
        <v>0</v>
      </c>
      <c r="O101" s="52">
        <f ca="1">VLOOKUP($M101,'calculation¦RBP capex'!$A$14:$I$113,COLUMN(O100)-10,FALSE)/1000</f>
        <v>0.06</v>
      </c>
      <c r="P101" s="52">
        <f ca="1">VLOOKUP($M101,'calculation¦RBP capex'!$A$14:$I$113,COLUMN(P100)-10,FALSE)/1000</f>
        <v>0</v>
      </c>
      <c r="Q101" s="52">
        <f ca="1">VLOOKUP($M101,'calculation¦RBP capex'!$A$14:$I$113,COLUMN(Q100)-10,FALSE)/1000</f>
        <v>0</v>
      </c>
      <c r="R101" s="52">
        <f ca="1">VLOOKUP($M101,'calculation¦RBP capex'!$A$14:$I$113,COLUMN(R100)-10,FALSE)/1000</f>
        <v>0</v>
      </c>
      <c r="S101" s="52">
        <f ca="1">VLOOKUP($M101,'calculation¦RBP capex'!$A$14:$I$113,COLUMN(S100)-10,FALSE)/1000</f>
        <v>0</v>
      </c>
      <c r="T101" s="52">
        <f t="shared" ca="1" si="32"/>
        <v>0.06</v>
      </c>
      <c r="U101" s="46"/>
      <c r="V101" s="46"/>
      <c r="W101" s="46"/>
      <c r="X101" s="46"/>
      <c r="Y101" s="46"/>
    </row>
    <row r="102" spans="2:25" ht="17.25" thickBot="1" x14ac:dyDescent="0.35">
      <c r="K102" s="46"/>
      <c r="L102" s="46"/>
      <c r="M102" s="50" t="str">
        <f t="shared" ca="1" si="31"/>
        <v>RBP METRO ILI - DN300</v>
      </c>
      <c r="N102" s="52">
        <f ca="1">VLOOKUP($M102,'calculation¦RBP capex'!$A$14:$I$113,COLUMN(N101)-10,FALSE)/1000</f>
        <v>0.22</v>
      </c>
      <c r="O102" s="52">
        <f ca="1">VLOOKUP($M102,'calculation¦RBP capex'!$A$14:$I$113,COLUMN(O101)-10,FALSE)/1000</f>
        <v>0</v>
      </c>
      <c r="P102" s="52">
        <f ca="1">VLOOKUP($M102,'calculation¦RBP capex'!$A$14:$I$113,COLUMN(P101)-10,FALSE)/1000</f>
        <v>0</v>
      </c>
      <c r="Q102" s="52">
        <f ca="1">VLOOKUP($M102,'calculation¦RBP capex'!$A$14:$I$113,COLUMN(Q101)-10,FALSE)/1000</f>
        <v>0</v>
      </c>
      <c r="R102" s="52">
        <f ca="1">VLOOKUP($M102,'calculation¦RBP capex'!$A$14:$I$113,COLUMN(R101)-10,FALSE)/1000</f>
        <v>0</v>
      </c>
      <c r="S102" s="52">
        <f ca="1">VLOOKUP($M102,'calculation¦RBP capex'!$A$14:$I$113,COLUMN(S101)-10,FALSE)/1000</f>
        <v>0.22</v>
      </c>
      <c r="T102" s="52">
        <f t="shared" ca="1" si="32"/>
        <v>0.44</v>
      </c>
      <c r="U102" s="46"/>
      <c r="V102" s="46"/>
      <c r="W102" s="46"/>
      <c r="X102" s="46"/>
      <c r="Y102" s="46"/>
    </row>
    <row r="103" spans="2:25" ht="17.25" thickBot="1" x14ac:dyDescent="0.35">
      <c r="M103" s="50" t="str">
        <f t="shared" ca="1" si="31"/>
        <v xml:space="preserve">RBP METRO LOOP ILI - DN400 </v>
      </c>
      <c r="N103" s="52">
        <f ca="1">VLOOKUP($M103,'calculation¦RBP capex'!$A$14:$I$113,COLUMN(N102)-10,FALSE)/1000</f>
        <v>0</v>
      </c>
      <c r="O103" s="52">
        <f ca="1">VLOOKUP($M103,'calculation¦RBP capex'!$A$14:$I$113,COLUMN(O102)-10,FALSE)/1000</f>
        <v>0</v>
      </c>
      <c r="P103" s="52">
        <f ca="1">VLOOKUP($M103,'calculation¦RBP capex'!$A$14:$I$113,COLUMN(P102)-10,FALSE)/1000</f>
        <v>0.12</v>
      </c>
      <c r="Q103" s="52">
        <f ca="1">VLOOKUP($M103,'calculation¦RBP capex'!$A$14:$I$113,COLUMN(Q102)-10,FALSE)/1000</f>
        <v>0</v>
      </c>
      <c r="R103" s="52">
        <f ca="1">VLOOKUP($M103,'calculation¦RBP capex'!$A$14:$I$113,COLUMN(R102)-10,FALSE)/1000</f>
        <v>0</v>
      </c>
      <c r="S103" s="52">
        <f ca="1">VLOOKUP($M103,'calculation¦RBP capex'!$A$14:$I$113,COLUMN(S102)-10,FALSE)/1000</f>
        <v>0</v>
      </c>
      <c r="T103" s="52">
        <f t="shared" ca="1" si="32"/>
        <v>0.12</v>
      </c>
    </row>
    <row r="104" spans="2:25" ht="17.25" thickBot="1" x14ac:dyDescent="0.35">
      <c r="M104" s="50" t="str">
        <f t="shared" ca="1" si="31"/>
        <v>RBP SCC EMAT ILI - DN300</v>
      </c>
      <c r="N104" s="52">
        <f ca="1">VLOOKUP($M104,'calculation¦RBP capex'!$A$14:$I$113,COLUMN(N103)-10,FALSE)/1000</f>
        <v>0</v>
      </c>
      <c r="O104" s="52">
        <f ca="1">VLOOKUP($M104,'calculation¦RBP capex'!$A$14:$I$113,COLUMN(O103)-10,FALSE)/1000</f>
        <v>0</v>
      </c>
      <c r="P104" s="52">
        <f ca="1">VLOOKUP($M104,'calculation¦RBP capex'!$A$14:$I$113,COLUMN(P103)-10,FALSE)/1000</f>
        <v>0</v>
      </c>
      <c r="Q104" s="52">
        <f ca="1">VLOOKUP($M104,'calculation¦RBP capex'!$A$14:$I$113,COLUMN(Q103)-10,FALSE)/1000</f>
        <v>0</v>
      </c>
      <c r="R104" s="52">
        <f ca="1">VLOOKUP($M104,'calculation¦RBP capex'!$A$14:$I$113,COLUMN(R103)-10,FALSE)/1000</f>
        <v>0</v>
      </c>
      <c r="S104" s="52">
        <f ca="1">VLOOKUP($M104,'calculation¦RBP capex'!$A$14:$I$113,COLUMN(S103)-10,FALSE)/1000</f>
        <v>0.9</v>
      </c>
      <c r="T104" s="52">
        <f t="shared" ca="1" si="32"/>
        <v>0.9</v>
      </c>
    </row>
    <row r="105" spans="2:25" ht="17.25" thickBot="1" x14ac:dyDescent="0.35">
      <c r="M105" s="50" t="str">
        <f t="shared" ca="1" si="31"/>
        <v xml:space="preserve">RBP SCCMP EMAT ILI - DN250 </v>
      </c>
      <c r="N105" s="52">
        <f ca="1">VLOOKUP($M105,'calculation¦RBP capex'!$A$14:$I$113,COLUMN(N104)-10,FALSE)/1000</f>
        <v>0</v>
      </c>
      <c r="O105" s="52">
        <f ca="1">VLOOKUP($M105,'calculation¦RBP capex'!$A$14:$I$113,COLUMN(O104)-10,FALSE)/1000</f>
        <v>1.8</v>
      </c>
      <c r="P105" s="52">
        <f ca="1">VLOOKUP($M105,'calculation¦RBP capex'!$A$14:$I$113,COLUMN(P104)-10,FALSE)/1000</f>
        <v>1.2</v>
      </c>
      <c r="Q105" s="52">
        <f ca="1">VLOOKUP($M105,'calculation¦RBP capex'!$A$14:$I$113,COLUMN(Q104)-10,FALSE)/1000</f>
        <v>0</v>
      </c>
      <c r="R105" s="52">
        <f ca="1">VLOOKUP($M105,'calculation¦RBP capex'!$A$14:$I$113,COLUMN(R104)-10,FALSE)/1000</f>
        <v>0</v>
      </c>
      <c r="S105" s="52">
        <f ca="1">VLOOKUP($M105,'calculation¦RBP capex'!$A$14:$I$113,COLUMN(S104)-10,FALSE)/1000</f>
        <v>0</v>
      </c>
      <c r="T105" s="52">
        <f t="shared" ca="1" si="32"/>
        <v>3</v>
      </c>
    </row>
    <row r="106" spans="2:25" ht="17.25" thickBot="1" x14ac:dyDescent="0.35">
      <c r="B106" s="71"/>
      <c r="D106" s="71"/>
      <c r="E106" s="71"/>
      <c r="F106" s="71"/>
      <c r="G106" s="71"/>
      <c r="H106" s="71"/>
      <c r="M106" s="50" t="str">
        <f t="shared" ca="1" si="31"/>
        <v>RBP SCRAPER TRAP MODIFICATIONS</v>
      </c>
      <c r="N106" s="52">
        <f ca="1">VLOOKUP($M106,'calculation¦RBP capex'!$A$14:$I$113,COLUMN(N105)-10,FALSE)/1000</f>
        <v>0</v>
      </c>
      <c r="O106" s="52">
        <f ca="1">VLOOKUP($M106,'calculation¦RBP capex'!$A$14:$I$113,COLUMN(O105)-10,FALSE)/1000</f>
        <v>0.2</v>
      </c>
      <c r="P106" s="52">
        <f ca="1">VLOOKUP($M106,'calculation¦RBP capex'!$A$14:$I$113,COLUMN(P105)-10,FALSE)/1000</f>
        <v>0.2</v>
      </c>
      <c r="Q106" s="52">
        <f ca="1">VLOOKUP($M106,'calculation¦RBP capex'!$A$14:$I$113,COLUMN(Q105)-10,FALSE)/1000</f>
        <v>0</v>
      </c>
      <c r="R106" s="52">
        <f ca="1">VLOOKUP($M106,'calculation¦RBP capex'!$A$14:$I$113,COLUMN(R105)-10,FALSE)/1000</f>
        <v>0</v>
      </c>
      <c r="S106" s="52">
        <f ca="1">VLOOKUP($M106,'calculation¦RBP capex'!$A$14:$I$113,COLUMN(S105)-10,FALSE)/1000</f>
        <v>0</v>
      </c>
      <c r="T106" s="52">
        <f t="shared" ca="1" si="32"/>
        <v>0.4</v>
      </c>
    </row>
    <row r="107" spans="2:25" s="71" customFormat="1" ht="17.25" thickBot="1" x14ac:dyDescent="0.35">
      <c r="M107" s="50" t="str">
        <f t="shared" si="31"/>
        <v>Total</v>
      </c>
      <c r="N107" s="104">
        <f ca="1">SUM(N91:N106)</f>
        <v>6.1140000000000008</v>
      </c>
      <c r="O107" s="104">
        <f t="shared" ref="O107:S107" ca="1" si="33">SUM(O91:O106)</f>
        <v>8.5</v>
      </c>
      <c r="P107" s="104">
        <f t="shared" ca="1" si="33"/>
        <v>10.017999999999997</v>
      </c>
      <c r="Q107" s="104">
        <f t="shared" ca="1" si="33"/>
        <v>5.3330000000000002</v>
      </c>
      <c r="R107" s="104">
        <f t="shared" ca="1" si="33"/>
        <v>6.6580000000000004</v>
      </c>
      <c r="S107" s="104">
        <f t="shared" ca="1" si="33"/>
        <v>6.234</v>
      </c>
      <c r="T107" s="104">
        <f t="shared" ca="1" si="32"/>
        <v>42.856999999999999</v>
      </c>
    </row>
    <row r="108" spans="2:25" s="71" customFormat="1" x14ac:dyDescent="0.3"/>
    <row r="109" spans="2:25" s="71" customFormat="1" x14ac:dyDescent="0.3">
      <c r="B109"/>
      <c r="D109"/>
      <c r="E109"/>
      <c r="F109"/>
      <c r="G109"/>
      <c r="H109"/>
      <c r="M109" s="13" t="s">
        <v>554</v>
      </c>
    </row>
    <row r="110" spans="2:25" ht="17.25" thickBot="1" x14ac:dyDescent="0.35">
      <c r="J110" s="71"/>
      <c r="K110" s="71"/>
      <c r="L110" s="71"/>
      <c r="M110" s="71"/>
      <c r="N110" s="71"/>
      <c r="O110" s="71"/>
      <c r="P110" s="71"/>
      <c r="Q110" s="71"/>
      <c r="R110" s="71"/>
      <c r="S110" s="71"/>
      <c r="T110" s="71"/>
    </row>
    <row r="111" spans="2:25" ht="17.25" thickBot="1" x14ac:dyDescent="0.35">
      <c r="M111" s="51" t="s">
        <v>145</v>
      </c>
      <c r="N111" s="53" t="s">
        <v>231</v>
      </c>
      <c r="O111" s="53" t="s">
        <v>230</v>
      </c>
      <c r="P111" s="53" t="s">
        <v>229</v>
      </c>
      <c r="Q111" s="53" t="s">
        <v>228</v>
      </c>
      <c r="R111" s="53" t="s">
        <v>227</v>
      </c>
      <c r="S111" s="53" t="s">
        <v>493</v>
      </c>
      <c r="T111" s="53" t="s">
        <v>62</v>
      </c>
    </row>
    <row r="112" spans="2:25" ht="17.25" thickBot="1" x14ac:dyDescent="0.35">
      <c r="M112" s="50" t="s">
        <v>546</v>
      </c>
      <c r="N112" s="52">
        <v>225000</v>
      </c>
      <c r="O112" s="52">
        <v>2000000</v>
      </c>
      <c r="P112" s="52">
        <v>2830000</v>
      </c>
      <c r="Q112" s="52">
        <v>330000</v>
      </c>
      <c r="R112" s="52">
        <v>1800000</v>
      </c>
      <c r="S112" s="52">
        <v>1120000</v>
      </c>
      <c r="T112" s="52">
        <f t="shared" ref="T112:T118" si="34">SUM(N112:S112)</f>
        <v>8305000</v>
      </c>
    </row>
    <row r="113" spans="13:20" ht="33.75" thickBot="1" x14ac:dyDescent="0.35">
      <c r="M113" s="50" t="s">
        <v>547</v>
      </c>
      <c r="N113" s="52">
        <v>4913000</v>
      </c>
      <c r="O113" s="52">
        <v>5293000</v>
      </c>
      <c r="P113" s="52">
        <v>5971000</v>
      </c>
      <c r="Q113" s="52">
        <v>3983000</v>
      </c>
      <c r="R113" s="52">
        <v>3677000</v>
      </c>
      <c r="S113" s="52">
        <v>4231000</v>
      </c>
      <c r="T113" s="52">
        <f t="shared" si="34"/>
        <v>28068000</v>
      </c>
    </row>
    <row r="114" spans="13:20" ht="17.25" thickBot="1" x14ac:dyDescent="0.35">
      <c r="M114" s="50" t="s">
        <v>148</v>
      </c>
      <c r="N114" s="52" t="s">
        <v>548</v>
      </c>
      <c r="O114" s="52" t="s">
        <v>548</v>
      </c>
      <c r="P114" s="52" t="s">
        <v>549</v>
      </c>
      <c r="Q114" s="52" t="s">
        <v>548</v>
      </c>
      <c r="R114" s="52">
        <v>150000</v>
      </c>
      <c r="S114" s="52" t="s">
        <v>548</v>
      </c>
      <c r="T114" s="52">
        <f t="shared" si="34"/>
        <v>150000</v>
      </c>
    </row>
    <row r="115" spans="13:20" ht="17.25" thickBot="1" x14ac:dyDescent="0.35">
      <c r="M115" s="50" t="s">
        <v>550</v>
      </c>
      <c r="N115" s="52">
        <v>210000</v>
      </c>
      <c r="O115" s="52">
        <v>215000</v>
      </c>
      <c r="P115" s="52">
        <v>220000</v>
      </c>
      <c r="Q115" s="52">
        <v>225000</v>
      </c>
      <c r="R115" s="52">
        <v>230000</v>
      </c>
      <c r="S115" s="52">
        <v>235000</v>
      </c>
      <c r="T115" s="52">
        <f t="shared" si="34"/>
        <v>1335000</v>
      </c>
    </row>
    <row r="116" spans="13:20" ht="17.25" thickBot="1" x14ac:dyDescent="0.35">
      <c r="M116" s="50" t="s">
        <v>551</v>
      </c>
      <c r="N116" s="52">
        <v>629000</v>
      </c>
      <c r="O116" s="52">
        <v>642000</v>
      </c>
      <c r="P116" s="52">
        <v>648000</v>
      </c>
      <c r="Q116" s="52">
        <v>648000</v>
      </c>
      <c r="R116" s="52">
        <v>648000</v>
      </c>
      <c r="S116" s="52">
        <v>648000</v>
      </c>
      <c r="T116" s="52">
        <f t="shared" si="34"/>
        <v>3863000</v>
      </c>
    </row>
    <row r="117" spans="13:20" ht="17.25" thickBot="1" x14ac:dyDescent="0.35">
      <c r="M117" s="50" t="s">
        <v>552</v>
      </c>
      <c r="N117" s="52">
        <v>150000</v>
      </c>
      <c r="O117" s="52">
        <v>150000</v>
      </c>
      <c r="P117" s="52">
        <v>150000</v>
      </c>
      <c r="Q117" s="52">
        <v>150000</v>
      </c>
      <c r="R117" s="52">
        <v>150000</v>
      </c>
      <c r="S117" s="52" t="s">
        <v>548</v>
      </c>
      <c r="T117" s="52">
        <f t="shared" si="34"/>
        <v>750000</v>
      </c>
    </row>
    <row r="118" spans="13:20" ht="17.25" thickBot="1" x14ac:dyDescent="0.35">
      <c r="M118" s="105" t="s">
        <v>544</v>
      </c>
      <c r="N118" s="104">
        <v>6127000</v>
      </c>
      <c r="O118" s="104">
        <v>8300000</v>
      </c>
      <c r="P118" s="104">
        <v>9819000</v>
      </c>
      <c r="Q118" s="104">
        <v>5336000</v>
      </c>
      <c r="R118" s="104">
        <v>6655000</v>
      </c>
      <c r="S118" s="104">
        <v>6234000</v>
      </c>
      <c r="T118" s="104">
        <f t="shared" si="34"/>
        <v>42471000</v>
      </c>
    </row>
    <row r="119" spans="13:20" ht="17.25" thickBot="1" x14ac:dyDescent="0.35"/>
    <row r="120" spans="13:20" ht="17.25" thickBot="1" x14ac:dyDescent="0.35">
      <c r="M120" s="51" t="str">
        <f>M111</f>
        <v>Business Case</v>
      </c>
      <c r="N120" s="51"/>
      <c r="O120" s="51"/>
      <c r="P120" s="51"/>
      <c r="Q120" s="51"/>
      <c r="R120" s="51"/>
      <c r="S120" s="51"/>
      <c r="T120" s="53" t="s">
        <v>62</v>
      </c>
    </row>
    <row r="121" spans="13:20" ht="17.25" thickBot="1" x14ac:dyDescent="0.35">
      <c r="M121" s="50" t="str">
        <f>M112</f>
        <v>Inline Inspection of Pipelines</v>
      </c>
      <c r="N121" s="52">
        <f>ROUND(N112/1000000,2)</f>
        <v>0.23</v>
      </c>
      <c r="O121" s="52">
        <f t="shared" ref="O121:R121" si="35">ROUND(O112/1000000,2)</f>
        <v>2</v>
      </c>
      <c r="P121" s="52">
        <f t="shared" si="35"/>
        <v>2.83</v>
      </c>
      <c r="Q121" s="52">
        <f t="shared" si="35"/>
        <v>0.33</v>
      </c>
      <c r="R121" s="52">
        <f t="shared" si="35"/>
        <v>1.8</v>
      </c>
      <c r="S121" s="52">
        <f>ROUND(S112/1000000,2)</f>
        <v>1.1200000000000001</v>
      </c>
      <c r="T121" s="52">
        <f t="shared" ref="T121:T127" si="36">SUM(N121:S121)</f>
        <v>8.31</v>
      </c>
    </row>
    <row r="122" spans="13:20" ht="33.75" thickBot="1" x14ac:dyDescent="0.35">
      <c r="M122" s="50" t="str">
        <f t="shared" ref="M122:M127" si="37">M113</f>
        <v>Coating Refurbishment and Life Extension</v>
      </c>
      <c r="N122" s="52">
        <f t="shared" ref="N122:R126" si="38">ROUND(N113/1000000,2)</f>
        <v>4.91</v>
      </c>
      <c r="O122" s="52">
        <f t="shared" si="38"/>
        <v>5.29</v>
      </c>
      <c r="P122" s="52">
        <f t="shared" si="38"/>
        <v>5.97</v>
      </c>
      <c r="Q122" s="52">
        <f t="shared" si="38"/>
        <v>3.98</v>
      </c>
      <c r="R122" s="52">
        <f t="shared" si="38"/>
        <v>3.68</v>
      </c>
      <c r="S122" s="52">
        <f t="shared" ref="S122" si="39">ROUND(S113/1000000,2)</f>
        <v>4.2300000000000004</v>
      </c>
      <c r="T122" s="52">
        <f t="shared" si="36"/>
        <v>28.06</v>
      </c>
    </row>
    <row r="123" spans="13:20" ht="17.25" thickBot="1" x14ac:dyDescent="0.35">
      <c r="M123" s="50" t="str">
        <f t="shared" si="37"/>
        <v>Laser Scanner for Feature Assessment</v>
      </c>
      <c r="N123" s="52">
        <v>0</v>
      </c>
      <c r="O123" s="52">
        <v>0</v>
      </c>
      <c r="P123" s="52">
        <v>0</v>
      </c>
      <c r="Q123" s="52">
        <v>0</v>
      </c>
      <c r="R123" s="52">
        <f t="shared" si="38"/>
        <v>0.15</v>
      </c>
      <c r="S123" s="52">
        <v>0</v>
      </c>
      <c r="T123" s="52">
        <f t="shared" si="36"/>
        <v>0.15</v>
      </c>
    </row>
    <row r="124" spans="13:20" ht="17.25" thickBot="1" x14ac:dyDescent="0.35">
      <c r="M124" s="50" t="str">
        <f t="shared" si="37"/>
        <v>Easement Acquisition for CP</v>
      </c>
      <c r="N124" s="52">
        <f t="shared" si="38"/>
        <v>0.21</v>
      </c>
      <c r="O124" s="52">
        <f t="shared" si="38"/>
        <v>0.22</v>
      </c>
      <c r="P124" s="52">
        <f t="shared" si="38"/>
        <v>0.22</v>
      </c>
      <c r="Q124" s="52">
        <f t="shared" si="38"/>
        <v>0.23</v>
      </c>
      <c r="R124" s="52">
        <f t="shared" si="38"/>
        <v>0.23</v>
      </c>
      <c r="S124" s="52">
        <f t="shared" ref="S124" si="40">ROUND(S115/1000000,2)</f>
        <v>0.24</v>
      </c>
      <c r="T124" s="52">
        <f t="shared" si="36"/>
        <v>1.35</v>
      </c>
    </row>
    <row r="125" spans="13:20" ht="17.25" thickBot="1" x14ac:dyDescent="0.35">
      <c r="M125" s="50" t="str">
        <f t="shared" si="37"/>
        <v>CP Upgrade Programme</v>
      </c>
      <c r="N125" s="52">
        <f t="shared" si="38"/>
        <v>0.63</v>
      </c>
      <c r="O125" s="52">
        <f t="shared" si="38"/>
        <v>0.64</v>
      </c>
      <c r="P125" s="52">
        <f t="shared" si="38"/>
        <v>0.65</v>
      </c>
      <c r="Q125" s="52">
        <f t="shared" si="38"/>
        <v>0.65</v>
      </c>
      <c r="R125" s="52">
        <f t="shared" si="38"/>
        <v>0.65</v>
      </c>
      <c r="S125" s="52">
        <f t="shared" ref="S125" si="41">ROUND(S116/1000000,2)</f>
        <v>0.65</v>
      </c>
      <c r="T125" s="52">
        <f t="shared" si="36"/>
        <v>3.8699999999999997</v>
      </c>
    </row>
    <row r="126" spans="13:20" ht="17.25" thickBot="1" x14ac:dyDescent="0.35">
      <c r="M126" s="50" t="str">
        <f t="shared" si="37"/>
        <v>CP Telemetry Installation</v>
      </c>
      <c r="N126" s="52">
        <f t="shared" si="38"/>
        <v>0.15</v>
      </c>
      <c r="O126" s="52">
        <f t="shared" si="38"/>
        <v>0.15</v>
      </c>
      <c r="P126" s="52">
        <f t="shared" si="38"/>
        <v>0.15</v>
      </c>
      <c r="Q126" s="52">
        <f t="shared" si="38"/>
        <v>0.15</v>
      </c>
      <c r="R126" s="52">
        <f t="shared" si="38"/>
        <v>0.15</v>
      </c>
      <c r="S126" s="52">
        <v>0</v>
      </c>
      <c r="T126" s="52">
        <f t="shared" si="36"/>
        <v>0.75</v>
      </c>
    </row>
    <row r="127" spans="13:20" ht="17.25" thickBot="1" x14ac:dyDescent="0.35">
      <c r="M127" s="105" t="str">
        <f t="shared" si="37"/>
        <v>Total Forecast Capex</v>
      </c>
      <c r="N127" s="104">
        <f t="shared" ref="N127:S127" si="42">SUM(N121:N126)</f>
        <v>6.1300000000000008</v>
      </c>
      <c r="O127" s="104">
        <f t="shared" si="42"/>
        <v>8.3000000000000007</v>
      </c>
      <c r="P127" s="104">
        <f t="shared" si="42"/>
        <v>9.8200000000000021</v>
      </c>
      <c r="Q127" s="104">
        <f t="shared" si="42"/>
        <v>5.3400000000000007</v>
      </c>
      <c r="R127" s="104">
        <f t="shared" si="42"/>
        <v>6.6600000000000019</v>
      </c>
      <c r="S127" s="104">
        <f t="shared" si="42"/>
        <v>6.2400000000000011</v>
      </c>
      <c r="T127" s="104">
        <f t="shared" si="36"/>
        <v>42.490000000000009</v>
      </c>
    </row>
    <row r="128" spans="13:20" ht="17.25" thickBot="1" x14ac:dyDescent="0.35"/>
    <row r="129" spans="13:19" ht="17.25" thickBot="1" x14ac:dyDescent="0.35">
      <c r="M129" s="51" t="s">
        <v>553</v>
      </c>
      <c r="N129" s="51"/>
      <c r="O129" s="51"/>
      <c r="P129" s="51"/>
      <c r="Q129" s="51"/>
      <c r="R129" s="51"/>
      <c r="S129" s="51"/>
    </row>
    <row r="130" spans="13:19" ht="17.25" thickBot="1" x14ac:dyDescent="0.35">
      <c r="M130" s="50" t="str">
        <f>M121</f>
        <v>Inline Inspection of Pipelines</v>
      </c>
      <c r="N130" s="52">
        <f t="shared" ref="N130:S130" ca="1" si="43">ROUND(SUM(N94:N95,N98:N105),2)</f>
        <v>0.23</v>
      </c>
      <c r="O130" s="52">
        <f t="shared" ca="1" si="43"/>
        <v>2</v>
      </c>
      <c r="P130" s="52">
        <f t="shared" ca="1" si="43"/>
        <v>2.83</v>
      </c>
      <c r="Q130" s="52">
        <f t="shared" ca="1" si="43"/>
        <v>0.33</v>
      </c>
      <c r="R130" s="52">
        <f t="shared" ca="1" si="43"/>
        <v>1.8</v>
      </c>
      <c r="S130" s="52">
        <f t="shared" ca="1" si="43"/>
        <v>1.1200000000000001</v>
      </c>
    </row>
    <row r="131" spans="13:19" ht="33.75" thickBot="1" x14ac:dyDescent="0.35">
      <c r="M131" s="50" t="str">
        <f t="shared" ref="M131:M136" si="44">M122</f>
        <v>Coating Refurbishment and Life Extension</v>
      </c>
      <c r="N131" s="52">
        <f ca="1">ROUND(N92,2)</f>
        <v>4.9000000000000004</v>
      </c>
      <c r="O131" s="52">
        <f t="shared" ref="O131:S131" ca="1" si="45">ROUND(O92,2)</f>
        <v>5.29</v>
      </c>
      <c r="P131" s="52">
        <f t="shared" ca="1" si="45"/>
        <v>5.97</v>
      </c>
      <c r="Q131" s="52">
        <f t="shared" ca="1" si="45"/>
        <v>3.98</v>
      </c>
      <c r="R131" s="52">
        <f t="shared" ca="1" si="45"/>
        <v>3.68</v>
      </c>
      <c r="S131" s="52">
        <f t="shared" ca="1" si="45"/>
        <v>4.2300000000000004</v>
      </c>
    </row>
    <row r="132" spans="13:19" ht="17.25" thickBot="1" x14ac:dyDescent="0.35">
      <c r="M132" s="50" t="str">
        <f t="shared" si="44"/>
        <v>Laser Scanner for Feature Assessment</v>
      </c>
      <c r="N132" s="52">
        <f ca="1">ROUND(N57,2)</f>
        <v>0</v>
      </c>
      <c r="O132" s="52">
        <f t="shared" ref="O132:S132" ca="1" si="46">ROUND(O57,2)</f>
        <v>0</v>
      </c>
      <c r="P132" s="52">
        <f t="shared" ca="1" si="46"/>
        <v>0</v>
      </c>
      <c r="Q132" s="52">
        <f t="shared" ca="1" si="46"/>
        <v>0</v>
      </c>
      <c r="R132" s="52">
        <f t="shared" ca="1" si="46"/>
        <v>0.15</v>
      </c>
      <c r="S132" s="52">
        <f t="shared" ca="1" si="46"/>
        <v>0</v>
      </c>
    </row>
    <row r="133" spans="13:19" ht="17.25" thickBot="1" x14ac:dyDescent="0.35">
      <c r="M133" s="50" t="str">
        <f t="shared" si="44"/>
        <v>Easement Acquisition for CP</v>
      </c>
      <c r="N133" s="52">
        <f ca="1">ROUND(N91,2)</f>
        <v>0.21</v>
      </c>
      <c r="O133" s="52">
        <f t="shared" ref="O133:S133" ca="1" si="47">ROUND(O91,2)</f>
        <v>0.22</v>
      </c>
      <c r="P133" s="52">
        <f t="shared" ca="1" si="47"/>
        <v>0.22</v>
      </c>
      <c r="Q133" s="52">
        <f t="shared" ca="1" si="47"/>
        <v>0.23</v>
      </c>
      <c r="R133" s="52">
        <f t="shared" ca="1" si="47"/>
        <v>0.23</v>
      </c>
      <c r="S133" s="52">
        <f t="shared" ca="1" si="47"/>
        <v>0.24</v>
      </c>
    </row>
    <row r="134" spans="13:19" ht="17.25" thickBot="1" x14ac:dyDescent="0.35">
      <c r="M134" s="50" t="str">
        <f t="shared" si="44"/>
        <v>CP Upgrade Programme</v>
      </c>
      <c r="N134" s="52">
        <f ca="1">ROUND(N61,2)</f>
        <v>0.64</v>
      </c>
      <c r="O134" s="52">
        <f t="shared" ref="O134:S134" ca="1" si="48">ROUND(O61,2)</f>
        <v>0.66</v>
      </c>
      <c r="P134" s="52">
        <f t="shared" ca="1" si="48"/>
        <v>0.66</v>
      </c>
      <c r="Q134" s="52">
        <f t="shared" ca="1" si="48"/>
        <v>0.66</v>
      </c>
      <c r="R134" s="52">
        <f t="shared" ca="1" si="48"/>
        <v>0.66</v>
      </c>
      <c r="S134" s="52">
        <f t="shared" ca="1" si="48"/>
        <v>0.66</v>
      </c>
    </row>
    <row r="135" spans="13:19" ht="17.25" thickBot="1" x14ac:dyDescent="0.35">
      <c r="M135" s="50" t="str">
        <f t="shared" si="44"/>
        <v>CP Telemetry Installation</v>
      </c>
      <c r="N135" s="52">
        <f ca="1">ROUND(N60,2)</f>
        <v>0.15</v>
      </c>
      <c r="O135" s="52">
        <f t="shared" ref="O135:S135" ca="1" si="49">ROUND(O60,2)</f>
        <v>0.15</v>
      </c>
      <c r="P135" s="52">
        <f t="shared" ca="1" si="49"/>
        <v>0.15</v>
      </c>
      <c r="Q135" s="52">
        <f t="shared" ca="1" si="49"/>
        <v>0.15</v>
      </c>
      <c r="R135" s="52">
        <f t="shared" ca="1" si="49"/>
        <v>0.15</v>
      </c>
      <c r="S135" s="52">
        <f t="shared" ca="1" si="49"/>
        <v>0</v>
      </c>
    </row>
    <row r="136" spans="13:19" ht="17.25" thickBot="1" x14ac:dyDescent="0.35">
      <c r="M136" s="50" t="str">
        <f t="shared" si="44"/>
        <v>Total Forecast Capex</v>
      </c>
      <c r="N136" s="52">
        <f ca="1">SUM(N130:N135)</f>
        <v>6.1300000000000008</v>
      </c>
      <c r="O136" s="52">
        <f t="shared" ref="O136:S136" ca="1" si="50">SUM(O130:O135)</f>
        <v>8.32</v>
      </c>
      <c r="P136" s="52">
        <f t="shared" ca="1" si="50"/>
        <v>9.8300000000000018</v>
      </c>
      <c r="Q136" s="52">
        <f t="shared" ca="1" si="50"/>
        <v>5.3500000000000005</v>
      </c>
      <c r="R136" s="52">
        <f t="shared" ca="1" si="50"/>
        <v>6.6700000000000017</v>
      </c>
      <c r="S136" s="52">
        <f t="shared" ca="1" si="50"/>
        <v>6.2500000000000009</v>
      </c>
    </row>
    <row r="137" spans="13:19" ht="17.25" thickBot="1" x14ac:dyDescent="0.35">
      <c r="M137" s="71"/>
    </row>
    <row r="138" spans="13:19" ht="17.25" thickBot="1" x14ac:dyDescent="0.35">
      <c r="M138" s="51" t="s">
        <v>545</v>
      </c>
      <c r="N138" s="51"/>
      <c r="O138" s="51"/>
      <c r="P138" s="51"/>
      <c r="Q138" s="51"/>
      <c r="R138" s="51"/>
      <c r="S138" s="51"/>
    </row>
    <row r="139" spans="13:19" ht="17.25" thickBot="1" x14ac:dyDescent="0.35">
      <c r="M139" s="50" t="str">
        <f>M130</f>
        <v>Inline Inspection of Pipelines</v>
      </c>
      <c r="N139" s="52">
        <f ca="1">N130-N121</f>
        <v>0</v>
      </c>
      <c r="O139" s="52">
        <f t="shared" ref="O139:S139" ca="1" si="51">O130-O121</f>
        <v>0</v>
      </c>
      <c r="P139" s="52">
        <f t="shared" ca="1" si="51"/>
        <v>0</v>
      </c>
      <c r="Q139" s="52">
        <f t="shared" ca="1" si="51"/>
        <v>0</v>
      </c>
      <c r="R139" s="52">
        <f t="shared" ca="1" si="51"/>
        <v>0</v>
      </c>
      <c r="S139" s="52">
        <f t="shared" ca="1" si="51"/>
        <v>0</v>
      </c>
    </row>
    <row r="140" spans="13:19" ht="33.75" thickBot="1" x14ac:dyDescent="0.35">
      <c r="M140" s="50" t="str">
        <f t="shared" ref="M140:M145" si="52">M131</f>
        <v>Coating Refurbishment and Life Extension</v>
      </c>
      <c r="N140" s="52">
        <f t="shared" ref="N140:S145" ca="1" si="53">N131-N122</f>
        <v>-9.9999999999997868E-3</v>
      </c>
      <c r="O140" s="52">
        <f t="shared" ca="1" si="53"/>
        <v>0</v>
      </c>
      <c r="P140" s="52">
        <f t="shared" ca="1" si="53"/>
        <v>0</v>
      </c>
      <c r="Q140" s="52">
        <f t="shared" ca="1" si="53"/>
        <v>0</v>
      </c>
      <c r="R140" s="52">
        <f t="shared" ca="1" si="53"/>
        <v>0</v>
      </c>
      <c r="S140" s="52">
        <f t="shared" ca="1" si="53"/>
        <v>0</v>
      </c>
    </row>
    <row r="141" spans="13:19" ht="17.25" thickBot="1" x14ac:dyDescent="0.35">
      <c r="M141" s="50" t="str">
        <f t="shared" si="52"/>
        <v>Laser Scanner for Feature Assessment</v>
      </c>
      <c r="N141" s="52">
        <f t="shared" ca="1" si="53"/>
        <v>0</v>
      </c>
      <c r="O141" s="52">
        <f t="shared" ca="1" si="53"/>
        <v>0</v>
      </c>
      <c r="P141" s="52">
        <f t="shared" ca="1" si="53"/>
        <v>0</v>
      </c>
      <c r="Q141" s="52">
        <f t="shared" ca="1" si="53"/>
        <v>0</v>
      </c>
      <c r="R141" s="52">
        <f t="shared" ca="1" si="53"/>
        <v>0</v>
      </c>
      <c r="S141" s="52">
        <f t="shared" ca="1" si="53"/>
        <v>0</v>
      </c>
    </row>
    <row r="142" spans="13:19" ht="17.25" thickBot="1" x14ac:dyDescent="0.35">
      <c r="M142" s="50" t="str">
        <f t="shared" si="52"/>
        <v>Easement Acquisition for CP</v>
      </c>
      <c r="N142" s="52">
        <f t="shared" ca="1" si="53"/>
        <v>0</v>
      </c>
      <c r="O142" s="52">
        <f t="shared" ca="1" si="53"/>
        <v>0</v>
      </c>
      <c r="P142" s="52">
        <f t="shared" ca="1" si="53"/>
        <v>0</v>
      </c>
      <c r="Q142" s="52">
        <f t="shared" ca="1" si="53"/>
        <v>0</v>
      </c>
      <c r="R142" s="52">
        <f t="shared" ca="1" si="53"/>
        <v>0</v>
      </c>
      <c r="S142" s="52">
        <f t="shared" ca="1" si="53"/>
        <v>0</v>
      </c>
    </row>
    <row r="143" spans="13:19" ht="17.25" thickBot="1" x14ac:dyDescent="0.35">
      <c r="M143" s="50" t="str">
        <f t="shared" si="52"/>
        <v>CP Upgrade Programme</v>
      </c>
      <c r="N143" s="52">
        <f t="shared" ca="1" si="53"/>
        <v>1.0000000000000009E-2</v>
      </c>
      <c r="O143" s="52">
        <f t="shared" ca="1" si="53"/>
        <v>2.0000000000000018E-2</v>
      </c>
      <c r="P143" s="52">
        <f t="shared" ca="1" si="53"/>
        <v>1.0000000000000009E-2</v>
      </c>
      <c r="Q143" s="52">
        <f t="shared" ca="1" si="53"/>
        <v>1.0000000000000009E-2</v>
      </c>
      <c r="R143" s="52">
        <f t="shared" ca="1" si="53"/>
        <v>1.0000000000000009E-2</v>
      </c>
      <c r="S143" s="52">
        <f t="shared" ca="1" si="53"/>
        <v>1.0000000000000009E-2</v>
      </c>
    </row>
    <row r="144" spans="13:19" ht="17.25" thickBot="1" x14ac:dyDescent="0.35">
      <c r="M144" s="50" t="str">
        <f t="shared" si="52"/>
        <v>CP Telemetry Installation</v>
      </c>
      <c r="N144" s="52">
        <f t="shared" ca="1" si="53"/>
        <v>0</v>
      </c>
      <c r="O144" s="52">
        <f t="shared" ca="1" si="53"/>
        <v>0</v>
      </c>
      <c r="P144" s="52">
        <f t="shared" ca="1" si="53"/>
        <v>0</v>
      </c>
      <c r="Q144" s="52">
        <f t="shared" ca="1" si="53"/>
        <v>0</v>
      </c>
      <c r="R144" s="52">
        <f t="shared" ca="1" si="53"/>
        <v>0</v>
      </c>
      <c r="S144" s="52">
        <f t="shared" ca="1" si="53"/>
        <v>0</v>
      </c>
    </row>
    <row r="145" spans="12:21" ht="17.25" thickBot="1" x14ac:dyDescent="0.35">
      <c r="M145" s="50" t="str">
        <f t="shared" si="52"/>
        <v>Total Forecast Capex</v>
      </c>
      <c r="N145" s="52">
        <f t="shared" ca="1" si="53"/>
        <v>0</v>
      </c>
      <c r="O145" s="52">
        <f t="shared" ca="1" si="53"/>
        <v>1.9999999999999574E-2</v>
      </c>
      <c r="P145" s="52">
        <f t="shared" ca="1" si="53"/>
        <v>9.9999999999997868E-3</v>
      </c>
      <c r="Q145" s="52">
        <f t="shared" ca="1" si="53"/>
        <v>9.9999999999997868E-3</v>
      </c>
      <c r="R145" s="52">
        <f t="shared" ca="1" si="53"/>
        <v>9.9999999999997868E-3</v>
      </c>
      <c r="S145" s="52">
        <f t="shared" ca="1" si="53"/>
        <v>9.9999999999997868E-3</v>
      </c>
    </row>
    <row r="146" spans="12:21" s="71" customFormat="1" x14ac:dyDescent="0.3"/>
    <row r="147" spans="12:21" ht="17.25" thickBot="1" x14ac:dyDescent="0.35">
      <c r="M147" s="13" t="s">
        <v>634</v>
      </c>
      <c r="N147" s="71"/>
      <c r="O147" s="71"/>
      <c r="P147" s="71"/>
      <c r="Q147" s="71"/>
      <c r="R147" s="71"/>
      <c r="S147" s="71"/>
      <c r="T147" s="71"/>
      <c r="U147" s="71"/>
    </row>
    <row r="148" spans="12:21" ht="17.25" thickBot="1" x14ac:dyDescent="0.35">
      <c r="M148" s="51"/>
      <c r="N148" s="53" t="s">
        <v>225</v>
      </c>
      <c r="O148" s="53" t="s">
        <v>183</v>
      </c>
      <c r="P148" s="53" t="s">
        <v>184</v>
      </c>
      <c r="Q148" s="53" t="s">
        <v>185</v>
      </c>
      <c r="R148" s="53" t="s">
        <v>186</v>
      </c>
      <c r="S148" s="53" t="s">
        <v>187</v>
      </c>
      <c r="T148" s="53" t="s">
        <v>62</v>
      </c>
    </row>
    <row r="149" spans="12:21" ht="17.25" thickBot="1" x14ac:dyDescent="0.35">
      <c r="L149" t="str">
        <f>'calculation¦RBP capex'!J62</f>
        <v>AA-02</v>
      </c>
      <c r="M149" s="50" t="str">
        <f>Calculation│RIN!A14</f>
        <v>Urban Risk Reduction</v>
      </c>
      <c r="N149" s="52">
        <f>SUMIF('calculation¦RBP capex'!$J$14:$J$115,Outputs│Tables!$L149,'calculation¦RBP capex'!D$14:D$115)</f>
        <v>8000</v>
      </c>
      <c r="O149" s="52">
        <f>SUMIF('calculation¦RBP capex'!$J$14:$J$115,Outputs│Tables!$L149,'calculation¦RBP capex'!E$14:E$115)</f>
        <v>1650</v>
      </c>
      <c r="P149" s="52">
        <f>SUMIF('calculation¦RBP capex'!$J$14:$J$115,Outputs│Tables!$L149,'calculation¦RBP capex'!F$14:F$115)</f>
        <v>300</v>
      </c>
      <c r="Q149" s="52">
        <f>SUMIF('calculation¦RBP capex'!$J$14:$J$115,Outputs│Tables!$L149,'calculation¦RBP capex'!G$14:G$115)</f>
        <v>300</v>
      </c>
      <c r="R149" s="52">
        <f>SUMIF('calculation¦RBP capex'!$J$14:$J$115,Outputs│Tables!$L149,'calculation¦RBP capex'!H$14:H$115)</f>
        <v>300</v>
      </c>
      <c r="S149" s="52">
        <f>SUMIF('calculation¦RBP capex'!$J$14:$J$115,Outputs│Tables!$L149,'calculation¦RBP capex'!I$14:I$115)</f>
        <v>300</v>
      </c>
      <c r="T149" s="52">
        <f>SUM(N149:S149)</f>
        <v>10850</v>
      </c>
    </row>
    <row r="150" spans="12:21" ht="17.25" thickBot="1" x14ac:dyDescent="0.35"/>
    <row r="151" spans="12:21" ht="17.25" thickBot="1" x14ac:dyDescent="0.35">
      <c r="L151" s="71"/>
      <c r="M151" s="51"/>
      <c r="N151" s="53" t="s">
        <v>225</v>
      </c>
      <c r="O151" s="53" t="s">
        <v>183</v>
      </c>
      <c r="P151" s="53" t="s">
        <v>184</v>
      </c>
      <c r="Q151" s="53" t="s">
        <v>185</v>
      </c>
      <c r="R151" s="53" t="s">
        <v>186</v>
      </c>
      <c r="S151" s="53" t="s">
        <v>187</v>
      </c>
      <c r="T151" s="53" t="s">
        <v>62</v>
      </c>
    </row>
    <row r="152" spans="12:21" ht="17.25" thickBot="1" x14ac:dyDescent="0.35">
      <c r="L152" s="71" t="s">
        <v>139</v>
      </c>
      <c r="M152" s="50" t="str">
        <f>M149</f>
        <v>Urban Risk Reduction</v>
      </c>
      <c r="N152" s="52">
        <f>SUMIF('calculation¦real dollars'!$B$14:$B$115,Outputs│Tables!$L152,'calculation¦real dollars'!D$14:D$115)</f>
        <v>8183.9999999999991</v>
      </c>
      <c r="O152" s="52">
        <f>SUMIF('calculation¦real dollars'!$B$14:$B$115,Outputs│Tables!$L152,'calculation¦real dollars'!E$14:E$115)</f>
        <v>1687.9499999999998</v>
      </c>
      <c r="P152" s="52">
        <f>SUMIF('calculation¦real dollars'!$B$14:$B$115,Outputs│Tables!$L152,'calculation¦real dollars'!F$14:F$115)</f>
        <v>306.89999999999998</v>
      </c>
      <c r="Q152" s="52">
        <f>SUMIF('calculation¦real dollars'!$B$14:$B$115,Outputs│Tables!$L152,'calculation¦real dollars'!G$14:G$115)</f>
        <v>306.89999999999998</v>
      </c>
      <c r="R152" s="52">
        <f>SUMIF('calculation¦real dollars'!$B$14:$B$115,Outputs│Tables!$L152,'calculation¦real dollars'!H$14:H$115)</f>
        <v>306.89999999999998</v>
      </c>
      <c r="S152" s="52">
        <f>SUMIF('calculation¦real dollars'!$B$14:$B$115,Outputs│Tables!$L152,'calculation¦real dollars'!I$14:I$115)</f>
        <v>306.89999999999998</v>
      </c>
      <c r="T152" s="52">
        <f>SUM(N152:S152)</f>
        <v>11099.549999999997</v>
      </c>
    </row>
    <row r="153" spans="12:21" x14ac:dyDescent="0.3">
      <c r="L153" s="71"/>
      <c r="M153" s="71"/>
      <c r="N153" s="71"/>
      <c r="O153" s="71"/>
      <c r="P153" s="71"/>
      <c r="Q153" s="71"/>
      <c r="R153" s="71"/>
      <c r="S153" s="71"/>
      <c r="T153" s="71"/>
    </row>
    <row r="154" spans="12:21" ht="17.25" thickBot="1" x14ac:dyDescent="0.35"/>
    <row r="155" spans="12:21" s="71" customFormat="1" ht="17.25" thickBot="1" x14ac:dyDescent="0.35">
      <c r="M155" s="51"/>
      <c r="N155" s="53" t="s">
        <v>225</v>
      </c>
      <c r="O155" s="53" t="s">
        <v>183</v>
      </c>
      <c r="P155" s="53" t="s">
        <v>184</v>
      </c>
      <c r="Q155" s="53" t="s">
        <v>185</v>
      </c>
      <c r="R155" s="53" t="s">
        <v>186</v>
      </c>
      <c r="S155" s="53" t="s">
        <v>187</v>
      </c>
      <c r="T155" s="53" t="s">
        <v>62</v>
      </c>
    </row>
    <row r="156" spans="12:21" ht="17.25" thickBot="1" x14ac:dyDescent="0.35">
      <c r="L156" s="71" t="s">
        <v>140</v>
      </c>
      <c r="M156" s="50" t="s">
        <v>189</v>
      </c>
      <c r="N156" s="52">
        <f>SUMIF('calculation¦RBP capex'!$J$14:$J$115,Outputs│Tables!$L156,'calculation¦RBP capex'!D$14:D$115)</f>
        <v>300</v>
      </c>
      <c r="O156" s="52">
        <f>SUMIF('calculation¦RBP capex'!$J$14:$J$115,Outputs│Tables!$L156,'calculation¦RBP capex'!E$14:E$115)</f>
        <v>11650</v>
      </c>
      <c r="P156" s="52">
        <f>SUMIF('calculation¦RBP capex'!$J$14:$J$115,Outputs│Tables!$L156,'calculation¦RBP capex'!F$14:F$115)</f>
        <v>3500</v>
      </c>
      <c r="Q156" s="52">
        <f>SUMIF('calculation¦RBP capex'!$J$14:$J$115,Outputs│Tables!$L156,'calculation¦RBP capex'!G$14:G$115)</f>
        <v>0</v>
      </c>
      <c r="R156" s="52">
        <f>SUMIF('calculation¦RBP capex'!$J$14:$J$115,Outputs│Tables!$L156,'calculation¦RBP capex'!H$14:H$115)</f>
        <v>0</v>
      </c>
      <c r="S156" s="52">
        <f>SUMIF('calculation¦RBP capex'!$J$14:$J$115,Outputs│Tables!$L156,'calculation¦RBP capex'!I$14:I$115)</f>
        <v>0</v>
      </c>
      <c r="T156" s="52">
        <f>SUM(N156:S156)</f>
        <v>15450</v>
      </c>
    </row>
    <row r="158" spans="12:21" ht="17.25" thickBot="1" x14ac:dyDescent="0.35">
      <c r="L158" s="71"/>
      <c r="M158" s="71"/>
      <c r="N158" s="71"/>
      <c r="O158" s="71"/>
      <c r="P158" s="71"/>
      <c r="Q158" s="71"/>
      <c r="R158" s="71"/>
      <c r="S158" s="71"/>
      <c r="T158" s="71"/>
    </row>
    <row r="159" spans="12:21" ht="17.25" thickBot="1" x14ac:dyDescent="0.35">
      <c r="L159" s="71"/>
      <c r="M159" s="51"/>
      <c r="N159" s="53" t="s">
        <v>225</v>
      </c>
      <c r="O159" s="53" t="s">
        <v>183</v>
      </c>
      <c r="P159" s="53" t="s">
        <v>184</v>
      </c>
      <c r="Q159" s="53" t="s">
        <v>185</v>
      </c>
      <c r="R159" s="53" t="s">
        <v>186</v>
      </c>
      <c r="S159" s="53" t="s">
        <v>187</v>
      </c>
      <c r="T159" s="53" t="s">
        <v>62</v>
      </c>
    </row>
    <row r="160" spans="12:21" ht="17.25" thickBot="1" x14ac:dyDescent="0.35">
      <c r="L160" s="71" t="s">
        <v>141</v>
      </c>
      <c r="M160" s="50" t="s">
        <v>633</v>
      </c>
      <c r="N160" s="52">
        <f>SUMIF('calculation¦RBP capex'!$J$14:$J$115,Outputs│Tables!$L160,'calculation¦RBP capex'!D$14:D$115)</f>
        <v>0</v>
      </c>
      <c r="O160" s="52">
        <f>SUMIF('calculation¦RBP capex'!$J$14:$J$115,Outputs│Tables!$L160,'calculation¦RBP capex'!E$14:E$115)</f>
        <v>0</v>
      </c>
      <c r="P160" s="52">
        <f>SUMIF('calculation¦RBP capex'!$J$14:$J$115,Outputs│Tables!$L160,'calculation¦RBP capex'!F$14:F$115)</f>
        <v>0</v>
      </c>
      <c r="Q160" s="52">
        <f>SUMIF('calculation¦RBP capex'!$J$14:$J$115,Outputs│Tables!$L160,'calculation¦RBP capex'!G$14:G$115)</f>
        <v>0</v>
      </c>
      <c r="R160" s="52">
        <f>SUMIF('calculation¦RBP capex'!$J$14:$J$115,Outputs│Tables!$L160,'calculation¦RBP capex'!H$14:H$115)</f>
        <v>0</v>
      </c>
      <c r="S160" s="52">
        <f>SUMIF('calculation¦RBP capex'!$J$14:$J$115,Outputs│Tables!$L160,'calculation¦RBP capex'!I$14:I$115)</f>
        <v>1300</v>
      </c>
      <c r="T160" s="52">
        <f>SUM(N160:S160)</f>
        <v>1300</v>
      </c>
    </row>
    <row r="162" spans="11:24" ht="17.25" thickBot="1" x14ac:dyDescent="0.35">
      <c r="M162" s="13" t="s">
        <v>645</v>
      </c>
    </row>
    <row r="163" spans="11:24" ht="17.25" thickBot="1" x14ac:dyDescent="0.35">
      <c r="L163" s="71"/>
      <c r="M163" s="51"/>
      <c r="N163" s="53" t="s">
        <v>225</v>
      </c>
      <c r="O163" s="53" t="s">
        <v>183</v>
      </c>
      <c r="P163" s="53" t="s">
        <v>184</v>
      </c>
      <c r="Q163" s="53" t="s">
        <v>185</v>
      </c>
      <c r="R163" s="53" t="s">
        <v>186</v>
      </c>
      <c r="S163" s="53" t="s">
        <v>187</v>
      </c>
      <c r="T163" s="53" t="s">
        <v>62</v>
      </c>
    </row>
    <row r="164" spans="11:24" ht="17.25" thickBot="1" x14ac:dyDescent="0.35">
      <c r="L164" s="71" t="s">
        <v>138</v>
      </c>
      <c r="M164" s="50" t="s">
        <v>558</v>
      </c>
      <c r="N164" s="52">
        <f>SUMIF('calculation¦real dollars'!$B$14:$B$115,Outputs│Tables!$L164,'calculation¦real dollars'!D$14:D$115)</f>
        <v>6254.6219999999985</v>
      </c>
      <c r="O164" s="52">
        <f>SUMIF('calculation¦real dollars'!$B$14:$B$115,Outputs│Tables!$L164,'calculation¦real dollars'!E$14:E$115)</f>
        <v>8695.5</v>
      </c>
      <c r="P164" s="52">
        <f>SUMIF('calculation¦real dollars'!$B$14:$B$115,Outputs│Tables!$L164,'calculation¦real dollars'!F$14:F$115)</f>
        <v>10248.413999999999</v>
      </c>
      <c r="Q164" s="52">
        <f>SUMIF('calculation¦real dollars'!$B$14:$B$115,Outputs│Tables!$L164,'calculation¦real dollars'!G$14:G$115)</f>
        <v>5455.6589999999987</v>
      </c>
      <c r="R164" s="52">
        <f>SUMIF('calculation¦real dollars'!$B$14:$B$115,Outputs│Tables!$L164,'calculation¦real dollars'!H$14:H$115)</f>
        <v>6811.1339999999982</v>
      </c>
      <c r="S164" s="52">
        <f>SUMIF('calculation¦real dollars'!$B$14:$B$115,Outputs│Tables!$L164,'calculation¦real dollars'!I$14:I$115)</f>
        <v>6377.3819999999987</v>
      </c>
      <c r="T164" s="52">
        <f>SUM(N164:S164)</f>
        <v>43842.710999999996</v>
      </c>
    </row>
    <row r="165" spans="11:24" ht="17.25" thickBot="1" x14ac:dyDescent="0.35"/>
    <row r="166" spans="11:24" ht="17.25" thickBot="1" x14ac:dyDescent="0.35">
      <c r="L166" s="71"/>
      <c r="M166" s="51"/>
      <c r="N166" s="53" t="s">
        <v>225</v>
      </c>
      <c r="O166" s="53" t="s">
        <v>183</v>
      </c>
      <c r="P166" s="53" t="s">
        <v>184</v>
      </c>
      <c r="Q166" s="53" t="s">
        <v>185</v>
      </c>
      <c r="R166" s="53" t="s">
        <v>186</v>
      </c>
      <c r="S166" s="53" t="s">
        <v>187</v>
      </c>
      <c r="T166" s="53" t="s">
        <v>62</v>
      </c>
      <c r="U166" s="71"/>
      <c r="V166" s="71"/>
      <c r="W166" s="71"/>
      <c r="X166" s="71"/>
    </row>
    <row r="167" spans="11:24" ht="17.25" thickBot="1" x14ac:dyDescent="0.35">
      <c r="K167" s="71"/>
      <c r="L167" s="71" t="s">
        <v>138</v>
      </c>
      <c r="M167" s="50" t="str">
        <f>M164</f>
        <v>Integrity Management Upgrade</v>
      </c>
      <c r="N167" s="52">
        <f>SUMIF('calculation¦RBP capex'!$J$14:$J$115,Outputs│Tables!$L167,'calculation¦RBP capex'!D$14:D$115)</f>
        <v>6114</v>
      </c>
      <c r="O167" s="52">
        <f>SUMIF('calculation¦RBP capex'!$J$14:$J$115,Outputs│Tables!$L167,'calculation¦RBP capex'!E$14:E$115)</f>
        <v>8500</v>
      </c>
      <c r="P167" s="52">
        <f>SUMIF('calculation¦RBP capex'!$J$14:$J$115,Outputs│Tables!$L167,'calculation¦RBP capex'!F$14:F$115)</f>
        <v>10018</v>
      </c>
      <c r="Q167" s="52">
        <f>SUMIF('calculation¦RBP capex'!$J$14:$J$115,Outputs│Tables!$L167,'calculation¦RBP capex'!G$14:G$115)</f>
        <v>5333</v>
      </c>
      <c r="R167" s="52">
        <f>SUMIF('calculation¦RBP capex'!$J$14:$J$115,Outputs│Tables!$L167,'calculation¦RBP capex'!H$14:H$115)</f>
        <v>6658</v>
      </c>
      <c r="S167" s="52">
        <f>SUMIF('calculation¦RBP capex'!$J$14:$J$115,Outputs│Tables!$L167,'calculation¦RBP capex'!I$14:I$115)</f>
        <v>6234</v>
      </c>
      <c r="T167" s="52">
        <f>SUM(N167:S167)</f>
        <v>42857</v>
      </c>
      <c r="U167" s="71"/>
      <c r="V167" s="71"/>
      <c r="W167" s="71"/>
      <c r="X167" s="71"/>
    </row>
    <row r="168" spans="11:24" x14ac:dyDescent="0.3">
      <c r="K168" s="71"/>
      <c r="U168" s="71"/>
      <c r="V168" s="71"/>
      <c r="W168" s="71"/>
      <c r="X168" s="71"/>
    </row>
    <row r="169" spans="11:24" x14ac:dyDescent="0.3">
      <c r="K169" s="71"/>
      <c r="L169" s="71"/>
      <c r="M169" s="71"/>
      <c r="N169" s="71"/>
      <c r="O169" s="71"/>
      <c r="P169" s="71"/>
      <c r="Q169" s="71"/>
      <c r="R169" s="71"/>
      <c r="S169" s="71"/>
      <c r="T169" s="71"/>
      <c r="U169" s="71"/>
      <c r="V169" s="71"/>
      <c r="W169" s="71"/>
      <c r="X169" s="71"/>
    </row>
    <row r="170" spans="11:24" x14ac:dyDescent="0.3">
      <c r="K170" s="71"/>
      <c r="L170" s="71"/>
      <c r="M170" s="71"/>
      <c r="N170" s="71"/>
      <c r="O170" s="71"/>
      <c r="P170" s="71"/>
      <c r="Q170" s="71"/>
      <c r="R170" s="71"/>
      <c r="S170" s="71"/>
      <c r="T170" s="71"/>
      <c r="U170" s="71"/>
      <c r="V170" s="71"/>
      <c r="W170" s="71"/>
      <c r="X170" s="71"/>
    </row>
    <row r="171" spans="11:24" x14ac:dyDescent="0.3">
      <c r="K171" s="71"/>
      <c r="L171" s="71"/>
      <c r="M171" s="71"/>
      <c r="N171" s="71"/>
      <c r="O171" s="71"/>
      <c r="P171" s="71"/>
      <c r="Q171" s="71"/>
      <c r="R171" s="71"/>
      <c r="S171" s="71"/>
      <c r="T171" s="71"/>
      <c r="U171" s="71"/>
      <c r="V171" s="71"/>
      <c r="W171" s="71"/>
      <c r="X171" s="71"/>
    </row>
    <row r="172" spans="11:24" x14ac:dyDescent="0.3">
      <c r="K172" s="71"/>
      <c r="L172" s="71"/>
      <c r="M172" s="71"/>
      <c r="N172" s="71"/>
      <c r="O172" s="71"/>
      <c r="P172" s="71"/>
      <c r="Q172" s="71"/>
      <c r="R172" s="71"/>
      <c r="S172" s="71"/>
      <c r="T172" s="71"/>
      <c r="U172" s="71"/>
      <c r="V172" s="71"/>
      <c r="W172" s="71"/>
      <c r="X172" s="71"/>
    </row>
    <row r="173" spans="11:24" x14ac:dyDescent="0.3">
      <c r="K173" s="71"/>
      <c r="L173" s="71"/>
      <c r="M173" s="71"/>
      <c r="N173" s="71"/>
      <c r="O173" s="71"/>
      <c r="P173" s="71"/>
      <c r="Q173" s="71"/>
      <c r="R173" s="71"/>
      <c r="S173" s="71"/>
      <c r="T173" s="71"/>
      <c r="U173" s="71"/>
      <c r="V173" s="71"/>
      <c r="W173" s="71"/>
      <c r="X173" s="71"/>
    </row>
    <row r="174" spans="11:24" x14ac:dyDescent="0.3">
      <c r="L174" s="71"/>
      <c r="M174" s="71"/>
      <c r="N174" s="71"/>
      <c r="O174" s="71"/>
      <c r="P174" s="71"/>
      <c r="Q174" s="71"/>
      <c r="R174" s="71"/>
      <c r="S174" s="71"/>
      <c r="T174" s="71"/>
    </row>
    <row r="175" spans="11:24" x14ac:dyDescent="0.3">
      <c r="L175" s="71"/>
      <c r="M175" s="71"/>
      <c r="N175" s="71"/>
      <c r="O175" s="71"/>
      <c r="P175" s="71"/>
      <c r="Q175" s="71"/>
      <c r="R175" s="71"/>
      <c r="S175" s="71"/>
      <c r="T175" s="71"/>
    </row>
    <row r="176" spans="11:24" x14ac:dyDescent="0.3">
      <c r="L176" s="71"/>
      <c r="M176" s="71"/>
      <c r="N176" s="71"/>
      <c r="O176" s="71"/>
      <c r="P176" s="71"/>
      <c r="Q176" s="71"/>
      <c r="R176" s="71"/>
      <c r="S176" s="71"/>
      <c r="T176" s="7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282A"/>
  </sheetPr>
  <dimension ref="A1:S49"/>
  <sheetViews>
    <sheetView topLeftCell="A11" zoomScale="160" zoomScaleNormal="160" workbookViewId="0">
      <selection activeCell="K19" sqref="K19"/>
    </sheetView>
  </sheetViews>
  <sheetFormatPr defaultRowHeight="16.5" x14ac:dyDescent="0.3"/>
  <sheetData>
    <row r="1" spans="1:19" s="2" customFormat="1" ht="13.5" x14ac:dyDescent="0.25"/>
    <row r="2" spans="1:19" s="2" customFormat="1" ht="13.5" x14ac:dyDescent="0.25"/>
    <row r="3" spans="1:19" s="2" customFormat="1" ht="13.5" x14ac:dyDescent="0.25"/>
    <row r="4" spans="1:19" s="2" customFormat="1" ht="13.5" x14ac:dyDescent="0.25"/>
    <row r="5" spans="1:19" s="2" customFormat="1" ht="13.5" x14ac:dyDescent="0.25"/>
    <row r="6" spans="1:19" s="2" customFormat="1" ht="13.5" x14ac:dyDescent="0.25"/>
    <row r="7" spans="1:19" s="2" customFormat="1" ht="13.5" x14ac:dyDescent="0.25"/>
    <row r="8" spans="1:19" s="2" customFormat="1" ht="13.5" x14ac:dyDescent="0.25"/>
    <row r="9" spans="1:19" s="2" customFormat="1" ht="13.5" x14ac:dyDescent="0.25"/>
    <row r="10" spans="1:19" s="4" customFormat="1" ht="20.25" x14ac:dyDescent="0.3">
      <c r="A10" s="45" t="str">
        <f ca="1">RIGHT(CELL("filename",A1),LEN(CELL("filename",A1))-FIND("]",CELL("filename",A1)))</f>
        <v>Outputs│Graphs</v>
      </c>
      <c r="B10" s="2"/>
      <c r="C10" s="2"/>
      <c r="D10" s="2"/>
      <c r="E10" s="2"/>
      <c r="F10" s="2"/>
      <c r="G10" s="2"/>
      <c r="H10" s="2"/>
      <c r="I10" s="2"/>
      <c r="J10" s="2"/>
      <c r="K10" s="2"/>
      <c r="L10" s="2"/>
      <c r="M10" s="2"/>
    </row>
    <row r="11" spans="1:19" s="16" customFormat="1" x14ac:dyDescent="0.3">
      <c r="A11" s="46"/>
      <c r="B11" s="46"/>
      <c r="C11" s="46"/>
      <c r="D11" s="46"/>
      <c r="E11" s="46"/>
      <c r="F11" s="46"/>
      <c r="G11" s="46"/>
      <c r="H11" s="46"/>
      <c r="I11" s="46"/>
      <c r="J11" s="46"/>
      <c r="K11" s="46"/>
      <c r="L11" s="46"/>
      <c r="M11" s="46"/>
      <c r="N11" s="46"/>
      <c r="O11" s="46"/>
      <c r="P11" s="46"/>
      <c r="Q11" s="46"/>
      <c r="R11" s="46"/>
      <c r="S11" s="46"/>
    </row>
    <row r="12" spans="1:19" x14ac:dyDescent="0.3">
      <c r="A12" s="46"/>
      <c r="B12" s="46"/>
      <c r="C12" s="46"/>
      <c r="D12" s="46"/>
      <c r="E12" s="46"/>
      <c r="F12" s="46"/>
      <c r="G12" s="46"/>
      <c r="H12" s="46"/>
      <c r="I12" s="46"/>
      <c r="J12" s="46"/>
      <c r="K12" s="46"/>
      <c r="L12" s="46"/>
      <c r="M12" s="46"/>
      <c r="N12" s="46"/>
      <c r="O12" s="46"/>
      <c r="P12" s="46"/>
      <c r="Q12" s="46"/>
      <c r="R12" s="46"/>
      <c r="S12" s="46"/>
    </row>
    <row r="13" spans="1:19" x14ac:dyDescent="0.3">
      <c r="A13" s="46"/>
      <c r="B13" s="46" t="s">
        <v>631</v>
      </c>
      <c r="C13" s="46"/>
      <c r="D13" s="46"/>
      <c r="E13" s="46"/>
      <c r="F13" s="46"/>
      <c r="G13" s="46"/>
      <c r="H13" s="46"/>
      <c r="I13" s="46"/>
      <c r="J13" s="46"/>
      <c r="K13" s="46"/>
      <c r="L13" s="46"/>
      <c r="M13" s="46"/>
      <c r="N13" s="46"/>
      <c r="O13" s="46"/>
      <c r="P13" s="46"/>
      <c r="Q13" s="46"/>
      <c r="R13" s="46"/>
      <c r="S13" s="46"/>
    </row>
    <row r="14" spans="1:19" x14ac:dyDescent="0.3">
      <c r="A14" s="46"/>
      <c r="B14" s="46"/>
      <c r="C14" s="46"/>
      <c r="D14" s="46"/>
      <c r="E14" s="46"/>
      <c r="F14" s="46"/>
      <c r="G14" s="46"/>
      <c r="H14" s="46"/>
      <c r="I14" s="46"/>
      <c r="J14" s="46"/>
      <c r="K14" s="46"/>
      <c r="L14" s="46"/>
      <c r="M14" s="46"/>
      <c r="N14" s="46"/>
      <c r="O14" s="46"/>
      <c r="P14" s="46"/>
      <c r="Q14" s="46"/>
      <c r="R14" s="46"/>
      <c r="S14" s="46"/>
    </row>
    <row r="15" spans="1:19" x14ac:dyDescent="0.3">
      <c r="A15" s="46"/>
      <c r="B15" s="46"/>
      <c r="C15" s="46"/>
      <c r="D15" s="46"/>
      <c r="E15" s="46"/>
      <c r="F15" s="46"/>
      <c r="G15" s="46"/>
      <c r="H15" s="46"/>
      <c r="I15" s="46"/>
      <c r="J15" s="46"/>
      <c r="K15" s="46"/>
      <c r="L15" s="46"/>
      <c r="M15" s="46"/>
      <c r="N15" s="46"/>
      <c r="O15" s="46"/>
      <c r="P15" s="46"/>
      <c r="Q15" s="46"/>
      <c r="R15" s="46"/>
      <c r="S15" s="46"/>
    </row>
    <row r="16" spans="1:19" x14ac:dyDescent="0.3">
      <c r="A16" s="46"/>
      <c r="B16" s="46"/>
      <c r="C16" s="46"/>
      <c r="D16" s="46"/>
      <c r="E16" s="46"/>
      <c r="F16" s="46"/>
      <c r="G16" s="46"/>
      <c r="H16" s="46"/>
      <c r="I16" s="46"/>
      <c r="J16" s="46"/>
      <c r="K16" s="46"/>
      <c r="L16" s="46"/>
      <c r="M16" s="46"/>
      <c r="N16" s="46"/>
      <c r="O16" s="46"/>
      <c r="P16" s="46"/>
      <c r="Q16" s="46"/>
      <c r="R16" s="46"/>
      <c r="S16" s="46"/>
    </row>
    <row r="17" spans="1:19" x14ac:dyDescent="0.3">
      <c r="A17" s="46"/>
      <c r="B17" s="46"/>
      <c r="C17" s="46"/>
      <c r="D17" s="46"/>
      <c r="E17" s="46"/>
      <c r="F17" s="46"/>
      <c r="G17" s="46"/>
      <c r="H17" s="46"/>
      <c r="I17" s="46"/>
      <c r="J17" s="46"/>
      <c r="K17" s="46"/>
      <c r="L17" s="46"/>
      <c r="M17" s="46"/>
      <c r="N17" s="46"/>
      <c r="O17" s="46"/>
      <c r="P17" s="46"/>
      <c r="Q17" s="46"/>
      <c r="R17" s="46"/>
      <c r="S17" s="46"/>
    </row>
    <row r="18" spans="1:19" x14ac:dyDescent="0.3">
      <c r="A18" s="46"/>
      <c r="B18" s="46"/>
      <c r="C18" s="46"/>
      <c r="D18" s="46"/>
      <c r="E18" s="46"/>
      <c r="F18" s="46"/>
      <c r="G18" s="46"/>
      <c r="H18" s="46"/>
      <c r="I18" s="46"/>
      <c r="J18" s="46"/>
      <c r="K18" s="46"/>
      <c r="L18" s="46"/>
      <c r="M18" s="46"/>
      <c r="N18" s="46"/>
      <c r="O18" s="46"/>
      <c r="P18" s="46"/>
      <c r="Q18" s="46"/>
      <c r="R18" s="46"/>
      <c r="S18" s="46"/>
    </row>
    <row r="19" spans="1:19" x14ac:dyDescent="0.3">
      <c r="A19" s="46"/>
      <c r="B19" s="46"/>
      <c r="C19" s="46"/>
      <c r="D19" s="46"/>
      <c r="E19" s="46"/>
      <c r="F19" s="46"/>
      <c r="G19" s="46"/>
      <c r="H19" s="46"/>
      <c r="I19" s="46"/>
      <c r="J19" s="46"/>
      <c r="K19" s="46"/>
      <c r="L19" s="46"/>
      <c r="M19" s="46"/>
      <c r="N19" s="46"/>
      <c r="O19" s="46"/>
      <c r="P19" s="46"/>
      <c r="Q19" s="46"/>
      <c r="R19" s="46"/>
      <c r="S19" s="46"/>
    </row>
    <row r="20" spans="1:19" x14ac:dyDescent="0.3">
      <c r="A20" s="46"/>
      <c r="B20" s="46"/>
      <c r="C20" s="46"/>
      <c r="D20" s="46"/>
      <c r="E20" s="46"/>
      <c r="F20" s="46"/>
      <c r="G20" s="46"/>
      <c r="H20" s="46"/>
      <c r="I20" s="46"/>
      <c r="J20" s="46"/>
      <c r="K20" s="46"/>
      <c r="L20" s="46"/>
      <c r="M20" s="46"/>
      <c r="N20" s="46"/>
      <c r="O20" s="46"/>
      <c r="P20" s="46"/>
      <c r="Q20" s="46"/>
      <c r="R20" s="46"/>
      <c r="S20" s="46"/>
    </row>
    <row r="21" spans="1:19" x14ac:dyDescent="0.3">
      <c r="A21" s="46"/>
      <c r="B21" s="46"/>
      <c r="C21" s="46"/>
      <c r="D21" s="46"/>
      <c r="E21" s="46"/>
      <c r="F21" s="46"/>
      <c r="G21" s="46"/>
      <c r="H21" s="46"/>
      <c r="I21" s="46"/>
      <c r="J21" s="46"/>
      <c r="K21" s="46"/>
      <c r="L21" s="46"/>
      <c r="M21" s="46"/>
      <c r="N21" s="46"/>
      <c r="O21" s="46"/>
      <c r="P21" s="46"/>
      <c r="Q21" s="46"/>
      <c r="R21" s="46"/>
      <c r="S21" s="46"/>
    </row>
    <row r="22" spans="1:19" x14ac:dyDescent="0.3">
      <c r="A22" s="46"/>
      <c r="B22" s="46"/>
      <c r="C22" s="46"/>
      <c r="D22" s="46"/>
      <c r="E22" s="46"/>
      <c r="F22" s="46"/>
      <c r="G22" s="46"/>
      <c r="H22" s="46"/>
      <c r="I22" s="46"/>
      <c r="J22" s="46"/>
      <c r="K22" s="46"/>
      <c r="L22" s="46"/>
      <c r="M22" s="46"/>
      <c r="N22" s="46"/>
      <c r="O22" s="46"/>
      <c r="P22" s="46"/>
      <c r="Q22" s="46"/>
      <c r="R22" s="46"/>
      <c r="S22" s="46"/>
    </row>
    <row r="23" spans="1:19" x14ac:dyDescent="0.3">
      <c r="A23" s="46"/>
      <c r="B23" s="46"/>
      <c r="C23" s="46"/>
      <c r="D23" s="46"/>
      <c r="E23" s="46"/>
      <c r="F23" s="46"/>
      <c r="G23" s="46"/>
      <c r="H23" s="46"/>
      <c r="I23" s="46"/>
      <c r="J23" s="46"/>
      <c r="K23" s="46"/>
      <c r="L23" s="46"/>
      <c r="M23" s="46"/>
      <c r="N23" s="46"/>
      <c r="O23" s="46"/>
      <c r="P23" s="46"/>
      <c r="Q23" s="46"/>
      <c r="R23" s="46"/>
      <c r="S23" s="46"/>
    </row>
    <row r="24" spans="1:19" x14ac:dyDescent="0.3">
      <c r="A24" s="46"/>
      <c r="B24" s="46"/>
      <c r="C24" s="46"/>
      <c r="D24" s="46"/>
      <c r="E24" s="46"/>
      <c r="F24" s="46"/>
      <c r="G24" s="46"/>
      <c r="H24" s="46"/>
      <c r="I24" s="46"/>
      <c r="J24" s="46"/>
      <c r="K24" s="46"/>
      <c r="L24" s="46"/>
      <c r="M24" s="46"/>
      <c r="N24" s="46"/>
      <c r="O24" s="46"/>
      <c r="P24" s="46"/>
      <c r="Q24" s="46"/>
      <c r="R24" s="46"/>
      <c r="S24" s="46"/>
    </row>
    <row r="25" spans="1:19" x14ac:dyDescent="0.3">
      <c r="A25" s="46"/>
      <c r="B25" s="46"/>
      <c r="C25" s="46"/>
      <c r="D25" s="46"/>
      <c r="E25" s="46"/>
      <c r="F25" s="46"/>
      <c r="G25" s="46"/>
      <c r="H25" s="46"/>
      <c r="I25" s="46"/>
      <c r="J25" s="46"/>
      <c r="K25" s="46"/>
      <c r="L25" s="46"/>
      <c r="M25" s="46"/>
      <c r="N25" s="46"/>
      <c r="O25" s="46"/>
      <c r="P25" s="46"/>
      <c r="Q25" s="46"/>
      <c r="R25" s="46"/>
      <c r="S25" s="46"/>
    </row>
    <row r="26" spans="1:19" x14ac:dyDescent="0.3">
      <c r="A26" s="46"/>
      <c r="B26" s="46"/>
      <c r="C26" s="46"/>
      <c r="D26" s="46"/>
      <c r="E26" s="46"/>
      <c r="F26" s="46"/>
      <c r="G26" s="46"/>
      <c r="H26" s="46"/>
      <c r="I26" s="46"/>
      <c r="J26" s="46"/>
      <c r="K26" s="46"/>
      <c r="L26" s="46"/>
      <c r="M26" s="46"/>
      <c r="N26" s="46"/>
      <c r="O26" s="46"/>
      <c r="P26" s="46"/>
      <c r="Q26" s="46"/>
      <c r="R26" s="46"/>
      <c r="S26" s="46"/>
    </row>
    <row r="27" spans="1:19" x14ac:dyDescent="0.3">
      <c r="A27" s="46"/>
      <c r="B27" s="46"/>
      <c r="C27" s="46"/>
      <c r="D27" s="46"/>
      <c r="E27" s="46"/>
      <c r="F27" s="46"/>
      <c r="G27" s="46"/>
      <c r="H27" s="46"/>
      <c r="I27" s="46"/>
      <c r="J27" s="46"/>
      <c r="K27" s="46"/>
      <c r="L27" s="46"/>
      <c r="M27" s="46"/>
      <c r="N27" s="46"/>
      <c r="O27" s="46"/>
      <c r="P27" s="46"/>
      <c r="Q27" s="46"/>
      <c r="R27" s="46"/>
      <c r="S27" s="46"/>
    </row>
    <row r="28" spans="1:19" x14ac:dyDescent="0.3">
      <c r="A28" s="46"/>
      <c r="B28" s="46"/>
      <c r="C28" s="46"/>
      <c r="D28" s="46"/>
      <c r="E28" s="46"/>
      <c r="F28" s="46"/>
      <c r="G28" s="46"/>
      <c r="H28" s="46"/>
      <c r="I28" s="46"/>
      <c r="J28" s="46"/>
      <c r="K28" s="46"/>
      <c r="L28" s="46"/>
      <c r="M28" s="46"/>
      <c r="N28" s="46"/>
      <c r="O28" s="46"/>
      <c r="P28" s="46"/>
      <c r="Q28" s="46"/>
      <c r="R28" s="46"/>
      <c r="S28" s="46"/>
    </row>
    <row r="29" spans="1:19" x14ac:dyDescent="0.3">
      <c r="A29" s="46"/>
      <c r="B29" s="46"/>
      <c r="C29" s="46"/>
      <c r="D29" s="46"/>
      <c r="E29" s="46"/>
      <c r="F29" s="46"/>
      <c r="G29" s="46"/>
      <c r="H29" s="46"/>
      <c r="I29" s="46"/>
      <c r="J29" s="46"/>
      <c r="K29" s="46"/>
      <c r="L29" s="46"/>
      <c r="M29" s="46"/>
      <c r="N29" s="46"/>
      <c r="O29" s="46"/>
      <c r="P29" s="46"/>
      <c r="Q29" s="46"/>
      <c r="R29" s="46"/>
      <c r="S29" s="46"/>
    </row>
    <row r="30" spans="1:19" x14ac:dyDescent="0.3">
      <c r="A30" s="46"/>
      <c r="B30" s="46"/>
      <c r="C30" s="46"/>
      <c r="D30" s="46"/>
      <c r="E30" s="46"/>
      <c r="F30" s="46"/>
      <c r="G30" s="46"/>
      <c r="H30" s="46"/>
      <c r="I30" s="46"/>
      <c r="J30" s="46"/>
      <c r="K30" s="46"/>
      <c r="L30" s="46"/>
      <c r="M30" s="46"/>
      <c r="N30" s="46"/>
      <c r="O30" s="46"/>
      <c r="P30" s="46"/>
      <c r="Q30" s="46"/>
      <c r="R30" s="46"/>
      <c r="S30" s="46"/>
    </row>
    <row r="31" spans="1:19" x14ac:dyDescent="0.3">
      <c r="A31" s="46"/>
      <c r="B31" s="46"/>
      <c r="C31" s="46"/>
      <c r="D31" s="46"/>
      <c r="E31" s="46"/>
      <c r="F31" s="46"/>
      <c r="G31" s="46"/>
      <c r="H31" s="46"/>
      <c r="I31" s="46"/>
      <c r="J31" s="46"/>
      <c r="K31" s="46"/>
      <c r="L31" s="46"/>
      <c r="M31" s="46"/>
      <c r="N31" s="46"/>
      <c r="O31" s="46"/>
      <c r="P31" s="46"/>
      <c r="Q31" s="46"/>
      <c r="R31" s="46"/>
      <c r="S31" s="46"/>
    </row>
    <row r="32" spans="1:19" x14ac:dyDescent="0.3">
      <c r="A32" s="46"/>
      <c r="B32" s="46"/>
      <c r="C32" s="46"/>
      <c r="D32" s="46"/>
      <c r="E32" s="46"/>
      <c r="F32" s="46"/>
      <c r="G32" s="46"/>
      <c r="H32" s="46"/>
      <c r="I32" s="46"/>
      <c r="J32" s="46"/>
      <c r="K32" s="46"/>
      <c r="L32" s="46"/>
      <c r="M32" s="46"/>
      <c r="N32" s="46"/>
      <c r="O32" s="46"/>
      <c r="P32" s="46"/>
      <c r="Q32" s="46"/>
      <c r="R32" s="46"/>
      <c r="S32" s="46"/>
    </row>
    <row r="33" spans="1:19" x14ac:dyDescent="0.3">
      <c r="A33" s="46"/>
      <c r="B33" s="46"/>
      <c r="C33" s="46"/>
      <c r="D33" s="46"/>
      <c r="E33" s="46"/>
      <c r="F33" s="46"/>
      <c r="G33" s="46"/>
      <c r="H33" s="46"/>
      <c r="I33" s="46"/>
      <c r="J33" s="46"/>
      <c r="K33" s="46"/>
      <c r="L33" s="46"/>
      <c r="M33" s="46"/>
      <c r="N33" s="46"/>
      <c r="O33" s="46"/>
      <c r="P33" s="46"/>
      <c r="Q33" s="46"/>
      <c r="R33" s="46"/>
      <c r="S33" s="46"/>
    </row>
    <row r="34" spans="1:19" x14ac:dyDescent="0.3">
      <c r="A34" s="46"/>
      <c r="B34" s="46"/>
      <c r="C34" s="46"/>
      <c r="D34" s="46"/>
      <c r="E34" s="46"/>
      <c r="F34" s="46"/>
      <c r="G34" s="46"/>
      <c r="H34" s="46"/>
      <c r="I34" s="46"/>
      <c r="J34" s="46"/>
      <c r="K34" s="46"/>
      <c r="L34" s="46"/>
      <c r="M34" s="46"/>
      <c r="N34" s="46"/>
      <c r="O34" s="46"/>
      <c r="P34" s="46"/>
      <c r="Q34" s="46"/>
      <c r="R34" s="46"/>
      <c r="S34" s="46"/>
    </row>
    <row r="35" spans="1:19" x14ac:dyDescent="0.3">
      <c r="A35" s="46"/>
      <c r="B35" s="46"/>
      <c r="C35" s="46"/>
      <c r="D35" s="46"/>
      <c r="E35" s="46"/>
      <c r="F35" s="46"/>
      <c r="G35" s="46"/>
      <c r="H35" s="46"/>
      <c r="I35" s="46"/>
      <c r="J35" s="46"/>
      <c r="K35" s="46"/>
      <c r="L35" s="46"/>
      <c r="M35" s="46"/>
      <c r="N35" s="46"/>
      <c r="O35" s="46"/>
      <c r="P35" s="46"/>
      <c r="Q35" s="46"/>
      <c r="R35" s="46"/>
      <c r="S35" s="46"/>
    </row>
    <row r="36" spans="1:19" x14ac:dyDescent="0.3">
      <c r="A36" s="46"/>
      <c r="B36" s="46"/>
      <c r="C36" s="46"/>
      <c r="D36" s="46"/>
      <c r="E36" s="46"/>
      <c r="F36" s="46"/>
      <c r="G36" s="46"/>
      <c r="H36" s="46"/>
      <c r="I36" s="46"/>
      <c r="J36" s="46"/>
      <c r="K36" s="46"/>
      <c r="L36" s="46"/>
      <c r="M36" s="46"/>
      <c r="N36" s="46"/>
      <c r="O36" s="46"/>
      <c r="P36" s="46"/>
      <c r="Q36" s="46"/>
      <c r="R36" s="46"/>
      <c r="S36" s="46"/>
    </row>
    <row r="37" spans="1:19" x14ac:dyDescent="0.3">
      <c r="A37" s="46"/>
      <c r="B37" s="46"/>
      <c r="C37" s="46"/>
      <c r="D37" s="46"/>
      <c r="E37" s="46"/>
      <c r="F37" s="46"/>
      <c r="G37" s="46"/>
      <c r="H37" s="46"/>
      <c r="I37" s="46"/>
      <c r="J37" s="46"/>
      <c r="K37" s="46"/>
      <c r="L37" s="46"/>
      <c r="M37" s="46"/>
      <c r="N37" s="46"/>
      <c r="O37" s="46"/>
      <c r="P37" s="46"/>
      <c r="Q37" s="46"/>
      <c r="R37" s="46"/>
      <c r="S37" s="46"/>
    </row>
    <row r="38" spans="1:19" x14ac:dyDescent="0.3">
      <c r="A38" s="46"/>
      <c r="B38" s="46"/>
      <c r="C38" s="46"/>
      <c r="D38" s="46"/>
      <c r="E38" s="46"/>
      <c r="F38" s="46"/>
      <c r="G38" s="46"/>
      <c r="H38" s="46"/>
      <c r="I38" s="46"/>
      <c r="J38" s="46"/>
      <c r="K38" s="46"/>
      <c r="L38" s="46"/>
      <c r="M38" s="46"/>
      <c r="N38" s="46"/>
      <c r="O38" s="46"/>
      <c r="P38" s="46"/>
      <c r="Q38" s="46"/>
      <c r="R38" s="46"/>
      <c r="S38" s="46"/>
    </row>
    <row r="39" spans="1:19" x14ac:dyDescent="0.3">
      <c r="A39" s="46"/>
      <c r="B39" s="46"/>
      <c r="C39" s="46"/>
      <c r="D39" s="46"/>
      <c r="E39" s="46"/>
      <c r="F39" s="46"/>
      <c r="G39" s="46"/>
      <c r="H39" s="46"/>
      <c r="I39" s="46"/>
      <c r="J39" s="46"/>
      <c r="K39" s="46"/>
      <c r="L39" s="46"/>
      <c r="M39" s="46"/>
      <c r="N39" s="46"/>
      <c r="O39" s="46"/>
      <c r="P39" s="46"/>
      <c r="Q39" s="46"/>
      <c r="R39" s="46"/>
      <c r="S39" s="46"/>
    </row>
    <row r="40" spans="1:19" x14ac:dyDescent="0.3">
      <c r="A40" s="46"/>
      <c r="B40" s="46"/>
      <c r="C40" s="46"/>
      <c r="D40" s="46"/>
      <c r="E40" s="46"/>
      <c r="F40" s="46"/>
      <c r="G40" s="46"/>
      <c r="H40" s="46"/>
      <c r="I40" s="46"/>
      <c r="J40" s="46"/>
      <c r="K40" s="46"/>
      <c r="L40" s="46"/>
      <c r="M40" s="46"/>
      <c r="N40" s="46"/>
      <c r="O40" s="46"/>
      <c r="P40" s="46"/>
      <c r="Q40" s="46"/>
      <c r="R40" s="46"/>
      <c r="S40" s="46"/>
    </row>
    <row r="41" spans="1:19" x14ac:dyDescent="0.3">
      <c r="A41" s="46"/>
      <c r="B41" s="46"/>
      <c r="C41" s="46"/>
      <c r="D41" s="46"/>
      <c r="E41" s="46"/>
      <c r="F41" s="46"/>
      <c r="G41" s="46"/>
      <c r="H41" s="46"/>
      <c r="I41" s="46"/>
      <c r="J41" s="46"/>
      <c r="K41" s="46"/>
      <c r="L41" s="46"/>
      <c r="M41" s="46"/>
      <c r="N41" s="46"/>
      <c r="O41" s="46"/>
      <c r="P41" s="46"/>
      <c r="Q41" s="46"/>
      <c r="R41" s="46"/>
      <c r="S41" s="46"/>
    </row>
    <row r="42" spans="1:19" x14ac:dyDescent="0.3">
      <c r="A42" s="46"/>
      <c r="B42" s="46"/>
      <c r="C42" s="46"/>
      <c r="D42" s="46"/>
      <c r="E42" s="46"/>
      <c r="F42" s="46"/>
      <c r="G42" s="46"/>
      <c r="H42" s="46"/>
      <c r="I42" s="46"/>
      <c r="J42" s="46"/>
      <c r="K42" s="46"/>
      <c r="L42" s="46"/>
      <c r="M42" s="46"/>
      <c r="N42" s="46"/>
      <c r="O42" s="46"/>
      <c r="P42" s="46"/>
      <c r="Q42" s="46"/>
      <c r="R42" s="46"/>
      <c r="S42" s="46"/>
    </row>
    <row r="43" spans="1:19" x14ac:dyDescent="0.3">
      <c r="A43" s="46"/>
      <c r="B43" s="46"/>
      <c r="C43" s="46"/>
      <c r="D43" s="46"/>
      <c r="E43" s="46"/>
      <c r="F43" s="46"/>
      <c r="G43" s="46"/>
      <c r="H43" s="46"/>
      <c r="I43" s="46"/>
      <c r="J43" s="46"/>
      <c r="K43" s="46"/>
      <c r="L43" s="46"/>
      <c r="M43" s="46"/>
      <c r="N43" s="46"/>
      <c r="O43" s="46"/>
      <c r="P43" s="46"/>
      <c r="Q43" s="46"/>
      <c r="R43" s="46"/>
      <c r="S43" s="46"/>
    </row>
    <row r="44" spans="1:19" x14ac:dyDescent="0.3">
      <c r="A44" s="46"/>
      <c r="B44" s="46"/>
      <c r="C44" s="46"/>
      <c r="D44" s="46"/>
      <c r="E44" s="46"/>
      <c r="F44" s="46"/>
      <c r="G44" s="46"/>
      <c r="H44" s="46"/>
      <c r="I44" s="46"/>
      <c r="J44" s="46"/>
      <c r="K44" s="46"/>
      <c r="L44" s="46"/>
      <c r="M44" s="46"/>
      <c r="N44" s="46"/>
      <c r="O44" s="46"/>
      <c r="P44" s="46"/>
      <c r="Q44" s="46"/>
      <c r="R44" s="46"/>
      <c r="S44" s="46"/>
    </row>
    <row r="45" spans="1:19" x14ac:dyDescent="0.3">
      <c r="A45" s="46"/>
      <c r="B45" s="46"/>
      <c r="C45" s="46"/>
      <c r="D45" s="46"/>
      <c r="E45" s="46"/>
      <c r="F45" s="46"/>
      <c r="G45" s="46"/>
      <c r="H45" s="46"/>
      <c r="I45" s="46"/>
      <c r="J45" s="46"/>
      <c r="K45" s="46"/>
      <c r="L45" s="46"/>
      <c r="M45" s="46"/>
      <c r="N45" s="46"/>
      <c r="O45" s="46"/>
      <c r="P45" s="46"/>
      <c r="Q45" s="46"/>
      <c r="R45" s="46"/>
      <c r="S45" s="46"/>
    </row>
    <row r="46" spans="1:19" x14ac:dyDescent="0.3">
      <c r="A46" s="46"/>
      <c r="B46" s="46"/>
      <c r="C46" s="46"/>
      <c r="D46" s="46"/>
      <c r="E46" s="46"/>
      <c r="F46" s="46"/>
      <c r="G46" s="46"/>
      <c r="H46" s="46"/>
      <c r="I46" s="46"/>
      <c r="J46" s="46"/>
      <c r="K46" s="46"/>
      <c r="L46" s="46"/>
      <c r="M46" s="46"/>
      <c r="N46" s="46"/>
      <c r="O46" s="46"/>
      <c r="P46" s="46"/>
      <c r="Q46" s="46"/>
      <c r="R46" s="46"/>
      <c r="S46" s="46"/>
    </row>
    <row r="47" spans="1:19" x14ac:dyDescent="0.3">
      <c r="A47" s="46"/>
      <c r="B47" s="46"/>
      <c r="C47" s="46"/>
      <c r="D47" s="46"/>
      <c r="E47" s="46"/>
      <c r="F47" s="46"/>
      <c r="G47" s="46"/>
      <c r="H47" s="46"/>
      <c r="I47" s="46"/>
      <c r="J47" s="46"/>
      <c r="K47" s="46"/>
      <c r="L47" s="46"/>
      <c r="M47" s="46"/>
      <c r="N47" s="46"/>
      <c r="O47" s="46"/>
      <c r="P47" s="46"/>
      <c r="Q47" s="46"/>
      <c r="R47" s="46"/>
      <c r="S47" s="46"/>
    </row>
    <row r="48" spans="1:19" x14ac:dyDescent="0.3">
      <c r="A48" s="46"/>
      <c r="B48" s="46"/>
      <c r="C48" s="46"/>
      <c r="D48" s="46"/>
      <c r="E48" s="46"/>
      <c r="F48" s="46"/>
      <c r="G48" s="46"/>
      <c r="H48" s="46"/>
      <c r="I48" s="46"/>
      <c r="J48" s="46"/>
      <c r="K48" s="46"/>
      <c r="L48" s="46"/>
      <c r="M48" s="46"/>
      <c r="N48" s="46"/>
      <c r="O48" s="46"/>
      <c r="P48" s="46"/>
      <c r="Q48" s="46"/>
      <c r="R48" s="46"/>
      <c r="S48" s="46"/>
    </row>
    <row r="49" spans="1:19" x14ac:dyDescent="0.3">
      <c r="A49" s="46"/>
      <c r="B49" s="46"/>
      <c r="C49" s="46"/>
      <c r="D49" s="46"/>
      <c r="E49" s="46"/>
      <c r="F49" s="46"/>
      <c r="G49" s="46"/>
      <c r="H49" s="46"/>
      <c r="I49" s="46"/>
      <c r="J49" s="46"/>
      <c r="K49" s="46"/>
      <c r="L49" s="46"/>
      <c r="M49" s="46"/>
      <c r="N49" s="46"/>
      <c r="O49" s="46"/>
      <c r="P49" s="46"/>
      <c r="Q49" s="46"/>
      <c r="R49" s="46"/>
      <c r="S49" s="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inputs¦BandT</vt:lpstr>
      <vt:lpstr>inputs¦Engineering</vt:lpstr>
      <vt:lpstr>inputs¦other</vt:lpstr>
      <vt:lpstr>inputs│RIN</vt:lpstr>
      <vt:lpstr>calculation¦capex</vt:lpstr>
      <vt:lpstr>calculation¦RBP capex</vt:lpstr>
      <vt:lpstr>calculation¦real dollars</vt:lpstr>
      <vt:lpstr>Calculation│RIN</vt:lpstr>
      <vt:lpstr>Outputs│PTRM</vt:lpstr>
      <vt:lpstr>Outputs│RFM</vt:lpstr>
      <vt:lpstr>Outputs│RIN</vt:lpstr>
      <vt:lpstr>Outputs│Tables</vt:lpstr>
      <vt:lpstr>Outputs│Graphs</vt:lpstr>
      <vt:lpstr>Outputs│Tables!_Ref458591050</vt:lpstr>
      <vt:lpstr>AssetClass1</vt:lpstr>
      <vt:lpstr>AssetClass10</vt:lpstr>
      <vt:lpstr>AssetClass11</vt:lpstr>
      <vt:lpstr>AssetClass12</vt:lpstr>
      <vt:lpstr>AssetClass13</vt:lpstr>
      <vt:lpstr>AssetClass2</vt:lpstr>
      <vt:lpstr>AssetClass3</vt:lpstr>
      <vt:lpstr>AssetClass4</vt:lpstr>
      <vt:lpstr>AssetClass5</vt:lpstr>
      <vt:lpstr>AssetClass6</vt:lpstr>
      <vt:lpstr>AssetClass7</vt:lpstr>
      <vt:lpstr>AssetClass8</vt:lpstr>
      <vt:lpstr>AssetClass9</vt:lpstr>
      <vt:lpstr>corporateallocation</vt:lpstr>
      <vt:lpstr>InflationAdjustment</vt:lpstr>
      <vt:lpstr>'inputs¦BandT'!Portfolio_Roadmap_updated_April_2016</vt:lpstr>
      <vt:lpstr>'inputs¦BandT'!Print_Area</vt:lpstr>
      <vt:lpstr>Outputs│PTRM!Print_Area</vt:lpstr>
      <vt:lpstr>'inputs¦Engineering'!Print_Titles</vt:lpstr>
    </vt:vector>
  </TitlesOfParts>
  <Company>APA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Mark</dc:creator>
  <cp:lastModifiedBy>Allen, Mark</cp:lastModifiedBy>
  <cp:lastPrinted>2016-07-20T00:01:39Z</cp:lastPrinted>
  <dcterms:created xsi:type="dcterms:W3CDTF">2016-06-01T05:04:09Z</dcterms:created>
  <dcterms:modified xsi:type="dcterms:W3CDTF">2016-09-01T00:28:23Z</dcterms:modified>
</cp:coreProperties>
</file>