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45" windowWidth="18195" windowHeight="8685" tabRatio="871" activeTab="1"/>
  </bookViews>
  <sheets>
    <sheet name="Instructions" sheetId="15" r:id="rId1"/>
    <sheet name="DNSP Data Inputs 2011-15" sheetId="16" r:id="rId2"/>
    <sheet name="Data 2006-08" sheetId="3" r:id="rId3"/>
    <sheet name="Data 2009-10" sheetId="19" r:id="rId4"/>
    <sheet name="Data 2009-15 (Real $2008)" sheetId="4" r:id="rId5"/>
    <sheet name="Tariff Compliance" sheetId="14" r:id="rId6"/>
    <sheet name="AMI Building Blocks 2009-15" sheetId="13" r:id="rId7"/>
    <sheet name="AMI Tax Depn 2009-15" sheetId="17" r:id="rId8"/>
    <sheet name="AMI RAB 2009-15" sheetId="12" r:id="rId9"/>
    <sheet name="Offset of Costs and Rev 2006-08" sheetId="8" r:id="rId10"/>
    <sheet name="IMRO Decision 2006-10" sheetId="6" r:id="rId11"/>
  </sheets>
  <definedNames>
    <definedName name="conv" localSheetId="0">Instructions!$B$14</definedName>
    <definedName name="conv">#REF!</definedName>
    <definedName name="_xlnm.Print_Area" localSheetId="3">'Data 2009-10'!$A$1:$L$125</definedName>
    <definedName name="_xlnm.Print_Area" localSheetId="4">'Data 2009-15 (Real $2008)'!$A$1:$L$125</definedName>
    <definedName name="_xlnm.Print_Area" localSheetId="1">'DNSP Data Inputs 2011-15'!$A$1:$L$120</definedName>
    <definedName name="_xlnm.Print_Area" localSheetId="0">Instructions!$A$3:$G$13</definedName>
  </definedNames>
  <calcPr calcId="145621"/>
</workbook>
</file>

<file path=xl/calcChain.xml><?xml version="1.0" encoding="utf-8"?>
<calcChain xmlns="http://schemas.openxmlformats.org/spreadsheetml/2006/main">
  <c r="G112" i="16" l="1"/>
  <c r="G114" i="4" l="1"/>
  <c r="G113" i="4"/>
  <c r="G112" i="4"/>
  <c r="G116" i="16" l="1"/>
  <c r="G115" i="16"/>
  <c r="G114" i="16"/>
  <c r="G113" i="16"/>
  <c r="G111" i="16"/>
  <c r="G110" i="16"/>
  <c r="G109" i="16"/>
  <c r="G108" i="16"/>
  <c r="G107" i="16"/>
  <c r="G106" i="16"/>
  <c r="G102" i="16"/>
  <c r="G101" i="16"/>
  <c r="G100" i="16"/>
  <c r="G99" i="16"/>
  <c r="G98" i="16"/>
  <c r="G97" i="16"/>
  <c r="G96" i="16"/>
  <c r="G95" i="16"/>
  <c r="G94" i="16"/>
  <c r="G93" i="16"/>
  <c r="G92" i="16"/>
  <c r="G88" i="16"/>
  <c r="G87" i="16"/>
  <c r="G86" i="16"/>
  <c r="G85" i="16"/>
  <c r="G84" i="16"/>
  <c r="G83" i="16"/>
  <c r="G82" i="16"/>
  <c r="G78" i="16"/>
  <c r="G77" i="16"/>
  <c r="G76" i="16"/>
  <c r="G75" i="16"/>
  <c r="G74" i="16"/>
  <c r="G73" i="16"/>
  <c r="G72" i="16"/>
  <c r="I2" i="16"/>
  <c r="J2" i="16" s="1"/>
  <c r="J48" i="4"/>
  <c r="I48" i="4"/>
  <c r="H48" i="4"/>
  <c r="G48" i="4"/>
  <c r="J47" i="4"/>
  <c r="I47" i="4"/>
  <c r="H47" i="4"/>
  <c r="G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J39" i="4"/>
  <c r="I39" i="4"/>
  <c r="H39" i="4"/>
  <c r="G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J34" i="4"/>
  <c r="I34" i="4"/>
  <c r="H34" i="4"/>
  <c r="G34" i="4"/>
  <c r="J23" i="4"/>
  <c r="I23" i="4"/>
  <c r="H23" i="4"/>
  <c r="G23" i="4"/>
  <c r="N147" i="4"/>
  <c r="G144" i="4" s="1"/>
  <c r="E55" i="4"/>
  <c r="E23" i="4"/>
  <c r="E48" i="4"/>
  <c r="E47" i="4"/>
  <c r="E46" i="4"/>
  <c r="E45" i="4"/>
  <c r="E44" i="4"/>
  <c r="E43" i="4"/>
  <c r="E39" i="4"/>
  <c r="E38" i="4"/>
  <c r="E37" i="4"/>
  <c r="E36" i="4"/>
  <c r="E35" i="4"/>
  <c r="E40" i="4" s="1"/>
  <c r="E34" i="4"/>
  <c r="E15" i="4"/>
  <c r="E14" i="4"/>
  <c r="E13" i="4"/>
  <c r="E12" i="4"/>
  <c r="E11" i="4"/>
  <c r="E10" i="4"/>
  <c r="E60" i="4"/>
  <c r="F60" i="4"/>
  <c r="F8" i="14" s="1"/>
  <c r="F59" i="16"/>
  <c r="I10" i="4" l="1"/>
  <c r="H55" i="4"/>
  <c r="J15" i="4"/>
  <c r="J13" i="4"/>
  <c r="J11" i="4"/>
  <c r="J31" i="12" s="1"/>
  <c r="I15" i="4"/>
  <c r="I71" i="12" s="1"/>
  <c r="I13" i="4"/>
  <c r="I11" i="4"/>
  <c r="H15" i="4"/>
  <c r="H13" i="4"/>
  <c r="H11" i="4"/>
  <c r="G15" i="4"/>
  <c r="G13" i="4"/>
  <c r="G11" i="4"/>
  <c r="G31" i="12" s="1"/>
  <c r="J14" i="4"/>
  <c r="J12" i="4"/>
  <c r="J10" i="4"/>
  <c r="I14" i="4"/>
  <c r="I25" i="4" s="1"/>
  <c r="I12" i="4"/>
  <c r="H14" i="4"/>
  <c r="H12" i="4"/>
  <c r="H10" i="4"/>
  <c r="H21" i="12" s="1"/>
  <c r="G55" i="4"/>
  <c r="G14" i="4"/>
  <c r="G61" i="12" s="1"/>
  <c r="G12" i="4"/>
  <c r="G41" i="12" s="1"/>
  <c r="G10" i="4"/>
  <c r="Q116" i="4"/>
  <c r="N74" i="14" s="1"/>
  <c r="J116" i="4"/>
  <c r="H74" i="14" s="1"/>
  <c r="I116" i="4"/>
  <c r="G74" i="14" s="1"/>
  <c r="H116" i="4"/>
  <c r="F74" i="14" s="1"/>
  <c r="E74" i="14"/>
  <c r="N115" i="4"/>
  <c r="K73" i="14" s="1"/>
  <c r="J115" i="4"/>
  <c r="H73" i="14" s="1"/>
  <c r="I115" i="4"/>
  <c r="G73" i="14" s="1"/>
  <c r="H115" i="4"/>
  <c r="F73" i="14" s="1"/>
  <c r="H114" i="4"/>
  <c r="F72" i="14" s="1"/>
  <c r="E72" i="14"/>
  <c r="J113" i="4"/>
  <c r="H71" i="14" s="1"/>
  <c r="I113" i="4"/>
  <c r="G71" i="14" s="1"/>
  <c r="H113" i="4"/>
  <c r="F71" i="14" s="1"/>
  <c r="H112" i="4"/>
  <c r="F70" i="14" s="1"/>
  <c r="E70" i="14"/>
  <c r="Q111" i="4"/>
  <c r="N69" i="14" s="1"/>
  <c r="P111" i="4"/>
  <c r="M69" i="14" s="1"/>
  <c r="O111" i="4"/>
  <c r="L69" i="14" s="1"/>
  <c r="I111" i="4"/>
  <c r="G69" i="14" s="1"/>
  <c r="H111" i="4"/>
  <c r="F69" i="14" s="1"/>
  <c r="E69" i="14"/>
  <c r="Q110" i="4"/>
  <c r="N68" i="14" s="1"/>
  <c r="P110" i="4"/>
  <c r="M68" i="14" s="1"/>
  <c r="J110" i="4"/>
  <c r="H68" i="14" s="1"/>
  <c r="I110" i="4"/>
  <c r="G68" i="14" s="1"/>
  <c r="H110" i="4"/>
  <c r="F68" i="14" s="1"/>
  <c r="E68" i="14"/>
  <c r="Q109" i="4"/>
  <c r="N67" i="14" s="1"/>
  <c r="J109" i="4"/>
  <c r="H67" i="14" s="1"/>
  <c r="I109" i="4"/>
  <c r="G67" i="14" s="1"/>
  <c r="H109" i="4"/>
  <c r="F67" i="14" s="1"/>
  <c r="E67" i="14"/>
  <c r="N108" i="4"/>
  <c r="K66" i="14" s="1"/>
  <c r="J108" i="4"/>
  <c r="H66" i="14" s="1"/>
  <c r="I108" i="4"/>
  <c r="G66" i="14" s="1"/>
  <c r="H108" i="4"/>
  <c r="F66" i="14" s="1"/>
  <c r="O107" i="4"/>
  <c r="L65" i="14" s="1"/>
  <c r="N107" i="4"/>
  <c r="K65" i="14" s="1"/>
  <c r="J107" i="4"/>
  <c r="H65" i="14" s="1"/>
  <c r="I107" i="4"/>
  <c r="G65" i="14" s="1"/>
  <c r="P106" i="4"/>
  <c r="M64" i="14" s="1"/>
  <c r="O106" i="4"/>
  <c r="L64" i="14" s="1"/>
  <c r="J106" i="4"/>
  <c r="H64" i="14" s="1"/>
  <c r="N102" i="4"/>
  <c r="K60" i="14" s="1"/>
  <c r="J102" i="4"/>
  <c r="H60" i="14" s="1"/>
  <c r="I102" i="4"/>
  <c r="G60" i="14" s="1"/>
  <c r="H102" i="4"/>
  <c r="F60" i="14" s="1"/>
  <c r="O101" i="4"/>
  <c r="L59" i="14" s="1"/>
  <c r="N101" i="4"/>
  <c r="K59" i="14" s="1"/>
  <c r="J101" i="4"/>
  <c r="H59" i="14" s="1"/>
  <c r="I101" i="4"/>
  <c r="G59" i="14" s="1"/>
  <c r="P100" i="4"/>
  <c r="M58" i="14" s="1"/>
  <c r="O100" i="4"/>
  <c r="L58" i="14" s="1"/>
  <c r="N100" i="4"/>
  <c r="K58" i="14" s="1"/>
  <c r="J100" i="4"/>
  <c r="H58" i="14" s="1"/>
  <c r="I100" i="4"/>
  <c r="G58" i="14" s="1"/>
  <c r="Q99" i="4"/>
  <c r="N57" i="14" s="1"/>
  <c r="P99" i="4"/>
  <c r="M57" i="14" s="1"/>
  <c r="O99" i="4"/>
  <c r="L57" i="14" s="1"/>
  <c r="N99" i="4"/>
  <c r="K57" i="14" s="1"/>
  <c r="I99" i="4"/>
  <c r="G57" i="14" s="1"/>
  <c r="E57" i="14"/>
  <c r="Q98" i="4"/>
  <c r="N56" i="14" s="1"/>
  <c r="P98" i="4"/>
  <c r="M56" i="14" s="1"/>
  <c r="O98" i="4"/>
  <c r="L56" i="14" s="1"/>
  <c r="N98" i="4"/>
  <c r="K56" i="14" s="1"/>
  <c r="H98" i="4"/>
  <c r="F56" i="14" s="1"/>
  <c r="E56" i="14"/>
  <c r="Q97" i="4"/>
  <c r="N55" i="14" s="1"/>
  <c r="P97" i="4"/>
  <c r="M55" i="14" s="1"/>
  <c r="O97" i="4"/>
  <c r="L55" i="14" s="1"/>
  <c r="I97" i="4"/>
  <c r="G55" i="14" s="1"/>
  <c r="H97" i="4"/>
  <c r="F55" i="14" s="1"/>
  <c r="E55" i="14"/>
  <c r="Q96" i="4"/>
  <c r="N54" i="14" s="1"/>
  <c r="P96" i="4"/>
  <c r="M54" i="14" s="1"/>
  <c r="O96" i="4"/>
  <c r="L54" i="14" s="1"/>
  <c r="J96" i="4"/>
  <c r="H54" i="14" s="1"/>
  <c r="I96" i="4"/>
  <c r="G54" i="14" s="1"/>
  <c r="H96" i="4"/>
  <c r="F54" i="14" s="1"/>
  <c r="E54" i="14"/>
  <c r="Q95" i="4"/>
  <c r="N53" i="14" s="1"/>
  <c r="J95" i="4"/>
  <c r="H53" i="14" s="1"/>
  <c r="I95" i="4"/>
  <c r="G53" i="14" s="1"/>
  <c r="H95" i="4"/>
  <c r="F53" i="14" s="1"/>
  <c r="E53" i="14"/>
  <c r="P94" i="4"/>
  <c r="M52" i="14" s="1"/>
  <c r="N94" i="4"/>
  <c r="K52" i="14" s="1"/>
  <c r="J94" i="4"/>
  <c r="H52" i="14" s="1"/>
  <c r="I94" i="4"/>
  <c r="G52" i="14" s="1"/>
  <c r="H94" i="4"/>
  <c r="F52" i="14" s="1"/>
  <c r="O93" i="4"/>
  <c r="L51" i="14" s="1"/>
  <c r="N93" i="4"/>
  <c r="K51" i="14" s="1"/>
  <c r="J93" i="4"/>
  <c r="H51" i="14" s="1"/>
  <c r="I93" i="4"/>
  <c r="G51" i="14" s="1"/>
  <c r="P92" i="4"/>
  <c r="M50" i="14" s="1"/>
  <c r="O92" i="4"/>
  <c r="L50" i="14" s="1"/>
  <c r="N92" i="4"/>
  <c r="K50" i="14" s="1"/>
  <c r="J92" i="4"/>
  <c r="H50" i="14" s="1"/>
  <c r="P88" i="4"/>
  <c r="M46" i="14" s="1"/>
  <c r="N88" i="4"/>
  <c r="K46" i="14" s="1"/>
  <c r="J88" i="4"/>
  <c r="H46" i="14" s="1"/>
  <c r="I88" i="4"/>
  <c r="G46" i="14" s="1"/>
  <c r="H88" i="4"/>
  <c r="F46" i="14" s="1"/>
  <c r="O87" i="4"/>
  <c r="L45" i="14" s="1"/>
  <c r="N87" i="4"/>
  <c r="K45" i="14" s="1"/>
  <c r="J87" i="4"/>
  <c r="H45" i="14" s="1"/>
  <c r="I87" i="4"/>
  <c r="G45" i="14" s="1"/>
  <c r="E45" i="14"/>
  <c r="P86" i="4"/>
  <c r="M44" i="14" s="1"/>
  <c r="O86" i="4"/>
  <c r="L44" i="14" s="1"/>
  <c r="N86" i="4"/>
  <c r="K44" i="14" s="1"/>
  <c r="J86" i="4"/>
  <c r="H44" i="14" s="1"/>
  <c r="Q85" i="4"/>
  <c r="N43" i="14" s="1"/>
  <c r="P85" i="4"/>
  <c r="M43" i="14" s="1"/>
  <c r="O85" i="4"/>
  <c r="L43" i="14" s="1"/>
  <c r="N85" i="4"/>
  <c r="K43" i="14" s="1"/>
  <c r="E43" i="14"/>
  <c r="Q84" i="4"/>
  <c r="N42" i="14" s="1"/>
  <c r="P84" i="4"/>
  <c r="M42" i="14" s="1"/>
  <c r="O84" i="4"/>
  <c r="L42" i="14" s="1"/>
  <c r="N84" i="4"/>
  <c r="K42" i="14" s="1"/>
  <c r="H84" i="4"/>
  <c r="F42" i="14" s="1"/>
  <c r="E42" i="14"/>
  <c r="Q83" i="4"/>
  <c r="N41" i="14" s="1"/>
  <c r="P83" i="4"/>
  <c r="M41" i="14" s="1"/>
  <c r="O83" i="4"/>
  <c r="L41" i="14" s="1"/>
  <c r="I83" i="4"/>
  <c r="G41" i="14" s="1"/>
  <c r="H83" i="4"/>
  <c r="F41" i="14" s="1"/>
  <c r="E41" i="14"/>
  <c r="Q82" i="4"/>
  <c r="N40" i="14" s="1"/>
  <c r="P82" i="4"/>
  <c r="M40" i="14" s="1"/>
  <c r="J82" i="4"/>
  <c r="H40" i="14" s="1"/>
  <c r="I82" i="4"/>
  <c r="G40" i="14" s="1"/>
  <c r="H82" i="4"/>
  <c r="F40" i="14" s="1"/>
  <c r="E40" i="14"/>
  <c r="Q78" i="4"/>
  <c r="N36" i="14" s="1"/>
  <c r="P78" i="4"/>
  <c r="M36" i="14" s="1"/>
  <c r="O78" i="4"/>
  <c r="L36" i="14" s="1"/>
  <c r="N78" i="4"/>
  <c r="K36" i="14" s="1"/>
  <c r="H78" i="4"/>
  <c r="F36" i="14" s="1"/>
  <c r="E36" i="14"/>
  <c r="Q77" i="4"/>
  <c r="N35" i="14" s="1"/>
  <c r="P77" i="4"/>
  <c r="M35" i="14" s="1"/>
  <c r="O77" i="4"/>
  <c r="L35" i="14" s="1"/>
  <c r="I77" i="4"/>
  <c r="G35" i="14" s="1"/>
  <c r="H77" i="4"/>
  <c r="F35" i="14" s="1"/>
  <c r="E35" i="14"/>
  <c r="Q76" i="4"/>
  <c r="N34" i="14" s="1"/>
  <c r="P76" i="4"/>
  <c r="M34" i="14" s="1"/>
  <c r="J76" i="4"/>
  <c r="H34" i="14" s="1"/>
  <c r="I76" i="4"/>
  <c r="G34" i="14" s="1"/>
  <c r="H76" i="4"/>
  <c r="F34" i="14" s="1"/>
  <c r="E34" i="14"/>
  <c r="Q75" i="4"/>
  <c r="N33" i="14" s="1"/>
  <c r="P75" i="4"/>
  <c r="M33" i="14" s="1"/>
  <c r="J75" i="4"/>
  <c r="H33" i="14" s="1"/>
  <c r="I75" i="4"/>
  <c r="G33" i="14" s="1"/>
  <c r="H75" i="4"/>
  <c r="F33" i="14" s="1"/>
  <c r="E33" i="14"/>
  <c r="Q74" i="4"/>
  <c r="N32" i="14" s="1"/>
  <c r="N74" i="4"/>
  <c r="K32" i="14" s="1"/>
  <c r="J74" i="4"/>
  <c r="H32" i="14" s="1"/>
  <c r="T32" i="14" s="1"/>
  <c r="I74" i="4"/>
  <c r="G32" i="14" s="1"/>
  <c r="H74" i="4"/>
  <c r="F32" i="14" s="1"/>
  <c r="Q73" i="4"/>
  <c r="N31" i="14" s="1"/>
  <c r="O73" i="4"/>
  <c r="L31" i="14" s="1"/>
  <c r="N73" i="4"/>
  <c r="K31" i="14" s="1"/>
  <c r="J73" i="4"/>
  <c r="H31" i="14" s="1"/>
  <c r="I73" i="4"/>
  <c r="G31" i="14" s="1"/>
  <c r="P72" i="4"/>
  <c r="M30" i="14" s="1"/>
  <c r="S30" i="14" s="1"/>
  <c r="O72" i="4"/>
  <c r="L30" i="14" s="1"/>
  <c r="N72" i="4"/>
  <c r="K30" i="14" s="1"/>
  <c r="J72" i="4"/>
  <c r="H30" i="14" s="1"/>
  <c r="H73" i="12"/>
  <c r="G73" i="12"/>
  <c r="F46" i="4"/>
  <c r="F53" i="12" s="1"/>
  <c r="E53" i="12"/>
  <c r="E33" i="12"/>
  <c r="F43" i="4"/>
  <c r="F23" i="12" s="1"/>
  <c r="J52" i="12"/>
  <c r="I52" i="12"/>
  <c r="F35" i="4"/>
  <c r="E32" i="12"/>
  <c r="P116" i="4"/>
  <c r="M74" i="14" s="1"/>
  <c r="O116" i="4"/>
  <c r="L74" i="14" s="1"/>
  <c r="P115" i="4"/>
  <c r="M73" i="14" s="1"/>
  <c r="O115" i="4"/>
  <c r="L73" i="14" s="1"/>
  <c r="E73" i="14"/>
  <c r="N111" i="4"/>
  <c r="K69" i="14" s="1"/>
  <c r="J111" i="4"/>
  <c r="H69" i="14" s="1"/>
  <c r="O110" i="4"/>
  <c r="L68" i="14" s="1"/>
  <c r="N110" i="4"/>
  <c r="K68" i="14" s="1"/>
  <c r="P109" i="4"/>
  <c r="M67" i="14" s="1"/>
  <c r="O109" i="4"/>
  <c r="L67" i="14" s="1"/>
  <c r="N109" i="4"/>
  <c r="K67" i="14" s="1"/>
  <c r="Q108" i="4"/>
  <c r="N66" i="14" s="1"/>
  <c r="P108" i="4"/>
  <c r="M66" i="14"/>
  <c r="O108" i="4"/>
  <c r="L66" i="14" s="1"/>
  <c r="E66" i="14"/>
  <c r="Q107" i="4"/>
  <c r="N65" i="14" s="1"/>
  <c r="P107" i="4"/>
  <c r="M65" i="14" s="1"/>
  <c r="H107" i="4"/>
  <c r="F65" i="14" s="1"/>
  <c r="E65" i="14"/>
  <c r="Q106" i="4"/>
  <c r="N64" i="14" s="1"/>
  <c r="N106" i="4"/>
  <c r="K64" i="14" s="1"/>
  <c r="I106" i="4"/>
  <c r="G64" i="14" s="1"/>
  <c r="H106" i="4"/>
  <c r="F64" i="14" s="1"/>
  <c r="E64" i="14"/>
  <c r="Q102" i="4"/>
  <c r="N60" i="14" s="1"/>
  <c r="P102" i="4"/>
  <c r="M60" i="14" s="1"/>
  <c r="O102" i="4"/>
  <c r="L60" i="14" s="1"/>
  <c r="E60" i="14"/>
  <c r="Q101" i="4"/>
  <c r="N59" i="14" s="1"/>
  <c r="P101" i="4"/>
  <c r="M59" i="14" s="1"/>
  <c r="H101" i="4"/>
  <c r="F59" i="14" s="1"/>
  <c r="E59" i="14"/>
  <c r="Q100" i="4"/>
  <c r="N58" i="14" s="1"/>
  <c r="H100" i="4"/>
  <c r="F58" i="14" s="1"/>
  <c r="E58" i="14"/>
  <c r="J99" i="4"/>
  <c r="H57" i="14" s="1"/>
  <c r="H99" i="4"/>
  <c r="F57" i="14" s="1"/>
  <c r="J98" i="4"/>
  <c r="H56" i="14" s="1"/>
  <c r="I98" i="4"/>
  <c r="G56" i="14" s="1"/>
  <c r="N97" i="4"/>
  <c r="K55" i="14" s="1"/>
  <c r="J97" i="4"/>
  <c r="H55" i="14" s="1"/>
  <c r="N96" i="4"/>
  <c r="K54" i="14" s="1"/>
  <c r="P95" i="4"/>
  <c r="M53" i="14" s="1"/>
  <c r="O95" i="4"/>
  <c r="L53" i="14" s="1"/>
  <c r="N95" i="4"/>
  <c r="K53" i="14" s="1"/>
  <c r="Q94" i="4"/>
  <c r="N52" i="14" s="1"/>
  <c r="O94" i="4"/>
  <c r="L52" i="14" s="1"/>
  <c r="E52" i="14"/>
  <c r="Q93" i="4"/>
  <c r="N51" i="14" s="1"/>
  <c r="P93" i="4"/>
  <c r="M51" i="14" s="1"/>
  <c r="H93" i="4"/>
  <c r="F51" i="14" s="1"/>
  <c r="E51" i="14"/>
  <c r="Q92" i="4"/>
  <c r="N50" i="14" s="1"/>
  <c r="I92" i="4"/>
  <c r="G50" i="14" s="1"/>
  <c r="H92" i="4"/>
  <c r="F50" i="14" s="1"/>
  <c r="E50" i="14"/>
  <c r="Q88" i="4"/>
  <c r="N46" i="14" s="1"/>
  <c r="O88" i="4"/>
  <c r="L46" i="14" s="1"/>
  <c r="E46" i="14"/>
  <c r="Q87" i="4"/>
  <c r="N45" i="14" s="1"/>
  <c r="P87" i="4"/>
  <c r="M45" i="14" s="1"/>
  <c r="H87" i="4"/>
  <c r="F45" i="14" s="1"/>
  <c r="Q86" i="4"/>
  <c r="N44" i="14" s="1"/>
  <c r="I86" i="4"/>
  <c r="G44" i="14" s="1"/>
  <c r="S44" i="14" s="1"/>
  <c r="H86" i="4"/>
  <c r="F44" i="14" s="1"/>
  <c r="E44" i="14"/>
  <c r="J85" i="4"/>
  <c r="H43" i="14" s="1"/>
  <c r="I85" i="4"/>
  <c r="G43" i="14" s="1"/>
  <c r="H85" i="4"/>
  <c r="F43" i="14" s="1"/>
  <c r="J84" i="4"/>
  <c r="H42" i="14" s="1"/>
  <c r="I84" i="4"/>
  <c r="G42" i="14" s="1"/>
  <c r="N83" i="4"/>
  <c r="K41" i="14" s="1"/>
  <c r="J83" i="4"/>
  <c r="H41" i="14" s="1"/>
  <c r="O82" i="4"/>
  <c r="L40" i="14" s="1"/>
  <c r="N82" i="4"/>
  <c r="K40" i="14" s="1"/>
  <c r="J78" i="4"/>
  <c r="H36" i="14" s="1"/>
  <c r="I78" i="4"/>
  <c r="G36" i="14" s="1"/>
  <c r="N77" i="4"/>
  <c r="K35" i="14"/>
  <c r="J77" i="4"/>
  <c r="H35" i="14" s="1"/>
  <c r="O76" i="4"/>
  <c r="L34" i="14" s="1"/>
  <c r="N76" i="4"/>
  <c r="K34" i="14" s="1"/>
  <c r="O75" i="4"/>
  <c r="L33" i="14" s="1"/>
  <c r="N75" i="4"/>
  <c r="K33" i="14" s="1"/>
  <c r="P74" i="4"/>
  <c r="M32" i="14" s="1"/>
  <c r="O74" i="4"/>
  <c r="L32" i="14" s="1"/>
  <c r="E32" i="14"/>
  <c r="P73" i="4"/>
  <c r="M31" i="14" s="1"/>
  <c r="H73" i="4"/>
  <c r="F31" i="14" s="1"/>
  <c r="E31" i="14"/>
  <c r="Q72" i="4"/>
  <c r="N30" i="14" s="1"/>
  <c r="I72" i="4"/>
  <c r="G30" i="14" s="1"/>
  <c r="H72" i="4"/>
  <c r="F30" i="14" s="1"/>
  <c r="E30" i="14"/>
  <c r="J23" i="12"/>
  <c r="I72" i="12"/>
  <c r="H72" i="12"/>
  <c r="N116" i="4"/>
  <c r="K74" i="14" s="1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60" i="4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K27" i="14"/>
  <c r="Q27" i="14" s="1"/>
  <c r="L27" i="14"/>
  <c r="R27" i="14"/>
  <c r="M27" i="14"/>
  <c r="N27" i="14"/>
  <c r="S27" i="14"/>
  <c r="T27" i="14"/>
  <c r="A29" i="14"/>
  <c r="E29" i="14"/>
  <c r="A30" i="14"/>
  <c r="A31" i="14"/>
  <c r="A32" i="14"/>
  <c r="A33" i="14"/>
  <c r="A34" i="14"/>
  <c r="A35" i="14"/>
  <c r="A36" i="14"/>
  <c r="A39" i="14"/>
  <c r="E39" i="14"/>
  <c r="A40" i="14"/>
  <c r="A41" i="14"/>
  <c r="A42" i="14"/>
  <c r="A43" i="14"/>
  <c r="A44" i="14"/>
  <c r="A45" i="14"/>
  <c r="A46" i="14"/>
  <c r="A49" i="14"/>
  <c r="E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E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N1" i="4"/>
  <c r="N67" i="4" s="1"/>
  <c r="O1" i="4"/>
  <c r="O67" i="4" s="1"/>
  <c r="P1" i="4"/>
  <c r="Q1" i="4"/>
  <c r="N3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N68" i="4"/>
  <c r="P68" i="4"/>
  <c r="Q68" i="4"/>
  <c r="E112" i="4"/>
  <c r="F112" i="4"/>
  <c r="E113" i="4"/>
  <c r="F113" i="4"/>
  <c r="E114" i="4"/>
  <c r="F114" i="4"/>
  <c r="C128" i="4"/>
  <c r="C7" i="13"/>
  <c r="C16" i="13" s="1"/>
  <c r="C131" i="4"/>
  <c r="C8" i="13" s="1"/>
  <c r="C132" i="4"/>
  <c r="C9" i="13" s="1"/>
  <c r="C133" i="4"/>
  <c r="C139" i="4" s="1"/>
  <c r="C10" i="13"/>
  <c r="C134" i="4"/>
  <c r="H144" i="4" s="1"/>
  <c r="H22" i="13" s="1"/>
  <c r="C11" i="13"/>
  <c r="D142" i="4"/>
  <c r="E142" i="4"/>
  <c r="F142" i="4"/>
  <c r="G142" i="4"/>
  <c r="H142" i="4"/>
  <c r="I142" i="4"/>
  <c r="J142" i="4"/>
  <c r="H143" i="4"/>
  <c r="I143" i="4"/>
  <c r="J143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F27" i="19" s="1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G27" i="19" s="1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G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N1" i="16"/>
  <c r="N67" i="16" s="1"/>
  <c r="O1" i="16"/>
  <c r="O67" i="16" s="1"/>
  <c r="P1" i="16"/>
  <c r="P67" i="16" s="1"/>
  <c r="Q1" i="16"/>
  <c r="Q67" i="16" s="1"/>
  <c r="N3" i="16"/>
  <c r="N68" i="16" s="1"/>
  <c r="O3" i="16"/>
  <c r="O68" i="16" s="1"/>
  <c r="P3" i="16"/>
  <c r="P68" i="16" s="1"/>
  <c r="Q3" i="16"/>
  <c r="Q68" i="16" s="1"/>
  <c r="F7" i="16"/>
  <c r="G7" i="16"/>
  <c r="H7" i="16"/>
  <c r="I7" i="16"/>
  <c r="J7" i="16"/>
  <c r="F8" i="16"/>
  <c r="G8" i="16"/>
  <c r="H8" i="16"/>
  <c r="I8" i="16"/>
  <c r="J8" i="16"/>
  <c r="F9" i="16"/>
  <c r="G9" i="16"/>
  <c r="H9" i="16"/>
  <c r="I9" i="16"/>
  <c r="J9" i="16"/>
  <c r="F19" i="16"/>
  <c r="G19" i="16"/>
  <c r="H19" i="16"/>
  <c r="I19" i="16"/>
  <c r="J19" i="16"/>
  <c r="F20" i="16"/>
  <c r="G20" i="16"/>
  <c r="H20" i="16"/>
  <c r="I20" i="16"/>
  <c r="J20" i="16"/>
  <c r="F21" i="16"/>
  <c r="G21" i="16"/>
  <c r="H21" i="16"/>
  <c r="I21" i="16"/>
  <c r="J21" i="16"/>
  <c r="F30" i="16"/>
  <c r="G30" i="16"/>
  <c r="H30" i="16"/>
  <c r="I30" i="16"/>
  <c r="J30" i="16"/>
  <c r="F31" i="16"/>
  <c r="G31" i="16"/>
  <c r="H31" i="16"/>
  <c r="I31" i="16"/>
  <c r="J31" i="16"/>
  <c r="F32" i="16"/>
  <c r="G32" i="16"/>
  <c r="H32" i="16"/>
  <c r="I32" i="16"/>
  <c r="J32" i="16"/>
  <c r="F52" i="16"/>
  <c r="G52" i="16"/>
  <c r="H52" i="16"/>
  <c r="I52" i="16"/>
  <c r="J52" i="16"/>
  <c r="F53" i="16"/>
  <c r="G53" i="16"/>
  <c r="H53" i="16"/>
  <c r="I53" i="16"/>
  <c r="J53" i="16"/>
  <c r="F54" i="16"/>
  <c r="G54" i="16"/>
  <c r="H54" i="16"/>
  <c r="I54" i="16"/>
  <c r="J54" i="16"/>
  <c r="F58" i="16"/>
  <c r="G58" i="16"/>
  <c r="H58" i="16"/>
  <c r="I58" i="16"/>
  <c r="J58" i="16"/>
  <c r="G67" i="16"/>
  <c r="H67" i="16"/>
  <c r="I67" i="16"/>
  <c r="J67" i="16"/>
  <c r="A1" i="15"/>
  <c r="G43" i="12"/>
  <c r="F22" i="13"/>
  <c r="D39" i="4"/>
  <c r="D72" i="12"/>
  <c r="D48" i="4"/>
  <c r="D73" i="12"/>
  <c r="D38" i="4"/>
  <c r="D62" i="12" s="1"/>
  <c r="D13" i="4"/>
  <c r="D51" i="12" s="1"/>
  <c r="D35" i="4"/>
  <c r="D32" i="12" s="1"/>
  <c r="D46" i="4"/>
  <c r="D53" i="12" s="1"/>
  <c r="D14" i="4"/>
  <c r="D34" i="4"/>
  <c r="D45" i="4"/>
  <c r="D43" i="12"/>
  <c r="D43" i="4"/>
  <c r="D49" i="4" s="1"/>
  <c r="D44" i="4"/>
  <c r="D33" i="12"/>
  <c r="D47" i="4"/>
  <c r="D63" i="12"/>
  <c r="D10" i="4"/>
  <c r="D36" i="4"/>
  <c r="D42" i="12"/>
  <c r="D23" i="4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55" i="4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I63" i="12"/>
  <c r="E43" i="12"/>
  <c r="I23" i="12"/>
  <c r="I42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I112" i="4"/>
  <c r="G70" i="14" s="1"/>
  <c r="I114" i="4"/>
  <c r="G72" i="14" s="1"/>
  <c r="E71" i="14"/>
  <c r="Q114" i="4"/>
  <c r="N72" i="14" s="1"/>
  <c r="P114" i="4"/>
  <c r="M72" i="14" s="1"/>
  <c r="O114" i="4"/>
  <c r="L72" i="14" s="1"/>
  <c r="N114" i="4"/>
  <c r="K72" i="14" s="1"/>
  <c r="Q113" i="4"/>
  <c r="N71" i="14" s="1"/>
  <c r="P113" i="4"/>
  <c r="M71" i="14" s="1"/>
  <c r="O113" i="4"/>
  <c r="L71" i="14" s="1"/>
  <c r="N113" i="4"/>
  <c r="K71" i="14" s="1"/>
  <c r="Q112" i="4"/>
  <c r="N70" i="14" s="1"/>
  <c r="O112" i="4"/>
  <c r="L70" i="14" s="1"/>
  <c r="N112" i="4"/>
  <c r="K70" i="14" s="1"/>
  <c r="P112" i="4"/>
  <c r="M70" i="14" s="1"/>
  <c r="J47" i="13"/>
  <c r="I8" i="13"/>
  <c r="I6" i="13"/>
  <c r="I7" i="13"/>
  <c r="I9" i="13"/>
  <c r="I144" i="4"/>
  <c r="I26" i="16"/>
  <c r="H25" i="16"/>
  <c r="G25" i="16"/>
  <c r="I25" i="16"/>
  <c r="E41" i="12"/>
  <c r="E24" i="4"/>
  <c r="E8" i="14"/>
  <c r="E51" i="13" s="1"/>
  <c r="F11" i="4"/>
  <c r="F12" i="4"/>
  <c r="F25" i="16"/>
  <c r="F55" i="4"/>
  <c r="F10" i="4"/>
  <c r="F21" i="12" s="1"/>
  <c r="I21" i="12"/>
  <c r="G25" i="4" l="1"/>
  <c r="T60" i="14"/>
  <c r="E99" i="3"/>
  <c r="F125" i="8"/>
  <c r="F130" i="8" s="1"/>
  <c r="F50" i="3"/>
  <c r="F102" i="8" s="1"/>
  <c r="G24" i="16"/>
  <c r="J26" i="16"/>
  <c r="I24" i="16"/>
  <c r="R31" i="14"/>
  <c r="S33" i="14"/>
  <c r="S53" i="14"/>
  <c r="R50" i="14"/>
  <c r="C15" i="13"/>
  <c r="E46" i="13" s="1"/>
  <c r="T66" i="14"/>
  <c r="S67" i="14"/>
  <c r="Q59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I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Q30" i="14"/>
  <c r="E254" i="8"/>
  <c r="E150" i="8"/>
  <c r="F215" i="8" s="1"/>
  <c r="A98" i="3"/>
  <c r="A47" i="17"/>
  <c r="A20" i="17"/>
  <c r="A26" i="4"/>
  <c r="F46" i="13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H63" i="12"/>
  <c r="H43" i="12"/>
  <c r="E72" i="12"/>
  <c r="F37" i="4"/>
  <c r="F52" i="12" s="1"/>
  <c r="J63" i="12"/>
  <c r="G62" i="12"/>
  <c r="D11" i="4"/>
  <c r="J49" i="4"/>
  <c r="J8" i="12" s="1"/>
  <c r="J62" i="12"/>
  <c r="H42" i="12"/>
  <c r="I53" i="12"/>
  <c r="E52" i="12"/>
  <c r="D37" i="4"/>
  <c r="D40" i="4" s="1"/>
  <c r="D7" i="12" s="1"/>
  <c r="D52" i="13" s="1"/>
  <c r="J73" i="12"/>
  <c r="F47" i="4"/>
  <c r="F63" i="12" s="1"/>
  <c r="I33" i="12"/>
  <c r="G42" i="12"/>
  <c r="H53" i="12"/>
  <c r="J42" i="12"/>
  <c r="I73" i="12"/>
  <c r="E63" i="12"/>
  <c r="H33" i="12"/>
  <c r="H62" i="12"/>
  <c r="F36" i="4"/>
  <c r="F42" i="12" s="1"/>
  <c r="F23" i="4"/>
  <c r="F17" i="17" s="1"/>
  <c r="F32" i="17" s="1"/>
  <c r="F45" i="4"/>
  <c r="F43" i="12" s="1"/>
  <c r="I32" i="12"/>
  <c r="D15" i="4"/>
  <c r="D12" i="4"/>
  <c r="C14" i="13"/>
  <c r="U57" i="17"/>
  <c r="U39" i="12"/>
  <c r="U49" i="12"/>
  <c r="U237" i="12"/>
  <c r="U19" i="12"/>
  <c r="U131" i="12"/>
  <c r="U225" i="12"/>
  <c r="U59" i="12"/>
  <c r="N103" i="12"/>
  <c r="N87" i="12"/>
  <c r="H23" i="12"/>
  <c r="H52" i="12"/>
  <c r="J43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34" i="4"/>
  <c r="F22" i="12" s="1"/>
  <c r="F38" i="4"/>
  <c r="F62" i="12" s="1"/>
  <c r="J53" i="12"/>
  <c r="T35" i="14"/>
  <c r="D50" i="3"/>
  <c r="D279" i="8"/>
  <c r="D27" i="19"/>
  <c r="D426" i="6"/>
  <c r="H32" i="12"/>
  <c r="G22" i="12"/>
  <c r="F39" i="4"/>
  <c r="F72" i="12" s="1"/>
  <c r="E73" i="12"/>
  <c r="Q50" i="14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J22" i="12"/>
  <c r="F48" i="4"/>
  <c r="F73" i="12" s="1"/>
  <c r="K4" i="8"/>
  <c r="M49" i="12"/>
  <c r="G19" i="12"/>
  <c r="S39" i="12"/>
  <c r="M81" i="12"/>
  <c r="Q35" i="14"/>
  <c r="T52" i="14"/>
  <c r="R43" i="14"/>
  <c r="T46" i="14"/>
  <c r="Q66" i="14"/>
  <c r="R68" i="14"/>
  <c r="S69" i="12"/>
  <c r="G69" i="12"/>
  <c r="T30" i="14"/>
  <c r="Q31" i="14"/>
  <c r="Q41" i="14"/>
  <c r="S57" i="14"/>
  <c r="S74" i="14"/>
  <c r="G39" i="12"/>
  <c r="R54" i="14"/>
  <c r="S56" i="14"/>
  <c r="R34" i="14"/>
  <c r="T42" i="14"/>
  <c r="S31" i="14"/>
  <c r="S59" i="14"/>
  <c r="R60" i="14"/>
  <c r="S65" i="14"/>
  <c r="R66" i="14"/>
  <c r="Q67" i="14"/>
  <c r="R73" i="14"/>
  <c r="Q74" i="14"/>
  <c r="R58" i="14"/>
  <c r="Q65" i="14"/>
  <c r="J22" i="16"/>
  <c r="Q46" i="14"/>
  <c r="Q70" i="14"/>
  <c r="I47" i="13"/>
  <c r="I61" i="12"/>
  <c r="F22" i="16"/>
  <c r="R44" i="14"/>
  <c r="R64" i="14"/>
  <c r="Q32" i="14"/>
  <c r="H184" i="12"/>
  <c r="B243" i="12" s="1"/>
  <c r="H243" i="12" s="1"/>
  <c r="I243" i="12" s="1"/>
  <c r="S58" i="14"/>
  <c r="F41" i="12"/>
  <c r="I14" i="13"/>
  <c r="J41" i="12"/>
  <c r="H22" i="16"/>
  <c r="G26" i="16"/>
  <c r="Q58" i="14"/>
  <c r="I11" i="13"/>
  <c r="J144" i="4"/>
  <c r="J22" i="13" s="1"/>
  <c r="T73" i="14"/>
  <c r="S43" i="14"/>
  <c r="Q55" i="14"/>
  <c r="T56" i="14"/>
  <c r="H182" i="12"/>
  <c r="B219" i="12" s="1"/>
  <c r="H219" i="12" s="1"/>
  <c r="I219" i="12" s="1"/>
  <c r="H41" i="12"/>
  <c r="T36" i="14"/>
  <c r="R57" i="14"/>
  <c r="R40" i="14"/>
  <c r="T69" i="14"/>
  <c r="H31" i="12"/>
  <c r="H61" i="12"/>
  <c r="H25" i="4"/>
  <c r="F15" i="4"/>
  <c r="F26" i="16"/>
  <c r="J71" i="12"/>
  <c r="J26" i="4"/>
  <c r="R30" i="14"/>
  <c r="Q64" i="14"/>
  <c r="Q45" i="14"/>
  <c r="J16" i="16"/>
  <c r="E22" i="4"/>
  <c r="E16" i="17" s="1"/>
  <c r="R32" i="14"/>
  <c r="Q33" i="14"/>
  <c r="T33" i="14"/>
  <c r="S34" i="14"/>
  <c r="R35" i="14"/>
  <c r="Q36" i="14"/>
  <c r="S40" i="14"/>
  <c r="T44" i="14"/>
  <c r="S45" i="14"/>
  <c r="R46" i="14"/>
  <c r="T50" i="14"/>
  <c r="S51" i="14"/>
  <c r="R52" i="14"/>
  <c r="Q53" i="14"/>
  <c r="T58" i="14"/>
  <c r="T64" i="14"/>
  <c r="T67" i="14"/>
  <c r="S68" i="14"/>
  <c r="R69" i="14"/>
  <c r="R71" i="14"/>
  <c r="T74" i="14"/>
  <c r="H16" i="16"/>
  <c r="T31" i="14"/>
  <c r="S32" i="14"/>
  <c r="R33" i="14"/>
  <c r="Q34" i="14"/>
  <c r="T34" i="14"/>
  <c r="Q40" i="14"/>
  <c r="R42" i="14"/>
  <c r="T45" i="14"/>
  <c r="S46" i="14"/>
  <c r="T51" i="14"/>
  <c r="S52" i="14"/>
  <c r="R53" i="14"/>
  <c r="Q54" i="14"/>
  <c r="S55" i="14"/>
  <c r="R56" i="14"/>
  <c r="T59" i="14"/>
  <c r="S60" i="14"/>
  <c r="T65" i="14"/>
  <c r="S66" i="14"/>
  <c r="R67" i="14"/>
  <c r="Q68" i="14"/>
  <c r="S71" i="14"/>
  <c r="S73" i="14"/>
  <c r="R74" i="14"/>
  <c r="R51" i="14"/>
  <c r="S64" i="14"/>
  <c r="R65" i="14"/>
  <c r="H26" i="16"/>
  <c r="S42" i="14"/>
  <c r="R59" i="14"/>
  <c r="F32" i="12"/>
  <c r="R45" i="14"/>
  <c r="Q73" i="14"/>
  <c r="I40" i="16"/>
  <c r="I16" i="4"/>
  <c r="I6" i="12" s="1"/>
  <c r="I16" i="16"/>
  <c r="G22" i="16"/>
  <c r="G40" i="16"/>
  <c r="I182" i="12"/>
  <c r="B220" i="12" s="1"/>
  <c r="I49" i="16"/>
  <c r="I41" i="12"/>
  <c r="F31" i="12"/>
  <c r="I22" i="16"/>
  <c r="F13" i="4"/>
  <c r="F24" i="16"/>
  <c r="F16" i="16"/>
  <c r="I62" i="12"/>
  <c r="I184" i="12"/>
  <c r="B244" i="12" s="1"/>
  <c r="G49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G16" i="16"/>
  <c r="I139" i="4"/>
  <c r="I10" i="13"/>
  <c r="Q52" i="14"/>
  <c r="T72" i="14"/>
  <c r="G72" i="12"/>
  <c r="G185" i="12"/>
  <c r="B254" i="12" s="1"/>
  <c r="H40" i="16"/>
  <c r="J40" i="16"/>
  <c r="J72" i="12"/>
  <c r="J185" i="12"/>
  <c r="B257" i="12" s="1"/>
  <c r="F44" i="4"/>
  <c r="F181" i="12" s="1"/>
  <c r="F49" i="16"/>
  <c r="F14" i="4"/>
  <c r="H24" i="16"/>
  <c r="J25" i="16"/>
  <c r="T68" i="14"/>
  <c r="H49" i="16"/>
  <c r="H26" i="4"/>
  <c r="H20" i="17" s="1"/>
  <c r="H50" i="17" s="1"/>
  <c r="H185" i="12"/>
  <c r="B255" i="12" s="1"/>
  <c r="Q72" i="14"/>
  <c r="E51" i="12"/>
  <c r="H71" i="12"/>
  <c r="J49" i="16"/>
  <c r="I51" i="12"/>
  <c r="I24" i="4"/>
  <c r="I16" i="13"/>
  <c r="AD32" i="13"/>
  <c r="Q71" i="14"/>
  <c r="T71" i="14"/>
  <c r="T43" i="14"/>
  <c r="R41" i="14"/>
  <c r="R55" i="14"/>
  <c r="AE32" i="13"/>
  <c r="R70" i="14"/>
  <c r="T53" i="14"/>
  <c r="S54" i="14"/>
  <c r="Q56" i="14"/>
  <c r="F40" i="16"/>
  <c r="J33" i="12"/>
  <c r="S35" i="14"/>
  <c r="R36" i="14"/>
  <c r="T40" i="14"/>
  <c r="S41" i="14"/>
  <c r="Q43" i="14"/>
  <c r="T54" i="14"/>
  <c r="Q57" i="14"/>
  <c r="S69" i="14"/>
  <c r="R72" i="14"/>
  <c r="I185" i="12"/>
  <c r="B256" i="12" s="1"/>
  <c r="J24" i="16"/>
  <c r="S72" i="14"/>
  <c r="G23" i="12"/>
  <c r="Q42" i="14"/>
  <c r="I26" i="4"/>
  <c r="S70" i="14"/>
  <c r="G63" i="12"/>
  <c r="Q69" i="14"/>
  <c r="G32" i="12"/>
  <c r="S50" i="14"/>
  <c r="T57" i="14"/>
  <c r="Q44" i="14"/>
  <c r="Q51" i="14"/>
  <c r="S36" i="14"/>
  <c r="T41" i="14"/>
  <c r="Q60" i="14"/>
  <c r="I27" i="16" l="1"/>
  <c r="F82" i="8"/>
  <c r="H53" i="13"/>
  <c r="G53" i="13"/>
  <c r="G32" i="13"/>
  <c r="T32" i="13"/>
  <c r="S32" i="13"/>
  <c r="H32" i="13"/>
  <c r="H19" i="17"/>
  <c r="H44" i="17" s="1"/>
  <c r="H17" i="17"/>
  <c r="H32" i="17" s="1"/>
  <c r="I18" i="17"/>
  <c r="I38" i="17" s="1"/>
  <c r="F40" i="4"/>
  <c r="F7" i="12" s="1"/>
  <c r="F52" i="13" s="1"/>
  <c r="H46" i="13"/>
  <c r="I13" i="13"/>
  <c r="D46" i="13"/>
  <c r="G46" i="13"/>
  <c r="G19" i="17"/>
  <c r="G44" i="17" s="1"/>
  <c r="G27" i="16"/>
  <c r="G180" i="12"/>
  <c r="B194" i="12" s="1"/>
  <c r="J182" i="12"/>
  <c r="B221" i="12" s="1"/>
  <c r="J221" i="12" s="1"/>
  <c r="K221" i="12" s="1"/>
  <c r="F27" i="16"/>
  <c r="J181" i="12"/>
  <c r="B209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H22" i="4"/>
  <c r="H16" i="17" s="1"/>
  <c r="H26" i="17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I18" i="13" s="1"/>
  <c r="H49" i="4"/>
  <c r="H8" i="12" s="1"/>
  <c r="H181" i="12"/>
  <c r="B207" i="12" s="1"/>
  <c r="H207" i="12" s="1"/>
  <c r="I207" i="12" s="1"/>
  <c r="J22" i="4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E149" i="12"/>
  <c r="F149" i="12" s="1"/>
  <c r="G149" i="12" s="1"/>
  <c r="H149" i="12" s="1"/>
  <c r="D149" i="12"/>
  <c r="D283" i="6"/>
  <c r="D308" i="6"/>
  <c r="I183" i="12"/>
  <c r="B232" i="12" s="1"/>
  <c r="I232" i="12" s="1"/>
  <c r="J232" i="12" s="1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40" i="4"/>
  <c r="G7" i="12" s="1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27" i="4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I20" i="17"/>
  <c r="I50" i="17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R76" i="14"/>
  <c r="H8" i="14" s="1"/>
  <c r="G24" i="4"/>
  <c r="G18" i="17" s="1"/>
  <c r="G38" i="17" s="1"/>
  <c r="G51" i="12"/>
  <c r="F16" i="4"/>
  <c r="F6" i="12" s="1"/>
  <c r="J219" i="12"/>
  <c r="K219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Q76" i="14"/>
  <c r="G8" i="14" s="1"/>
  <c r="G51" i="13" s="1"/>
  <c r="T76" i="14"/>
  <c r="J8" i="14" s="1"/>
  <c r="S76" i="14"/>
  <c r="I8" i="14" s="1"/>
  <c r="J180" i="12"/>
  <c r="B197" i="12" s="1"/>
  <c r="J21" i="12"/>
  <c r="G16" i="4"/>
  <c r="G6" i="12" s="1"/>
  <c r="B205" i="12"/>
  <c r="H183" i="12"/>
  <c r="B231" i="12" s="1"/>
  <c r="H24" i="4"/>
  <c r="H51" i="12"/>
  <c r="H255" i="12"/>
  <c r="I255" i="12" s="1"/>
  <c r="I256" i="12"/>
  <c r="J256" i="12" s="1"/>
  <c r="E26" i="17"/>
  <c r="I220" i="12"/>
  <c r="J220" i="12" s="1"/>
  <c r="G52" i="12"/>
  <c r="G183" i="12"/>
  <c r="B230" i="12" s="1"/>
  <c r="J46" i="13"/>
  <c r="H16" i="4"/>
  <c r="H6" i="12" s="1"/>
  <c r="J32" i="12"/>
  <c r="J40" i="4"/>
  <c r="J7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I19" i="17"/>
  <c r="I44" i="17" s="1"/>
  <c r="J145" i="4"/>
  <c r="I17" i="17"/>
  <c r="I32" i="17" s="1"/>
  <c r="F24" i="4"/>
  <c r="F18" i="17" s="1"/>
  <c r="F38" i="17" s="1"/>
  <c r="F183" i="12"/>
  <c r="B229" i="12" s="1"/>
  <c r="F51" i="12"/>
  <c r="G17" i="17"/>
  <c r="G32" i="17" s="1"/>
  <c r="G22" i="4"/>
  <c r="F51" i="13"/>
  <c r="H22" i="12"/>
  <c r="H40" i="4"/>
  <c r="H7" i="12" s="1"/>
  <c r="H52" i="13" s="1"/>
  <c r="H180" i="12"/>
  <c r="G254" i="12"/>
  <c r="H254" i="12" s="1"/>
  <c r="G33" i="12"/>
  <c r="G181" i="12"/>
  <c r="B206" i="12" s="1"/>
  <c r="I43" i="12"/>
  <c r="I49" i="4"/>
  <c r="I8" i="12" s="1"/>
  <c r="I181" i="12"/>
  <c r="B208" i="12" s="1"/>
  <c r="I22" i="4"/>
  <c r="I31" i="12"/>
  <c r="J51" i="12"/>
  <c r="J24" i="4"/>
  <c r="J183" i="12"/>
  <c r="B233" i="12" s="1"/>
  <c r="J61" i="12"/>
  <c r="J184" i="12"/>
  <c r="B245" i="12" s="1"/>
  <c r="J25" i="4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J257" i="12"/>
  <c r="E7" i="12"/>
  <c r="E52" i="13" s="1"/>
  <c r="E42" i="12"/>
  <c r="E182" i="12"/>
  <c r="B216" i="12" s="1"/>
  <c r="J16" i="4"/>
  <c r="J6" i="12" s="1"/>
  <c r="I244" i="12"/>
  <c r="J243" i="12"/>
  <c r="I22" i="12"/>
  <c r="I40" i="4"/>
  <c r="I7" i="12" s="1"/>
  <c r="I52" i="13" s="1"/>
  <c r="I180" i="12"/>
  <c r="J51" i="13" l="1"/>
  <c r="H51" i="13"/>
  <c r="I51" i="13"/>
  <c r="E227" i="8"/>
  <c r="E162" i="8" s="1"/>
  <c r="F46" i="8"/>
  <c r="F54" i="8" s="1"/>
  <c r="D106" i="12"/>
  <c r="L219" i="12"/>
  <c r="M219" i="12" s="1"/>
  <c r="G228" i="12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/>
  <c r="D158" i="12"/>
  <c r="E158" i="12" s="1"/>
  <c r="F158" i="12" s="1"/>
  <c r="K256" i="12"/>
  <c r="L256" i="12" s="1"/>
  <c r="J197" i="12"/>
  <c r="B210" i="12"/>
  <c r="I242" i="12"/>
  <c r="I16" i="17"/>
  <c r="I27" i="4"/>
  <c r="J233" i="12"/>
  <c r="I208" i="12"/>
  <c r="G16" i="17"/>
  <c r="G27" i="4"/>
  <c r="B196" i="12"/>
  <c r="I186" i="12"/>
  <c r="I171" i="12" s="1"/>
  <c r="J174" i="12" s="1"/>
  <c r="J244" i="12"/>
  <c r="K244" i="12" s="1"/>
  <c r="J18" i="17"/>
  <c r="J38" i="17" s="1"/>
  <c r="F241" i="12"/>
  <c r="G241" i="12" s="1"/>
  <c r="K232" i="12"/>
  <c r="K220" i="12"/>
  <c r="J23" i="13"/>
  <c r="I23" i="13"/>
  <c r="G186" i="12"/>
  <c r="G171" i="12" s="1"/>
  <c r="H174" i="12" s="1"/>
  <c r="L221" i="12"/>
  <c r="J245" i="12"/>
  <c r="K245" i="12" s="1"/>
  <c r="J17" i="17"/>
  <c r="J32" i="17" s="1"/>
  <c r="J20" i="17"/>
  <c r="J50" i="17" s="1"/>
  <c r="J209" i="12"/>
  <c r="E252" i="12"/>
  <c r="B258" i="12"/>
  <c r="E186" i="12"/>
  <c r="E171" i="12" s="1"/>
  <c r="B192" i="12"/>
  <c r="B195" i="12"/>
  <c r="H186" i="12"/>
  <c r="H171" i="12" s="1"/>
  <c r="I174" i="12" s="1"/>
  <c r="K243" i="12"/>
  <c r="L243" i="12" s="1"/>
  <c r="M243" i="12" s="1"/>
  <c r="E19" i="17"/>
  <c r="E27" i="4"/>
  <c r="J52" i="13"/>
  <c r="J27" i="4"/>
  <c r="F26" i="17"/>
  <c r="F57" i="17" s="1"/>
  <c r="F21" i="17"/>
  <c r="F186" i="12"/>
  <c r="F171" i="12" s="1"/>
  <c r="G174" i="12" s="1"/>
  <c r="H231" i="12"/>
  <c r="I254" i="12"/>
  <c r="E240" i="12"/>
  <c r="B246" i="12"/>
  <c r="J16" i="17"/>
  <c r="F27" i="4"/>
  <c r="J255" i="12"/>
  <c r="K255" i="12" s="1"/>
  <c r="F205" i="12"/>
  <c r="G206" i="12"/>
  <c r="G230" i="12"/>
  <c r="G194" i="12"/>
  <c r="H194" i="12" s="1"/>
  <c r="J207" i="12"/>
  <c r="E216" i="12"/>
  <c r="B222" i="12"/>
  <c r="K257" i="12"/>
  <c r="F204" i="12"/>
  <c r="J19" i="17"/>
  <c r="J44" i="17" s="1"/>
  <c r="H228" i="12"/>
  <c r="F229" i="12"/>
  <c r="B234" i="12"/>
  <c r="J186" i="12"/>
  <c r="J171" i="12" s="1"/>
  <c r="K174" i="12" s="1"/>
  <c r="H18" i="17"/>
  <c r="H27" i="4"/>
  <c r="J253" i="12" l="1"/>
  <c r="F157" i="12"/>
  <c r="G157" i="12" s="1"/>
  <c r="G160" i="12" s="1"/>
  <c r="F142" i="12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E258" i="12"/>
  <c r="D261" i="12"/>
  <c r="D172" i="12" s="1"/>
  <c r="D173" i="12" s="1"/>
  <c r="E170" i="12" s="1"/>
  <c r="E227" i="12"/>
  <c r="E234" i="12" s="1"/>
  <c r="I18" i="8"/>
  <c r="M256" i="12"/>
  <c r="N256" i="12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G142" i="12"/>
  <c r="E133" i="12"/>
  <c r="F133" i="12" s="1"/>
  <c r="E191" i="12"/>
  <c r="F150" i="12"/>
  <c r="F175" i="6"/>
  <c r="G169" i="6"/>
  <c r="G173" i="6" s="1"/>
  <c r="F107" i="12"/>
  <c r="F155" i="6"/>
  <c r="G149" i="6"/>
  <c r="G153" i="6" s="1"/>
  <c r="G159" i="12"/>
  <c r="J18" i="8"/>
  <c r="K18" i="8" s="1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E139" i="6"/>
  <c r="D183" i="6"/>
  <c r="D145" i="6"/>
  <c r="D185" i="6" s="1"/>
  <c r="F191" i="12"/>
  <c r="G150" i="12"/>
  <c r="E215" i="12"/>
  <c r="E222" i="12" s="1"/>
  <c r="E151" i="12"/>
  <c r="F254" i="8"/>
  <c r="F55" i="8"/>
  <c r="E165" i="6"/>
  <c r="F159" i="6"/>
  <c r="F163" i="6" s="1"/>
  <c r="F141" i="12"/>
  <c r="E135" i="12"/>
  <c r="F135" i="12" s="1"/>
  <c r="F160" i="12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H158" i="12"/>
  <c r="I15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L245" i="12"/>
  <c r="M245" i="12" s="1"/>
  <c r="N245" i="12" s="1"/>
  <c r="K197" i="12"/>
  <c r="L197" i="12" s="1"/>
  <c r="L244" i="12"/>
  <c r="J242" i="12"/>
  <c r="K242" i="12" s="1"/>
  <c r="G229" i="12"/>
  <c r="H38" i="17"/>
  <c r="H57" i="17" s="1"/>
  <c r="H21" i="17"/>
  <c r="G204" i="12"/>
  <c r="G49" i="17"/>
  <c r="G51" i="17" s="1"/>
  <c r="H48" i="17" s="1"/>
  <c r="L232" i="12"/>
  <c r="M232" i="12" s="1"/>
  <c r="N232" i="12" s="1"/>
  <c r="I193" i="12"/>
  <c r="H230" i="12"/>
  <c r="I228" i="12"/>
  <c r="H206" i="12"/>
  <c r="L255" i="12"/>
  <c r="M255" i="12" s="1"/>
  <c r="K253" i="12"/>
  <c r="F174" i="12"/>
  <c r="I21" i="17"/>
  <c r="I26" i="17"/>
  <c r="I57" i="17" s="1"/>
  <c r="J26" i="17"/>
  <c r="J57" i="17" s="1"/>
  <c r="J21" i="17"/>
  <c r="J24" i="13"/>
  <c r="I194" i="12"/>
  <c r="G205" i="12"/>
  <c r="K233" i="12"/>
  <c r="N219" i="12"/>
  <c r="M221" i="12"/>
  <c r="N221" i="12" s="1"/>
  <c r="H195" i="12"/>
  <c r="L257" i="12"/>
  <c r="M257" i="12" s="1"/>
  <c r="L220" i="12"/>
  <c r="H241" i="12"/>
  <c r="I241" i="12" s="1"/>
  <c r="I196" i="12"/>
  <c r="N243" i="12"/>
  <c r="I24" i="13"/>
  <c r="J208" i="12"/>
  <c r="K208" i="12" s="1"/>
  <c r="F252" i="12"/>
  <c r="K209" i="12"/>
  <c r="K207" i="12"/>
  <c r="F240" i="12"/>
  <c r="E44" i="17"/>
  <c r="E21" i="17"/>
  <c r="J254" i="12"/>
  <c r="K254" i="12" s="1"/>
  <c r="E192" i="12"/>
  <c r="E198" i="12" s="1"/>
  <c r="B198" i="12"/>
  <c r="B261" i="12" s="1"/>
  <c r="G26" i="17"/>
  <c r="G57" i="17" s="1"/>
  <c r="G21" i="17"/>
  <c r="J158" i="12" l="1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O256" i="12"/>
  <c r="P256" i="12" s="1"/>
  <c r="D54" i="12"/>
  <c r="D55" i="12" s="1"/>
  <c r="E50" i="12" s="1"/>
  <c r="D74" i="12"/>
  <c r="D75" i="12"/>
  <c r="E70" i="12" s="1"/>
  <c r="H157" i="12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H160" i="12" s="1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I157" i="12"/>
  <c r="F151" i="12"/>
  <c r="G151" i="12" s="1"/>
  <c r="G152" i="12" s="1"/>
  <c r="D10" i="14"/>
  <c r="D11" i="14" s="1"/>
  <c r="G107" i="12"/>
  <c r="H99" i="12"/>
  <c r="L149" i="12"/>
  <c r="D20" i="12"/>
  <c r="D25" i="12" s="1"/>
  <c r="E20" i="12" s="1"/>
  <c r="G155" i="6"/>
  <c r="H149" i="6"/>
  <c r="H153" i="6" s="1"/>
  <c r="H155" i="6" s="1"/>
  <c r="F136" i="12"/>
  <c r="J134" i="12"/>
  <c r="K134" i="12" s="1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G192" i="12"/>
  <c r="L242" i="12"/>
  <c r="M242" i="12" s="1"/>
  <c r="M244" i="12"/>
  <c r="N244" i="12" s="1"/>
  <c r="M197" i="12"/>
  <c r="N197" i="12" s="1"/>
  <c r="H229" i="12"/>
  <c r="I10" i="14"/>
  <c r="H49" i="17"/>
  <c r="H51" i="17" s="1"/>
  <c r="I48" i="17" s="1"/>
  <c r="L233" i="12"/>
  <c r="M233" i="12" s="1"/>
  <c r="L253" i="12"/>
  <c r="M253" i="12" s="1"/>
  <c r="O245" i="12"/>
  <c r="L231" i="12"/>
  <c r="J196" i="12"/>
  <c r="K196" i="12" s="1"/>
  <c r="O221" i="12"/>
  <c r="J10" i="14"/>
  <c r="O232" i="12"/>
  <c r="L254" i="12"/>
  <c r="M254" i="12" s="1"/>
  <c r="H216" i="12"/>
  <c r="E43" i="17"/>
  <c r="E57" i="17"/>
  <c r="L209" i="12"/>
  <c r="L208" i="12"/>
  <c r="M208" i="12" s="1"/>
  <c r="J193" i="12"/>
  <c r="I230" i="12"/>
  <c r="E261" i="12"/>
  <c r="E172" i="12" s="1"/>
  <c r="F258" i="12"/>
  <c r="G252" i="12"/>
  <c r="O219" i="12"/>
  <c r="P219" i="12" s="1"/>
  <c r="I206" i="12"/>
  <c r="H204" i="12"/>
  <c r="J241" i="12"/>
  <c r="N257" i="12"/>
  <c r="O257" i="12" s="1"/>
  <c r="F246" i="12"/>
  <c r="G240" i="12"/>
  <c r="G246" i="12" s="1"/>
  <c r="M220" i="12"/>
  <c r="J228" i="12"/>
  <c r="K228" i="12" s="1"/>
  <c r="H205" i="12"/>
  <c r="I205" i="12" s="1"/>
  <c r="J194" i="12"/>
  <c r="K194" i="12" s="1"/>
  <c r="L194" i="12" s="1"/>
  <c r="L207" i="12"/>
  <c r="I195" i="12"/>
  <c r="N255" i="12"/>
  <c r="O243" i="12"/>
  <c r="Q256" i="12"/>
  <c r="J106" i="12" l="1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98" i="12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H192" i="12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I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G163" i="12" s="1"/>
  <c r="G127" i="12" s="1"/>
  <c r="I133" i="12"/>
  <c r="J133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H215" i="12"/>
  <c r="I251" i="12"/>
  <c r="I229" i="12"/>
  <c r="N242" i="12"/>
  <c r="O242" i="12" s="1"/>
  <c r="O244" i="12"/>
  <c r="P244" i="12" s="1"/>
  <c r="O197" i="12"/>
  <c r="P197" i="12" s="1"/>
  <c r="R256" i="12"/>
  <c r="S256" i="12" s="1"/>
  <c r="N208" i="12"/>
  <c r="O208" i="12" s="1"/>
  <c r="P208" i="12" s="1"/>
  <c r="I192" i="12"/>
  <c r="N220" i="12"/>
  <c r="O220" i="12" s="1"/>
  <c r="P220" i="12" s="1"/>
  <c r="P257" i="12"/>
  <c r="J206" i="12"/>
  <c r="K206" i="12" s="1"/>
  <c r="P221" i="12"/>
  <c r="P245" i="12"/>
  <c r="Q245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P232" i="12"/>
  <c r="Q232" i="12" s="1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O255" i="12"/>
  <c r="P255" i="12" s="1"/>
  <c r="Q255" i="12" s="1"/>
  <c r="R255" i="12" s="1"/>
  <c r="I204" i="12"/>
  <c r="L228" i="12"/>
  <c r="N253" i="12"/>
  <c r="J37" i="17"/>
  <c r="J39" i="17" s="1"/>
  <c r="K36" i="17" s="1"/>
  <c r="L196" i="12"/>
  <c r="M231" i="12"/>
  <c r="J205" i="12"/>
  <c r="M207" i="12"/>
  <c r="N207" i="12" s="1"/>
  <c r="Q219" i="12"/>
  <c r="E45" i="17"/>
  <c r="J195" i="12"/>
  <c r="K195" i="12" s="1"/>
  <c r="F75" i="12" l="1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4" i="12"/>
  <c r="I143" i="12"/>
  <c r="H203" i="12"/>
  <c r="O149" i="12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J215" i="12"/>
  <c r="D25" i="17"/>
  <c r="K99" i="12"/>
  <c r="E128" i="12"/>
  <c r="F126" i="12" s="1"/>
  <c r="F128" i="12" s="1"/>
  <c r="G126" i="12" s="1"/>
  <c r="G128" i="12" s="1"/>
  <c r="H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P149" i="12"/>
  <c r="J98" i="12"/>
  <c r="E100" i="12"/>
  <c r="E34" i="12" s="1"/>
  <c r="E35" i="12" s="1"/>
  <c r="F30" i="12" s="1"/>
  <c r="J150" i="12"/>
  <c r="K98" i="12"/>
  <c r="K133" i="12"/>
  <c r="L133" i="12" s="1"/>
  <c r="I136" i="12"/>
  <c r="J135" i="12"/>
  <c r="H152" i="12"/>
  <c r="J90" i="12"/>
  <c r="F262" i="8"/>
  <c r="K135" i="12"/>
  <c r="G97" i="12"/>
  <c r="G100" i="12" s="1"/>
  <c r="I105" i="12"/>
  <c r="P242" i="12"/>
  <c r="Q242" i="12" s="1"/>
  <c r="R242" i="12" s="1"/>
  <c r="S242" i="12" s="1"/>
  <c r="J229" i="12"/>
  <c r="Q197" i="12"/>
  <c r="R197" i="12" s="1"/>
  <c r="T256" i="12"/>
  <c r="U256" i="12" s="1"/>
  <c r="V256" i="12" s="1"/>
  <c r="W256" i="12" s="1"/>
  <c r="X256" i="12" s="1"/>
  <c r="Y256" i="12" s="1"/>
  <c r="Z256" i="12" s="1"/>
  <c r="AA256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K37" i="17"/>
  <c r="K39" i="17" s="1"/>
  <c r="L36" i="17" s="1"/>
  <c r="K205" i="12"/>
  <c r="L205" i="12" s="1"/>
  <c r="I240" i="12"/>
  <c r="J240" i="12" s="1"/>
  <c r="J246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Q221" i="12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32" i="12"/>
  <c r="S232" i="12" s="1"/>
  <c r="I222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G45" i="12" l="1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I227" i="12"/>
  <c r="I44" i="12"/>
  <c r="G55" i="12"/>
  <c r="H50" i="12" s="1"/>
  <c r="J203" i="12"/>
  <c r="J210" i="12" s="1"/>
  <c r="K203" i="12"/>
  <c r="H210" i="12"/>
  <c r="I203" i="12"/>
  <c r="H54" i="12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J152" i="12"/>
  <c r="J64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L215" i="12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J222" i="12"/>
  <c r="I163" i="12"/>
  <c r="I127" i="12" s="1"/>
  <c r="M135" i="12"/>
  <c r="N135" i="12" s="1"/>
  <c r="L98" i="12"/>
  <c r="M98" i="12" s="1"/>
  <c r="D27" i="17"/>
  <c r="K107" i="12"/>
  <c r="F24" i="12"/>
  <c r="F25" i="12" s="1"/>
  <c r="G20" i="12" s="1"/>
  <c r="G25" i="12" s="1"/>
  <c r="H20" i="12" s="1"/>
  <c r="L222" i="12"/>
  <c r="D30" i="17"/>
  <c r="F280" i="8"/>
  <c r="F100" i="12"/>
  <c r="F34" i="12" s="1"/>
  <c r="F35" i="12" s="1"/>
  <c r="G30" i="12" s="1"/>
  <c r="G35" i="12" s="1"/>
  <c r="H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K215" i="12"/>
  <c r="M215" i="12" s="1"/>
  <c r="N215" i="12" s="1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T232" i="12"/>
  <c r="U232" i="12" s="1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K222" i="12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R221" i="12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H55" i="12" l="1"/>
  <c r="I50" i="12" s="1"/>
  <c r="H45" i="12"/>
  <c r="I40" i="12" s="1"/>
  <c r="I45" i="12" s="1"/>
  <c r="J40" i="12" s="1"/>
  <c r="K44" i="12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L44" i="12"/>
  <c r="L203" i="12"/>
  <c r="M203" i="12" s="1"/>
  <c r="K160" i="12"/>
  <c r="I234" i="12"/>
  <c r="K227" i="12"/>
  <c r="K234" i="12" s="1"/>
  <c r="J227" i="12"/>
  <c r="H34" i="12"/>
  <c r="H35" i="12" s="1"/>
  <c r="I30" i="12" s="1"/>
  <c r="I128" i="12"/>
  <c r="J126" i="12" s="1"/>
  <c r="I65" i="12"/>
  <c r="J60" i="12" s="1"/>
  <c r="J65" i="12" s="1"/>
  <c r="K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U251" i="12"/>
  <c r="V251" i="12" s="1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I75" i="12" s="1"/>
  <c r="J70" i="12" s="1"/>
  <c r="J75" i="12" s="1"/>
  <c r="K70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M136" i="12"/>
  <c r="F105" i="8"/>
  <c r="E107" i="8"/>
  <c r="O215" i="12"/>
  <c r="P215" i="12" s="1"/>
  <c r="Q215" i="12" s="1"/>
  <c r="R215" i="12" s="1"/>
  <c r="S215" i="12" s="1"/>
  <c r="T215" i="12" s="1"/>
  <c r="U215" i="12" s="1"/>
  <c r="V215" i="12" s="1"/>
  <c r="W215" i="12" s="1"/>
  <c r="X215" i="12" s="1"/>
  <c r="Y215" i="12" s="1"/>
  <c r="Z215" i="12" s="1"/>
  <c r="AA215" i="12" s="1"/>
  <c r="L229" i="12"/>
  <c r="V232" i="12"/>
  <c r="W232" i="12" s="1"/>
  <c r="X232" i="12" s="1"/>
  <c r="Y232" i="12" s="1"/>
  <c r="Z232" i="12" s="1"/>
  <c r="AA232" i="12" s="1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K210" i="12"/>
  <c r="L204" i="12"/>
  <c r="L210" i="12" s="1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M222" i="12"/>
  <c r="N216" i="12"/>
  <c r="M230" i="12"/>
  <c r="N195" i="12"/>
  <c r="O228" i="12"/>
  <c r="S221" i="12"/>
  <c r="T221" i="12" s="1"/>
  <c r="U221" i="12" s="1"/>
  <c r="K246" i="12"/>
  <c r="K64" i="12" s="1"/>
  <c r="H173" i="12" l="1"/>
  <c r="I170" i="12" s="1"/>
  <c r="H9" i="12"/>
  <c r="AE31" i="13" s="1"/>
  <c r="AD31" i="13"/>
  <c r="S31" i="13"/>
  <c r="L143" i="12"/>
  <c r="M143" i="12" s="1"/>
  <c r="M150" i="12"/>
  <c r="J128" i="12"/>
  <c r="K126" i="12" s="1"/>
  <c r="N150" i="12"/>
  <c r="O150" i="12" s="1"/>
  <c r="P150" i="12" s="1"/>
  <c r="J45" i="12"/>
  <c r="K40" i="12" s="1"/>
  <c r="K45" i="12" s="1"/>
  <c r="L40" i="12" s="1"/>
  <c r="L45" i="12" s="1"/>
  <c r="M40" i="12" s="1"/>
  <c r="D30" i="13"/>
  <c r="O106" i="12"/>
  <c r="P106" i="12"/>
  <c r="N108" i="12"/>
  <c r="H84" i="12"/>
  <c r="I82" i="12" s="1"/>
  <c r="Q99" i="12"/>
  <c r="R99" i="12" s="1"/>
  <c r="I261" i="12"/>
  <c r="I172" i="12" s="1"/>
  <c r="K65" i="12"/>
  <c r="L60" i="12" s="1"/>
  <c r="L65" i="12" s="1"/>
  <c r="M60" i="12" s="1"/>
  <c r="I54" i="12"/>
  <c r="I55" i="12" s="1"/>
  <c r="J50" i="12" s="1"/>
  <c r="K163" i="12"/>
  <c r="K127" i="12" s="1"/>
  <c r="K128" i="12" s="1"/>
  <c r="L126" i="12" s="1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L227" i="12"/>
  <c r="J234" i="12"/>
  <c r="W251" i="12"/>
  <c r="X251" i="12" s="1"/>
  <c r="Y251" i="12" s="1"/>
  <c r="Z251" i="12" s="1"/>
  <c r="AA251" i="12" s="1"/>
  <c r="N203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K75" i="12" s="1"/>
  <c r="L70" i="12" s="1"/>
  <c r="L113" i="12"/>
  <c r="E10" i="12"/>
  <c r="E12" i="12" s="1"/>
  <c r="D33" i="17"/>
  <c r="M152" i="12"/>
  <c r="AA142" i="12"/>
  <c r="V221" i="12"/>
  <c r="W221" i="12" s="1"/>
  <c r="X221" i="12" s="1"/>
  <c r="Y221" i="12" s="1"/>
  <c r="Z221" i="12" s="1"/>
  <c r="AA221" i="12" s="1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M44" i="12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N222" i="12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H37" i="13"/>
  <c r="N230" i="12"/>
  <c r="T31" i="13" l="1"/>
  <c r="I173" i="12"/>
  <c r="J170" i="12" s="1"/>
  <c r="L144" i="12"/>
  <c r="L163" i="12" s="1"/>
  <c r="L127" i="12" s="1"/>
  <c r="M45" i="12"/>
  <c r="N40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J173" i="12" s="1"/>
  <c r="K170" i="12" s="1"/>
  <c r="K173" i="12" s="1"/>
  <c r="L170" i="12" s="1"/>
  <c r="M227" i="12"/>
  <c r="N227" i="12" s="1"/>
  <c r="L234" i="12"/>
  <c r="L261" i="12" s="1"/>
  <c r="L172" i="12" s="1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L128" i="12"/>
  <c r="M126" i="12" s="1"/>
  <c r="F43" i="6"/>
  <c r="F44" i="6"/>
  <c r="F45" i="6" s="1"/>
  <c r="F19" i="6" s="1"/>
  <c r="F20" i="6" s="1"/>
  <c r="M64" i="12"/>
  <c r="M65" i="12" s="1"/>
  <c r="N60" i="12" s="1"/>
  <c r="N4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M163" i="12" s="1"/>
  <c r="M127" i="12" s="1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L75" i="12" s="1"/>
  <c r="M70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O222" i="12"/>
  <c r="O44" i="12" s="1"/>
  <c r="P216" i="12"/>
  <c r="O230" i="12"/>
  <c r="N45" i="12" l="1"/>
  <c r="O40" i="12" s="1"/>
  <c r="O45" i="12" s="1"/>
  <c r="P40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L173" i="12"/>
  <c r="M170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65" i="12"/>
  <c r="O60" i="12" s="1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M75" i="12" s="1"/>
  <c r="N70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L9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P222" i="12"/>
  <c r="P44" i="12" s="1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O234" i="12"/>
  <c r="M261" i="12"/>
  <c r="M172" i="12" s="1"/>
  <c r="N210" i="12"/>
  <c r="O204" i="12"/>
  <c r="O65" i="12" l="1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N75" i="12"/>
  <c r="O70" i="12" s="1"/>
  <c r="F109" i="8"/>
  <c r="F114" i="8"/>
  <c r="F83" i="8" s="1"/>
  <c r="F84" i="8" s="1"/>
  <c r="F72" i="8" s="1"/>
  <c r="F73" i="8" s="1"/>
  <c r="F12" i="8" s="1"/>
  <c r="F16" i="8" s="1"/>
  <c r="P45" i="12"/>
  <c r="Q40" i="12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Q222" i="12"/>
  <c r="R216" i="12"/>
  <c r="O210" i="12"/>
  <c r="P204" i="12"/>
  <c r="M173" i="12"/>
  <c r="N170" i="12" s="1"/>
  <c r="Q246" i="12"/>
  <c r="Q64" i="12" s="1"/>
  <c r="R240" i="12"/>
  <c r="P49" i="17"/>
  <c r="P51" i="17" s="1"/>
  <c r="Q48" i="17" s="1"/>
  <c r="N261" i="12"/>
  <c r="N172" i="12" s="1"/>
  <c r="H45" i="17"/>
  <c r="S228" i="12"/>
  <c r="O75" i="12" l="1"/>
  <c r="P70" i="12" s="1"/>
  <c r="M35" i="12"/>
  <c r="N30" i="12" s="1"/>
  <c r="Q65" i="12"/>
  <c r="R60" i="12" s="1"/>
  <c r="N55" i="12"/>
  <c r="O50" i="12" s="1"/>
  <c r="O54" i="12"/>
  <c r="P258" i="12"/>
  <c r="F30" i="13"/>
  <c r="Q44" i="12"/>
  <c r="Q45" i="12" s="1"/>
  <c r="R40" i="12" s="1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Q141" i="12"/>
  <c r="S108" i="12"/>
  <c r="T105" i="12"/>
  <c r="N24" i="12"/>
  <c r="N25" i="12" s="1"/>
  <c r="O20" i="12" s="1"/>
  <c r="E11" i="6"/>
  <c r="R136" i="12"/>
  <c r="S133" i="12"/>
  <c r="P128" i="12"/>
  <c r="Q126" i="12" s="1"/>
  <c r="N173" i="12"/>
  <c r="O170" i="12" s="1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O261" i="12"/>
  <c r="O172" i="12" s="1"/>
  <c r="R222" i="12"/>
  <c r="R44" i="12" s="1"/>
  <c r="S216" i="12"/>
  <c r="T228" i="12"/>
  <c r="Q49" i="17"/>
  <c r="Q51" i="17" s="1"/>
  <c r="R48" i="17" s="1"/>
  <c r="R230" i="12"/>
  <c r="Q234" i="12"/>
  <c r="O55" i="12" l="1"/>
  <c r="P50" i="12" s="1"/>
  <c r="R45" i="12"/>
  <c r="S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O9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P55" i="12" s="1"/>
  <c r="Q50" i="12" s="1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O173" i="12"/>
  <c r="P170" i="12" s="1"/>
  <c r="U228" i="12"/>
  <c r="P261" i="12"/>
  <c r="P172" i="12" s="1"/>
  <c r="S222" i="12"/>
  <c r="S44" i="12" s="1"/>
  <c r="S45" i="12" s="1"/>
  <c r="T40" i="12" s="1"/>
  <c r="T216" i="12"/>
  <c r="Q75" i="12" l="1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Q55" i="12" s="1"/>
  <c r="R50" i="12" s="1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T22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Q261" i="12"/>
  <c r="Q172" i="12" s="1"/>
  <c r="T230" i="12"/>
  <c r="S234" i="12"/>
  <c r="R75" i="12" l="1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V108" i="12"/>
  <c r="W105" i="12"/>
  <c r="G56" i="13"/>
  <c r="F58" i="13"/>
  <c r="H24" i="17"/>
  <c r="I14" i="12"/>
  <c r="T44" i="12"/>
  <c r="T45" i="12" s="1"/>
  <c r="U40" i="12" s="1"/>
  <c r="H39" i="13"/>
  <c r="H31" i="13" s="1"/>
  <c r="H30" i="13"/>
  <c r="R54" i="12"/>
  <c r="R55" i="12" s="1"/>
  <c r="S50" i="12" s="1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Q173" i="12"/>
  <c r="R170" i="12" s="1"/>
  <c r="S198" i="12"/>
  <c r="T192" i="12"/>
  <c r="U258" i="12"/>
  <c r="V252" i="12"/>
  <c r="T49" i="17"/>
  <c r="T51" i="17" s="1"/>
  <c r="U48" i="17" s="1"/>
  <c r="J43" i="17"/>
  <c r="U230" i="12"/>
  <c r="T234" i="12"/>
  <c r="W228" i="12"/>
  <c r="R261" i="12"/>
  <c r="R172" i="12" s="1"/>
  <c r="U37" i="17"/>
  <c r="U39" i="17" s="1"/>
  <c r="V36" i="17" s="1"/>
  <c r="S210" i="12"/>
  <c r="T204" i="12"/>
  <c r="U246" i="12"/>
  <c r="U64" i="12" s="1"/>
  <c r="V240" i="12"/>
  <c r="U222" i="12"/>
  <c r="V216" i="12"/>
  <c r="I30" i="13" l="1"/>
  <c r="S75" i="12"/>
  <c r="T70" i="12" s="1"/>
  <c r="Q35" i="12"/>
  <c r="R30" i="12" s="1"/>
  <c r="U65" i="12"/>
  <c r="V60" i="12" s="1"/>
  <c r="P84" i="12"/>
  <c r="Q82" i="12" s="1"/>
  <c r="S54" i="12"/>
  <c r="S55" i="12" s="1"/>
  <c r="T50" i="12" s="1"/>
  <c r="U44" i="12"/>
  <c r="U45" i="12" s="1"/>
  <c r="V40" i="12" s="1"/>
  <c r="I55" i="4"/>
  <c r="I53" i="13" s="1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R173" i="12"/>
  <c r="S170" i="12" s="1"/>
  <c r="X228" i="12"/>
  <c r="S261" i="12"/>
  <c r="S172" i="12" s="1"/>
  <c r="V222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T75" i="12" l="1"/>
  <c r="U70" i="12" s="1"/>
  <c r="R35" i="12"/>
  <c r="S30" i="12" s="1"/>
  <c r="V65" i="12"/>
  <c r="W60" i="12" s="1"/>
  <c r="V44" i="12"/>
  <c r="V45" i="12" s="1"/>
  <c r="W4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S173" i="12"/>
  <c r="T170" i="12" s="1"/>
  <c r="U198" i="12"/>
  <c r="V192" i="12"/>
  <c r="Y252" i="12"/>
  <c r="Z252" i="12" s="1"/>
  <c r="V49" i="17"/>
  <c r="V51" i="17" s="1"/>
  <c r="W48" i="17" s="1"/>
  <c r="J53" i="13"/>
  <c r="AG32" i="13"/>
  <c r="V32" i="13"/>
  <c r="J32" i="13"/>
  <c r="W222" i="12"/>
  <c r="X216" i="12"/>
  <c r="W246" i="12"/>
  <c r="W64" i="12" s="1"/>
  <c r="W65" i="12" s="1"/>
  <c r="X60" i="12" s="1"/>
  <c r="X240" i="12"/>
  <c r="J30" i="13"/>
  <c r="T261" i="12"/>
  <c r="T172" i="12" s="1"/>
  <c r="K42" i="17"/>
  <c r="Y228" i="12"/>
  <c r="K10" i="12"/>
  <c r="W37" i="17"/>
  <c r="W39" i="17" s="1"/>
  <c r="X36" i="17" s="1"/>
  <c r="W230" i="12"/>
  <c r="V234" i="12"/>
  <c r="U210" i="12"/>
  <c r="V204" i="12"/>
  <c r="U75" i="12" l="1"/>
  <c r="V70" i="12" s="1"/>
  <c r="S35" i="12"/>
  <c r="T30" i="12" s="1"/>
  <c r="T25" i="12"/>
  <c r="U20" i="12" s="1"/>
  <c r="F35" i="13"/>
  <c r="W44" i="12"/>
  <c r="W45" i="12" s="1"/>
  <c r="X40" i="12" s="1"/>
  <c r="T173" i="12"/>
  <c r="U170" i="12" s="1"/>
  <c r="R35" i="13"/>
  <c r="U92" i="12"/>
  <c r="U24" i="12" s="1"/>
  <c r="V89" i="12"/>
  <c r="V116" i="12"/>
  <c r="V74" i="12" s="1"/>
  <c r="V75" i="12" s="1"/>
  <c r="W70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Y258" i="12"/>
  <c r="V198" i="12"/>
  <c r="W192" i="12"/>
  <c r="X37" i="17"/>
  <c r="X39" i="17" s="1"/>
  <c r="Y36" i="17" s="1"/>
  <c r="W49" i="17"/>
  <c r="W51" i="17" s="1"/>
  <c r="X48" i="17" s="1"/>
  <c r="X246" i="12"/>
  <c r="X64" i="12" s="1"/>
  <c r="X65" i="12" s="1"/>
  <c r="Y60" i="12" s="1"/>
  <c r="Y240" i="12"/>
  <c r="V210" i="12"/>
  <c r="W204" i="12"/>
  <c r="U261" i="12"/>
  <c r="U172" i="12" s="1"/>
  <c r="X230" i="12"/>
  <c r="W234" i="12"/>
  <c r="Z228" i="12"/>
  <c r="Z258" i="12"/>
  <c r="AA252" i="12"/>
  <c r="AA258" i="12" s="1"/>
  <c r="K43" i="17"/>
  <c r="X222" i="12"/>
  <c r="Y216" i="12"/>
  <c r="K14" i="12"/>
  <c r="L5" i="12"/>
  <c r="K77" i="12"/>
  <c r="K12" i="12"/>
  <c r="T35" i="12" l="1"/>
  <c r="U3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X44" i="12"/>
  <c r="X45" i="12" s="1"/>
  <c r="Y40" i="12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U35" i="12" s="1"/>
  <c r="V30" i="12" s="1"/>
  <c r="V97" i="12"/>
  <c r="U119" i="12"/>
  <c r="U83" i="12" s="1"/>
  <c r="U9" i="12" s="1"/>
  <c r="Y136" i="12"/>
  <c r="Z133" i="12"/>
  <c r="Z108" i="12"/>
  <c r="AA105" i="12"/>
  <c r="AA108" i="12" s="1"/>
  <c r="W116" i="12"/>
  <c r="W74" i="12" s="1"/>
  <c r="W75" i="12" s="1"/>
  <c r="X70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Y222" i="12"/>
  <c r="Z216" i="12"/>
  <c r="U173" i="12"/>
  <c r="V170" i="12" s="1"/>
  <c r="Y246" i="12"/>
  <c r="Y64" i="12" s="1"/>
  <c r="Y65" i="12" s="1"/>
  <c r="Z60" i="12" s="1"/>
  <c r="Z240" i="12"/>
  <c r="V261" i="12"/>
  <c r="V172" i="12" s="1"/>
  <c r="Y37" i="17"/>
  <c r="Y39" i="17" s="1"/>
  <c r="Z36" i="17" s="1"/>
  <c r="AA228" i="12"/>
  <c r="T84" i="12" l="1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V9" i="12" s="1"/>
  <c r="X116" i="12"/>
  <c r="X74" i="12" s="1"/>
  <c r="X75" i="12" s="1"/>
  <c r="Y70" i="12" s="1"/>
  <c r="Y113" i="12"/>
  <c r="Y44" i="12"/>
  <c r="Y45" i="12" s="1"/>
  <c r="Z40" i="12" s="1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V173" i="12"/>
  <c r="W170" i="12" s="1"/>
  <c r="Y49" i="17"/>
  <c r="Y51" i="17" s="1"/>
  <c r="Z48" i="17" s="1"/>
  <c r="X210" i="12"/>
  <c r="Y204" i="12"/>
  <c r="Z246" i="12"/>
  <c r="Z64" i="12" s="1"/>
  <c r="Z65" i="12" s="1"/>
  <c r="AA60" i="12" s="1"/>
  <c r="AA240" i="12"/>
  <c r="AA246" i="12" s="1"/>
  <c r="AA64" i="12" s="1"/>
  <c r="W261" i="12"/>
  <c r="W172" i="12" s="1"/>
  <c r="Z37" i="17"/>
  <c r="Z39" i="17" s="1"/>
  <c r="AA36" i="17" s="1"/>
  <c r="L77" i="12"/>
  <c r="M5" i="12"/>
  <c r="L14" i="12"/>
  <c r="Z230" i="12"/>
  <c r="Y234" i="12"/>
  <c r="L43" i="17"/>
  <c r="Z222" i="12"/>
  <c r="AA216" i="12"/>
  <c r="AA222" i="12" s="1"/>
  <c r="AA44" i="12" s="1"/>
  <c r="W173" i="12" l="1"/>
  <c r="X17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Z44" i="12"/>
  <c r="Z45" i="12" s="1"/>
  <c r="AA40" i="12" s="1"/>
  <c r="AA45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X261" i="12"/>
  <c r="X172" i="12" s="1"/>
  <c r="L45" i="17"/>
  <c r="AA230" i="12"/>
  <c r="AA234" i="12" s="1"/>
  <c r="Z234" i="12"/>
  <c r="Y210" i="12"/>
  <c r="Z204" i="12"/>
  <c r="M10" i="12"/>
  <c r="X25" i="12" l="1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X173" i="12"/>
  <c r="Y170" i="12" s="1"/>
  <c r="Z210" i="12"/>
  <c r="AA204" i="12"/>
  <c r="AA210" i="12" s="1"/>
  <c r="Y261" i="12"/>
  <c r="Y172" i="12" s="1"/>
  <c r="M42" i="17"/>
  <c r="Y25" i="12" l="1"/>
  <c r="Z2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Z261" i="12"/>
  <c r="Z172" i="12" s="1"/>
  <c r="AA261" i="12"/>
  <c r="AA172" i="12" s="1"/>
  <c r="N10" i="12"/>
  <c r="N12" i="12" s="1"/>
  <c r="Y173" i="12"/>
  <c r="Z170" i="12" s="1"/>
  <c r="Z25" i="12" l="1"/>
  <c r="AA20" i="12" s="1"/>
  <c r="AA25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J56" i="13"/>
  <c r="I58" i="13"/>
  <c r="I59" i="13" s="1"/>
  <c r="I60" i="13" s="1"/>
  <c r="J30" i="17"/>
  <c r="I58" i="17"/>
  <c r="I59" i="17" s="1"/>
  <c r="Z173" i="12"/>
  <c r="AA170" i="12" s="1"/>
  <c r="AA173" i="12" s="1"/>
  <c r="D174" i="12"/>
  <c r="C174" i="12" s="1"/>
  <c r="N14" i="12"/>
  <c r="O5" i="12"/>
  <c r="N77" i="12"/>
  <c r="N42" i="17"/>
  <c r="Z119" i="12" l="1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J58" i="13" s="1"/>
  <c r="L24" i="17"/>
  <c r="D85" i="12"/>
  <c r="C85" i="12" s="1"/>
  <c r="AA9" i="12"/>
  <c r="I35" i="13"/>
  <c r="AA84" i="12"/>
  <c r="N45" i="17"/>
  <c r="O77" i="12"/>
  <c r="O14" i="12"/>
  <c r="P5" i="12"/>
  <c r="J59" i="13" l="1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33" i="17"/>
  <c r="W55" i="17"/>
  <c r="AA24" i="17"/>
  <c r="X30" i="17" l="1"/>
  <c r="W58" i="17"/>
  <c r="W59" i="17" s="1"/>
  <c r="AA25" i="17"/>
  <c r="AA27" i="17" s="1"/>
  <c r="X31" i="17" l="1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<sst xmlns="http://schemas.openxmlformats.org/spreadsheetml/2006/main" count="1182" uniqueCount="405">
  <si>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</si>
  <si>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</si>
  <si>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</si>
  <si>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</si>
  <si>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</si>
  <si>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</si>
  <si>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</si>
  <si>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</si>
  <si>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</si>
  <si>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</si>
  <si>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</si>
  <si>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</si>
  <si>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</si>
  <si>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</si>
  <si>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</si>
  <si>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</si>
  <si>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</si>
  <si>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</si>
  <si>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</si>
  <si>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</si>
  <si>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</si>
  <si>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</si>
  <si>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</si>
  <si>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</si>
  <si>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</si>
  <si>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</si>
  <si>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</si>
  <si>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</si>
  <si>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</si>
  <si>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</si>
  <si>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</si>
  <si>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</si>
  <si>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</si>
  <si>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</si>
  <si>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</si>
  <si>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</si>
  <si>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</si>
  <si>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</si>
  <si>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</si>
  <si>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</si>
  <si>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</si>
  <si>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</si>
  <si>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</si>
  <si>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</si>
  <si>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</si>
  <si>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</si>
  <si>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</si>
  <si>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</si>
  <si>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</si>
  <si>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</si>
  <si>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</si>
  <si>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</si>
  <si>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</si>
  <si>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</si>
  <si>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</si>
  <si>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</si>
  <si>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</si>
  <si>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</si>
  <si>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</si>
  <si>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</si>
  <si>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</si>
  <si>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</si>
  <si>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</si>
  <si>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</si>
  <si>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</si>
  <si>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</si>
  <si>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</si>
  <si>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</si>
  <si>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</si>
  <si>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</si>
  <si>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</si>
  <si>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</si>
  <si>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</si>
  <si>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</si>
  <si>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</si>
  <si>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</si>
  <si>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</si>
  <si>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</si>
  <si>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</si>
  <si>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</si>
  <si>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</si>
  <si>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</si>
  <si>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</si>
  <si>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</si>
  <si>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</si>
  <si>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</si>
  <si>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</si>
  <si>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</si>
  <si>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</si>
  <si>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</si>
  <si>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</si>
  <si>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</si>
  <si>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</si>
  <si>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</si>
  <si>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</si>
  <si>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</si>
  <si>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</si>
  <si>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</si>
  <si>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</si>
  <si>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</si>
  <si>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</si>
  <si>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</si>
  <si>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</si>
  <si>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</si>
  <si>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</si>
  <si>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</si>
  <si>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</si>
  <si>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</si>
  <si>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</si>
  <si>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</si>
  <si>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</si>
  <si>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</si>
  <si>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</si>
  <si>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</si>
  <si>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</si>
  <si>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</si>
  <si>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</si>
  <si>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</si>
  <si>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</si>
  <si>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</si>
  <si>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</si>
  <si>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</si>
  <si>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</si>
  <si>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</si>
  <si>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</si>
  <si>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</si>
  <si>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</si>
  <si>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</si>
  <si>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</si>
  <si>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</si>
  <si>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</si>
  <si>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</si>
  <si>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</si>
  <si>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</si>
  <si>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</si>
  <si>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</si>
  <si>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</si>
  <si>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</si>
  <si>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</si>
  <si>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</si>
  <si>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</si>
  <si>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</si>
  <si>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</si>
  <si>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</si>
  <si>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</si>
  <si>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</si>
  <si>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</si>
  <si>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</si>
  <si>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</si>
  <si>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</si>
  <si>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</si>
  <si>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</si>
  <si>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</si>
  <si>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</si>
  <si>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</si>
  <si>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</si>
  <si>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</si>
  <si>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</si>
  <si>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</si>
  <si>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</si>
  <si>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</si>
  <si>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</si>
  <si>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</si>
  <si>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</si>
  <si>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</si>
  <si>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</si>
  <si>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</si>
  <si>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</si>
  <si>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</si>
  <si>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</si>
  <si>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</si>
  <si>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</si>
  <si>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</si>
  <si>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</si>
  <si>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</si>
  <si>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</si>
  <si>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</si>
  <si>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</si>
  <si>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</si>
  <si>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</si>
  <si>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</si>
  <si>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</si>
  <si>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</si>
  <si>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</si>
  <si>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</si>
  <si>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</si>
  <si>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</si>
  <si>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</si>
  <si>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</si>
  <si>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</si>
  <si>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</si>
  <si>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</si>
  <si>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</si>
  <si>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</si>
  <si>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</si>
  <si>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</si>
  <si>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</si>
  <si>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</si>
  <si>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</si>
  <si>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</si>
  <si>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</si>
  <si>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</si>
  <si>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</si>
  <si>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</si>
  <si>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</si>
  <si>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</si>
  <si>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</si>
  <si>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</si>
  <si>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</si>
  <si>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</si>
  <si>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</si>
  <si>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</si>
  <si>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</si>
  <si>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</si>
  <si>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</si>
  <si>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</si>
  <si>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</si>
  <si>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</si>
  <si>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</si>
  <si>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</si>
  <si>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</si>
  <si>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</si>
  <si>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</si>
  <si>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</si>
  <si>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</si>
  <si>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</si>
  <si>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</si>
  <si>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</si>
  <si>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</si>
  <si>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</si>
  <si>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</si>
  <si>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</si>
  <si>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</si>
  <si>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</si>
  <si>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</si>
  <si>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</si>
  <si>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</si>
  <si>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</si>
  <si>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</si>
  <si>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</si>
  <si>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</si>
  <si>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</si>
  <si>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</si>
  <si>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</si>
  <si>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</si>
  <si>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</si>
  <si>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</si>
  <si>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</si>
  <si>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</si>
  <si>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</si>
  <si>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</si>
  <si>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</si>
  <si>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</si>
  <si>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</si>
  <si>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</si>
  <si>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</si>
  <si>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</si>
  <si>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</si>
  <si>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</si>
  <si>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</si>
  <si>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</si>
  <si>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</si>
  <si>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</si>
  <si>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</si>
  <si>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</si>
  <si>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</si>
  <si>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</si>
  <si>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</si>
  <si>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</si>
  <si>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</si>
  <si>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</si>
  <si>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</si>
  <si>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</si>
  <si>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</si>
  <si>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</si>
  <si>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</si>
  <si>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</si>
  <si>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</si>
  <si>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</si>
  <si>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</si>
  <si>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</si>
  <si>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</si>
  <si>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</si>
  <si>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</si>
  <si>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</si>
  <si>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</si>
  <si>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</si>
  <si>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</si>
  <si>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</si>
  <si>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</si>
  <si>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</si>
  <si>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</si>
  <si>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</si>
  <si>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</si>
  <si>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</si>
  <si>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</si>
  <si>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</si>
  <si>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</si>
  <si>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</si>
  <si>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</si>
  <si>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</si>
  <si>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</si>
  <si>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</si>
  <si>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</si>
  <si>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</si>
  <si>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</si>
  <si>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</si>
  <si>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</si>
  <si>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</si>
  <si>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</si>
  <si>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</si>
  <si>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</si>
  <si>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</si>
  <si>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</si>
  <si>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</si>
  <si>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</si>
  <si>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</si>
  <si>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</si>
  <si>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</si>
  <si>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</si>
  <si>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</si>
  <si>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</si>
  <si>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</si>
  <si>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</si>
  <si>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</si>
  <si>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</si>
  <si>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</si>
  <si>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</si>
  <si>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</si>
  <si>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</si>
  <si>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</si>
  <si>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</si>
  <si>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</si>
  <si>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</si>
  <si>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</si>
  <si>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</si>
  <si>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</si>
  <si>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</si>
  <si>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</si>
  <si>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</si>
  <si>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</si>
  <si>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</si>
  <si>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</si>
  <si>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</si>
  <si>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</si>
  <si>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</si>
  <si>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</si>
  <si>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</si>
  <si>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</si>
  <si>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</si>
  <si>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</si>
  <si>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</si>
  <si>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</si>
  <si>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</si>
  <si>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</si>
  <si>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</si>
  <si>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</si>
  <si>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</si>
  <si>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</si>
  <si>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</si>
  <si>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</si>
  <si>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</si>
  <si>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</si>
  <si>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</si>
  <si>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</si>
  <si>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</si>
  <si>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</si>
  <si>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</si>
  <si>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</si>
  <si>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</si>
  <si>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</si>
  <si>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</si>
  <si>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</si>
  <si>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</si>
  <si>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</si>
  <si>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</si>
  <si>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</si>
  <si>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</si>
  <si>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</si>
  <si>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</si>
  <si>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</si>
  <si>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</si>
  <si>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</si>
  <si>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</si>
  <si>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</si>
  <si>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</si>
  <si>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</si>
  <si>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</si>
  <si>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</si>
  <si>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</si>
  <si>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</si>
  <si>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</si>
  <si>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AMI Proposed Tariffs for 2012-15 are to be rounded to whole cents.</t>
  </si>
  <si>
    <t>Operating and Maintenance Expenditure (excluding debt raisiing costs in 2014-15)</t>
  </si>
  <si>
    <t>Debt raisiing costs in 2014-15</t>
  </si>
  <si>
    <t xml:space="preserve">Debt Raising Cost Benchmark </t>
  </si>
  <si>
    <t>These templates are for the AMI 2013 Charges Application.</t>
  </si>
  <si>
    <t xml:space="preserve">      and located in tab "DNSP Data Inputs 2011-15".</t>
  </si>
  <si>
    <t>AMI Costs and Revenues for 2011 and 2012 are to be expressed in</t>
  </si>
  <si>
    <t>AMI Costs for 2013-15 are to be expressed in</t>
  </si>
  <si>
    <t>Real 2012 $</t>
  </si>
  <si>
    <t>AMI Proposed Tariffs for 2013-15 are to be expressed in</t>
  </si>
  <si>
    <t>AMI DATA INPUTS 2011 - 2015</t>
  </si>
  <si>
    <t>REAL 2008 $ INPUTS</t>
  </si>
  <si>
    <t>NOMINAL INPUTS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</si>
</sst>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0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</cellStyleXfs>
  <cellXfs count="908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7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6" xfId="2" applyNumberFormat="1" applyFont="1" applyBorder="1"/>
    <xf numFmtId="164" fontId="18" fillId="0" borderId="17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5" fillId="0" borderId="0" xfId="0" applyNumberFormat="1" applyFont="1" applyFill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6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/>
    <xf numFmtId="4" fontId="27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6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6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7" fillId="0" borderId="0" xfId="0" applyNumberFormat="1" applyFont="1" applyFill="1" applyBorder="1"/>
    <xf numFmtId="0" fontId="28" fillId="0" borderId="0" xfId="0" applyFont="1"/>
    <xf numFmtId="3" fontId="18" fillId="0" borderId="3" xfId="0" applyNumberFormat="1" applyFont="1" applyFill="1" applyBorder="1"/>
    <xf numFmtId="3" fontId="25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8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7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9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30" fillId="0" borderId="0" xfId="0" applyFont="1" applyFill="1"/>
    <xf numFmtId="0" fontId="30" fillId="0" borderId="0" xfId="0" applyFont="1"/>
    <xf numFmtId="9" fontId="18" fillId="0" borderId="0" xfId="6" applyFont="1" applyFill="1"/>
    <xf numFmtId="0" fontId="28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 applyAlignment="1">
      <alignment horizontal="center"/>
    </xf>
    <xf numFmtId="3" fontId="27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1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1" fillId="0" borderId="0" xfId="0" applyFont="1" applyFill="1" applyBorder="1"/>
    <xf numFmtId="0" fontId="32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5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6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3" fontId="3" fillId="0" borderId="19" xfId="4" applyNumberFormat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8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5" fillId="0" borderId="0" xfId="0" applyFont="1" applyFill="1" applyBorder="1" applyProtection="1"/>
    <xf numFmtId="0" fontId="35" fillId="0" borderId="0" xfId="0" applyFont="1" applyFill="1" applyBorder="1"/>
    <xf numFmtId="4" fontId="35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7" fillId="0" borderId="0" xfId="0" applyNumberFormat="1" applyFont="1" applyFill="1" applyBorder="1"/>
    <xf numFmtId="0" fontId="4" fillId="0" borderId="11" xfId="0" applyFont="1" applyBorder="1"/>
    <xf numFmtId="3" fontId="3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5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5" fillId="0" borderId="0" xfId="0" applyNumberFormat="1" applyFont="1"/>
    <xf numFmtId="0" fontId="37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5" fillId="0" borderId="0" xfId="1" applyNumberFormat="1" applyFont="1" applyBorder="1"/>
    <xf numFmtId="0" fontId="35" fillId="0" borderId="0" xfId="1" applyFont="1" applyFill="1"/>
    <xf numFmtId="182" fontId="35" fillId="0" borderId="0" xfId="1" applyNumberFormat="1" applyFont="1" applyFill="1" applyAlignment="1">
      <alignment horizontal="center"/>
    </xf>
    <xf numFmtId="182" fontId="35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4" fontId="9" fillId="0" borderId="0" xfId="0" applyNumberFormat="1" applyFont="1" applyFill="1" applyBorder="1" applyAlignment="1" applyProtection="1">
      <alignment horizontal="center"/>
    </xf>
    <xf numFmtId="1" fontId="39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7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4" fillId="0" borderId="3" xfId="0" applyFont="1" applyBorder="1" applyProtection="1"/>
    <xf numFmtId="0" fontId="40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1" fillId="3" borderId="0" xfId="3" applyFont="1" applyFill="1"/>
    <xf numFmtId="0" fontId="41" fillId="0" borderId="0" xfId="0" applyFont="1" applyFill="1"/>
    <xf numFmtId="172" fontId="41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1" fillId="3" borderId="0" xfId="0" applyNumberFormat="1" applyFont="1" applyFill="1"/>
    <xf numFmtId="42" fontId="41" fillId="3" borderId="0" xfId="0" applyNumberFormat="1" applyFont="1" applyFill="1"/>
    <xf numFmtId="0" fontId="41" fillId="0" borderId="0" xfId="0" applyFont="1"/>
    <xf numFmtId="3" fontId="41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2" fillId="0" borderId="0" xfId="0" applyFont="1"/>
    <xf numFmtId="3" fontId="41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185" fontId="3" fillId="3" borderId="19" xfId="3" applyNumberFormat="1" applyFont="1" applyFill="1" applyBorder="1" applyAlignment="1">
      <alignment horizontal="center"/>
    </xf>
    <xf numFmtId="185" fontId="3" fillId="0" borderId="19" xfId="4" applyNumberFormat="1" applyFont="1" applyFill="1" applyBorder="1" applyAlignment="1">
      <alignment horizontal="center"/>
    </xf>
    <xf numFmtId="185" fontId="3" fillId="3" borderId="14" xfId="3" applyNumberFormat="1" applyFont="1" applyFill="1" applyBorder="1" applyAlignment="1">
      <alignment horizontal="center"/>
    </xf>
    <xf numFmtId="0" fontId="9" fillId="9" borderId="0" xfId="1" applyFont="1" applyFill="1"/>
    <xf numFmtId="1" fontId="10" fillId="0" borderId="0" xfId="0" applyNumberFormat="1" applyFont="1" applyBorder="1" applyAlignment="1" applyProtection="1">
      <alignment horizontal="center"/>
    </xf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" fontId="43" fillId="0" borderId="0" xfId="0" applyNumberFormat="1" applyFont="1" applyFill="1" applyBorder="1" applyAlignment="1" applyProtection="1">
      <alignment horizontal="center"/>
    </xf>
    <xf numFmtId="0" fontId="8" fillId="4" borderId="0" xfId="0" applyFont="1" applyFill="1" applyProtection="1"/>
    <xf numFmtId="0" fontId="3" fillId="4" borderId="0" xfId="0" applyFont="1" applyFill="1" applyProtection="1"/>
    <xf numFmtId="3" fontId="3" fillId="0" borderId="3" xfId="0" applyNumberFormat="1" applyFont="1" applyBorder="1" applyProtection="1"/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7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7" fillId="0" borderId="0" xfId="1" applyFont="1" applyFill="1" applyBorder="1" applyAlignment="1">
      <alignment horizontal="center"/>
    </xf>
    <xf numFmtId="0" fontId="35" fillId="3" borderId="10" xfId="4" applyFont="1" applyFill="1" applyBorder="1" applyAlignment="1">
      <alignment horizontal="center"/>
    </xf>
    <xf numFmtId="0" fontId="3" fillId="0" borderId="13" xfId="4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7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5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5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7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73" fontId="3" fillId="2" borderId="0" xfId="3" applyNumberFormat="1" applyFont="1" applyFill="1" applyBorder="1" applyAlignment="1"/>
    <xf numFmtId="0" fontId="0" fillId="0" borderId="0" xfId="0" applyBorder="1" applyAlignment="1"/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0" fontId="37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3" fillId="0" borderId="4" xfId="4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3" fontId="13" fillId="0" borderId="19" xfId="4" applyNumberFormat="1" applyFont="1" applyFill="1" applyBorder="1" applyAlignment="1">
      <alignment horizontal="right"/>
    </xf>
    <xf numFmtId="185" fontId="13" fillId="0" borderId="19" xfId="4" applyNumberFormat="1" applyFont="1" applyFill="1" applyBorder="1" applyAlignment="1">
      <alignment horizontal="right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0" fontId="3" fillId="0" borderId="19" xfId="4" applyFont="1" applyBorder="1"/>
    <xf numFmtId="0" fontId="40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6" xfId="4" applyFont="1" applyBorder="1"/>
    <xf numFmtId="0" fontId="3" fillId="0" borderId="3" xfId="4" applyFont="1" applyFill="1" applyBorder="1" applyAlignment="1">
      <alignment horizontal="center"/>
    </xf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3" fillId="0" borderId="15" xfId="4" applyFont="1" applyBorder="1"/>
    <xf numFmtId="0" fontId="3" fillId="0" borderId="17" xfId="4" applyFont="1" applyBorder="1"/>
    <xf numFmtId="0" fontId="3" fillId="0" borderId="16" xfId="4" applyFont="1" applyBorder="1"/>
    <xf numFmtId="3" fontId="3" fillId="2" borderId="0" xfId="1" applyNumberFormat="1" applyFont="1" applyFill="1" applyBorder="1"/>
    <xf numFmtId="0" fontId="3" fillId="0" borderId="5" xfId="4" applyFont="1" applyBorder="1" applyAlignment="1"/>
    <xf numFmtId="0" fontId="3" fillId="0" borderId="6" xfId="4" applyFont="1" applyBorder="1" applyAlignment="1"/>
    <xf numFmtId="173" fontId="3" fillId="3" borderId="19" xfId="3" applyNumberFormat="1" applyFont="1" applyFill="1" applyBorder="1" applyAlignment="1"/>
    <xf numFmtId="173" fontId="3" fillId="2" borderId="11" xfId="3" applyNumberFormat="1" applyFont="1" applyFill="1" applyBorder="1" applyAlignment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173" fontId="9" fillId="2" borderId="0" xfId="3" applyNumberFormat="1" applyFont="1" applyFill="1" applyBorder="1" applyAlignment="1"/>
    <xf numFmtId="0" fontId="3" fillId="0" borderId="16" xfId="4" applyFont="1" applyFill="1" applyBorder="1"/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9" fillId="2" borderId="17" xfId="4" applyNumberFormat="1" applyFont="1" applyFill="1" applyBorder="1"/>
    <xf numFmtId="3" fontId="3" fillId="0" borderId="17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3" fontId="9" fillId="2" borderId="0" xfId="1" applyNumberFormat="1" applyFont="1" applyFill="1" applyBorder="1"/>
    <xf numFmtId="173" fontId="3" fillId="3" borderId="14" xfId="3" applyNumberFormat="1" applyFont="1" applyFill="1" applyBorder="1" applyAlignment="1"/>
    <xf numFmtId="173" fontId="9" fillId="2" borderId="11" xfId="3" applyNumberFormat="1" applyFont="1" applyFill="1" applyBorder="1" applyAlignment="1"/>
    <xf numFmtId="3" fontId="9" fillId="2" borderId="11" xfId="1" applyNumberFormat="1" applyFont="1" applyFill="1" applyBorder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3" fillId="3" borderId="7" xfId="4" applyNumberFormat="1" applyFont="1" applyFill="1" applyBorder="1"/>
    <xf numFmtId="3" fontId="3" fillId="3" borderId="8" xfId="4" applyNumberFormat="1" applyFont="1" applyFill="1" applyBorder="1"/>
    <xf numFmtId="3" fontId="3" fillId="3" borderId="5" xfId="3" applyNumberFormat="1" applyFont="1" applyFill="1" applyBorder="1"/>
    <xf numFmtId="3" fontId="3" fillId="3" borderId="0" xfId="3" applyNumberFormat="1" applyFont="1" applyFill="1" applyBorder="1"/>
    <xf numFmtId="0" fontId="10" fillId="0" borderId="0" xfId="4" applyFont="1" applyFill="1" applyBorder="1" applyAlignment="1">
      <alignment horizontal="left"/>
    </xf>
    <xf numFmtId="10" fontId="9" fillId="0" borderId="0" xfId="1" applyNumberFormat="1" applyFont="1" applyFill="1"/>
    <xf numFmtId="10" fontId="35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183" fontId="3" fillId="0" borderId="0" xfId="1" applyNumberFormat="1" applyFont="1" applyFill="1"/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5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3" fontId="44" fillId="3" borderId="8" xfId="4" applyNumberFormat="1" applyFont="1" applyFill="1" applyBorder="1"/>
    <xf numFmtId="3" fontId="44" fillId="3" borderId="9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5" fillId="3" borderId="0" xfId="6" applyNumberFormat="1" applyFont="1" applyFill="1" applyBorder="1"/>
    <xf numFmtId="176" fontId="9" fillId="0" borderId="0" xfId="6" applyNumberFormat="1" applyFont="1" applyFill="1" applyBorder="1"/>
    <xf numFmtId="0" fontId="1" fillId="0" borderId="3" xfId="4" applyFont="1" applyFill="1" applyBorder="1" applyAlignment="1">
      <alignment horizontal="center"/>
    </xf>
    <xf numFmtId="3" fontId="1" fillId="11" borderId="22" xfId="4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0" fontId="1" fillId="3" borderId="0" xfId="4" applyNumberFormat="1" applyFont="1" applyFill="1" applyBorder="1" applyAlignment="1">
      <alignment horizontal="center"/>
    </xf>
    <xf numFmtId="0" fontId="3" fillId="0" borderId="10" xfId="4" applyFont="1" applyBorder="1"/>
    <xf numFmtId="0" fontId="1" fillId="0" borderId="5" xfId="4" applyFont="1" applyFill="1" applyBorder="1"/>
    <xf numFmtId="0" fontId="1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3" fillId="3" borderId="0" xfId="4" applyFont="1" applyFill="1" applyBorder="1" applyAlignment="1">
      <alignment horizontal="center"/>
    </xf>
    <xf numFmtId="0" fontId="33" fillId="3" borderId="15" xfId="4" applyFont="1" applyFill="1" applyBorder="1" applyAlignment="1">
      <alignment horizontal="center"/>
    </xf>
    <xf numFmtId="0" fontId="33" fillId="3" borderId="6" xfId="4" applyFont="1" applyFill="1" applyBorder="1" applyAlignment="1">
      <alignment horizontal="center"/>
    </xf>
    <xf numFmtId="0" fontId="33" fillId="0" borderId="13" xfId="4" applyFont="1" applyBorder="1" applyAlignment="1">
      <alignment horizontal="center"/>
    </xf>
    <xf numFmtId="186" fontId="3" fillId="0" borderId="0" xfId="0" applyNumberFormat="1" applyFont="1"/>
    <xf numFmtId="0" fontId="12" fillId="12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6" xfId="4" applyNumberFormat="1" applyFont="1" applyFill="1" applyBorder="1"/>
    <xf numFmtId="3" fontId="9" fillId="3" borderId="17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7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4" fillId="0" borderId="13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165" fontId="3" fillId="0" borderId="0" xfId="4" applyNumberFormat="1" applyFont="1"/>
    <xf numFmtId="3" fontId="1" fillId="0" borderId="0" xfId="0" applyNumberFormat="1" applyFont="1"/>
    <xf numFmtId="0" fontId="4" fillId="4" borderId="2" xfId="4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4" fillId="0" borderId="2" xfId="4" applyFont="1" applyFill="1" applyBorder="1" applyAlignment="1">
      <alignment horizontal="center"/>
    </xf>
  </cellXfs>
  <cellStyles count="7">
    <cellStyle name="Comma" xfId="2" builtinId="3"/>
    <cellStyle name="Currency" xfId="3" builtinId="4"/>
    <cellStyle name="Normal" xfId="0" builtinId="0"/>
    <cellStyle name="Normal_CP Templates 260209 am" xfId="4"/>
    <cellStyle name="Normal_Tax Dep" xfId="5"/>
    <cellStyle name="Percent" xfId="6" builtinId="5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G20"/>
  <sheetViews>
    <sheetView zoomScale="85" workbookViewId="0">
      <selection activeCell="B1" sqref="B1"/>
    </sheetView>
  </sheetViews>
  <sheetFormatPr defaultRowHeight="12.75" x14ac:dyDescent="0.2"/>
  <cols>
    <col min="1" max="1" width="52.5703125" style="562" customWidth="1"/>
    <col min="2" max="2" width="10.5703125" style="562" customWidth="1"/>
    <col min="3" max="3" width="15" style="562" customWidth="1"/>
    <col min="4" max="16384" width="9.140625" style="562"/>
  </cols>
  <sheetData>
    <row r="1" spans="1:7" x14ac:dyDescent="0.2">
      <c r="A1" s="543" t="str">
        <f>'Data 2006-08'!A1</f>
        <v>Powercor</v>
      </c>
    </row>
    <row r="2" spans="1:7" s="563" customFormat="1" x14ac:dyDescent="0.2">
      <c r="A2" s="94"/>
    </row>
    <row r="3" spans="1:7" x14ac:dyDescent="0.2">
      <c r="A3" s="564" t="s">
        <v>376</v>
      </c>
      <c r="B3" s="794"/>
      <c r="C3" s="794"/>
      <c r="D3" s="794"/>
      <c r="E3" s="794"/>
      <c r="F3" s="794"/>
      <c r="G3" s="794"/>
    </row>
    <row r="4" spans="1:7" x14ac:dyDescent="0.2">
      <c r="A4" s="794"/>
      <c r="B4" s="794"/>
      <c r="C4" s="794"/>
      <c r="D4" s="794"/>
      <c r="E4" s="794"/>
      <c r="F4" s="794"/>
      <c r="G4" s="794"/>
    </row>
    <row r="5" spans="1:7" x14ac:dyDescent="0.2">
      <c r="A5" s="565" t="s">
        <v>396</v>
      </c>
      <c r="B5" s="794"/>
      <c r="C5" s="794"/>
      <c r="D5" s="794"/>
      <c r="E5" s="794"/>
      <c r="F5" s="794"/>
      <c r="G5" s="794"/>
    </row>
    <row r="6" spans="1:7" x14ac:dyDescent="0.2">
      <c r="A6" s="794"/>
      <c r="B6" s="794"/>
      <c r="C6" s="794"/>
      <c r="D6" s="794"/>
      <c r="E6" s="794"/>
      <c r="F6" s="794"/>
      <c r="G6" s="794"/>
    </row>
    <row r="7" spans="1:7" x14ac:dyDescent="0.2">
      <c r="A7" s="565" t="s">
        <v>377</v>
      </c>
      <c r="B7" s="566"/>
      <c r="C7" s="567" t="s">
        <v>397</v>
      </c>
      <c r="D7" s="794"/>
      <c r="E7" s="794"/>
      <c r="F7" s="794"/>
      <c r="G7" s="794"/>
    </row>
    <row r="8" spans="1:7" ht="15" x14ac:dyDescent="0.25">
      <c r="A8" s="568"/>
      <c r="B8" s="794"/>
      <c r="C8" s="794"/>
      <c r="D8" s="794"/>
      <c r="E8" s="794"/>
      <c r="F8" s="794"/>
      <c r="G8" s="794"/>
    </row>
    <row r="9" spans="1:7" x14ac:dyDescent="0.2">
      <c r="A9" s="565" t="s">
        <v>378</v>
      </c>
      <c r="B9" s="794"/>
      <c r="C9" s="794"/>
      <c r="D9" s="794"/>
      <c r="E9" s="794"/>
      <c r="F9" s="794"/>
      <c r="G9" s="794"/>
    </row>
    <row r="10" spans="1:7" x14ac:dyDescent="0.2">
      <c r="A10" s="794"/>
      <c r="B10" s="794"/>
      <c r="C10" s="794"/>
      <c r="D10" s="794"/>
      <c r="E10" s="794"/>
      <c r="F10" s="794"/>
      <c r="G10" s="794"/>
    </row>
    <row r="11" spans="1:7" x14ac:dyDescent="0.2">
      <c r="A11" s="569" t="s">
        <v>398</v>
      </c>
      <c r="B11" s="570"/>
      <c r="C11" s="571" t="s">
        <v>22</v>
      </c>
      <c r="D11" s="794"/>
      <c r="E11" s="794"/>
      <c r="F11" s="794"/>
      <c r="G11" s="794"/>
    </row>
    <row r="12" spans="1:7" s="334" customFormat="1" x14ac:dyDescent="0.2">
      <c r="A12" s="572"/>
      <c r="B12" s="573"/>
      <c r="C12" s="574"/>
      <c r="D12" s="795"/>
      <c r="E12" s="795"/>
      <c r="F12" s="795"/>
      <c r="G12" s="795"/>
    </row>
    <row r="13" spans="1:7" x14ac:dyDescent="0.2">
      <c r="A13" s="569" t="s">
        <v>399</v>
      </c>
      <c r="B13" s="570"/>
      <c r="C13" s="571" t="s">
        <v>400</v>
      </c>
      <c r="D13" s="794"/>
      <c r="E13" s="794"/>
      <c r="F13" s="794"/>
      <c r="G13" s="794"/>
    </row>
    <row r="14" spans="1:7" x14ac:dyDescent="0.2">
      <c r="A14" s="794"/>
      <c r="B14" s="796"/>
      <c r="C14" s="794"/>
      <c r="D14" s="794"/>
      <c r="E14" s="794"/>
      <c r="F14" s="794"/>
      <c r="G14" s="794"/>
    </row>
    <row r="15" spans="1:7" x14ac:dyDescent="0.2">
      <c r="A15" s="569" t="s">
        <v>401</v>
      </c>
      <c r="B15" s="794"/>
      <c r="C15" s="571" t="s">
        <v>22</v>
      </c>
      <c r="D15" s="794"/>
      <c r="E15" s="794"/>
      <c r="F15" s="794"/>
      <c r="G15" s="794"/>
    </row>
    <row r="16" spans="1:7" x14ac:dyDescent="0.2">
      <c r="A16" s="794"/>
      <c r="B16" s="794"/>
      <c r="C16" s="794"/>
      <c r="D16" s="794"/>
      <c r="E16" s="794"/>
      <c r="F16" s="794"/>
      <c r="G16" s="794"/>
    </row>
    <row r="17" spans="1:7" x14ac:dyDescent="0.2">
      <c r="A17" s="569" t="s">
        <v>392</v>
      </c>
      <c r="B17" s="794"/>
      <c r="C17" s="794"/>
      <c r="D17" s="794"/>
      <c r="E17" s="794"/>
      <c r="F17" s="794"/>
      <c r="G17" s="794"/>
    </row>
    <row r="20" spans="1:7" x14ac:dyDescent="0.2">
      <c r="A20" s="788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19"/>
  <sheetViews>
    <sheetView tabSelected="1" zoomScale="85" zoomScaleNormal="100" workbookViewId="0">
      <pane xSplit="1" ySplit="3" topLeftCell="D88" activePane="bottomRight" state="frozen"/>
      <selection pane="topRight" activeCell="B1" sqref="B1"/>
      <selection pane="bottomLeft" activeCell="A4" sqref="A4"/>
      <selection pane="bottomRight" activeCell="J123" sqref="J123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96" customWidth="1"/>
    <col min="6" max="6" width="11.85546875" style="21" customWidth="1"/>
    <col min="7" max="10" width="11.5703125" style="21" customWidth="1"/>
    <col min="11" max="11" width="9" style="1" customWidth="1"/>
    <col min="12" max="12" width="9" style="20" customWidth="1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3" t="str">
        <f>'Data 2006-08'!$A$1</f>
        <v>Powercor</v>
      </c>
      <c r="B1" s="94"/>
      <c r="E1" s="789"/>
      <c r="F1" s="4">
        <v>2011</v>
      </c>
      <c r="G1" s="5">
        <v>2012</v>
      </c>
      <c r="H1" s="5">
        <v>2013</v>
      </c>
      <c r="I1" s="5">
        <v>2014</v>
      </c>
      <c r="J1" s="6">
        <v>2015</v>
      </c>
      <c r="K1" s="54"/>
      <c r="L1" s="21"/>
      <c r="N1" s="44">
        <f>G1</f>
        <v>2012</v>
      </c>
      <c r="O1" s="45">
        <f>H1</f>
        <v>2013</v>
      </c>
      <c r="P1" s="45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97"/>
      <c r="F2" s="817" t="s">
        <v>22</v>
      </c>
      <c r="G2" s="816" t="s">
        <v>22</v>
      </c>
      <c r="H2" s="816" t="s">
        <v>400</v>
      </c>
      <c r="I2" s="816" t="str">
        <f>H2</f>
        <v>Real 2012 $</v>
      </c>
      <c r="J2" s="818" t="str">
        <f>I2</f>
        <v>Real 2012 $</v>
      </c>
      <c r="K2" s="108"/>
      <c r="L2" s="21"/>
      <c r="N2" s="66"/>
      <c r="O2" s="749"/>
      <c r="P2" s="749"/>
      <c r="Q2" s="67"/>
    </row>
    <row r="3" spans="1:17" s="1" customFormat="1" ht="15.75" x14ac:dyDescent="0.25">
      <c r="A3" s="70" t="s">
        <v>402</v>
      </c>
      <c r="B3" s="445"/>
      <c r="C3" s="2"/>
      <c r="D3" s="2"/>
      <c r="E3" s="797"/>
      <c r="F3" s="575" t="s">
        <v>20</v>
      </c>
      <c r="G3" s="61" t="s">
        <v>18</v>
      </c>
      <c r="H3" s="61" t="s">
        <v>18</v>
      </c>
      <c r="I3" s="61" t="s">
        <v>18</v>
      </c>
      <c r="J3" s="62" t="s">
        <v>18</v>
      </c>
      <c r="K3" s="108"/>
      <c r="L3" s="21"/>
      <c r="N3" s="60" t="str">
        <f>G3</f>
        <v>Forecast</v>
      </c>
      <c r="O3" s="61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97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97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97"/>
      <c r="F7" s="4">
        <f t="shared" ref="F7:J7" si="0">F$1</f>
        <v>2011</v>
      </c>
      <c r="G7" s="5">
        <f t="shared" si="0"/>
        <v>2012</v>
      </c>
      <c r="H7" s="5">
        <f t="shared" si="0"/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750" t="str">
        <f t="shared" ref="F8:J8" si="1">F$2</f>
        <v>Nominal $</v>
      </c>
      <c r="G8" s="108" t="str">
        <f t="shared" si="1"/>
        <v>Nominal $</v>
      </c>
      <c r="H8" s="108" t="str">
        <f t="shared" si="1"/>
        <v>Real 2012 $</v>
      </c>
      <c r="I8" s="108" t="str">
        <f t="shared" si="1"/>
        <v>Real 2012 $</v>
      </c>
      <c r="J8" s="751" t="str">
        <f t="shared" si="1"/>
        <v>Real 2012 $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50" t="str">
        <f t="shared" ref="F9:J9" si="2">F$3</f>
        <v>Actual</v>
      </c>
      <c r="G9" s="752" t="str">
        <f t="shared" si="2"/>
        <v>Forecast</v>
      </c>
      <c r="H9" s="752" t="str">
        <f t="shared" si="2"/>
        <v>Forecast</v>
      </c>
      <c r="I9" s="752" t="str">
        <f t="shared" si="2"/>
        <v>Forecast</v>
      </c>
      <c r="J9" s="753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808"/>
      <c r="E10" s="808"/>
      <c r="F10" s="815">
        <v>1584273.64</v>
      </c>
      <c r="G10" s="754">
        <v>102540.18148532057</v>
      </c>
      <c r="H10" s="9">
        <v>38350.778122319542</v>
      </c>
      <c r="I10" s="9">
        <v>0</v>
      </c>
      <c r="J10" s="755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808"/>
      <c r="E11" s="808"/>
      <c r="F11" s="8">
        <v>760748.95</v>
      </c>
      <c r="G11" s="9">
        <v>130896.45815013375</v>
      </c>
      <c r="H11" s="9">
        <v>49278.91279586326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808"/>
      <c r="E12" s="808"/>
      <c r="F12" s="8">
        <v>92857134.000426456</v>
      </c>
      <c r="G12" s="9">
        <v>90820937.100570291</v>
      </c>
      <c r="H12" s="9">
        <v>64511767.892202668</v>
      </c>
      <c r="I12" s="9">
        <v>7066380.9270873992</v>
      </c>
      <c r="J12" s="10">
        <v>7040494.7896951232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808"/>
      <c r="E13" s="808"/>
      <c r="F13" s="8">
        <v>11333414.250000002</v>
      </c>
      <c r="G13" s="9">
        <v>9979982.2689559124</v>
      </c>
      <c r="H13" s="9">
        <v>8844835.5042199083</v>
      </c>
      <c r="I13" s="9">
        <v>6975051.4783687815</v>
      </c>
      <c r="J13" s="10">
        <v>5197283.3998921514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808"/>
      <c r="E14" s="808"/>
      <c r="F14" s="8">
        <v>16172606.329999998</v>
      </c>
      <c r="G14" s="9">
        <v>16665630.703535797</v>
      </c>
      <c r="H14" s="9">
        <v>8202438.6629651133</v>
      </c>
      <c r="I14" s="9">
        <v>2254892.1437787935</v>
      </c>
      <c r="J14" s="10">
        <v>1064281.7204164031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808"/>
      <c r="E15" s="808"/>
      <c r="F15" s="8">
        <v>349105.82</v>
      </c>
      <c r="G15" s="9">
        <v>127108.98903635313</v>
      </c>
      <c r="H15" s="9">
        <v>120799.45066358914</v>
      </c>
      <c r="I15" s="9">
        <v>120799.45066358914</v>
      </c>
      <c r="J15" s="10">
        <v>130234.25504904789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97"/>
      <c r="E16" s="797"/>
      <c r="F16" s="11">
        <f t="shared" ref="F16:J16" si="3">SUM(F10:F15)</f>
        <v>123057282.99042645</v>
      </c>
      <c r="G16" s="12">
        <f t="shared" si="3"/>
        <v>117827095.70173381</v>
      </c>
      <c r="H16" s="12">
        <f t="shared" si="3"/>
        <v>81767471.200969473</v>
      </c>
      <c r="I16" s="12">
        <f t="shared" si="3"/>
        <v>16417123.999898564</v>
      </c>
      <c r="J16" s="13">
        <f t="shared" si="3"/>
        <v>13432294.165052725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97"/>
      <c r="E17" s="797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97"/>
      <c r="E18" s="797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97"/>
      <c r="E19" s="797"/>
      <c r="F19" s="4">
        <f t="shared" ref="F19:J19" si="4">F$1</f>
        <v>2011</v>
      </c>
      <c r="G19" s="5">
        <f t="shared" si="4"/>
        <v>2012</v>
      </c>
      <c r="H19" s="5">
        <f t="shared" si="4"/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809"/>
      <c r="E20" s="809"/>
      <c r="F20" s="750" t="str">
        <f t="shared" ref="F20:J20" si="5">F$2</f>
        <v>Nominal $</v>
      </c>
      <c r="G20" s="108" t="str">
        <f t="shared" si="5"/>
        <v>Nominal $</v>
      </c>
      <c r="H20" s="108" t="str">
        <f t="shared" si="5"/>
        <v>Real 2012 $</v>
      </c>
      <c r="I20" s="108" t="str">
        <f t="shared" si="5"/>
        <v>Real 2012 $</v>
      </c>
      <c r="J20" s="751" t="str">
        <f t="shared" si="5"/>
        <v>Real 2012 $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810"/>
      <c r="E21" s="810"/>
      <c r="F21" s="50" t="str">
        <f t="shared" ref="F21:J21" si="6">F$3</f>
        <v>Actual</v>
      </c>
      <c r="G21" s="752" t="str">
        <f t="shared" si="6"/>
        <v>Forecast</v>
      </c>
      <c r="H21" s="752" t="str">
        <f t="shared" si="6"/>
        <v>Forecast</v>
      </c>
      <c r="I21" s="752" t="str">
        <f t="shared" si="6"/>
        <v>Forecast</v>
      </c>
      <c r="J21" s="753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811"/>
      <c r="E22" s="811"/>
      <c r="F22" s="324">
        <f t="shared" ref="F22:J22" si="7">SUM(F10:F12)-F23</f>
        <v>95202156.59042646</v>
      </c>
      <c r="G22" s="19">
        <f t="shared" si="7"/>
        <v>91054373.74020575</v>
      </c>
      <c r="H22" s="19">
        <f t="shared" si="7"/>
        <v>64599397.583120853</v>
      </c>
      <c r="I22" s="19">
        <f t="shared" si="7"/>
        <v>7066380.9270873992</v>
      </c>
      <c r="J22" s="756">
        <f t="shared" si="7"/>
        <v>7040494.7896951232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812"/>
      <c r="E23" s="812"/>
      <c r="F23" s="8"/>
      <c r="G23" s="9"/>
      <c r="H23" s="9"/>
      <c r="I23" s="9"/>
      <c r="J23" s="10"/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812"/>
      <c r="E24" s="812"/>
      <c r="F24" s="324">
        <f t="shared" ref="F24:J26" si="8">F13</f>
        <v>11333414.250000002</v>
      </c>
      <c r="G24" s="19">
        <f t="shared" si="8"/>
        <v>9979982.2689559124</v>
      </c>
      <c r="H24" s="19">
        <f t="shared" si="8"/>
        <v>8844835.5042199083</v>
      </c>
      <c r="I24" s="19">
        <f t="shared" si="8"/>
        <v>6975051.4783687815</v>
      </c>
      <c r="J24" s="325">
        <f t="shared" si="8"/>
        <v>5197283.3998921514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812"/>
      <c r="E25" s="812"/>
      <c r="F25" s="324">
        <f t="shared" si="8"/>
        <v>16172606.329999998</v>
      </c>
      <c r="G25" s="19">
        <f t="shared" si="8"/>
        <v>16665630.703535797</v>
      </c>
      <c r="H25" s="19">
        <f t="shared" si="8"/>
        <v>8202438.6629651133</v>
      </c>
      <c r="I25" s="19">
        <f t="shared" si="8"/>
        <v>2254892.1437787935</v>
      </c>
      <c r="J25" s="325">
        <f t="shared" si="8"/>
        <v>1064281.7204164031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812"/>
      <c r="E26" s="812"/>
      <c r="F26" s="324">
        <f t="shared" si="8"/>
        <v>349105.82</v>
      </c>
      <c r="G26" s="19">
        <f t="shared" si="8"/>
        <v>127108.98903635313</v>
      </c>
      <c r="H26" s="19">
        <f t="shared" si="8"/>
        <v>120799.45066358914</v>
      </c>
      <c r="I26" s="19">
        <f t="shared" si="8"/>
        <v>120799.45066358914</v>
      </c>
      <c r="J26" s="325">
        <f t="shared" si="8"/>
        <v>130234.25504904789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97"/>
      <c r="F27" s="11">
        <f t="shared" ref="F27:J27" si="9">SUM(F21:F26)</f>
        <v>123057282.99042645</v>
      </c>
      <c r="G27" s="12">
        <f t="shared" si="9"/>
        <v>117827095.70173381</v>
      </c>
      <c r="H27" s="12">
        <f t="shared" si="9"/>
        <v>81767471.200969473</v>
      </c>
      <c r="I27" s="12">
        <f t="shared" si="9"/>
        <v>16417123.999898564</v>
      </c>
      <c r="J27" s="13">
        <f t="shared" si="9"/>
        <v>13432294.165052725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97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97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97"/>
      <c r="F30" s="4">
        <f t="shared" ref="F30:J30" si="10">F$1</f>
        <v>2011</v>
      </c>
      <c r="G30" s="5">
        <f t="shared" si="10"/>
        <v>2012</v>
      </c>
      <c r="H30" s="5">
        <f t="shared" si="10"/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97"/>
      <c r="F31" s="750" t="str">
        <f t="shared" ref="F31:J31" si="11">F$2</f>
        <v>Nominal $</v>
      </c>
      <c r="G31" s="108" t="str">
        <f t="shared" si="11"/>
        <v>Nominal $</v>
      </c>
      <c r="H31" s="108" t="str">
        <f t="shared" si="11"/>
        <v>Real 2012 $</v>
      </c>
      <c r="I31" s="108" t="str">
        <f t="shared" si="11"/>
        <v>Real 2012 $</v>
      </c>
      <c r="J31" s="751" t="str">
        <f t="shared" si="11"/>
        <v>Real 2012 $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813"/>
      <c r="F32" s="50" t="str">
        <f t="shared" ref="F32:J32" si="12">F$3</f>
        <v>Actual</v>
      </c>
      <c r="G32" s="752" t="str">
        <f t="shared" si="12"/>
        <v>Forecast</v>
      </c>
      <c r="H32" s="752" t="str">
        <f t="shared" si="12"/>
        <v>Forecast</v>
      </c>
      <c r="I32" s="752" t="str">
        <f t="shared" si="12"/>
        <v>Forecast</v>
      </c>
      <c r="J32" s="753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813"/>
      <c r="F33" s="35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813"/>
      <c r="F34" s="24"/>
      <c r="G34" s="25"/>
      <c r="H34" s="25"/>
      <c r="I34" s="25"/>
      <c r="J34" s="26"/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813"/>
      <c r="F35" s="24"/>
      <c r="G35" s="25"/>
      <c r="H35" s="25"/>
      <c r="I35" s="25"/>
      <c r="J35" s="26"/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813"/>
      <c r="F36" s="24"/>
      <c r="G36" s="25"/>
      <c r="H36" s="25"/>
      <c r="I36" s="25"/>
      <c r="J36" s="26"/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813"/>
      <c r="F37" s="24"/>
      <c r="G37" s="25"/>
      <c r="H37" s="25"/>
      <c r="I37" s="25"/>
      <c r="J37" s="26"/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813"/>
      <c r="F38" s="24"/>
      <c r="G38" s="25"/>
      <c r="H38" s="25"/>
      <c r="I38" s="25"/>
      <c r="J38" s="26"/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813"/>
      <c r="F39" s="24"/>
      <c r="G39" s="25"/>
      <c r="H39" s="25"/>
      <c r="I39" s="25"/>
      <c r="J39" s="26"/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813"/>
      <c r="F40" s="326">
        <f t="shared" ref="F40:J40" si="13">SUM(F34:F39)</f>
        <v>0</v>
      </c>
      <c r="G40" s="90">
        <f t="shared" si="13"/>
        <v>0</v>
      </c>
      <c r="H40" s="90">
        <f t="shared" si="13"/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813"/>
      <c r="F41" s="328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813"/>
      <c r="F42" s="23"/>
      <c r="G42" s="20"/>
      <c r="H42" s="20"/>
      <c r="I42" s="20"/>
      <c r="J42" s="726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813"/>
      <c r="F43" s="24"/>
      <c r="G43" s="25"/>
      <c r="H43" s="25"/>
      <c r="I43" s="25"/>
      <c r="J43" s="26"/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813"/>
      <c r="F44" s="24"/>
      <c r="G44" s="25"/>
      <c r="H44" s="25"/>
      <c r="I44" s="25"/>
      <c r="J44" s="26"/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813"/>
      <c r="F45" s="24"/>
      <c r="G45" s="25"/>
      <c r="H45" s="25"/>
      <c r="I45" s="25"/>
      <c r="J45" s="26"/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813"/>
      <c r="F46" s="24"/>
      <c r="G46" s="25"/>
      <c r="H46" s="25"/>
      <c r="I46" s="25"/>
      <c r="J46" s="26"/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813"/>
      <c r="F47" s="24"/>
      <c r="G47" s="25"/>
      <c r="H47" s="25"/>
      <c r="I47" s="25"/>
      <c r="J47" s="26"/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813"/>
      <c r="F48" s="27"/>
      <c r="G48" s="28"/>
      <c r="H48" s="28"/>
      <c r="I48" s="28"/>
      <c r="J48" s="29"/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97"/>
      <c r="F49" s="326">
        <f t="shared" ref="F49:J49" si="14">SUM(F43:F48)</f>
        <v>0</v>
      </c>
      <c r="G49" s="90">
        <f t="shared" si="14"/>
        <v>0</v>
      </c>
      <c r="H49" s="90">
        <f t="shared" si="14"/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97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97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97"/>
      <c r="F52" s="4">
        <f t="shared" ref="F52:J52" si="15">F$1</f>
        <v>2011</v>
      </c>
      <c r="G52" s="5">
        <f t="shared" si="15"/>
        <v>2012</v>
      </c>
      <c r="H52" s="5">
        <f t="shared" si="15"/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97"/>
      <c r="F53" s="750" t="str">
        <f t="shared" ref="F53:J53" si="16">F$2</f>
        <v>Nominal $</v>
      </c>
      <c r="G53" s="108" t="str">
        <f t="shared" si="16"/>
        <v>Nominal $</v>
      </c>
      <c r="H53" s="108" t="str">
        <f t="shared" si="16"/>
        <v>Real 2012 $</v>
      </c>
      <c r="I53" s="108" t="str">
        <f t="shared" si="16"/>
        <v>Real 2012 $</v>
      </c>
      <c r="J53" s="751" t="str">
        <f t="shared" si="16"/>
        <v>Real 2012 $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97"/>
      <c r="F54" s="750" t="str">
        <f t="shared" ref="F54:J54" si="17">F$3</f>
        <v>Actual</v>
      </c>
      <c r="G54" s="108" t="str">
        <f t="shared" si="17"/>
        <v>Forecast</v>
      </c>
      <c r="H54" s="108" t="str">
        <f t="shared" si="17"/>
        <v>Forecast</v>
      </c>
      <c r="I54" s="108" t="str">
        <f t="shared" si="17"/>
        <v>Forecast</v>
      </c>
      <c r="J54" s="751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393</v>
      </c>
      <c r="B55" s="83"/>
      <c r="C55" s="2"/>
      <c r="D55" s="2"/>
      <c r="E55" s="797"/>
      <c r="F55" s="16">
        <v>26822517.64150586</v>
      </c>
      <c r="G55" s="17">
        <v>25162840.413932506</v>
      </c>
      <c r="H55" s="17">
        <v>23853193.837697323</v>
      </c>
      <c r="I55" s="17">
        <v>22157167.077220388</v>
      </c>
      <c r="J55" s="18">
        <v>21907502.023885354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97"/>
      <c r="D56" s="797"/>
      <c r="E56" s="797"/>
      <c r="F56" s="791"/>
      <c r="G56" s="791"/>
      <c r="H56" s="791"/>
      <c r="I56" s="791"/>
      <c r="J56" s="791"/>
      <c r="K56" s="19"/>
      <c r="L56" s="2"/>
      <c r="M56" s="21"/>
      <c r="N56" s="21"/>
      <c r="O56" s="21"/>
    </row>
    <row r="57" spans="1:15" s="1" customFormat="1" x14ac:dyDescent="0.2">
      <c r="A57" s="789"/>
      <c r="B57" s="442"/>
      <c r="C57" s="797"/>
      <c r="D57" s="797"/>
      <c r="E57" s="797"/>
      <c r="F57" s="791"/>
      <c r="G57" s="791"/>
      <c r="H57" s="791"/>
      <c r="I57" s="799"/>
      <c r="J57" s="799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89"/>
      <c r="F58" s="4">
        <f t="shared" ref="F58:J58" si="18">F$1</f>
        <v>2011</v>
      </c>
      <c r="G58" s="5">
        <f t="shared" si="18"/>
        <v>2012</v>
      </c>
      <c r="H58" s="5">
        <f t="shared" si="18"/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89"/>
      <c r="F59" s="576" t="str">
        <f>F$2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89"/>
      <c r="F60" s="577">
        <v>72026210.274123311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89"/>
      <c r="F61" s="19"/>
      <c r="K61" s="19"/>
      <c r="M61" s="21"/>
      <c r="N61" s="21"/>
      <c r="O61" s="21"/>
    </row>
    <row r="62" spans="1:15" s="1" customFormat="1" x14ac:dyDescent="0.2">
      <c r="A62" s="30"/>
      <c r="B62" s="443"/>
      <c r="E62" s="789"/>
      <c r="F62" s="19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97"/>
      <c r="F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96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G65" s="888" t="s">
        <v>380</v>
      </c>
      <c r="H65" s="891"/>
      <c r="I65" s="891"/>
      <c r="J65" s="892"/>
      <c r="K65" s="32"/>
      <c r="L65" s="2"/>
      <c r="N65" s="888" t="s">
        <v>23</v>
      </c>
      <c r="O65" s="889"/>
      <c r="P65" s="889"/>
      <c r="Q65" s="890"/>
    </row>
    <row r="66" spans="1:17" x14ac:dyDescent="0.2">
      <c r="L66" s="2"/>
    </row>
    <row r="67" spans="1:17" x14ac:dyDescent="0.2">
      <c r="G67" s="757">
        <f>G$1</f>
        <v>2012</v>
      </c>
      <c r="H67" s="757">
        <f>H$1</f>
        <v>2013</v>
      </c>
      <c r="I67" s="757">
        <f>I$1</f>
        <v>2014</v>
      </c>
      <c r="J67" s="757">
        <f>J$1</f>
        <v>2015</v>
      </c>
      <c r="K67" s="54"/>
      <c r="L67" s="2"/>
      <c r="M67" s="21"/>
      <c r="N67" s="4">
        <f>N$1</f>
        <v>2012</v>
      </c>
      <c r="O67" s="5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G68" s="819" t="s">
        <v>20</v>
      </c>
      <c r="H68" s="717" t="s">
        <v>21</v>
      </c>
      <c r="I68" s="717" t="s">
        <v>21</v>
      </c>
      <c r="J68" s="717" t="s">
        <v>21</v>
      </c>
      <c r="K68" s="108"/>
      <c r="L68" s="2"/>
      <c r="M68" s="21"/>
      <c r="N68" s="758" t="str">
        <f>N3</f>
        <v>Forecast</v>
      </c>
      <c r="O68" s="308" t="str">
        <f>O3</f>
        <v>Forecast</v>
      </c>
      <c r="P68" s="308" t="str">
        <f>P3</f>
        <v>Forecast</v>
      </c>
      <c r="Q68" s="731" t="str">
        <f>Q3</f>
        <v>Forecast</v>
      </c>
    </row>
    <row r="69" spans="1:17" x14ac:dyDescent="0.2">
      <c r="B69" s="1"/>
      <c r="G69" s="718" t="s">
        <v>22</v>
      </c>
      <c r="H69" s="718" t="s">
        <v>22</v>
      </c>
      <c r="I69" s="718" t="s">
        <v>22</v>
      </c>
      <c r="J69" s="718" t="s">
        <v>22</v>
      </c>
      <c r="K69" s="108"/>
      <c r="L69" s="2"/>
      <c r="M69" s="21"/>
      <c r="N69" s="734"/>
      <c r="O69" s="735"/>
      <c r="P69" s="735"/>
      <c r="Q69" s="736"/>
    </row>
    <row r="70" spans="1:17" x14ac:dyDescent="0.2">
      <c r="B70" s="89"/>
      <c r="G70" s="737"/>
      <c r="H70" s="739"/>
      <c r="I70" s="20"/>
      <c r="J70" s="738"/>
      <c r="K70" s="2"/>
      <c r="L70" s="2"/>
      <c r="M70" s="21"/>
      <c r="N70" s="737"/>
      <c r="O70" s="739"/>
      <c r="P70" s="739"/>
      <c r="Q70" s="726"/>
    </row>
    <row r="71" spans="1:17" x14ac:dyDescent="0.2">
      <c r="A71" s="88" t="s">
        <v>24</v>
      </c>
      <c r="B71" s="89"/>
      <c r="G71" s="339" t="s">
        <v>25</v>
      </c>
      <c r="H71" s="699"/>
      <c r="I71" s="699"/>
      <c r="J71" s="121"/>
      <c r="K71" s="118"/>
      <c r="L71" s="2"/>
      <c r="M71" s="21"/>
      <c r="N71" s="23"/>
      <c r="P71" s="20"/>
      <c r="Q71" s="726"/>
    </row>
    <row r="72" spans="1:17" x14ac:dyDescent="0.2">
      <c r="A72" s="82" t="s">
        <v>26</v>
      </c>
      <c r="B72" s="53"/>
      <c r="G72" s="743">
        <f>'Data 2009-15 (Real $2008)'!G72</f>
        <v>0</v>
      </c>
      <c r="H72" s="748"/>
      <c r="I72" s="748"/>
      <c r="J72" s="333"/>
      <c r="K72" s="119"/>
      <c r="L72" s="2"/>
      <c r="M72" s="21"/>
      <c r="N72" s="77"/>
      <c r="O72" s="759"/>
      <c r="P72" s="759"/>
      <c r="Q72" s="73"/>
    </row>
    <row r="73" spans="1:17" x14ac:dyDescent="0.2">
      <c r="A73" s="82" t="s">
        <v>27</v>
      </c>
      <c r="B73" s="444"/>
      <c r="G73" s="743">
        <f>'Data 2009-15 (Real $2008)'!G73</f>
        <v>0</v>
      </c>
      <c r="H73" s="748"/>
      <c r="I73" s="748"/>
      <c r="J73" s="333"/>
      <c r="K73" s="119"/>
      <c r="L73" s="2"/>
      <c r="M73" s="21"/>
      <c r="N73" s="77"/>
      <c r="O73" s="759"/>
      <c r="P73" s="759"/>
      <c r="Q73" s="73"/>
    </row>
    <row r="74" spans="1:17" x14ac:dyDescent="0.2">
      <c r="A74" s="552" t="s">
        <v>370</v>
      </c>
      <c r="B74" s="2"/>
      <c r="G74" s="743">
        <f>'Data 2009-15 (Real $2008)'!G74</f>
        <v>0</v>
      </c>
      <c r="H74" s="748"/>
      <c r="I74" s="748"/>
      <c r="J74" s="333"/>
      <c r="K74" s="119"/>
      <c r="L74" s="2"/>
      <c r="M74" s="21"/>
      <c r="N74" s="77"/>
      <c r="O74" s="759"/>
      <c r="P74" s="759"/>
      <c r="Q74" s="73"/>
    </row>
    <row r="75" spans="1:17" x14ac:dyDescent="0.2">
      <c r="A75" s="552" t="s">
        <v>371</v>
      </c>
      <c r="G75" s="743">
        <f>'Data 2009-15 (Real $2008)'!G75</f>
        <v>0</v>
      </c>
      <c r="H75" s="748"/>
      <c r="I75" s="748"/>
      <c r="J75" s="333"/>
      <c r="K75" s="119"/>
      <c r="L75" s="2"/>
      <c r="M75" s="21"/>
      <c r="N75" s="77"/>
      <c r="O75" s="759"/>
      <c r="P75" s="759"/>
      <c r="Q75" s="73"/>
    </row>
    <row r="76" spans="1:17" x14ac:dyDescent="0.2">
      <c r="A76" s="552" t="s">
        <v>372</v>
      </c>
      <c r="G76" s="743">
        <f>'Data 2009-15 (Real $2008)'!G76</f>
        <v>0</v>
      </c>
      <c r="H76" s="748"/>
      <c r="I76" s="748"/>
      <c r="J76" s="333"/>
      <c r="K76" s="119"/>
      <c r="L76" s="2"/>
      <c r="M76" s="21"/>
      <c r="N76" s="77"/>
      <c r="O76" s="759"/>
      <c r="P76" s="759"/>
      <c r="Q76" s="73"/>
    </row>
    <row r="77" spans="1:17" x14ac:dyDescent="0.2">
      <c r="A77" s="552" t="s">
        <v>373</v>
      </c>
      <c r="B77" s="2"/>
      <c r="G77" s="743">
        <f>'Data 2009-15 (Real $2008)'!G77</f>
        <v>0</v>
      </c>
      <c r="H77" s="748"/>
      <c r="I77" s="748"/>
      <c r="J77" s="333"/>
      <c r="K77" s="119"/>
      <c r="L77" s="2"/>
      <c r="M77" s="21"/>
      <c r="N77" s="77"/>
      <c r="O77" s="759"/>
      <c r="P77" s="759"/>
      <c r="Q77" s="73"/>
    </row>
    <row r="78" spans="1:17" x14ac:dyDescent="0.2">
      <c r="A78" s="552" t="s">
        <v>374</v>
      </c>
      <c r="B78" s="86"/>
      <c r="G78" s="743">
        <f>'Data 2009-15 (Real $2008)'!G78</f>
        <v>0</v>
      </c>
      <c r="H78" s="748"/>
      <c r="I78" s="748"/>
      <c r="J78" s="333"/>
      <c r="K78" s="119"/>
      <c r="L78" s="2"/>
      <c r="M78" s="21"/>
      <c r="N78" s="77"/>
      <c r="O78" s="759"/>
      <c r="P78" s="759"/>
      <c r="Q78" s="73"/>
    </row>
    <row r="79" spans="1:17" x14ac:dyDescent="0.2">
      <c r="A79" s="82"/>
      <c r="G79" s="741"/>
      <c r="H79" s="334"/>
      <c r="I79" s="334"/>
      <c r="J79" s="742"/>
      <c r="K79" s="2"/>
      <c r="L79" s="2"/>
      <c r="M79" s="21"/>
      <c r="N79" s="23"/>
      <c r="P79" s="20"/>
      <c r="Q79" s="726"/>
    </row>
    <row r="80" spans="1:17" x14ac:dyDescent="0.2">
      <c r="A80" s="82"/>
      <c r="G80" s="741"/>
      <c r="H80" s="334"/>
      <c r="I80" s="334"/>
      <c r="J80" s="742"/>
      <c r="K80" s="2"/>
      <c r="L80" s="2"/>
      <c r="M80" s="21"/>
      <c r="N80" s="23"/>
      <c r="P80" s="20"/>
      <c r="Q80" s="726"/>
    </row>
    <row r="81" spans="1:17" x14ac:dyDescent="0.2">
      <c r="A81" s="88" t="s">
        <v>24</v>
      </c>
      <c r="B81" s="319"/>
      <c r="G81" s="512" t="s">
        <v>28</v>
      </c>
      <c r="H81" s="701"/>
      <c r="I81" s="701"/>
      <c r="J81" s="335"/>
      <c r="K81" s="118"/>
      <c r="L81" s="2"/>
      <c r="M81" s="21"/>
      <c r="N81" s="23"/>
      <c r="P81" s="20"/>
      <c r="Q81" s="726"/>
    </row>
    <row r="82" spans="1:17" x14ac:dyDescent="0.2">
      <c r="A82" s="82" t="s">
        <v>26</v>
      </c>
      <c r="B82" s="319"/>
      <c r="G82" s="743">
        <f>'Data 2009-15 (Real $2008)'!G82</f>
        <v>0</v>
      </c>
      <c r="H82" s="748"/>
      <c r="I82" s="748"/>
      <c r="J82" s="333"/>
      <c r="K82" s="119"/>
      <c r="L82" s="2"/>
      <c r="M82" s="21"/>
      <c r="N82" s="77"/>
      <c r="O82" s="759"/>
      <c r="P82" s="759"/>
      <c r="Q82" s="73"/>
    </row>
    <row r="83" spans="1:17" x14ac:dyDescent="0.2">
      <c r="A83" s="82" t="s">
        <v>27</v>
      </c>
      <c r="B83" s="431"/>
      <c r="G83" s="743">
        <f>'Data 2009-15 (Real $2008)'!G83</f>
        <v>0</v>
      </c>
      <c r="H83" s="748"/>
      <c r="I83" s="748"/>
      <c r="J83" s="333"/>
      <c r="K83" s="119"/>
      <c r="L83" s="2"/>
      <c r="M83" s="21"/>
      <c r="N83" s="77"/>
      <c r="O83" s="759"/>
      <c r="P83" s="759"/>
      <c r="Q83" s="73"/>
    </row>
    <row r="84" spans="1:17" x14ac:dyDescent="0.2">
      <c r="A84" s="552" t="s">
        <v>370</v>
      </c>
      <c r="G84" s="743">
        <f>'Data 2009-15 (Real $2008)'!G84</f>
        <v>0</v>
      </c>
      <c r="H84" s="748"/>
      <c r="I84" s="748"/>
      <c r="J84" s="333"/>
      <c r="K84" s="119"/>
      <c r="L84" s="2"/>
      <c r="M84" s="21"/>
      <c r="N84" s="77"/>
      <c r="O84" s="759"/>
      <c r="P84" s="759"/>
      <c r="Q84" s="73"/>
    </row>
    <row r="85" spans="1:17" x14ac:dyDescent="0.2">
      <c r="A85" s="552" t="s">
        <v>371</v>
      </c>
      <c r="G85" s="743">
        <f>'Data 2009-15 (Real $2008)'!G85</f>
        <v>0</v>
      </c>
      <c r="H85" s="748"/>
      <c r="I85" s="748"/>
      <c r="J85" s="333"/>
      <c r="K85" s="119"/>
      <c r="L85" s="2"/>
      <c r="M85" s="21"/>
      <c r="N85" s="77"/>
      <c r="O85" s="759"/>
      <c r="P85" s="759"/>
      <c r="Q85" s="73"/>
    </row>
    <row r="86" spans="1:17" x14ac:dyDescent="0.2">
      <c r="A86" s="552" t="s">
        <v>372</v>
      </c>
      <c r="G86" s="743">
        <f>'Data 2009-15 (Real $2008)'!G86</f>
        <v>0</v>
      </c>
      <c r="H86" s="748"/>
      <c r="I86" s="748"/>
      <c r="J86" s="333"/>
      <c r="K86" s="119"/>
      <c r="L86" s="2"/>
      <c r="M86" s="21"/>
      <c r="N86" s="77"/>
      <c r="O86" s="759"/>
      <c r="P86" s="759"/>
      <c r="Q86" s="73"/>
    </row>
    <row r="87" spans="1:17" x14ac:dyDescent="0.2">
      <c r="A87" s="552" t="s">
        <v>373</v>
      </c>
      <c r="G87" s="743">
        <f>'Data 2009-15 (Real $2008)'!G87</f>
        <v>0</v>
      </c>
      <c r="H87" s="748"/>
      <c r="I87" s="748"/>
      <c r="J87" s="333"/>
      <c r="K87" s="119"/>
      <c r="L87" s="2"/>
      <c r="M87" s="21"/>
      <c r="N87" s="77"/>
      <c r="O87" s="759"/>
      <c r="P87" s="759"/>
      <c r="Q87" s="73"/>
    </row>
    <row r="88" spans="1:17" x14ac:dyDescent="0.2">
      <c r="A88" s="552" t="s">
        <v>374</v>
      </c>
      <c r="B88" s="106"/>
      <c r="G88" s="743">
        <f>'Data 2009-15 (Real $2008)'!G88</f>
        <v>0</v>
      </c>
      <c r="H88" s="748"/>
      <c r="I88" s="748"/>
      <c r="J88" s="333"/>
      <c r="K88" s="119"/>
      <c r="L88" s="2"/>
      <c r="M88" s="21"/>
      <c r="N88" s="77"/>
      <c r="O88" s="759"/>
      <c r="P88" s="759"/>
      <c r="Q88" s="73"/>
    </row>
    <row r="89" spans="1:17" x14ac:dyDescent="0.2">
      <c r="A89" s="82"/>
      <c r="B89" s="86"/>
      <c r="G89" s="741"/>
      <c r="H89" s="334"/>
      <c r="I89" s="334"/>
      <c r="J89" s="742"/>
      <c r="K89" s="2"/>
      <c r="L89" s="2"/>
      <c r="M89" s="21"/>
      <c r="N89" s="23"/>
      <c r="P89" s="20"/>
      <c r="Q89" s="726"/>
    </row>
    <row r="90" spans="1:17" x14ac:dyDescent="0.2">
      <c r="A90" s="82"/>
      <c r="B90" s="91"/>
      <c r="G90" s="741"/>
      <c r="H90" s="334"/>
      <c r="I90" s="334"/>
      <c r="J90" s="742"/>
      <c r="K90" s="2"/>
      <c r="L90" s="2"/>
      <c r="M90" s="21"/>
      <c r="N90" s="23"/>
      <c r="P90" s="20"/>
      <c r="Q90" s="726"/>
    </row>
    <row r="91" spans="1:17" x14ac:dyDescent="0.2">
      <c r="A91" s="88" t="s">
        <v>29</v>
      </c>
      <c r="B91" s="91"/>
      <c r="G91" s="339" t="s">
        <v>25</v>
      </c>
      <c r="H91" s="701"/>
      <c r="I91" s="701"/>
      <c r="J91" s="335"/>
      <c r="K91" s="118"/>
      <c r="L91" s="2"/>
      <c r="M91" s="21"/>
      <c r="N91" s="23"/>
      <c r="P91" s="20"/>
      <c r="Q91" s="726"/>
    </row>
    <row r="92" spans="1:17" x14ac:dyDescent="0.2">
      <c r="A92" s="82" t="s">
        <v>30</v>
      </c>
      <c r="B92" s="89"/>
      <c r="G92" s="743">
        <f>'Data 2009-15 (Real $2008)'!G92</f>
        <v>0</v>
      </c>
      <c r="H92" s="748"/>
      <c r="I92" s="748"/>
      <c r="J92" s="333"/>
      <c r="K92" s="119"/>
      <c r="L92" s="2"/>
      <c r="M92" s="21"/>
      <c r="N92" s="77"/>
      <c r="O92" s="759"/>
      <c r="P92" s="759"/>
      <c r="Q92" s="73"/>
    </row>
    <row r="93" spans="1:17" x14ac:dyDescent="0.2">
      <c r="A93" s="82" t="s">
        <v>31</v>
      </c>
      <c r="B93" s="84"/>
      <c r="G93" s="743">
        <f>'Data 2009-15 (Real $2008)'!G93</f>
        <v>0</v>
      </c>
      <c r="H93" s="748"/>
      <c r="I93" s="748"/>
      <c r="J93" s="333"/>
      <c r="K93" s="119"/>
      <c r="L93" s="2"/>
      <c r="M93" s="21"/>
      <c r="N93" s="77"/>
      <c r="O93" s="759"/>
      <c r="P93" s="759"/>
      <c r="Q93" s="73"/>
    </row>
    <row r="94" spans="1:17" x14ac:dyDescent="0.2">
      <c r="A94" s="82" t="s">
        <v>32</v>
      </c>
      <c r="B94" s="89"/>
      <c r="G94" s="743">
        <f>'Data 2009-15 (Real $2008)'!G94</f>
        <v>0</v>
      </c>
      <c r="H94" s="748"/>
      <c r="I94" s="748"/>
      <c r="J94" s="333"/>
      <c r="K94" s="119"/>
      <c r="L94" s="2"/>
      <c r="M94" s="21"/>
      <c r="N94" s="77"/>
      <c r="O94" s="759"/>
      <c r="P94" s="759"/>
      <c r="Q94" s="73"/>
    </row>
    <row r="95" spans="1:17" x14ac:dyDescent="0.2">
      <c r="A95" s="82" t="s">
        <v>33</v>
      </c>
      <c r="B95" s="91"/>
      <c r="G95" s="743">
        <f>'Data 2009-15 (Real $2008)'!G95</f>
        <v>0</v>
      </c>
      <c r="H95" s="748"/>
      <c r="I95" s="748"/>
      <c r="J95" s="333"/>
      <c r="K95" s="119"/>
      <c r="L95" s="2"/>
      <c r="M95" s="21"/>
      <c r="N95" s="77"/>
      <c r="O95" s="759"/>
      <c r="P95" s="759"/>
      <c r="Q95" s="73"/>
    </row>
    <row r="96" spans="1:17" x14ac:dyDescent="0.2">
      <c r="A96" s="82" t="s">
        <v>34</v>
      </c>
      <c r="B96" s="91"/>
      <c r="G96" s="743">
        <f>'Data 2009-15 (Real $2008)'!G96</f>
        <v>0</v>
      </c>
      <c r="H96" s="748"/>
      <c r="I96" s="748"/>
      <c r="J96" s="333"/>
      <c r="K96" s="119"/>
      <c r="L96" s="2"/>
      <c r="M96" s="21"/>
      <c r="N96" s="77"/>
      <c r="O96" s="759"/>
      <c r="P96" s="759"/>
      <c r="Q96" s="73"/>
    </row>
    <row r="97" spans="1:17" x14ac:dyDescent="0.2">
      <c r="A97" s="82" t="s">
        <v>35</v>
      </c>
      <c r="B97" s="91"/>
      <c r="G97" s="743">
        <f>'Data 2009-15 (Real $2008)'!G97</f>
        <v>0</v>
      </c>
      <c r="H97" s="748"/>
      <c r="I97" s="748"/>
      <c r="J97" s="333"/>
      <c r="K97" s="119"/>
      <c r="L97" s="2"/>
      <c r="M97" s="21"/>
      <c r="N97" s="77"/>
      <c r="O97" s="759"/>
      <c r="P97" s="759"/>
      <c r="Q97" s="73"/>
    </row>
    <row r="98" spans="1:17" x14ac:dyDescent="0.2">
      <c r="A98" s="552" t="s">
        <v>370</v>
      </c>
      <c r="B98" s="91"/>
      <c r="G98" s="743">
        <f>'Data 2009-15 (Real $2008)'!G98</f>
        <v>0</v>
      </c>
      <c r="H98" s="748"/>
      <c r="I98" s="748"/>
      <c r="J98" s="333"/>
      <c r="K98" s="119"/>
      <c r="L98" s="2"/>
      <c r="M98" s="21"/>
      <c r="N98" s="77"/>
      <c r="O98" s="759"/>
      <c r="P98" s="759"/>
      <c r="Q98" s="73"/>
    </row>
    <row r="99" spans="1:17" x14ac:dyDescent="0.2">
      <c r="A99" s="552" t="s">
        <v>371</v>
      </c>
      <c r="B99" s="91"/>
      <c r="G99" s="743">
        <f>'Data 2009-15 (Real $2008)'!G99</f>
        <v>0</v>
      </c>
      <c r="H99" s="748"/>
      <c r="I99" s="748"/>
      <c r="J99" s="333"/>
      <c r="K99" s="119"/>
      <c r="L99" s="2"/>
      <c r="M99" s="21"/>
      <c r="N99" s="77"/>
      <c r="O99" s="759"/>
      <c r="P99" s="759"/>
      <c r="Q99" s="73"/>
    </row>
    <row r="100" spans="1:17" x14ac:dyDescent="0.2">
      <c r="A100" s="552" t="s">
        <v>372</v>
      </c>
      <c r="B100" s="91"/>
      <c r="G100" s="743">
        <f>'Data 2009-15 (Real $2008)'!G100</f>
        <v>0</v>
      </c>
      <c r="H100" s="748"/>
      <c r="I100" s="748"/>
      <c r="J100" s="333"/>
      <c r="K100" s="119"/>
      <c r="L100" s="2"/>
      <c r="M100" s="21"/>
      <c r="N100" s="77"/>
      <c r="O100" s="759"/>
      <c r="P100" s="759"/>
      <c r="Q100" s="73"/>
    </row>
    <row r="101" spans="1:17" x14ac:dyDescent="0.2">
      <c r="A101" s="552" t="s">
        <v>373</v>
      </c>
      <c r="B101" s="91"/>
      <c r="G101" s="743">
        <f>'Data 2009-15 (Real $2008)'!G101</f>
        <v>0</v>
      </c>
      <c r="H101" s="748"/>
      <c r="I101" s="748"/>
      <c r="J101" s="333"/>
      <c r="K101" s="119"/>
      <c r="L101" s="2"/>
      <c r="M101" s="21"/>
      <c r="N101" s="77"/>
      <c r="O101" s="759"/>
      <c r="P101" s="759"/>
      <c r="Q101" s="73"/>
    </row>
    <row r="102" spans="1:17" x14ac:dyDescent="0.2">
      <c r="A102" s="552" t="s">
        <v>374</v>
      </c>
      <c r="B102" s="91"/>
      <c r="G102" s="743">
        <f>'Data 2009-15 (Real $2008)'!G102</f>
        <v>0</v>
      </c>
      <c r="H102" s="748"/>
      <c r="I102" s="748"/>
      <c r="J102" s="333"/>
      <c r="K102" s="119"/>
      <c r="L102" s="2"/>
      <c r="M102" s="21"/>
      <c r="N102" s="77"/>
      <c r="O102" s="759"/>
      <c r="P102" s="759"/>
      <c r="Q102" s="73"/>
    </row>
    <row r="103" spans="1:17" x14ac:dyDescent="0.2">
      <c r="A103" s="82"/>
      <c r="B103" s="91"/>
      <c r="G103" s="741"/>
      <c r="H103" s="334"/>
      <c r="I103" s="334"/>
      <c r="J103" s="742"/>
      <c r="K103" s="2"/>
      <c r="L103" s="2"/>
      <c r="M103" s="21"/>
      <c r="N103" s="23"/>
      <c r="P103" s="20"/>
      <c r="Q103" s="726"/>
    </row>
    <row r="104" spans="1:17" x14ac:dyDescent="0.2">
      <c r="A104" s="82"/>
      <c r="B104" s="91"/>
      <c r="G104" s="741"/>
      <c r="H104" s="334"/>
      <c r="I104" s="334"/>
      <c r="J104" s="742"/>
      <c r="K104" s="2"/>
      <c r="L104" s="2"/>
      <c r="M104" s="21"/>
      <c r="N104" s="23"/>
      <c r="P104" s="20"/>
      <c r="Q104" s="726"/>
    </row>
    <row r="105" spans="1:17" x14ac:dyDescent="0.2">
      <c r="A105" s="88" t="s">
        <v>29</v>
      </c>
      <c r="G105" s="512" t="s">
        <v>28</v>
      </c>
      <c r="H105" s="701"/>
      <c r="I105" s="701"/>
      <c r="J105" s="335"/>
      <c r="K105" s="118"/>
      <c r="L105" s="2"/>
      <c r="M105" s="21"/>
      <c r="N105" s="23"/>
      <c r="P105" s="20"/>
      <c r="Q105" s="726"/>
    </row>
    <row r="106" spans="1:17" x14ac:dyDescent="0.2">
      <c r="A106" s="82" t="s">
        <v>30</v>
      </c>
      <c r="B106" s="91"/>
      <c r="G106" s="743">
        <f>'Data 2009-15 (Real $2008)'!G106</f>
        <v>0</v>
      </c>
      <c r="H106" s="748"/>
      <c r="I106" s="748"/>
      <c r="J106" s="333"/>
      <c r="K106" s="119"/>
      <c r="L106" s="2"/>
      <c r="M106" s="21"/>
      <c r="N106" s="77"/>
      <c r="O106" s="759"/>
      <c r="P106" s="759"/>
      <c r="Q106" s="73"/>
    </row>
    <row r="107" spans="1:17" x14ac:dyDescent="0.2">
      <c r="A107" s="82" t="s">
        <v>31</v>
      </c>
      <c r="B107" s="91"/>
      <c r="G107" s="743">
        <f>'Data 2009-15 (Real $2008)'!G107</f>
        <v>0</v>
      </c>
      <c r="H107" s="748"/>
      <c r="I107" s="748"/>
      <c r="J107" s="333"/>
      <c r="K107" s="119"/>
      <c r="L107" s="2"/>
      <c r="M107" s="21"/>
      <c r="N107" s="77"/>
      <c r="O107" s="759"/>
      <c r="P107" s="759"/>
      <c r="Q107" s="73"/>
    </row>
    <row r="108" spans="1:17" x14ac:dyDescent="0.2">
      <c r="A108" s="82" t="s">
        <v>32</v>
      </c>
      <c r="B108" s="91"/>
      <c r="G108" s="743">
        <f>'Data 2009-15 (Real $2008)'!G108</f>
        <v>0</v>
      </c>
      <c r="H108" s="748"/>
      <c r="I108" s="748"/>
      <c r="J108" s="333"/>
      <c r="K108" s="119"/>
      <c r="L108" s="2"/>
      <c r="M108" s="21"/>
      <c r="N108" s="77"/>
      <c r="O108" s="759"/>
      <c r="P108" s="759"/>
      <c r="Q108" s="73"/>
    </row>
    <row r="109" spans="1:17" x14ac:dyDescent="0.2">
      <c r="A109" s="82" t="s">
        <v>33</v>
      </c>
      <c r="B109" s="91"/>
      <c r="G109" s="743">
        <f>'Data 2009-15 (Real $2008)'!G109</f>
        <v>0</v>
      </c>
      <c r="H109" s="748"/>
      <c r="I109" s="748"/>
      <c r="J109" s="333"/>
      <c r="K109" s="119"/>
      <c r="L109" s="2"/>
      <c r="M109" s="21"/>
      <c r="N109" s="77"/>
      <c r="O109" s="759"/>
      <c r="P109" s="759"/>
      <c r="Q109" s="73"/>
    </row>
    <row r="110" spans="1:17" x14ac:dyDescent="0.2">
      <c r="A110" s="82" t="s">
        <v>34</v>
      </c>
      <c r="B110" s="91"/>
      <c r="G110" s="743">
        <f>'Data 2009-15 (Real $2008)'!G110</f>
        <v>0</v>
      </c>
      <c r="H110" s="748"/>
      <c r="I110" s="748"/>
      <c r="J110" s="333"/>
      <c r="K110" s="119"/>
      <c r="L110" s="2"/>
      <c r="M110" s="21"/>
      <c r="N110" s="77"/>
      <c r="O110" s="759"/>
      <c r="P110" s="759"/>
      <c r="Q110" s="73"/>
    </row>
    <row r="111" spans="1:17" x14ac:dyDescent="0.2">
      <c r="A111" s="82" t="s">
        <v>35</v>
      </c>
      <c r="B111" s="89"/>
      <c r="G111" s="743">
        <f>'Data 2009-15 (Real $2008)'!G111</f>
        <v>0</v>
      </c>
      <c r="H111" s="748"/>
      <c r="I111" s="748"/>
      <c r="J111" s="333"/>
      <c r="K111" s="119"/>
      <c r="L111" s="2"/>
      <c r="M111" s="21"/>
      <c r="N111" s="77"/>
      <c r="O111" s="759"/>
      <c r="P111" s="759"/>
      <c r="Q111" s="73"/>
    </row>
    <row r="112" spans="1:17" x14ac:dyDescent="0.2">
      <c r="A112" s="552" t="s">
        <v>375</v>
      </c>
      <c r="B112" s="89"/>
      <c r="G112" s="743">
        <f>'Data 2009-15 (Real $2008)'!G112</f>
        <v>102.96</v>
      </c>
      <c r="H112" s="748">
        <v>127.75</v>
      </c>
      <c r="I112" s="748">
        <v>127.75</v>
      </c>
      <c r="J112" s="333">
        <v>127.75</v>
      </c>
      <c r="K112" s="119"/>
      <c r="L112" s="2"/>
      <c r="M112" s="21"/>
      <c r="N112" s="77">
        <v>608884.52263649413</v>
      </c>
      <c r="O112" s="759">
        <v>619494.27478956722</v>
      </c>
      <c r="P112" s="759">
        <v>630824.29446182703</v>
      </c>
      <c r="Q112" s="73">
        <v>642772.44899599045</v>
      </c>
    </row>
    <row r="113" spans="1:17" x14ac:dyDescent="0.2">
      <c r="A113" s="552" t="s">
        <v>290</v>
      </c>
      <c r="B113" s="89"/>
      <c r="G113" s="743">
        <f>'Data 2009-15 (Real $2008)'!G113</f>
        <v>135.80000000000001</v>
      </c>
      <c r="H113" s="748">
        <v>168.5</v>
      </c>
      <c r="I113" s="748">
        <v>168.5</v>
      </c>
      <c r="J113" s="333">
        <v>168.5</v>
      </c>
      <c r="K113" s="119"/>
      <c r="L113" s="2"/>
      <c r="M113" s="21"/>
      <c r="N113" s="77">
        <v>114880.73414048826</v>
      </c>
      <c r="O113" s="759">
        <v>116621.80849491595</v>
      </c>
      <c r="P113" s="759">
        <v>118147.36937687505</v>
      </c>
      <c r="Q113" s="73">
        <v>119756.16068493875</v>
      </c>
    </row>
    <row r="114" spans="1:17" x14ac:dyDescent="0.2">
      <c r="A114" s="552" t="s">
        <v>291</v>
      </c>
      <c r="B114" s="89"/>
      <c r="G114" s="743">
        <f>'Data 2009-15 (Real $2008)'!G114</f>
        <v>179.94</v>
      </c>
      <c r="H114" s="748">
        <v>223.27</v>
      </c>
      <c r="I114" s="748">
        <v>223.27</v>
      </c>
      <c r="J114" s="333">
        <v>223.27</v>
      </c>
      <c r="K114" s="119"/>
      <c r="L114" s="2"/>
      <c r="M114" s="21"/>
      <c r="N114" s="77">
        <v>4339.3026097331567</v>
      </c>
      <c r="O114" s="759">
        <v>4432.1986710164201</v>
      </c>
      <c r="P114" s="759">
        <v>4496.2788522774736</v>
      </c>
      <c r="Q114" s="73">
        <v>4563.8550728341643</v>
      </c>
    </row>
    <row r="115" spans="1:17" x14ac:dyDescent="0.2">
      <c r="A115" s="552" t="s">
        <v>373</v>
      </c>
      <c r="G115" s="743">
        <f>'Data 2009-15 (Real $2008)'!G115</f>
        <v>0</v>
      </c>
      <c r="H115" s="748"/>
      <c r="I115" s="748"/>
      <c r="J115" s="333"/>
      <c r="K115" s="119"/>
      <c r="L115" s="2"/>
      <c r="M115" s="21"/>
      <c r="N115" s="77"/>
      <c r="O115" s="759"/>
      <c r="P115" s="759"/>
      <c r="Q115" s="73"/>
    </row>
    <row r="116" spans="1:17" x14ac:dyDescent="0.2">
      <c r="A116" s="552" t="s">
        <v>374</v>
      </c>
      <c r="B116" s="58"/>
      <c r="G116" s="760">
        <f>'Data 2009-15 (Real $2008)'!G116</f>
        <v>0</v>
      </c>
      <c r="H116" s="761"/>
      <c r="I116" s="761"/>
      <c r="J116" s="336"/>
      <c r="K116" s="119"/>
      <c r="L116" s="2"/>
      <c r="M116" s="21"/>
      <c r="N116" s="78"/>
      <c r="O116" s="762"/>
      <c r="P116" s="762"/>
      <c r="Q116" s="79"/>
    </row>
    <row r="117" spans="1:17" x14ac:dyDescent="0.2">
      <c r="B117" s="58"/>
      <c r="L117" s="2"/>
    </row>
    <row r="118" spans="1:17" x14ac:dyDescent="0.2">
      <c r="H118" s="886"/>
      <c r="I118" s="886"/>
      <c r="J118" s="886"/>
    </row>
    <row r="119" spans="1:17" ht="13.5" thickBot="1" x14ac:dyDescent="0.25">
      <c r="A119" s="68"/>
      <c r="B119" s="449"/>
      <c r="C119" s="68"/>
      <c r="D119" s="68"/>
      <c r="E119" s="814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</sheetData>
  <mergeCells count="2">
    <mergeCell ref="N65:Q65"/>
    <mergeCell ref="G65:J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9" t="str">
        <f>'IMRO Decision 2006-10'!A1</f>
        <v>Powercor</v>
      </c>
      <c r="B1" s="580" t="s">
        <v>0</v>
      </c>
      <c r="C1" s="581" t="str">
        <f>IF(SUM(C201)&lt;0.001,"Ok","Error")</f>
        <v>Ok</v>
      </c>
      <c r="D1" s="787">
        <f>C201</f>
        <v>0</v>
      </c>
      <c r="E1" s="582"/>
      <c r="F1" s="582"/>
      <c r="G1" s="582"/>
      <c r="H1" s="582"/>
      <c r="I1" s="582"/>
      <c r="J1" s="582"/>
      <c r="K1" s="582"/>
    </row>
    <row r="2" spans="1:11" s="458" customFormat="1" ht="15" x14ac:dyDescent="0.25">
      <c r="A2" s="583"/>
      <c r="B2" s="583"/>
      <c r="C2" s="584"/>
      <c r="D2" s="584"/>
      <c r="E2" s="584"/>
      <c r="F2" s="584"/>
      <c r="G2" s="584"/>
      <c r="H2" s="584"/>
      <c r="I2" s="584"/>
      <c r="J2" s="584"/>
      <c r="K2" s="584"/>
    </row>
    <row r="3" spans="1:11" ht="15.75" x14ac:dyDescent="0.25">
      <c r="A3" s="821" t="s">
        <v>404</v>
      </c>
      <c r="B3" s="585"/>
    </row>
    <row r="4" spans="1:11" s="458" customFormat="1" x14ac:dyDescent="0.2">
      <c r="A4" s="586"/>
      <c r="B4" s="586"/>
    </row>
    <row r="5" spans="1:11" ht="15.75" x14ac:dyDescent="0.25">
      <c r="A5" s="893" t="s">
        <v>40</v>
      </c>
      <c r="B5" s="894"/>
      <c r="C5" s="894"/>
      <c r="D5" s="895"/>
      <c r="E5" s="895"/>
      <c r="F5" s="896"/>
    </row>
    <row r="6" spans="1:11" s="458" customFormat="1" x14ac:dyDescent="0.2">
      <c r="A6" s="587" t="s">
        <v>74</v>
      </c>
      <c r="B6" s="588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22">
        <v>2006</v>
      </c>
      <c r="E8" s="75">
        <v>2007</v>
      </c>
      <c r="F8" s="823">
        <v>2008</v>
      </c>
    </row>
    <row r="9" spans="1:11" ht="12.75" customHeight="1" x14ac:dyDescent="0.2">
      <c r="A9" s="591" t="s">
        <v>37</v>
      </c>
      <c r="B9" s="591"/>
      <c r="C9" s="34" t="s">
        <v>8</v>
      </c>
      <c r="D9" s="897" t="s">
        <v>41</v>
      </c>
      <c r="E9" s="898"/>
      <c r="F9" s="899"/>
    </row>
    <row r="10" spans="1:11" x14ac:dyDescent="0.2">
      <c r="A10" s="454" t="str">
        <f>A$161</f>
        <v>Accumulation Meters</v>
      </c>
      <c r="C10" s="824">
        <f>C161</f>
        <v>15</v>
      </c>
      <c r="D10" s="825">
        <v>3110319.3672495438</v>
      </c>
      <c r="E10" s="826">
        <v>3322720.7410121309</v>
      </c>
      <c r="F10" s="827">
        <v>3520556.3383218911</v>
      </c>
      <c r="G10" s="592"/>
    </row>
    <row r="11" spans="1:11" x14ac:dyDescent="0.2">
      <c r="A11" s="454" t="str">
        <f>A$162</f>
        <v>Manually read interval meters</v>
      </c>
      <c r="C11" s="828">
        <f>C162</f>
        <v>10</v>
      </c>
      <c r="D11" s="763">
        <v>4428728.5773323188</v>
      </c>
      <c r="E11" s="764">
        <v>3924638.6174798836</v>
      </c>
      <c r="F11" s="765">
        <v>2127705.6690441784</v>
      </c>
      <c r="G11" s="592"/>
    </row>
    <row r="12" spans="1:11" x14ac:dyDescent="0.2">
      <c r="A12" s="454" t="str">
        <f>A$163</f>
        <v>Metering Data Services (IT)</v>
      </c>
      <c r="C12" s="828">
        <f>C163</f>
        <v>5</v>
      </c>
      <c r="D12" s="763">
        <v>0</v>
      </c>
      <c r="E12" s="764">
        <v>0</v>
      </c>
      <c r="F12" s="765">
        <v>0</v>
      </c>
      <c r="G12" s="592"/>
    </row>
    <row r="13" spans="1:11" x14ac:dyDescent="0.2">
      <c r="A13" s="454" t="str">
        <f>A$164</f>
        <v>Metering Data Services (Other)</v>
      </c>
      <c r="C13" s="829">
        <f>C164</f>
        <v>5</v>
      </c>
      <c r="D13" s="830">
        <v>0</v>
      </c>
      <c r="E13" s="831">
        <v>0</v>
      </c>
      <c r="F13" s="832">
        <v>0</v>
      </c>
      <c r="G13" s="592"/>
    </row>
    <row r="14" spans="1:11" ht="13.5" thickBot="1" x14ac:dyDescent="0.25">
      <c r="A14" s="593" t="s">
        <v>45</v>
      </c>
      <c r="B14" s="593"/>
      <c r="C14" s="833"/>
      <c r="D14" s="834">
        <f>SUM(D10:D13)</f>
        <v>7539047.9445818625</v>
      </c>
      <c r="E14" s="835">
        <f>SUM(E10:E13)</f>
        <v>7247359.3584920149</v>
      </c>
      <c r="F14" s="836">
        <f>SUM(F10:F13)</f>
        <v>5648262.0073660696</v>
      </c>
      <c r="G14" s="592"/>
    </row>
    <row r="15" spans="1:11" ht="13.5" thickTop="1" x14ac:dyDescent="0.2">
      <c r="C15" s="833"/>
      <c r="D15" s="833"/>
      <c r="E15" s="833"/>
      <c r="F15" s="833"/>
    </row>
    <row r="16" spans="1:11" x14ac:dyDescent="0.2">
      <c r="C16" s="833"/>
      <c r="D16" s="833"/>
      <c r="E16" s="833"/>
      <c r="F16" s="833"/>
    </row>
    <row r="17" spans="1:6" x14ac:dyDescent="0.2">
      <c r="A17" s="455"/>
      <c r="B17" s="595"/>
      <c r="C17" s="307" t="s">
        <v>283</v>
      </c>
      <c r="D17" s="75">
        <v>2006</v>
      </c>
      <c r="E17" s="837">
        <v>2007</v>
      </c>
      <c r="F17" s="823">
        <v>2008</v>
      </c>
    </row>
    <row r="18" spans="1:6" x14ac:dyDescent="0.2">
      <c r="A18" s="596" t="s">
        <v>47</v>
      </c>
      <c r="B18" s="597"/>
      <c r="C18" s="320" t="s">
        <v>48</v>
      </c>
      <c r="D18" s="903" t="s">
        <v>22</v>
      </c>
      <c r="E18" s="898"/>
      <c r="F18" s="899"/>
    </row>
    <row r="19" spans="1:6" x14ac:dyDescent="0.2">
      <c r="A19" s="454" t="str">
        <f>A$176</f>
        <v>Standard metering (Group 1) (Unit cost &lt; $1,000)</v>
      </c>
      <c r="C19" s="838">
        <f>C176</f>
        <v>0.375</v>
      </c>
      <c r="D19" s="839">
        <f>SUM(D10:D11)-D20</f>
        <v>7539047.9445818625</v>
      </c>
      <c r="E19" s="839">
        <f>SUM(E10:E11)-E20</f>
        <v>7247359.3584920149</v>
      </c>
      <c r="F19" s="840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38">
        <f>C177</f>
        <v>0.06</v>
      </c>
      <c r="D20" s="763">
        <v>0</v>
      </c>
      <c r="E20" s="764">
        <v>0</v>
      </c>
      <c r="F20" s="765">
        <v>0</v>
      </c>
    </row>
    <row r="21" spans="1:6" x14ac:dyDescent="0.2">
      <c r="A21" s="454" t="str">
        <f>A$178</f>
        <v>IT</v>
      </c>
      <c r="B21" s="595"/>
      <c r="C21" s="838">
        <f>C178</f>
        <v>0.4</v>
      </c>
      <c r="D21" s="839">
        <f t="shared" ref="D21:F22" si="0">D12</f>
        <v>0</v>
      </c>
      <c r="E21" s="839">
        <f t="shared" si="0"/>
        <v>0</v>
      </c>
      <c r="F21" s="840">
        <f t="shared" si="0"/>
        <v>0</v>
      </c>
    </row>
    <row r="22" spans="1:6" x14ac:dyDescent="0.2">
      <c r="A22" s="592" t="str">
        <f>A$179</f>
        <v>Other</v>
      </c>
      <c r="B22" s="595"/>
      <c r="C22" s="841">
        <f>C179</f>
        <v>0.1764705882352941</v>
      </c>
      <c r="D22" s="839">
        <f t="shared" si="0"/>
        <v>0</v>
      </c>
      <c r="E22" s="839">
        <f t="shared" si="0"/>
        <v>0</v>
      </c>
      <c r="F22" s="840">
        <f t="shared" si="0"/>
        <v>0</v>
      </c>
    </row>
    <row r="23" spans="1:6" ht="13.5" thickBot="1" x14ac:dyDescent="0.25">
      <c r="A23" s="593" t="s">
        <v>45</v>
      </c>
      <c r="B23" s="593"/>
      <c r="C23" s="833"/>
      <c r="D23" s="834">
        <f>SUM(D19:D22)</f>
        <v>7539047.9445818625</v>
      </c>
      <c r="E23" s="835">
        <f>SUM(E19:E22)</f>
        <v>7247359.3584920149</v>
      </c>
      <c r="F23" s="836">
        <f>SUM(F19:F22)</f>
        <v>5648262.0073660696</v>
      </c>
    </row>
    <row r="24" spans="1:6" ht="13.5" thickTop="1" x14ac:dyDescent="0.2">
      <c r="C24" s="833"/>
      <c r="D24" s="833"/>
      <c r="E24" s="833"/>
      <c r="F24" s="833"/>
    </row>
    <row r="25" spans="1:6" x14ac:dyDescent="0.2">
      <c r="C25" s="833"/>
      <c r="D25" s="833"/>
      <c r="E25" s="833"/>
      <c r="F25" s="833"/>
    </row>
    <row r="26" spans="1:6" x14ac:dyDescent="0.2">
      <c r="C26" s="833"/>
      <c r="D26" s="822">
        <v>2006</v>
      </c>
      <c r="E26" s="75">
        <v>2007</v>
      </c>
      <c r="F26" s="823">
        <v>2008</v>
      </c>
    </row>
    <row r="27" spans="1:6" ht="12.75" customHeight="1" x14ac:dyDescent="0.2">
      <c r="A27" s="87" t="s">
        <v>266</v>
      </c>
      <c r="B27" s="446"/>
      <c r="C27" s="833"/>
      <c r="D27" s="900" t="s">
        <v>22</v>
      </c>
      <c r="E27" s="901"/>
      <c r="F27" s="902" t="s">
        <v>46</v>
      </c>
    </row>
    <row r="28" spans="1:6" x14ac:dyDescent="0.2">
      <c r="A28" s="454" t="s">
        <v>126</v>
      </c>
      <c r="C28" s="833"/>
      <c r="D28" s="825">
        <v>74998.116624314891</v>
      </c>
      <c r="E28" s="826">
        <v>0</v>
      </c>
      <c r="F28" s="827">
        <v>0</v>
      </c>
    </row>
    <row r="29" spans="1:6" x14ac:dyDescent="0.2">
      <c r="A29" s="454" t="s">
        <v>5</v>
      </c>
      <c r="C29" s="833"/>
      <c r="D29" s="830">
        <v>0</v>
      </c>
      <c r="E29" s="831">
        <v>0</v>
      </c>
      <c r="F29" s="832">
        <v>0</v>
      </c>
    </row>
    <row r="30" spans="1:6" x14ac:dyDescent="0.2">
      <c r="C30" s="833"/>
      <c r="D30" s="833"/>
      <c r="E30" s="833"/>
      <c r="F30" s="833"/>
    </row>
    <row r="31" spans="1:6" x14ac:dyDescent="0.2">
      <c r="C31" s="833"/>
      <c r="D31" s="833"/>
      <c r="E31" s="833"/>
      <c r="F31" s="833"/>
    </row>
    <row r="32" spans="1:6" x14ac:dyDescent="0.2">
      <c r="A32" s="599" t="s">
        <v>281</v>
      </c>
      <c r="B32" s="600"/>
      <c r="C32" s="833"/>
      <c r="D32" s="833"/>
      <c r="E32" s="833"/>
      <c r="F32" s="833"/>
    </row>
    <row r="33" spans="1:6" x14ac:dyDescent="0.2">
      <c r="A33" s="458" t="s">
        <v>294</v>
      </c>
      <c r="C33" s="842" t="s">
        <v>287</v>
      </c>
      <c r="D33" s="833"/>
      <c r="E33" s="833"/>
      <c r="F33" s="833"/>
    </row>
    <row r="34" spans="1:6" x14ac:dyDescent="0.2">
      <c r="A34" s="454" t="s">
        <v>295</v>
      </c>
      <c r="C34" s="843">
        <v>2013</v>
      </c>
      <c r="D34" s="833"/>
      <c r="E34" s="833"/>
      <c r="F34" s="833"/>
    </row>
    <row r="35" spans="1:6" x14ac:dyDescent="0.2">
      <c r="C35" s="833"/>
      <c r="D35" s="833"/>
      <c r="E35" s="833"/>
      <c r="F35" s="833"/>
    </row>
    <row r="36" spans="1:6" x14ac:dyDescent="0.2">
      <c r="C36" s="833"/>
      <c r="D36" s="833"/>
      <c r="E36" s="833"/>
      <c r="F36" s="833"/>
    </row>
    <row r="37" spans="1:6" x14ac:dyDescent="0.2">
      <c r="C37" s="833"/>
      <c r="D37" s="822">
        <v>2006</v>
      </c>
      <c r="E37" s="837">
        <v>2007</v>
      </c>
      <c r="F37" s="823">
        <v>2008</v>
      </c>
    </row>
    <row r="38" spans="1:6" ht="12.75" customHeight="1" x14ac:dyDescent="0.2">
      <c r="A38" s="87" t="s">
        <v>264</v>
      </c>
      <c r="B38" s="446"/>
      <c r="C38" s="833"/>
      <c r="D38" s="897" t="s">
        <v>73</v>
      </c>
      <c r="E38" s="898"/>
      <c r="F38" s="899"/>
    </row>
    <row r="39" spans="1:6" s="458" customFormat="1" ht="12.75" customHeight="1" x14ac:dyDescent="0.2">
      <c r="A39" s="601" t="s">
        <v>159</v>
      </c>
      <c r="B39" s="602"/>
      <c r="C39" s="844"/>
      <c r="D39" s="845"/>
      <c r="E39" s="846"/>
      <c r="F39" s="847"/>
    </row>
    <row r="40" spans="1:6" x14ac:dyDescent="0.2">
      <c r="A40" s="454" t="s">
        <v>160</v>
      </c>
      <c r="C40" s="848" t="s">
        <v>276</v>
      </c>
      <c r="D40" s="763">
        <v>845937.06489649508</v>
      </c>
      <c r="E40" s="764">
        <v>996010.34727968555</v>
      </c>
      <c r="F40" s="765">
        <v>707136.82785838749</v>
      </c>
    </row>
    <row r="41" spans="1:6" x14ac:dyDescent="0.2">
      <c r="A41" s="454" t="s">
        <v>90</v>
      </c>
      <c r="C41" s="848" t="s">
        <v>275</v>
      </c>
      <c r="D41" s="763">
        <v>1239098.503989053</v>
      </c>
      <c r="E41" s="764">
        <v>1212055.5811555262</v>
      </c>
      <c r="F41" s="765">
        <v>884890.27122668817</v>
      </c>
    </row>
    <row r="42" spans="1:6" x14ac:dyDescent="0.2">
      <c r="A42" s="454" t="s">
        <v>45</v>
      </c>
      <c r="C42" s="833"/>
      <c r="D42" s="849">
        <f>SUM(D40:D41)</f>
        <v>2085035.568885548</v>
      </c>
      <c r="E42" s="850">
        <f>SUM(E40:E41)</f>
        <v>2208065.928435212</v>
      </c>
      <c r="F42" s="851">
        <f>SUM(F40:F41)</f>
        <v>1592027.0990850758</v>
      </c>
    </row>
    <row r="43" spans="1:6" x14ac:dyDescent="0.2">
      <c r="C43" s="833"/>
      <c r="D43" s="852"/>
      <c r="E43" s="839"/>
      <c r="F43" s="840"/>
    </row>
    <row r="44" spans="1:6" x14ac:dyDescent="0.2">
      <c r="A44" s="601" t="s">
        <v>161</v>
      </c>
      <c r="B44" s="602"/>
      <c r="C44" s="833"/>
      <c r="D44" s="852"/>
      <c r="E44" s="839"/>
      <c r="F44" s="840"/>
    </row>
    <row r="45" spans="1:6" x14ac:dyDescent="0.2">
      <c r="A45" s="454" t="s">
        <v>24</v>
      </c>
      <c r="C45" s="848" t="s">
        <v>276</v>
      </c>
      <c r="D45" s="763">
        <v>4990149.8962514158</v>
      </c>
      <c r="E45" s="764">
        <v>4950865.0806182912</v>
      </c>
      <c r="F45" s="765">
        <v>5341167.6142753046</v>
      </c>
    </row>
    <row r="46" spans="1:6" x14ac:dyDescent="0.2">
      <c r="A46" s="454" t="s">
        <v>269</v>
      </c>
      <c r="C46" s="848" t="s">
        <v>276</v>
      </c>
      <c r="D46" s="763">
        <v>239142.0949747758</v>
      </c>
      <c r="E46" s="764">
        <v>207431.66436038926</v>
      </c>
      <c r="F46" s="765">
        <v>334398.38757395191</v>
      </c>
    </row>
    <row r="47" spans="1:6" x14ac:dyDescent="0.2">
      <c r="A47" s="605" t="s">
        <v>54</v>
      </c>
      <c r="B47" s="595"/>
      <c r="C47" s="848" t="s">
        <v>275</v>
      </c>
      <c r="D47" s="763">
        <v>113778.50490563316</v>
      </c>
      <c r="E47" s="764">
        <v>97822.167596246582</v>
      </c>
      <c r="F47" s="765">
        <v>39422.778339117649</v>
      </c>
    </row>
    <row r="48" spans="1:6" x14ac:dyDescent="0.2">
      <c r="A48" s="454" t="s">
        <v>45</v>
      </c>
      <c r="C48" s="833"/>
      <c r="D48" s="849">
        <f>SUM(D45:D47)</f>
        <v>5343070.4961318243</v>
      </c>
      <c r="E48" s="850">
        <f>SUM(E45:E47)</f>
        <v>5256118.9125749264</v>
      </c>
      <c r="F48" s="851">
        <f>SUM(F45:F47)</f>
        <v>5714988.7801883742</v>
      </c>
    </row>
    <row r="49" spans="1:6" x14ac:dyDescent="0.2">
      <c r="A49" s="455"/>
      <c r="B49" s="595"/>
      <c r="C49" s="833"/>
      <c r="D49" s="853"/>
      <c r="E49" s="854"/>
      <c r="F49" s="855"/>
    </row>
    <row r="50" spans="1:6" ht="13.5" thickBot="1" x14ac:dyDescent="0.25">
      <c r="A50" s="605" t="s">
        <v>265</v>
      </c>
      <c r="B50" s="595"/>
      <c r="C50" s="856"/>
      <c r="D50" s="834">
        <f>SUM(D42,D48)</f>
        <v>7428106.0650173724</v>
      </c>
      <c r="E50" s="835">
        <f>SUM(E42,E48)</f>
        <v>7464184.8410101384</v>
      </c>
      <c r="F50" s="857">
        <f>SUM(F42,F48)</f>
        <v>7307015.87927345</v>
      </c>
    </row>
    <row r="51" spans="1:6" ht="13.5" thickTop="1" x14ac:dyDescent="0.2">
      <c r="C51" s="833"/>
      <c r="D51" s="833"/>
      <c r="E51" s="833"/>
      <c r="F51" s="833"/>
    </row>
    <row r="52" spans="1:6" x14ac:dyDescent="0.2">
      <c r="C52" s="833"/>
      <c r="D52" s="833"/>
      <c r="E52" s="833"/>
      <c r="F52" s="833"/>
    </row>
    <row r="53" spans="1:6" ht="13.5" thickBot="1" x14ac:dyDescent="0.25">
      <c r="A53" s="606" t="s">
        <v>277</v>
      </c>
      <c r="B53" s="607"/>
      <c r="C53" s="833"/>
      <c r="D53" s="835">
        <f>SUM(D40,D45:D46)</f>
        <v>6075229.0561226867</v>
      </c>
      <c r="E53" s="835">
        <f>SUM(E40,E45:E46)</f>
        <v>6154307.0922583658</v>
      </c>
      <c r="F53" s="835">
        <f>SUM(F40,F45:F46)</f>
        <v>6382702.8297076439</v>
      </c>
    </row>
    <row r="54" spans="1:6" ht="13.5" thickTop="1" x14ac:dyDescent="0.2">
      <c r="A54" s="455"/>
      <c r="B54" s="595"/>
      <c r="C54" s="833"/>
      <c r="D54" s="833"/>
      <c r="E54" s="833"/>
      <c r="F54" s="833"/>
    </row>
    <row r="55" spans="1:6" x14ac:dyDescent="0.2">
      <c r="C55" s="856"/>
      <c r="D55" s="833"/>
      <c r="E55" s="833"/>
      <c r="F55" s="833"/>
    </row>
    <row r="56" spans="1:6" x14ac:dyDescent="0.2">
      <c r="A56" s="87" t="s">
        <v>278</v>
      </c>
      <c r="B56" s="446"/>
      <c r="C56" s="856"/>
      <c r="D56" s="822">
        <v>2006</v>
      </c>
      <c r="E56" s="75">
        <v>2007</v>
      </c>
      <c r="F56" s="823">
        <v>2008</v>
      </c>
    </row>
    <row r="57" spans="1:6" x14ac:dyDescent="0.2">
      <c r="A57" s="608"/>
      <c r="B57" s="609"/>
      <c r="C57" s="856"/>
      <c r="D57" s="897" t="s">
        <v>358</v>
      </c>
      <c r="E57" s="898"/>
      <c r="F57" s="899"/>
    </row>
    <row r="58" spans="1:6" x14ac:dyDescent="0.2">
      <c r="A58" s="610" t="s">
        <v>52</v>
      </c>
      <c r="B58" s="611"/>
      <c r="C58" s="856"/>
      <c r="D58" s="858"/>
      <c r="E58" s="859"/>
      <c r="F58" s="840"/>
    </row>
    <row r="59" spans="1:6" x14ac:dyDescent="0.2">
      <c r="A59" s="613" t="s">
        <v>55</v>
      </c>
      <c r="B59" s="593"/>
      <c r="C59" s="856"/>
      <c r="D59" s="763">
        <v>857970.5</v>
      </c>
      <c r="E59" s="764">
        <v>869043.5</v>
      </c>
      <c r="F59" s="765">
        <v>880173</v>
      </c>
    </row>
    <row r="60" spans="1:6" x14ac:dyDescent="0.2">
      <c r="A60" s="608"/>
      <c r="B60" s="609"/>
      <c r="C60" s="856"/>
      <c r="D60" s="858"/>
      <c r="E60" s="859"/>
      <c r="F60" s="840"/>
    </row>
    <row r="61" spans="1:6" x14ac:dyDescent="0.2">
      <c r="A61" s="610" t="s">
        <v>24</v>
      </c>
      <c r="B61" s="611"/>
      <c r="C61" s="833"/>
      <c r="D61" s="860"/>
      <c r="E61" s="856"/>
      <c r="F61" s="861"/>
    </row>
    <row r="62" spans="1:6" x14ac:dyDescent="0.2">
      <c r="A62" s="613" t="s">
        <v>270</v>
      </c>
      <c r="B62" s="593"/>
      <c r="C62" s="833"/>
      <c r="D62" s="860"/>
      <c r="E62" s="856"/>
      <c r="F62" s="861"/>
    </row>
    <row r="63" spans="1:6" x14ac:dyDescent="0.2">
      <c r="A63" s="613" t="s">
        <v>56</v>
      </c>
      <c r="B63" s="593"/>
      <c r="C63" s="833"/>
      <c r="D63" s="763">
        <v>4675.8603095692206</v>
      </c>
      <c r="E63" s="764">
        <v>4736.2071410836606</v>
      </c>
      <c r="F63" s="765">
        <v>4796.8618924012771</v>
      </c>
    </row>
    <row r="64" spans="1:6" x14ac:dyDescent="0.2">
      <c r="A64" s="613" t="s">
        <v>57</v>
      </c>
      <c r="B64" s="593"/>
      <c r="C64" s="833"/>
      <c r="D64" s="763">
        <v>820938.34478370775</v>
      </c>
      <c r="E64" s="764">
        <v>831533.40637590701</v>
      </c>
      <c r="F64" s="765">
        <v>842182.5292866251</v>
      </c>
    </row>
    <row r="65" spans="1:6" x14ac:dyDescent="0.2">
      <c r="A65" s="613" t="s">
        <v>58</v>
      </c>
      <c r="B65" s="593"/>
      <c r="C65" s="833"/>
      <c r="D65" s="763">
        <v>298.232548218538</v>
      </c>
      <c r="E65" s="764">
        <v>302.08154886182803</v>
      </c>
      <c r="F65" s="765">
        <v>305.95018903698349</v>
      </c>
    </row>
    <row r="66" spans="1:6" x14ac:dyDescent="0.2">
      <c r="A66" s="613" t="s">
        <v>59</v>
      </c>
      <c r="B66" s="593"/>
      <c r="C66" s="833"/>
      <c r="D66" s="763">
        <v>32058.062358504401</v>
      </c>
      <c r="E66" s="764">
        <v>32471.804934147411</v>
      </c>
      <c r="F66" s="765">
        <v>32887.658631936523</v>
      </c>
    </row>
    <row r="67" spans="1:6" x14ac:dyDescent="0.2">
      <c r="C67" s="833"/>
      <c r="D67" s="860"/>
      <c r="E67" s="856"/>
      <c r="F67" s="861"/>
    </row>
    <row r="68" spans="1:6" x14ac:dyDescent="0.2">
      <c r="A68" s="610" t="s">
        <v>53</v>
      </c>
      <c r="B68" s="611"/>
      <c r="C68" s="856"/>
      <c r="D68" s="858"/>
      <c r="E68" s="859"/>
      <c r="F68" s="840"/>
    </row>
    <row r="69" spans="1:6" x14ac:dyDescent="0.2">
      <c r="A69" s="613" t="s">
        <v>60</v>
      </c>
      <c r="B69" s="593"/>
      <c r="C69" s="856"/>
      <c r="D69" s="763">
        <v>6182</v>
      </c>
      <c r="E69" s="764">
        <v>7457</v>
      </c>
      <c r="F69" s="765">
        <v>6345</v>
      </c>
    </row>
    <row r="70" spans="1:6" collapsed="1" x14ac:dyDescent="0.2">
      <c r="A70" s="613"/>
      <c r="B70" s="593"/>
      <c r="C70" s="856"/>
      <c r="D70" s="862"/>
      <c r="E70" s="863"/>
      <c r="F70" s="864"/>
    </row>
    <row r="71" spans="1:6" x14ac:dyDescent="0.2">
      <c r="A71" s="613"/>
      <c r="B71" s="593"/>
      <c r="C71" s="856"/>
      <c r="D71" s="859"/>
      <c r="E71" s="859"/>
      <c r="F71" s="839"/>
    </row>
    <row r="72" spans="1:6" x14ac:dyDescent="0.2">
      <c r="A72" s="613"/>
      <c r="B72" s="593"/>
      <c r="C72" s="856"/>
      <c r="D72" s="859"/>
      <c r="E72" s="859"/>
      <c r="F72" s="839"/>
    </row>
    <row r="73" spans="1:6" x14ac:dyDescent="0.2">
      <c r="A73" s="591" t="s">
        <v>61</v>
      </c>
      <c r="B73" s="591"/>
      <c r="C73" s="856"/>
      <c r="D73" s="822">
        <v>2006</v>
      </c>
      <c r="E73" s="75">
        <v>2007</v>
      </c>
      <c r="F73" s="823">
        <v>2008</v>
      </c>
    </row>
    <row r="74" spans="1:6" x14ac:dyDescent="0.2">
      <c r="A74" s="613"/>
      <c r="B74" s="593"/>
      <c r="C74" s="856"/>
      <c r="D74" s="897" t="s">
        <v>62</v>
      </c>
      <c r="E74" s="898"/>
      <c r="F74" s="899"/>
    </row>
    <row r="75" spans="1:6" ht="13.5" thickBot="1" x14ac:dyDescent="0.25">
      <c r="A75" s="613" t="s">
        <v>63</v>
      </c>
      <c r="B75" s="593"/>
      <c r="C75" s="856"/>
      <c r="D75" s="766">
        <v>15791099.579999998</v>
      </c>
      <c r="E75" s="767">
        <v>20564547.279999997</v>
      </c>
      <c r="F75" s="768">
        <v>26973621.240000002</v>
      </c>
    </row>
    <row r="76" spans="1:6" ht="13.5" thickTop="1" x14ac:dyDescent="0.2"/>
    <row r="79" spans="1:6" ht="15.75" x14ac:dyDescent="0.25">
      <c r="A79" s="893" t="s">
        <v>64</v>
      </c>
      <c r="B79" s="894"/>
      <c r="C79" s="894"/>
      <c r="D79" s="895"/>
      <c r="E79" s="895"/>
      <c r="F79" s="896"/>
    </row>
    <row r="80" spans="1:6" x14ac:dyDescent="0.2">
      <c r="A80" s="605"/>
      <c r="B80" s="595"/>
      <c r="C80" s="595"/>
      <c r="D80" s="455"/>
      <c r="E80" s="455"/>
      <c r="F80" s="455"/>
    </row>
    <row r="81" spans="1:6" x14ac:dyDescent="0.2">
      <c r="A81" s="605"/>
      <c r="B81" s="595"/>
      <c r="C81" s="595"/>
      <c r="D81" s="614">
        <v>2006</v>
      </c>
      <c r="E81" s="615">
        <v>2007</v>
      </c>
      <c r="F81" s="616">
        <v>2008</v>
      </c>
    </row>
    <row r="82" spans="1:6" x14ac:dyDescent="0.2">
      <c r="A82" s="599" t="s">
        <v>37</v>
      </c>
      <c r="B82" s="600"/>
      <c r="C82" s="33" t="s">
        <v>7</v>
      </c>
      <c r="D82" s="897" t="s">
        <v>41</v>
      </c>
      <c r="E82" s="898"/>
      <c r="F82" s="899"/>
    </row>
    <row r="83" spans="1:6" x14ac:dyDescent="0.2">
      <c r="A83" s="617"/>
      <c r="B83" s="618"/>
      <c r="C83" s="97" t="s">
        <v>8</v>
      </c>
      <c r="D83" s="860"/>
      <c r="E83" s="856"/>
      <c r="F83" s="861"/>
    </row>
    <row r="84" spans="1:6" x14ac:dyDescent="0.2">
      <c r="A84" s="620" t="str">
        <f>'Data 2009-15 (Real $2008)'!A$154</f>
        <v>Remotely read interval meters &amp; transformers</v>
      </c>
      <c r="B84" s="621"/>
      <c r="C84" s="865">
        <f>'Data 2009-15 (Real $2008)'!C154</f>
        <v>15</v>
      </c>
      <c r="D84" s="763">
        <v>0</v>
      </c>
      <c r="E84" s="764">
        <v>0</v>
      </c>
      <c r="F84" s="765">
        <v>0</v>
      </c>
    </row>
    <row r="85" spans="1:6" x14ac:dyDescent="0.2">
      <c r="A85" s="454" t="s">
        <v>284</v>
      </c>
      <c r="C85" s="865">
        <f>'Data 2009-15 (Real $2008)'!C155</f>
        <v>7</v>
      </c>
      <c r="D85" s="763">
        <v>332599.15000000002</v>
      </c>
      <c r="E85" s="764">
        <v>2817702.7430999996</v>
      </c>
      <c r="F85" s="765">
        <v>10813305.572385356</v>
      </c>
    </row>
    <row r="86" spans="1:6" x14ac:dyDescent="0.2">
      <c r="A86" s="454" t="s">
        <v>286</v>
      </c>
      <c r="C86" s="865">
        <f>'Data 2009-15 (Real $2008)'!C156</f>
        <v>7</v>
      </c>
      <c r="D86" s="763">
        <v>0</v>
      </c>
      <c r="E86" s="764">
        <v>0</v>
      </c>
      <c r="F86" s="765">
        <v>352889.07546270383</v>
      </c>
    </row>
    <row r="87" spans="1:6" x14ac:dyDescent="0.2">
      <c r="A87" s="620" t="s">
        <v>285</v>
      </c>
      <c r="B87" s="621"/>
      <c r="C87" s="866">
        <f>'Data 2009-15 (Real $2008)'!C157</f>
        <v>7</v>
      </c>
      <c r="D87" s="763">
        <v>0</v>
      </c>
      <c r="E87" s="764">
        <v>73834.561198694442</v>
      </c>
      <c r="F87" s="765">
        <v>188267.84</v>
      </c>
    </row>
    <row r="88" spans="1:6" x14ac:dyDescent="0.2">
      <c r="A88" s="593" t="s">
        <v>45</v>
      </c>
      <c r="B88" s="593"/>
      <c r="C88" s="797"/>
      <c r="D88" s="867">
        <f>SUM(D84:D87)</f>
        <v>332599.15000000002</v>
      </c>
      <c r="E88" s="868">
        <f>SUM(E84:E87)</f>
        <v>2891537.3042986942</v>
      </c>
      <c r="F88" s="869">
        <f>SUM(F84:F87)</f>
        <v>11354462.48784806</v>
      </c>
    </row>
    <row r="89" spans="1:6" x14ac:dyDescent="0.2">
      <c r="C89" s="833"/>
      <c r="D89" s="870"/>
      <c r="E89" s="870"/>
      <c r="F89" s="870"/>
    </row>
    <row r="90" spans="1:6" x14ac:dyDescent="0.2">
      <c r="C90" s="833"/>
      <c r="D90" s="870"/>
      <c r="E90" s="870"/>
      <c r="F90" s="870"/>
    </row>
    <row r="91" spans="1:6" x14ac:dyDescent="0.2">
      <c r="A91" s="623"/>
      <c r="B91" s="623"/>
      <c r="C91" s="797"/>
      <c r="D91" s="871">
        <v>2006</v>
      </c>
      <c r="E91" s="872">
        <v>2007</v>
      </c>
      <c r="F91" s="873">
        <v>2008</v>
      </c>
    </row>
    <row r="92" spans="1:6" x14ac:dyDescent="0.2">
      <c r="A92" s="623"/>
      <c r="B92" s="623"/>
      <c r="C92" s="307" t="s">
        <v>283</v>
      </c>
      <c r="D92" s="897" t="s">
        <v>41</v>
      </c>
      <c r="E92" s="898"/>
      <c r="F92" s="899"/>
    </row>
    <row r="93" spans="1:6" x14ac:dyDescent="0.2">
      <c r="A93" s="596" t="s">
        <v>47</v>
      </c>
      <c r="B93" s="597"/>
      <c r="C93" s="320" t="s">
        <v>48</v>
      </c>
      <c r="D93" s="870"/>
      <c r="E93" s="870"/>
      <c r="F93" s="874"/>
    </row>
    <row r="94" spans="1:6" x14ac:dyDescent="0.2">
      <c r="A94" s="454" t="str">
        <f>'Data 2009-15 (Real $2008)'!A$162</f>
        <v>Meters and transformers (Group 1) (Unit cost &lt; $1,000)</v>
      </c>
      <c r="C94" s="875">
        <f>'Data 2009-15 (Real $2008)'!C162</f>
        <v>0.375</v>
      </c>
      <c r="D94" s="876">
        <f>D84-D95</f>
        <v>0</v>
      </c>
      <c r="E94" s="791">
        <f>E84-E95</f>
        <v>0</v>
      </c>
      <c r="F94" s="877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78">
        <f>'Data 2009-15 (Real $2008)'!C163</f>
        <v>0.06</v>
      </c>
      <c r="D95" s="763">
        <v>0</v>
      </c>
      <c r="E95" s="764">
        <v>0</v>
      </c>
      <c r="F95" s="765">
        <v>0</v>
      </c>
    </row>
    <row r="96" spans="1:6" x14ac:dyDescent="0.2">
      <c r="A96" s="454" t="str">
        <f>'Data 2009-15 (Real $2008)'!A$164</f>
        <v>IT</v>
      </c>
      <c r="C96" s="878">
        <f>'Data 2009-15 (Real $2008)'!C164</f>
        <v>0.4</v>
      </c>
      <c r="D96" s="876">
        <f t="shared" ref="D96:F98" si="1">D85</f>
        <v>332599.15000000002</v>
      </c>
      <c r="E96" s="791">
        <f t="shared" si="1"/>
        <v>2817702.7430999996</v>
      </c>
      <c r="F96" s="877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78">
        <f>'Data 2009-15 (Real $2008)'!C165</f>
        <v>0.21428571428571427</v>
      </c>
      <c r="D97" s="876">
        <f t="shared" si="1"/>
        <v>0</v>
      </c>
      <c r="E97" s="791">
        <f t="shared" si="1"/>
        <v>0</v>
      </c>
      <c r="F97" s="877">
        <f t="shared" si="1"/>
        <v>352889.07546270383</v>
      </c>
    </row>
    <row r="98" spans="1:6" x14ac:dyDescent="0.2">
      <c r="A98" s="592" t="str">
        <f>'Data 2009-15 (Real $2008)'!A$166</f>
        <v>Other</v>
      </c>
      <c r="B98" s="624"/>
      <c r="C98" s="879">
        <f>'Data 2009-15 (Real $2008)'!C166</f>
        <v>0.1764705882352941</v>
      </c>
      <c r="D98" s="876">
        <f t="shared" si="1"/>
        <v>0</v>
      </c>
      <c r="E98" s="791">
        <f t="shared" si="1"/>
        <v>73834.561198694442</v>
      </c>
      <c r="F98" s="877">
        <f t="shared" si="1"/>
        <v>188267.84</v>
      </c>
    </row>
    <row r="99" spans="1:6" ht="13.5" thickBot="1" x14ac:dyDescent="0.25">
      <c r="A99" s="593" t="s">
        <v>45</v>
      </c>
      <c r="B99" s="593"/>
      <c r="C99" s="797"/>
      <c r="D99" s="880">
        <f>SUM(D93:D98)</f>
        <v>332599.15000000002</v>
      </c>
      <c r="E99" s="881">
        <f>SUM(E93:E98)</f>
        <v>2891537.3042986942</v>
      </c>
      <c r="F99" s="882">
        <f>SUM(F93:F98)</f>
        <v>11354462.48784806</v>
      </c>
    </row>
    <row r="100" spans="1:6" ht="13.5" thickTop="1" x14ac:dyDescent="0.2">
      <c r="A100" s="625"/>
      <c r="B100" s="588"/>
      <c r="C100" s="856"/>
      <c r="D100" s="870"/>
      <c r="E100" s="870"/>
      <c r="F100" s="870"/>
    </row>
    <row r="101" spans="1:6" x14ac:dyDescent="0.2">
      <c r="A101" s="625"/>
      <c r="B101" s="588"/>
      <c r="C101" s="856"/>
      <c r="D101" s="870"/>
      <c r="E101" s="870"/>
      <c r="F101" s="870"/>
    </row>
    <row r="102" spans="1:6" x14ac:dyDescent="0.2">
      <c r="A102" s="605"/>
      <c r="B102" s="595"/>
      <c r="C102" s="856"/>
      <c r="D102" s="871">
        <v>2006</v>
      </c>
      <c r="E102" s="872">
        <v>2007</v>
      </c>
      <c r="F102" s="873">
        <v>2008</v>
      </c>
    </row>
    <row r="103" spans="1:6" x14ac:dyDescent="0.2">
      <c r="A103" s="591" t="s">
        <v>1</v>
      </c>
      <c r="B103" s="591"/>
      <c r="C103" s="856"/>
      <c r="D103" s="897" t="s">
        <v>73</v>
      </c>
      <c r="E103" s="898"/>
      <c r="F103" s="899"/>
    </row>
    <row r="104" spans="1:6" x14ac:dyDescent="0.2">
      <c r="A104" s="605"/>
      <c r="B104" s="595"/>
      <c r="C104" s="856"/>
      <c r="D104" s="860"/>
      <c r="E104" s="856"/>
      <c r="F104" s="861"/>
    </row>
    <row r="105" spans="1:6" x14ac:dyDescent="0.2">
      <c r="A105" s="625" t="s">
        <v>65</v>
      </c>
      <c r="B105" s="588"/>
      <c r="C105" s="856"/>
      <c r="D105" s="763">
        <v>0</v>
      </c>
      <c r="E105" s="764">
        <v>0</v>
      </c>
      <c r="F105" s="765">
        <v>0</v>
      </c>
    </row>
    <row r="106" spans="1:6" x14ac:dyDescent="0.2">
      <c r="A106" s="625" t="s">
        <v>66</v>
      </c>
      <c r="B106" s="588"/>
      <c r="C106" s="883"/>
      <c r="D106" s="763">
        <v>0</v>
      </c>
      <c r="E106" s="764">
        <v>499385.93479999999</v>
      </c>
      <c r="F106" s="765">
        <v>1535317.135</v>
      </c>
    </row>
    <row r="107" spans="1:6" x14ac:dyDescent="0.2">
      <c r="A107" s="625" t="s">
        <v>67</v>
      </c>
      <c r="B107" s="588"/>
      <c r="C107" s="883"/>
      <c r="D107" s="763">
        <v>60639.99</v>
      </c>
      <c r="E107" s="764">
        <v>1664894.4995230739</v>
      </c>
      <c r="F107" s="765">
        <v>2447.6852999999956</v>
      </c>
    </row>
    <row r="108" spans="1:6" x14ac:dyDescent="0.2">
      <c r="A108" s="625" t="s">
        <v>68</v>
      </c>
      <c r="B108" s="588"/>
      <c r="C108" s="883"/>
      <c r="D108" s="763">
        <v>0</v>
      </c>
      <c r="E108" s="764">
        <v>0</v>
      </c>
      <c r="F108" s="765">
        <v>0</v>
      </c>
    </row>
    <row r="109" spans="1:6" x14ac:dyDescent="0.2">
      <c r="A109" s="625" t="s">
        <v>69</v>
      </c>
      <c r="B109" s="588"/>
      <c r="C109" s="883"/>
      <c r="D109" s="763">
        <v>1213000</v>
      </c>
      <c r="E109" s="764">
        <v>3501090.9819832309</v>
      </c>
      <c r="F109" s="765">
        <v>7560461.2647709977</v>
      </c>
    </row>
    <row r="110" spans="1:6" x14ac:dyDescent="0.2">
      <c r="A110" s="625" t="s">
        <v>70</v>
      </c>
      <c r="B110" s="588"/>
      <c r="C110" s="883"/>
      <c r="D110" s="763">
        <v>0</v>
      </c>
      <c r="E110" s="764">
        <v>0</v>
      </c>
      <c r="F110" s="765">
        <v>0</v>
      </c>
    </row>
    <row r="111" spans="1:6" x14ac:dyDescent="0.2">
      <c r="A111" s="625" t="s">
        <v>71</v>
      </c>
      <c r="B111" s="588"/>
      <c r="C111" s="883"/>
      <c r="D111" s="763">
        <v>255024.31979254476</v>
      </c>
      <c r="E111" s="764">
        <v>192338.65197024439</v>
      </c>
      <c r="F111" s="765">
        <v>472803.03936028399</v>
      </c>
    </row>
    <row r="112" spans="1:6" x14ac:dyDescent="0.2">
      <c r="A112" s="625" t="s">
        <v>72</v>
      </c>
      <c r="B112" s="588"/>
      <c r="C112" s="883"/>
      <c r="D112" s="763">
        <v>0</v>
      </c>
      <c r="E112" s="764">
        <v>0</v>
      </c>
      <c r="F112" s="765">
        <v>0</v>
      </c>
    </row>
    <row r="113" spans="1:14" x14ac:dyDescent="0.2">
      <c r="A113" s="625" t="s">
        <v>279</v>
      </c>
      <c r="B113" s="588"/>
      <c r="C113" s="883"/>
      <c r="D113" s="763">
        <v>0</v>
      </c>
      <c r="E113" s="764">
        <v>0</v>
      </c>
      <c r="F113" s="765">
        <v>0</v>
      </c>
    </row>
    <row r="114" spans="1:14" x14ac:dyDescent="0.2">
      <c r="A114" s="625" t="s">
        <v>280</v>
      </c>
      <c r="B114" s="588"/>
      <c r="C114" s="856"/>
      <c r="D114" s="763">
        <v>0</v>
      </c>
      <c r="E114" s="764">
        <v>0</v>
      </c>
      <c r="F114" s="765">
        <v>0</v>
      </c>
    </row>
    <row r="115" spans="1:14" x14ac:dyDescent="0.2">
      <c r="A115" s="593" t="s">
        <v>45</v>
      </c>
      <c r="C115" s="883"/>
      <c r="D115" s="867">
        <f>SUM(D105:D114)</f>
        <v>1528664.3097925447</v>
      </c>
      <c r="E115" s="868">
        <f>SUM(E105:E114)</f>
        <v>5857710.0682765488</v>
      </c>
      <c r="F115" s="869">
        <f>SUM(F105:F112)</f>
        <v>9571029.1244312823</v>
      </c>
    </row>
    <row r="116" spans="1:14" s="455" customFormat="1" x14ac:dyDescent="0.2">
      <c r="A116" s="588"/>
      <c r="B116" s="588"/>
      <c r="C116" s="595"/>
      <c r="D116" s="622"/>
      <c r="E116" s="622"/>
      <c r="F116" s="622"/>
    </row>
    <row r="117" spans="1:14" s="455" customFormat="1" x14ac:dyDescent="0.2">
      <c r="A117" s="588"/>
      <c r="B117" s="588"/>
      <c r="C117" s="595"/>
      <c r="D117" s="622"/>
      <c r="E117" s="622"/>
      <c r="F117" s="622"/>
    </row>
    <row r="118" spans="1:14" s="455" customFormat="1" ht="13.5" thickBot="1" x14ac:dyDescent="0.25">
      <c r="A118" s="588" t="s">
        <v>111</v>
      </c>
      <c r="B118" s="588"/>
      <c r="C118" s="595"/>
      <c r="D118" s="626">
        <f>SUM(D88,D115)</f>
        <v>1861263.4597925446</v>
      </c>
      <c r="E118" s="626">
        <f>SUM(E88,E115)</f>
        <v>8749247.3725752421</v>
      </c>
      <c r="F118" s="626">
        <f>SUM(F88,F115)</f>
        <v>20925491.612279341</v>
      </c>
    </row>
    <row r="119" spans="1:14" s="455" customFormat="1" ht="13.5" thickTop="1" x14ac:dyDescent="0.2">
      <c r="A119" s="588"/>
      <c r="B119" s="588"/>
      <c r="C119" s="595"/>
      <c r="D119" s="622"/>
      <c r="E119" s="622"/>
      <c r="F119" s="622"/>
    </row>
    <row r="120" spans="1:14" s="455" customFormat="1" x14ac:dyDescent="0.2">
      <c r="A120" s="588"/>
      <c r="B120" s="588"/>
      <c r="C120" s="595"/>
      <c r="D120" s="622"/>
      <c r="E120" s="622"/>
      <c r="F120" s="622"/>
    </row>
    <row r="121" spans="1:14" ht="13.5" thickBot="1" x14ac:dyDescent="0.25">
      <c r="A121" s="627"/>
      <c r="B121" s="628"/>
      <c r="C121" s="627"/>
      <c r="D121" s="627"/>
      <c r="E121" s="627"/>
      <c r="F121" s="627"/>
      <c r="G121" s="627"/>
      <c r="H121" s="627"/>
      <c r="I121" s="627"/>
      <c r="J121" s="627"/>
      <c r="K121" s="627"/>
      <c r="L121" s="627"/>
      <c r="M121" s="627"/>
      <c r="N121" s="627"/>
    </row>
    <row r="124" spans="1:14" ht="15.75" x14ac:dyDescent="0.25">
      <c r="A124" s="629" t="s">
        <v>39</v>
      </c>
      <c r="B124" s="630"/>
    </row>
    <row r="126" spans="1:14" x14ac:dyDescent="0.2">
      <c r="A126" s="446" t="s">
        <v>78</v>
      </c>
      <c r="B126" s="446"/>
      <c r="C126" s="631"/>
    </row>
    <row r="127" spans="1:14" x14ac:dyDescent="0.2">
      <c r="A127" s="446"/>
      <c r="B127" s="446"/>
      <c r="C127" s="631"/>
    </row>
    <row r="128" spans="1:14" x14ac:dyDescent="0.2">
      <c r="A128" s="454" t="s">
        <v>79</v>
      </c>
      <c r="C128" s="632">
        <v>2.64E-2</v>
      </c>
    </row>
    <row r="129" spans="1:6" x14ac:dyDescent="0.2">
      <c r="A129" s="454" t="s">
        <v>80</v>
      </c>
      <c r="C129" s="633">
        <v>1.4250000000000001E-2</v>
      </c>
    </row>
    <row r="130" spans="1:6" x14ac:dyDescent="0.2">
      <c r="A130" s="454" t="s">
        <v>13</v>
      </c>
      <c r="C130" s="634">
        <v>0.06</v>
      </c>
    </row>
    <row r="131" spans="1:6" x14ac:dyDescent="0.2">
      <c r="A131" s="454" t="s">
        <v>14</v>
      </c>
      <c r="C131" s="635">
        <v>1</v>
      </c>
    </row>
    <row r="132" spans="1:6" x14ac:dyDescent="0.2">
      <c r="A132" s="454" t="s">
        <v>17</v>
      </c>
      <c r="C132" s="635">
        <v>0.5</v>
      </c>
    </row>
    <row r="133" spans="1:6" x14ac:dyDescent="0.2">
      <c r="A133" s="454" t="s">
        <v>15</v>
      </c>
      <c r="C133" s="636">
        <v>0.6</v>
      </c>
    </row>
    <row r="134" spans="1:6" x14ac:dyDescent="0.2">
      <c r="A134" s="454" t="s">
        <v>16</v>
      </c>
      <c r="C134" s="637">
        <v>2.5600000000000001E-2</v>
      </c>
    </row>
    <row r="135" spans="1:6" x14ac:dyDescent="0.2">
      <c r="C135" s="638"/>
    </row>
    <row r="136" spans="1:6" x14ac:dyDescent="0.2">
      <c r="A136" s="454" t="s">
        <v>81</v>
      </c>
      <c r="C136" s="639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40">
        <f>C128+C129</f>
        <v>4.0649999999999999E-2</v>
      </c>
    </row>
    <row r="139" spans="1:6" x14ac:dyDescent="0.2">
      <c r="A139" s="454" t="s">
        <v>84</v>
      </c>
      <c r="C139" s="641">
        <f>(1+C138)*(1+C134)-1</f>
        <v>6.7290640000000179E-2</v>
      </c>
    </row>
    <row r="140" spans="1:6" x14ac:dyDescent="0.2">
      <c r="C140" s="603"/>
    </row>
    <row r="141" spans="1:6" x14ac:dyDescent="0.2">
      <c r="A141" s="454" t="s">
        <v>85</v>
      </c>
      <c r="C141" s="642">
        <f>ROUND((C136*(1-C133))+(C138*C133),3)</f>
        <v>5.8999999999999997E-2</v>
      </c>
    </row>
    <row r="144" spans="1:6" x14ac:dyDescent="0.2">
      <c r="A144" s="446" t="s">
        <v>263</v>
      </c>
      <c r="B144" s="446"/>
      <c r="C144" s="904" t="s">
        <v>36</v>
      </c>
      <c r="D144" s="905"/>
      <c r="F144" s="643" t="s">
        <v>75</v>
      </c>
    </row>
    <row r="145" spans="1:9" x14ac:dyDescent="0.2">
      <c r="A145" s="446"/>
      <c r="B145" s="446"/>
      <c r="C145" s="644">
        <v>37529</v>
      </c>
      <c r="D145" s="645">
        <v>138.5</v>
      </c>
      <c r="F145" s="646"/>
    </row>
    <row r="146" spans="1:9" x14ac:dyDescent="0.2">
      <c r="C146" s="647">
        <v>37894</v>
      </c>
      <c r="D146" s="648">
        <v>142.1</v>
      </c>
      <c r="F146" s="649">
        <f t="shared" ref="F146:F151" si="2">D146/D145-1</f>
        <v>2.5992779783393427E-2</v>
      </c>
    </row>
    <row r="147" spans="1:9" x14ac:dyDescent="0.2">
      <c r="C147" s="647">
        <v>38260</v>
      </c>
      <c r="D147" s="648">
        <v>145.4</v>
      </c>
      <c r="F147" s="649">
        <f t="shared" si="2"/>
        <v>2.3223082336382816E-2</v>
      </c>
      <c r="I147" s="650"/>
    </row>
    <row r="148" spans="1:9" x14ac:dyDescent="0.2">
      <c r="C148" s="647">
        <v>38625</v>
      </c>
      <c r="D148" s="648">
        <v>149.80000000000001</v>
      </c>
      <c r="F148" s="649">
        <f t="shared" si="2"/>
        <v>3.0261348005502064E-2</v>
      </c>
    </row>
    <row r="149" spans="1:9" x14ac:dyDescent="0.2">
      <c r="C149" s="647">
        <v>38990</v>
      </c>
      <c r="D149" s="648">
        <v>155.69999999999999</v>
      </c>
      <c r="F149" s="649">
        <f t="shared" si="2"/>
        <v>3.9385847797062556E-2</v>
      </c>
    </row>
    <row r="150" spans="1:9" x14ac:dyDescent="0.2">
      <c r="C150" s="647">
        <v>39355</v>
      </c>
      <c r="D150" s="648">
        <v>158.6</v>
      </c>
      <c r="F150" s="649">
        <f t="shared" si="2"/>
        <v>1.862556197816323E-2</v>
      </c>
    </row>
    <row r="151" spans="1:9" x14ac:dyDescent="0.2">
      <c r="C151" s="651">
        <v>39721</v>
      </c>
      <c r="D151" s="652">
        <v>166.5</v>
      </c>
      <c r="F151" s="649">
        <f t="shared" si="2"/>
        <v>4.9810844892812067E-2</v>
      </c>
    </row>
    <row r="152" spans="1:9" x14ac:dyDescent="0.2">
      <c r="A152" s="653"/>
      <c r="B152" s="653"/>
    </row>
    <row r="153" spans="1:9" x14ac:dyDescent="0.2">
      <c r="A153" s="653"/>
      <c r="B153" s="590">
        <v>2004</v>
      </c>
      <c r="C153" s="590">
        <f>B153+1</f>
        <v>2005</v>
      </c>
      <c r="D153" s="590">
        <f>C153+1</f>
        <v>2006</v>
      </c>
      <c r="E153" s="590">
        <f>D153+1</f>
        <v>2007</v>
      </c>
      <c r="F153" s="590">
        <f>E153+1</f>
        <v>2008</v>
      </c>
    </row>
    <row r="154" spans="1:9" x14ac:dyDescent="0.2">
      <c r="A154" s="653"/>
      <c r="B154" s="654"/>
      <c r="C154" s="654"/>
      <c r="D154" s="654"/>
      <c r="E154" s="654"/>
    </row>
    <row r="155" spans="1:9" x14ac:dyDescent="0.2">
      <c r="A155" s="655" t="s">
        <v>76</v>
      </c>
      <c r="B155" s="656">
        <f>F146</f>
        <v>2.5992779783393427E-2</v>
      </c>
      <c r="C155" s="656">
        <f>F147</f>
        <v>2.3223082336382816E-2</v>
      </c>
      <c r="D155" s="656">
        <f>F148</f>
        <v>3.0261348005502064E-2</v>
      </c>
      <c r="E155" s="656">
        <f>F149</f>
        <v>3.9385847797062556E-2</v>
      </c>
      <c r="F155" s="656">
        <f>F150</f>
        <v>1.862556197816323E-2</v>
      </c>
    </row>
    <row r="156" spans="1:9" x14ac:dyDescent="0.2">
      <c r="A156" s="454" t="s">
        <v>77</v>
      </c>
      <c r="B156" s="657">
        <f>C156*(1+C155)</f>
        <v>1.1161154116819139</v>
      </c>
      <c r="C156" s="658">
        <f>D156*(1+D155)</f>
        <v>1.090784044016506</v>
      </c>
      <c r="D156" s="658">
        <f>E156*(1+E155)</f>
        <v>1.0587449933244324</v>
      </c>
      <c r="E156" s="658">
        <f>F156*(1+F155)</f>
        <v>1.0186255619781632</v>
      </c>
      <c r="F156" s="658">
        <v>1</v>
      </c>
    </row>
    <row r="159" spans="1:9" x14ac:dyDescent="0.2">
      <c r="A159" s="599" t="s">
        <v>282</v>
      </c>
      <c r="B159" s="600"/>
      <c r="C159" s="589" t="s">
        <v>7</v>
      </c>
    </row>
    <row r="160" spans="1:9" x14ac:dyDescent="0.2">
      <c r="A160" s="617"/>
      <c r="B160" s="618"/>
      <c r="C160" s="619" t="s">
        <v>8</v>
      </c>
    </row>
    <row r="161" spans="1:3" x14ac:dyDescent="0.2">
      <c r="A161" s="458" t="s">
        <v>42</v>
      </c>
      <c r="C161" s="659">
        <f>'IMRO Decision 2006-10'!D190</f>
        <v>15</v>
      </c>
    </row>
    <row r="162" spans="1:3" x14ac:dyDescent="0.2">
      <c r="A162" s="454" t="s">
        <v>267</v>
      </c>
      <c r="C162" s="660">
        <f>'IMRO Decision 2006-10'!D191</f>
        <v>10</v>
      </c>
    </row>
    <row r="163" spans="1:3" x14ac:dyDescent="0.2">
      <c r="A163" s="458" t="s">
        <v>43</v>
      </c>
      <c r="C163" s="660">
        <f>'IMRO Decision 2006-10'!D192</f>
        <v>5</v>
      </c>
    </row>
    <row r="164" spans="1:3" x14ac:dyDescent="0.2">
      <c r="A164" s="458" t="s">
        <v>44</v>
      </c>
      <c r="C164" s="661">
        <f>'IMRO Decision 2006-10'!D193</f>
        <v>5</v>
      </c>
    </row>
    <row r="167" spans="1:3" x14ac:dyDescent="0.2">
      <c r="A167" s="599" t="s">
        <v>92</v>
      </c>
      <c r="B167" s="600"/>
      <c r="C167" s="662"/>
    </row>
    <row r="168" spans="1:3" x14ac:dyDescent="0.2">
      <c r="A168" s="600"/>
      <c r="B168" s="600"/>
      <c r="C168" s="662"/>
    </row>
    <row r="169" spans="1:3" x14ac:dyDescent="0.2">
      <c r="A169" s="662" t="s">
        <v>88</v>
      </c>
      <c r="B169" s="663"/>
      <c r="C169" s="664">
        <v>0.3</v>
      </c>
    </row>
    <row r="170" spans="1:3" x14ac:dyDescent="0.2">
      <c r="A170" s="663" t="s">
        <v>17</v>
      </c>
      <c r="B170" s="663"/>
      <c r="C170" s="665">
        <f>C132</f>
        <v>0.5</v>
      </c>
    </row>
    <row r="171" spans="1:3" x14ac:dyDescent="0.2">
      <c r="A171" s="662" t="s">
        <v>15</v>
      </c>
      <c r="B171" s="663"/>
      <c r="C171" s="666">
        <f>C133</f>
        <v>0.6</v>
      </c>
    </row>
    <row r="174" spans="1:3" x14ac:dyDescent="0.2">
      <c r="A174" s="596" t="s">
        <v>89</v>
      </c>
      <c r="B174" s="597"/>
    </row>
    <row r="175" spans="1:3" x14ac:dyDescent="0.2">
      <c r="A175" s="655" t="s">
        <v>283</v>
      </c>
      <c r="B175" s="667"/>
    </row>
    <row r="176" spans="1:3" x14ac:dyDescent="0.2">
      <c r="A176" s="454" t="s">
        <v>360</v>
      </c>
      <c r="C176" s="668">
        <v>0.375</v>
      </c>
    </row>
    <row r="177" spans="1:8" x14ac:dyDescent="0.2">
      <c r="A177" s="454" t="s">
        <v>359</v>
      </c>
      <c r="C177" s="669">
        <v>0.06</v>
      </c>
    </row>
    <row r="178" spans="1:8" x14ac:dyDescent="0.2">
      <c r="A178" s="454" t="s">
        <v>284</v>
      </c>
      <c r="C178" s="669">
        <v>0.4</v>
      </c>
    </row>
    <row r="179" spans="1:8" x14ac:dyDescent="0.2">
      <c r="A179" s="592" t="s">
        <v>285</v>
      </c>
      <c r="B179" s="624"/>
      <c r="C179" s="670">
        <v>0.1764705882352941</v>
      </c>
    </row>
    <row r="182" spans="1:8" x14ac:dyDescent="0.2">
      <c r="A182" s="599" t="s">
        <v>93</v>
      </c>
      <c r="B182" s="600"/>
    </row>
    <row r="183" spans="1:8" x14ac:dyDescent="0.2">
      <c r="D183" s="590">
        <v>2006</v>
      </c>
      <c r="E183" s="590">
        <v>2007</v>
      </c>
      <c r="F183" s="590">
        <v>2008</v>
      </c>
      <c r="G183" s="590">
        <v>2009</v>
      </c>
      <c r="H183" s="590">
        <v>2010</v>
      </c>
    </row>
    <row r="184" spans="1:8" x14ac:dyDescent="0.2">
      <c r="A184" s="458" t="s">
        <v>362</v>
      </c>
      <c r="D184" s="671">
        <f>'IMRO Decision 2006-10'!D41*10^6</f>
        <v>190095.21696142427</v>
      </c>
      <c r="E184" s="671">
        <f>'IMRO Decision 2006-10'!E41*10^6</f>
        <v>-4638810.1375992047</v>
      </c>
      <c r="F184" s="671">
        <f>'IMRO Decision 2006-10'!F41*10^6</f>
        <v>-10768217.460581301</v>
      </c>
      <c r="G184" s="671">
        <f>'IMRO Decision 2006-10'!G41*10^6</f>
        <v>-13630869.502886569</v>
      </c>
      <c r="H184" s="671">
        <f>'IMRO Decision 2006-10'!H41*10^6</f>
        <v>-12452968.501429787</v>
      </c>
    </row>
    <row r="185" spans="1:8" x14ac:dyDescent="0.2">
      <c r="A185" s="454" t="s">
        <v>148</v>
      </c>
      <c r="D185" s="672">
        <f>'IMRO Decision 2006-10'!D71</f>
        <v>1.0510983425414364</v>
      </c>
      <c r="E185" s="672">
        <f>'IMRO Decision 2006-10'!E71</f>
        <v>1.0780064601104973</v>
      </c>
      <c r="F185" s="672">
        <f>'IMRO Decision 2006-10'!F71</f>
        <v>1.1056034254893261</v>
      </c>
      <c r="G185" s="672">
        <f>'IMRO Decision 2006-10'!G71</f>
        <v>1.1339068731818529</v>
      </c>
      <c r="H185" s="672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8" t="s">
        <v>98</v>
      </c>
      <c r="B188" s="609"/>
      <c r="D188" s="590">
        <v>2006</v>
      </c>
      <c r="E188" s="590">
        <v>2007</v>
      </c>
      <c r="F188" s="590">
        <v>2008</v>
      </c>
    </row>
    <row r="189" spans="1:8" x14ac:dyDescent="0.2">
      <c r="A189" s="610" t="s">
        <v>271</v>
      </c>
      <c r="B189" s="611"/>
      <c r="D189" s="673"/>
      <c r="E189" s="673"/>
      <c r="F189" s="673"/>
    </row>
    <row r="190" spans="1:8" x14ac:dyDescent="0.2">
      <c r="A190" s="613" t="s">
        <v>274</v>
      </c>
      <c r="B190" s="593"/>
      <c r="D190" s="624">
        <f>D205*D218</f>
        <v>1307368.72</v>
      </c>
      <c r="E190" s="624">
        <f>E205*E218</f>
        <v>1318907.04</v>
      </c>
      <c r="F190" s="624">
        <f>F205*F218</f>
        <v>1296321.3600000001</v>
      </c>
    </row>
    <row r="191" spans="1:8" x14ac:dyDescent="0.2">
      <c r="A191" s="613" t="s">
        <v>273</v>
      </c>
      <c r="B191" s="593"/>
      <c r="D191" s="624">
        <f>((D208*12+D210)*D222+(D208*4+D210)*D223)+((D209*12+D211)*D224+(D209*4+D211)*D225)</f>
        <v>9300467.8000000007</v>
      </c>
      <c r="E191" s="624">
        <f>((E208*12+E210)*E222+(E208*4+E210)*E223)+((E209*12+E211)*E224+(E209*4+E211)*E225)</f>
        <v>9700727</v>
      </c>
      <c r="F191" s="624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4">
        <f>D213*D228</f>
        <v>106311.8563265306</v>
      </c>
      <c r="E192" s="624">
        <f>E213*E228</f>
        <v>402889.25632653059</v>
      </c>
      <c r="F192" s="624">
        <f>F213*F228</f>
        <v>756342.0163265306</v>
      </c>
    </row>
    <row r="193" spans="1:6" x14ac:dyDescent="0.2">
      <c r="A193" s="613" t="s">
        <v>104</v>
      </c>
      <c r="B193" s="593"/>
      <c r="D193" s="674">
        <f>SUM(D190:D192)</f>
        <v>10714148.376326531</v>
      </c>
      <c r="E193" s="674">
        <f>SUM(E190:E192)</f>
        <v>11422523.296326529</v>
      </c>
      <c r="F193" s="674">
        <f>SUM(F190:F192)</f>
        <v>12105291.376326529</v>
      </c>
    </row>
    <row r="194" spans="1:6" x14ac:dyDescent="0.2">
      <c r="A194" s="613"/>
      <c r="B194" s="593"/>
      <c r="D194" s="592"/>
      <c r="E194" s="592"/>
      <c r="F194" s="592"/>
    </row>
    <row r="195" spans="1:6" x14ac:dyDescent="0.2">
      <c r="A195" s="610" t="s">
        <v>105</v>
      </c>
      <c r="B195" s="611"/>
      <c r="D195" s="592"/>
      <c r="E195" s="592"/>
      <c r="F195" s="592"/>
    </row>
    <row r="196" spans="1:6" x14ac:dyDescent="0.2">
      <c r="A196" s="454" t="s">
        <v>109</v>
      </c>
      <c r="D196" s="671">
        <f>'IMRO Decision 2006-10'!D105*10^3</f>
        <v>420000</v>
      </c>
      <c r="E196" s="671">
        <f>'IMRO Decision 2006-10'!E105*10^3</f>
        <v>420000</v>
      </c>
      <c r="F196" s="671">
        <f>'IMRO Decision 2006-10'!F105*10^3</f>
        <v>420000</v>
      </c>
    </row>
    <row r="197" spans="1:6" s="458" customFormat="1" x14ac:dyDescent="0.2">
      <c r="A197" s="613" t="s">
        <v>108</v>
      </c>
      <c r="B197" s="593"/>
      <c r="D197" s="671">
        <f>'IMRO Decision 2006-10'!D111*10^3</f>
        <v>1949305.4129536522</v>
      </c>
      <c r="E197" s="671">
        <f>'IMRO Decision 2006-10'!E111*10^3</f>
        <v>1975569.4544452247</v>
      </c>
      <c r="F197" s="671">
        <f>'IMRO Decision 2006-10'!F111*10^3</f>
        <v>2002187.3655104858</v>
      </c>
    </row>
    <row r="198" spans="1:6" s="458" customFormat="1" x14ac:dyDescent="0.2">
      <c r="A198" s="613" t="s">
        <v>106</v>
      </c>
      <c r="B198" s="593"/>
      <c r="D198" s="604">
        <f>SUM(D196:D197)</f>
        <v>2369305.4129536524</v>
      </c>
      <c r="E198" s="604">
        <f>SUM(E196:E197)</f>
        <v>2395569.4544452247</v>
      </c>
      <c r="F198" s="604">
        <f>SUM(F196:F197)</f>
        <v>2422187.3655104861</v>
      </c>
    </row>
    <row r="199" spans="1:6" s="458" customFormat="1" x14ac:dyDescent="0.2">
      <c r="A199" s="593"/>
      <c r="B199" s="593"/>
      <c r="D199" s="624"/>
      <c r="E199" s="624"/>
      <c r="F199" s="624"/>
    </row>
    <row r="200" spans="1:6" s="458" customFormat="1" ht="13.5" thickBot="1" x14ac:dyDescent="0.25">
      <c r="A200" s="613" t="s">
        <v>107</v>
      </c>
      <c r="B200" s="593"/>
      <c r="C200" s="454"/>
      <c r="D200" s="594">
        <f>SUM(D193,D198)</f>
        <v>13083453.789280184</v>
      </c>
      <c r="E200" s="594">
        <f>SUM(E193,E198)</f>
        <v>13818092.750771753</v>
      </c>
      <c r="F200" s="594">
        <f>SUM(F193,F198)</f>
        <v>14527478.741837015</v>
      </c>
    </row>
    <row r="201" spans="1:6" s="458" customFormat="1" ht="13.5" thickTop="1" x14ac:dyDescent="0.2">
      <c r="A201" s="675" t="s">
        <v>0</v>
      </c>
      <c r="B201" s="676"/>
      <c r="C201" s="677">
        <f>SUM(D201:F201)</f>
        <v>0</v>
      </c>
      <c r="D201" s="677">
        <f>IF(ABS('IMRO Decision 2006-10'!D114*10^3-D200)&lt;0.001,0,ABS('IMRO Decision 2006-10'!D114*10^3-D200))</f>
        <v>0</v>
      </c>
      <c r="E201" s="677">
        <f>IF(ABS('IMRO Decision 2006-10'!E114*10^3-E200)&lt;0.001,0,ABS('IMRO Decision 2006-10'!E114*10^3-E200))</f>
        <v>0</v>
      </c>
      <c r="F201" s="677">
        <f>IF(ABS('IMRO Decision 2006-10'!F114*10^3-F200)&lt;0.001,0,ABS('IMRO Decision 2006-10'!F114*10^3-F200))</f>
        <v>0</v>
      </c>
    </row>
    <row r="202" spans="1:6" s="458" customFormat="1" x14ac:dyDescent="0.2">
      <c r="A202" s="593"/>
      <c r="B202" s="593"/>
      <c r="D202" s="624"/>
      <c r="E202" s="624"/>
      <c r="F202" s="624"/>
    </row>
    <row r="203" spans="1:6" s="458" customFormat="1" x14ac:dyDescent="0.2">
      <c r="A203" s="593"/>
      <c r="B203" s="593"/>
      <c r="D203" s="624"/>
      <c r="E203" s="624"/>
      <c r="F203" s="624"/>
    </row>
    <row r="204" spans="1:6" x14ac:dyDescent="0.2">
      <c r="A204" s="596" t="s">
        <v>96</v>
      </c>
      <c r="B204" s="597"/>
      <c r="D204" s="590">
        <v>2006</v>
      </c>
      <c r="E204" s="590">
        <v>2007</v>
      </c>
      <c r="F204" s="590">
        <v>2008</v>
      </c>
    </row>
    <row r="205" spans="1:6" x14ac:dyDescent="0.2">
      <c r="A205" s="613" t="s">
        <v>97</v>
      </c>
      <c r="B205" s="593"/>
      <c r="D205" s="678">
        <f>'IMRO Decision 2006-10'!D349</f>
        <v>1.52</v>
      </c>
      <c r="E205" s="678">
        <f>'IMRO Decision 2006-10'!E349</f>
        <v>1.52</v>
      </c>
      <c r="F205" s="678">
        <f>'IMRO Decision 2006-10'!F349</f>
        <v>1.52</v>
      </c>
    </row>
    <row r="206" spans="1:6" s="458" customFormat="1" x14ac:dyDescent="0.2">
      <c r="A206" s="613"/>
      <c r="B206" s="593"/>
      <c r="D206" s="679"/>
      <c r="E206" s="679"/>
      <c r="F206" s="679"/>
    </row>
    <row r="207" spans="1:6" x14ac:dyDescent="0.2">
      <c r="A207" s="610" t="s">
        <v>99</v>
      </c>
      <c r="B207" s="611"/>
      <c r="D207" s="679"/>
      <c r="E207" s="679"/>
      <c r="F207" s="679"/>
    </row>
    <row r="208" spans="1:6" x14ac:dyDescent="0.2">
      <c r="A208" s="613" t="s">
        <v>100</v>
      </c>
      <c r="B208" s="593"/>
      <c r="D208" s="678">
        <f>'IMRO Decision 2006-10'!D365</f>
        <v>1.5</v>
      </c>
      <c r="E208" s="678">
        <f>'IMRO Decision 2006-10'!E365</f>
        <v>1.5</v>
      </c>
      <c r="F208" s="678">
        <f>'IMRO Decision 2006-10'!F365</f>
        <v>1.5</v>
      </c>
    </row>
    <row r="209" spans="1:6" x14ac:dyDescent="0.2">
      <c r="A209" s="613" t="s">
        <v>101</v>
      </c>
      <c r="B209" s="593"/>
      <c r="D209" s="678">
        <f>'IMRO Decision 2006-10'!D366</f>
        <v>2.5</v>
      </c>
      <c r="E209" s="678">
        <f>'IMRO Decision 2006-10'!E366</f>
        <v>2.5</v>
      </c>
      <c r="F209" s="678">
        <f>'IMRO Decision 2006-10'!F366</f>
        <v>2.5</v>
      </c>
    </row>
    <row r="210" spans="1:6" x14ac:dyDescent="0.2">
      <c r="A210" s="613" t="s">
        <v>102</v>
      </c>
      <c r="B210" s="593"/>
      <c r="D210" s="678">
        <f>'IMRO Decision 2006-10'!D367</f>
        <v>4.5</v>
      </c>
      <c r="E210" s="678">
        <f>'IMRO Decision 2006-10'!E367</f>
        <v>4.5</v>
      </c>
      <c r="F210" s="678">
        <f>'IMRO Decision 2006-10'!F367</f>
        <v>4.5</v>
      </c>
    </row>
    <row r="211" spans="1:6" x14ac:dyDescent="0.2">
      <c r="A211" s="613" t="s">
        <v>103</v>
      </c>
      <c r="B211" s="593"/>
      <c r="D211" s="678">
        <f>'IMRO Decision 2006-10'!D368</f>
        <v>6.2</v>
      </c>
      <c r="E211" s="678">
        <f>'IMRO Decision 2006-10'!E368</f>
        <v>6.2</v>
      </c>
      <c r="F211" s="678">
        <f>'IMRO Decision 2006-10'!F368</f>
        <v>6.2</v>
      </c>
    </row>
    <row r="212" spans="1:6" x14ac:dyDescent="0.2">
      <c r="A212" s="613"/>
      <c r="B212" s="593"/>
      <c r="D212" s="679"/>
      <c r="E212" s="679"/>
      <c r="F212" s="679"/>
    </row>
    <row r="213" spans="1:6" x14ac:dyDescent="0.2">
      <c r="A213" s="613" t="s">
        <v>53</v>
      </c>
      <c r="B213" s="593"/>
      <c r="D213" s="678">
        <f>'IMRO Decision 2006-10'!D356</f>
        <v>10.6</v>
      </c>
      <c r="E213" s="678">
        <f>'IMRO Decision 2006-10'!E356</f>
        <v>10.6</v>
      </c>
      <c r="F213" s="678">
        <f>'IMRO Decision 2006-10'!F356</f>
        <v>10.6</v>
      </c>
    </row>
    <row r="216" spans="1:6" x14ac:dyDescent="0.2">
      <c r="A216" s="608" t="s">
        <v>95</v>
      </c>
      <c r="B216" s="609"/>
      <c r="C216" s="455"/>
      <c r="D216" s="590">
        <v>2006</v>
      </c>
      <c r="E216" s="590">
        <v>2007</v>
      </c>
      <c r="F216" s="590">
        <v>2008</v>
      </c>
    </row>
    <row r="217" spans="1:6" x14ac:dyDescent="0.2">
      <c r="A217" s="610" t="s">
        <v>52</v>
      </c>
      <c r="B217" s="611"/>
      <c r="C217" s="455"/>
      <c r="D217" s="612"/>
      <c r="E217" s="612"/>
      <c r="F217" s="598"/>
    </row>
    <row r="218" spans="1:6" x14ac:dyDescent="0.2">
      <c r="A218" s="613" t="s">
        <v>55</v>
      </c>
      <c r="B218" s="593"/>
      <c r="C218" s="455"/>
      <c r="D218" s="671">
        <f>'IMRO Decision 2006-10'!J349</f>
        <v>860111</v>
      </c>
      <c r="E218" s="671">
        <f>'IMRO Decision 2006-10'!K349</f>
        <v>867702</v>
      </c>
      <c r="F218" s="671">
        <f>'IMRO Decision 2006-10'!L349</f>
        <v>852843</v>
      </c>
    </row>
    <row r="219" spans="1:6" x14ac:dyDescent="0.2">
      <c r="A219" s="608"/>
      <c r="B219" s="609"/>
      <c r="C219" s="455"/>
      <c r="D219" s="612"/>
      <c r="E219" s="612"/>
      <c r="F219" s="598"/>
    </row>
    <row r="220" spans="1:6" x14ac:dyDescent="0.2">
      <c r="A220" s="610" t="s">
        <v>24</v>
      </c>
      <c r="B220" s="611"/>
      <c r="D220" s="455"/>
      <c r="E220" s="455"/>
      <c r="F220" s="455"/>
    </row>
    <row r="221" spans="1:6" x14ac:dyDescent="0.2">
      <c r="A221" s="613" t="s">
        <v>270</v>
      </c>
      <c r="B221" s="593"/>
      <c r="D221" s="455"/>
      <c r="E221" s="455"/>
      <c r="F221" s="455"/>
    </row>
    <row r="222" spans="1:6" x14ac:dyDescent="0.2">
      <c r="A222" s="613" t="s">
        <v>56</v>
      </c>
      <c r="B222" s="593"/>
      <c r="D222" s="671">
        <f>'IMRO Decision 2006-10'!J370</f>
        <v>5055</v>
      </c>
      <c r="E222" s="671">
        <f>'IMRO Decision 2006-10'!K370</f>
        <v>3571</v>
      </c>
      <c r="F222" s="671">
        <f>'IMRO Decision 2006-10'!L370</f>
        <v>2185</v>
      </c>
    </row>
    <row r="223" spans="1:6" x14ac:dyDescent="0.2">
      <c r="A223" s="613" t="s">
        <v>57</v>
      </c>
      <c r="B223" s="593"/>
      <c r="D223" s="671">
        <f>'IMRO Decision 2006-10'!J371</f>
        <v>823351</v>
      </c>
      <c r="E223" s="671">
        <f>'IMRO Decision 2006-10'!K371</f>
        <v>778943</v>
      </c>
      <c r="F223" s="671">
        <f>'IMRO Decision 2006-10'!L371</f>
        <v>678947</v>
      </c>
    </row>
    <row r="224" spans="1:6" x14ac:dyDescent="0.2">
      <c r="A224" s="613" t="s">
        <v>58</v>
      </c>
      <c r="B224" s="593"/>
      <c r="D224" s="671">
        <f>'IMRO Decision 2006-10'!J372</f>
        <v>1397</v>
      </c>
      <c r="E224" s="671">
        <f>'IMRO Decision 2006-10'!K372</f>
        <v>3070</v>
      </c>
      <c r="F224" s="671">
        <f>'IMRO Decision 2006-10'!L372</f>
        <v>4641</v>
      </c>
    </row>
    <row r="225" spans="1:14" x14ac:dyDescent="0.2">
      <c r="A225" s="613" t="s">
        <v>59</v>
      </c>
      <c r="B225" s="593"/>
      <c r="D225" s="671">
        <f>'IMRO Decision 2006-10'!J373</f>
        <v>30307</v>
      </c>
      <c r="E225" s="671">
        <f>'IMRO Decision 2006-10'!K373</f>
        <v>82120</v>
      </c>
      <c r="F225" s="671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10" t="s">
        <v>53</v>
      </c>
      <c r="B227" s="611"/>
      <c r="C227" s="455"/>
      <c r="D227" s="612"/>
      <c r="E227" s="612"/>
      <c r="F227" s="598"/>
    </row>
    <row r="228" spans="1:14" x14ac:dyDescent="0.2">
      <c r="A228" s="613" t="s">
        <v>60</v>
      </c>
      <c r="B228" s="593"/>
      <c r="C228" s="455"/>
      <c r="D228" s="671">
        <f>SUM('IMRO Decision 2006-10'!J356,'IMRO Decision 2006-10'!J358:J362)</f>
        <v>10029.420408163265</v>
      </c>
      <c r="E228" s="671">
        <f>SUM('IMRO Decision 2006-10'!K356,'IMRO Decision 2006-10'!K358:K362)</f>
        <v>38008.420408163263</v>
      </c>
      <c r="F228" s="671">
        <f>SUM('IMRO Decision 2006-10'!L356,'IMRO Decision 2006-10'!L358:L362)</f>
        <v>71353.020408163269</v>
      </c>
    </row>
    <row r="231" spans="1:14" ht="13.5" thickBot="1" x14ac:dyDescent="0.25">
      <c r="A231" s="627"/>
      <c r="B231" s="628"/>
      <c r="C231" s="627"/>
      <c r="D231" s="627"/>
      <c r="E231" s="627"/>
      <c r="F231" s="627"/>
      <c r="G231" s="627"/>
      <c r="H231" s="627"/>
      <c r="I231" s="627"/>
      <c r="J231" s="627"/>
      <c r="K231" s="627"/>
      <c r="L231" s="627"/>
      <c r="M231" s="627"/>
      <c r="N231" s="627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3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388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21" t="s">
        <v>404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6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7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5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63">
        <v>4532473.805165709</v>
      </c>
      <c r="E10" s="764">
        <v>3901457.2776575359</v>
      </c>
      <c r="F10" s="764"/>
      <c r="G10" s="764"/>
      <c r="H10" s="764"/>
      <c r="I10" s="764"/>
      <c r="J10" s="765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63">
        <v>4149037.5409553209</v>
      </c>
      <c r="E11" s="764">
        <v>4817824.8053511195</v>
      </c>
      <c r="F11" s="764"/>
      <c r="G11" s="764"/>
      <c r="H11" s="764"/>
      <c r="I11" s="764"/>
      <c r="J11" s="765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63">
        <v>2210814.54</v>
      </c>
      <c r="E12" s="764">
        <v>66062251.949999988</v>
      </c>
      <c r="F12" s="764"/>
      <c r="G12" s="764"/>
      <c r="H12" s="764"/>
      <c r="I12" s="764"/>
      <c r="J12" s="765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63">
        <v>24047547.66</v>
      </c>
      <c r="E13" s="764">
        <v>21118048.699999999</v>
      </c>
      <c r="F13" s="764"/>
      <c r="G13" s="764"/>
      <c r="H13" s="764"/>
      <c r="I13" s="764"/>
      <c r="J13" s="765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63">
        <v>945747.1</v>
      </c>
      <c r="E14" s="764">
        <v>3326145.38</v>
      </c>
      <c r="F14" s="764"/>
      <c r="G14" s="764"/>
      <c r="H14" s="764"/>
      <c r="I14" s="764"/>
      <c r="J14" s="765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63">
        <v>527728.94999999995</v>
      </c>
      <c r="E15" s="764">
        <v>627653.81999999995</v>
      </c>
      <c r="F15" s="764"/>
      <c r="G15" s="764"/>
      <c r="H15" s="764"/>
      <c r="I15" s="764"/>
      <c r="J15" s="765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0</v>
      </c>
      <c r="G16" s="12">
        <f t="shared" si="3"/>
        <v>0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5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63">
        <v>0</v>
      </c>
      <c r="E23" s="764">
        <v>0</v>
      </c>
      <c r="F23" s="764"/>
      <c r="G23" s="764"/>
      <c r="H23" s="764"/>
      <c r="I23" s="764"/>
      <c r="J23" s="765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0</v>
      </c>
      <c r="G24" s="19">
        <f t="shared" ref="G24:J26" si="9">G13</f>
        <v>0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0</v>
      </c>
      <c r="G25" s="19">
        <f t="shared" si="9"/>
        <v>0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0</v>
      </c>
      <c r="G26" s="19">
        <f t="shared" si="9"/>
        <v>0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0</v>
      </c>
      <c r="G27" s="12">
        <f t="shared" si="10"/>
        <v>0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5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63">
        <v>0</v>
      </c>
      <c r="E34" s="764">
        <v>0</v>
      </c>
      <c r="F34" s="764"/>
      <c r="G34" s="764"/>
      <c r="H34" s="764"/>
      <c r="I34" s="764"/>
      <c r="J34" s="765"/>
      <c r="K34" s="36"/>
    </row>
    <row r="35" spans="1:11" x14ac:dyDescent="0.2">
      <c r="A35" s="83" t="s">
        <v>267</v>
      </c>
      <c r="C35" s="20"/>
      <c r="D35" s="763">
        <v>0</v>
      </c>
      <c r="E35" s="764">
        <v>0</v>
      </c>
      <c r="F35" s="764"/>
      <c r="G35" s="764"/>
      <c r="H35" s="764"/>
      <c r="I35" s="764"/>
      <c r="J35" s="765"/>
      <c r="K35" s="36"/>
    </row>
    <row r="36" spans="1:11" x14ac:dyDescent="0.2">
      <c r="A36" s="83" t="s">
        <v>363</v>
      </c>
      <c r="C36" s="20"/>
      <c r="D36" s="763">
        <v>0</v>
      </c>
      <c r="E36" s="764">
        <v>0</v>
      </c>
      <c r="F36" s="764"/>
      <c r="G36" s="764"/>
      <c r="H36" s="764"/>
      <c r="I36" s="764"/>
      <c r="J36" s="765"/>
      <c r="K36" s="36"/>
    </row>
    <row r="37" spans="1:11" x14ac:dyDescent="0.2">
      <c r="A37" s="83" t="s">
        <v>284</v>
      </c>
      <c r="C37" s="20"/>
      <c r="D37" s="763">
        <v>0</v>
      </c>
      <c r="E37" s="764">
        <v>0</v>
      </c>
      <c r="F37" s="764"/>
      <c r="G37" s="764"/>
      <c r="H37" s="764"/>
      <c r="I37" s="764"/>
      <c r="J37" s="765"/>
      <c r="K37" s="36"/>
    </row>
    <row r="38" spans="1:11" x14ac:dyDescent="0.2">
      <c r="A38" s="83" t="s">
        <v>286</v>
      </c>
      <c r="B38" s="446"/>
      <c r="C38" s="20"/>
      <c r="D38" s="763">
        <v>0</v>
      </c>
      <c r="E38" s="764">
        <v>0</v>
      </c>
      <c r="F38" s="764"/>
      <c r="G38" s="764"/>
      <c r="H38" s="764"/>
      <c r="I38" s="764"/>
      <c r="J38" s="765"/>
      <c r="K38" s="36"/>
    </row>
    <row r="39" spans="1:11" x14ac:dyDescent="0.2">
      <c r="A39" s="83" t="s">
        <v>285</v>
      </c>
      <c r="B39" s="447"/>
      <c r="C39" s="20"/>
      <c r="D39" s="763">
        <v>0</v>
      </c>
      <c r="E39" s="764">
        <v>0</v>
      </c>
      <c r="F39" s="764"/>
      <c r="G39" s="764"/>
      <c r="H39" s="764"/>
      <c r="I39" s="764"/>
      <c r="J39" s="765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si="14"/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6"/>
      <c r="K42" s="2"/>
    </row>
    <row r="43" spans="1:11" x14ac:dyDescent="0.2">
      <c r="A43" s="83" t="s">
        <v>42</v>
      </c>
      <c r="C43" s="20"/>
      <c r="D43" s="763">
        <v>0</v>
      </c>
      <c r="E43" s="764">
        <v>0</v>
      </c>
      <c r="F43" s="764"/>
      <c r="G43" s="764"/>
      <c r="H43" s="764"/>
      <c r="I43" s="764"/>
      <c r="J43" s="765"/>
      <c r="K43" s="36"/>
    </row>
    <row r="44" spans="1:11" x14ac:dyDescent="0.2">
      <c r="A44" s="83" t="s">
        <v>267</v>
      </c>
      <c r="B44" s="447"/>
      <c r="C44" s="20"/>
      <c r="D44" s="763">
        <v>0</v>
      </c>
      <c r="E44" s="764">
        <v>0</v>
      </c>
      <c r="F44" s="764"/>
      <c r="G44" s="764"/>
      <c r="H44" s="764"/>
      <c r="I44" s="764"/>
      <c r="J44" s="765"/>
      <c r="K44" s="36"/>
    </row>
    <row r="45" spans="1:11" x14ac:dyDescent="0.2">
      <c r="A45" s="83" t="s">
        <v>363</v>
      </c>
      <c r="C45" s="20"/>
      <c r="D45" s="763">
        <v>0</v>
      </c>
      <c r="E45" s="764">
        <v>0</v>
      </c>
      <c r="F45" s="764"/>
      <c r="G45" s="764"/>
      <c r="H45" s="764"/>
      <c r="I45" s="764"/>
      <c r="J45" s="765"/>
      <c r="K45" s="36"/>
    </row>
    <row r="46" spans="1:11" x14ac:dyDescent="0.2">
      <c r="A46" s="83" t="s">
        <v>284</v>
      </c>
      <c r="C46" s="20"/>
      <c r="D46" s="763">
        <v>0</v>
      </c>
      <c r="E46" s="764">
        <v>0</v>
      </c>
      <c r="F46" s="764"/>
      <c r="G46" s="764"/>
      <c r="H46" s="764"/>
      <c r="I46" s="764"/>
      <c r="J46" s="765"/>
      <c r="K46" s="36"/>
    </row>
    <row r="47" spans="1:11" x14ac:dyDescent="0.2">
      <c r="A47" s="83" t="s">
        <v>286</v>
      </c>
      <c r="B47" s="89"/>
      <c r="C47" s="20"/>
      <c r="D47" s="763">
        <v>0</v>
      </c>
      <c r="E47" s="764">
        <v>0</v>
      </c>
      <c r="F47" s="764"/>
      <c r="G47" s="764"/>
      <c r="H47" s="764"/>
      <c r="I47" s="764"/>
      <c r="J47" s="765"/>
      <c r="K47" s="36"/>
    </row>
    <row r="48" spans="1:11" x14ac:dyDescent="0.2">
      <c r="A48" s="83" t="s">
        <v>285</v>
      </c>
      <c r="C48" s="20"/>
      <c r="D48" s="763">
        <v>0</v>
      </c>
      <c r="E48" s="764">
        <v>0</v>
      </c>
      <c r="F48" s="764"/>
      <c r="G48" s="764"/>
      <c r="H48" s="764"/>
      <c r="I48" s="764"/>
      <c r="J48" s="765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6">D$1</f>
        <v>2009</v>
      </c>
      <c r="E52" s="45">
        <f t="shared" si="16"/>
        <v>2010</v>
      </c>
      <c r="F52" s="45">
        <f t="shared" si="16"/>
        <v>2011</v>
      </c>
      <c r="G52" s="45">
        <f t="shared" si="16"/>
        <v>2012</v>
      </c>
      <c r="H52" s="45">
        <f t="shared" si="16"/>
        <v>2013</v>
      </c>
      <c r="I52" s="45">
        <f t="shared" si="16"/>
        <v>2014</v>
      </c>
      <c r="J52" s="46">
        <f t="shared" si="16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7">D$2</f>
        <v>Nominal $</v>
      </c>
      <c r="E53" s="48" t="str">
        <f t="shared" si="17"/>
        <v>Nominal $</v>
      </c>
      <c r="F53" s="48" t="str">
        <f t="shared" si="17"/>
        <v>Nominal $</v>
      </c>
      <c r="G53" s="48" t="str">
        <f t="shared" si="17"/>
        <v>Nominal $</v>
      </c>
      <c r="H53" s="48" t="str">
        <f t="shared" si="17"/>
        <v>Nominal $</v>
      </c>
      <c r="I53" s="48" t="str">
        <f t="shared" si="17"/>
        <v>Nominal $</v>
      </c>
      <c r="J53" s="49" t="str">
        <f t="shared" si="17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Actual</v>
      </c>
      <c r="J54" s="725" t="str">
        <f t="shared" si="18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66">
        <v>24814068.844235312</v>
      </c>
      <c r="E55" s="767">
        <v>19953460.2551184</v>
      </c>
      <c r="F55" s="767"/>
      <c r="G55" s="767"/>
      <c r="H55" s="767"/>
      <c r="I55" s="767"/>
      <c r="J55" s="768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5">
        <f t="shared" si="19"/>
        <v>2011</v>
      </c>
      <c r="G58" s="5">
        <f t="shared" si="19"/>
        <v>2012</v>
      </c>
      <c r="H58" s="5">
        <f t="shared" si="19"/>
        <v>2013</v>
      </c>
      <c r="I58" s="5">
        <f t="shared" si="19"/>
        <v>2014</v>
      </c>
      <c r="J58" s="46">
        <f t="shared" si="19"/>
        <v>2015</v>
      </c>
      <c r="K58" s="19"/>
    </row>
    <row r="59" spans="1:11" s="1" customFormat="1" x14ac:dyDescent="0.2">
      <c r="B59" s="86"/>
      <c r="D59" s="723" t="s">
        <v>22</v>
      </c>
      <c r="E59" s="727" t="s">
        <v>22</v>
      </c>
      <c r="F59" s="727" t="s">
        <v>22</v>
      </c>
      <c r="G59" s="727" t="s">
        <v>22</v>
      </c>
      <c r="H59" s="727" t="s">
        <v>22</v>
      </c>
      <c r="I59" s="727" t="s">
        <v>22</v>
      </c>
      <c r="J59" s="724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69">
        <v>33138971.770000003</v>
      </c>
      <c r="E60" s="767">
        <v>71092652.63000001</v>
      </c>
      <c r="F60" s="767"/>
      <c r="G60" s="767"/>
      <c r="H60" s="767"/>
      <c r="I60" s="767"/>
      <c r="J60" s="768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124" activePane="bottomRight" state="frozen"/>
      <selection pane="topRight" activeCell="B1" sqref="B1"/>
      <selection pane="bottomLeft" activeCell="A4" sqref="A4"/>
      <selection pane="bottomRight" activeCell="G185" sqref="G185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3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4">
        <f>G1</f>
        <v>2012</v>
      </c>
      <c r="O1" s="5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806"/>
      <c r="O2" s="2"/>
      <c r="P2" s="2"/>
      <c r="Q2" s="728"/>
    </row>
    <row r="3" spans="1:17" s="1" customFormat="1" ht="15.75" x14ac:dyDescent="0.25">
      <c r="A3" s="70" t="s">
        <v>388</v>
      </c>
      <c r="B3" s="445"/>
      <c r="C3" s="2"/>
      <c r="D3" s="702" t="s">
        <v>20</v>
      </c>
      <c r="E3" s="703" t="s">
        <v>20</v>
      </c>
      <c r="F3" s="703" t="s">
        <v>20</v>
      </c>
      <c r="G3" s="61" t="s">
        <v>18</v>
      </c>
      <c r="H3" s="61" t="s">
        <v>18</v>
      </c>
      <c r="I3" s="61" t="s">
        <v>18</v>
      </c>
      <c r="J3" s="62" t="s">
        <v>18</v>
      </c>
      <c r="K3" s="108"/>
      <c r="L3" s="21"/>
      <c r="M3" s="21"/>
      <c r="N3" s="807" t="str">
        <f>G3</f>
        <v>Forecast</v>
      </c>
      <c r="O3" s="61" t="str">
        <f>H3</f>
        <v>Forecast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403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Forecast</v>
      </c>
      <c r="H9" s="51" t="str">
        <f t="shared" si="1"/>
        <v>Forecast</v>
      </c>
      <c r="I9" s="51" t="str">
        <f t="shared" si="1"/>
        <v>Forecast</v>
      </c>
      <c r="J9" s="725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70">
        <f>'Data 2009-10'!D10/($M$144/$M$143)</f>
        <v>4317419.4924881766</v>
      </c>
      <c r="E10" s="771">
        <f>'Data 2009-10'!E10/($M$145/$M$143)</f>
        <v>3670054.1176541233</v>
      </c>
      <c r="F10" s="771">
        <f>'DNSP Data Inputs 2011-15'!F10/($M$146/$M$143)</f>
        <v>1449889.2054472012</v>
      </c>
      <c r="G10" s="771">
        <f>'DNSP Data Inputs 2011-15'!G10/($M$147/$M$143)</f>
        <v>90651.464791370352</v>
      </c>
      <c r="H10" s="771">
        <f>'DNSP Data Inputs 2011-15'!H10/($M$147/$M$143)</f>
        <v>33904.311093644807</v>
      </c>
      <c r="I10" s="771">
        <f>'DNSP Data Inputs 2011-15'!I10/($M$147/$M$143)</f>
        <v>0</v>
      </c>
      <c r="J10" s="772">
        <f>'DNSP Data Inputs 2011-15'!J10/($M$147/$M$143)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70">
        <f>'Data 2009-10'!D11/($M$144/$M$143)</f>
        <v>3952176.300273357</v>
      </c>
      <c r="E11" s="771">
        <f>'Data 2009-10'!E11/($M$145/$M$143)</f>
        <v>4532070.0719376486</v>
      </c>
      <c r="F11" s="771">
        <f>'DNSP Data Inputs 2011-15'!F11/($M$146/$M$143)</f>
        <v>696219.1775533756</v>
      </c>
      <c r="G11" s="771">
        <f>'DNSP Data Inputs 2011-15'!G11/($M$147/$M$143)</f>
        <v>115720.05720519069</v>
      </c>
      <c r="H11" s="771">
        <f>'DNSP Data Inputs 2011-15'!H11/($M$147/$M$143)</f>
        <v>43565.415660110993</v>
      </c>
      <c r="I11" s="771">
        <f>'DNSP Data Inputs 2011-15'!I11/($M$147/$M$143)</f>
        <v>0</v>
      </c>
      <c r="J11" s="772">
        <f>'DNSP Data Inputs 2011-15'!J11/($M$147/$M$143)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70">
        <f>'Data 2009-10'!D12/($M$144/$M$143)</f>
        <v>2105917.0332972975</v>
      </c>
      <c r="E12" s="771">
        <f>'Data 2009-10'!E12/($M$145/$M$143)</f>
        <v>62143968.916192159</v>
      </c>
      <c r="F12" s="771">
        <f>'DNSP Data Inputs 2011-15'!F12/($M$146/$M$143)</f>
        <v>84980620.03732045</v>
      </c>
      <c r="G12" s="771">
        <f>'DNSP Data Inputs 2011-15'!G12/($M$147/$M$143)</f>
        <v>80290973.378765032</v>
      </c>
      <c r="H12" s="771">
        <f>'DNSP Data Inputs 2011-15'!H12/($M$147/$M$143)</f>
        <v>57032142.629338585</v>
      </c>
      <c r="I12" s="771">
        <f>'DNSP Data Inputs 2011-15'!I12/($M$147/$M$143)</f>
        <v>6247090.3848163951</v>
      </c>
      <c r="J12" s="772">
        <f>'DNSP Data Inputs 2011-15'!J12/($M$147/$M$143)</f>
        <v>6224205.5387159782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70">
        <f>'Data 2009-10'!D13/($M$144/$M$143)</f>
        <v>22906552.906162161</v>
      </c>
      <c r="E13" s="771">
        <f>'Data 2009-10'!E13/($M$145/$M$143)</f>
        <v>19865495.396322656</v>
      </c>
      <c r="F13" s="771">
        <f>'DNSP Data Inputs 2011-15'!F13/($M$146/$M$143)</f>
        <v>10372068.667339874</v>
      </c>
      <c r="G13" s="771">
        <f>'DNSP Data Inputs 2011-15'!G13/($M$147/$M$143)</f>
        <v>8822882.8754537757</v>
      </c>
      <c r="H13" s="771">
        <f>'DNSP Data Inputs 2011-15'!H13/($M$147/$M$143)</f>
        <v>7819347.3298175987</v>
      </c>
      <c r="I13" s="771">
        <f>'DNSP Data Inputs 2011-15'!I13/($M$147/$M$143)</f>
        <v>6166349.8576883422</v>
      </c>
      <c r="J13" s="772">
        <f>'DNSP Data Inputs 2011-15'!J13/($M$147/$M$143)</f>
        <v>4594699.8172959592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70">
        <f>'Data 2009-10'!D14/($M$144/$M$143)</f>
        <v>900873.81417417421</v>
      </c>
      <c r="E14" s="771">
        <f>'Data 2009-10'!E14/($M$145/$M$143)</f>
        <v>3128865.1083511268</v>
      </c>
      <c r="F14" s="771">
        <f>'DNSP Data Inputs 2011-15'!F14/($M$146/$M$143)</f>
        <v>14800781.096006922</v>
      </c>
      <c r="G14" s="771">
        <f>'DNSP Data Inputs 2011-15'!G14/($M$147/$M$143)</f>
        <v>14733383.665444689</v>
      </c>
      <c r="H14" s="771">
        <f>'DNSP Data Inputs 2011-15'!H14/($M$147/$M$143)</f>
        <v>7251431.2817517659</v>
      </c>
      <c r="I14" s="771">
        <f>'DNSP Data Inputs 2011-15'!I14/($M$147/$M$143)</f>
        <v>1993455.3734855999</v>
      </c>
      <c r="J14" s="772">
        <f>'DNSP Data Inputs 2011-15'!J14/($M$147/$M$143)</f>
        <v>940886.73833913892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70">
        <f>'Data 2009-10'!D15/($M$144/$M$143)</f>
        <v>502689.55837837834</v>
      </c>
      <c r="E15" s="771">
        <f>'Data 2009-10'!E15/($M$145/$M$143)</f>
        <v>590426.42854092526</v>
      </c>
      <c r="F15" s="771">
        <f>'DNSP Data Inputs 2011-15'!F15/($M$146/$M$143)</f>
        <v>319493.26631275244</v>
      </c>
      <c r="G15" s="771">
        <f>'DNSP Data Inputs 2011-15'!G15/($M$147/$M$143)</f>
        <v>112371.71494518174</v>
      </c>
      <c r="H15" s="771">
        <f>'DNSP Data Inputs 2011-15'!H15/($M$147/$M$143)</f>
        <v>106793.71725331793</v>
      </c>
      <c r="I15" s="771">
        <f>'DNSP Data Inputs 2011-15'!I15/($M$147/$M$143)</f>
        <v>106793.71725331793</v>
      </c>
      <c r="J15" s="772">
        <f>'DNSP Data Inputs 2011-15'!J15/($M$147/$M$143)</f>
        <v>115134.63127524522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93930880.038998634</v>
      </c>
      <c r="F16" s="12">
        <f t="shared" si="2"/>
        <v>112619071.44998059</v>
      </c>
      <c r="G16" s="12">
        <f t="shared" si="2"/>
        <v>104165983.15660523</v>
      </c>
      <c r="H16" s="12">
        <f t="shared" si="2"/>
        <v>72287184.684915021</v>
      </c>
      <c r="I16" s="12">
        <f t="shared" si="2"/>
        <v>14513689.333243657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Forecast</v>
      </c>
      <c r="H21" s="51" t="str">
        <f t="shared" si="4"/>
        <v>Forecast</v>
      </c>
      <c r="I21" s="51" t="str">
        <f t="shared" si="4"/>
        <v>Forecast</v>
      </c>
      <c r="J21" s="725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70346093.105783924</v>
      </c>
      <c r="F22" s="19">
        <f t="shared" si="5"/>
        <v>87126728.420321032</v>
      </c>
      <c r="G22" s="19">
        <f t="shared" si="5"/>
        <v>80497344.900761589</v>
      </c>
      <c r="H22" s="19">
        <f t="shared" si="5"/>
        <v>57109612.356092341</v>
      </c>
      <c r="I22" s="19">
        <f t="shared" si="5"/>
        <v>6247090.3848163951</v>
      </c>
      <c r="J22" s="325">
        <f t="shared" si="5"/>
        <v>6224205.5387159782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70">
        <f>'Data 2009-10'!D23/($M$144/$M$143)</f>
        <v>0</v>
      </c>
      <c r="E23" s="770">
        <f>'Data 2009-10'!E23/($M$145/$M$143)</f>
        <v>0</v>
      </c>
      <c r="F23" s="771">
        <f>'DNSP Data Inputs 2011-15'!F23/($M$146/$M$143)</f>
        <v>0</v>
      </c>
      <c r="G23" s="771">
        <f>'DNSP Data Inputs 2011-15'!G23/($M$147/$M$143)</f>
        <v>0</v>
      </c>
      <c r="H23" s="771">
        <f>'DNSP Data Inputs 2011-15'!H23/($M$147/$M$143)</f>
        <v>0</v>
      </c>
      <c r="I23" s="771">
        <f>'DNSP Data Inputs 2011-15'!I23/($M$147/$M$143)</f>
        <v>0</v>
      </c>
      <c r="J23" s="772">
        <f>'DNSP Data Inputs 2011-15'!J23/($M$147/$M$143)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19865495.396322656</v>
      </c>
      <c r="F24" s="19">
        <f t="shared" si="6"/>
        <v>10372068.667339874</v>
      </c>
      <c r="G24" s="19">
        <f t="shared" ref="G24:J26" si="7">G13</f>
        <v>8822882.8754537757</v>
      </c>
      <c r="H24" s="19">
        <f t="shared" si="7"/>
        <v>7819347.3298175987</v>
      </c>
      <c r="I24" s="19">
        <f t="shared" si="7"/>
        <v>6166349.8576883422</v>
      </c>
      <c r="J24" s="325">
        <f t="shared" si="7"/>
        <v>4594699.8172959592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3128865.1083511268</v>
      </c>
      <c r="F25" s="19">
        <f t="shared" si="6"/>
        <v>14800781.096006922</v>
      </c>
      <c r="G25" s="19">
        <f t="shared" si="7"/>
        <v>14733383.665444689</v>
      </c>
      <c r="H25" s="19">
        <f t="shared" si="7"/>
        <v>7251431.2817517659</v>
      </c>
      <c r="I25" s="19">
        <f t="shared" si="7"/>
        <v>1993455.3734855999</v>
      </c>
      <c r="J25" s="325">
        <f t="shared" si="7"/>
        <v>940886.73833913892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590426.42854092526</v>
      </c>
      <c r="F26" s="19">
        <f t="shared" si="6"/>
        <v>319493.26631275244</v>
      </c>
      <c r="G26" s="19">
        <f t="shared" si="7"/>
        <v>112371.71494518174</v>
      </c>
      <c r="H26" s="19">
        <f t="shared" si="7"/>
        <v>106793.71725331793</v>
      </c>
      <c r="I26" s="19">
        <f t="shared" si="7"/>
        <v>106793.71725331793</v>
      </c>
      <c r="J26" s="325">
        <f t="shared" si="7"/>
        <v>115134.63127524522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93930880.038998634</v>
      </c>
      <c r="F27" s="12">
        <f t="shared" si="8"/>
        <v>112619071.44998059</v>
      </c>
      <c r="G27" s="12">
        <f t="shared" si="8"/>
        <v>104165983.15660523</v>
      </c>
      <c r="H27" s="12">
        <f t="shared" si="8"/>
        <v>72287184.684915021</v>
      </c>
      <c r="I27" s="12">
        <f t="shared" si="8"/>
        <v>14513689.333243657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Forecast</v>
      </c>
      <c r="H32" s="51" t="str">
        <f t="shared" si="10"/>
        <v>Forecast</v>
      </c>
      <c r="I32" s="51" t="str">
        <f t="shared" si="10"/>
        <v>Forecast</v>
      </c>
      <c r="J32" s="725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75">
        <f>'Data 2009-10'!D34/($M$144/$M$143)</f>
        <v>0</v>
      </c>
      <c r="E34" s="776">
        <f>'Data 2009-10'!E34/($M$145/$M$143)</f>
        <v>0</v>
      </c>
      <c r="F34" s="776">
        <f>'DNSP Data Inputs 2011-15'!F34/($M$146/$M$143)</f>
        <v>0</v>
      </c>
      <c r="G34" s="771">
        <f>'DNSP Data Inputs 2011-15'!G34/($M$147/$M$143)</f>
        <v>0</v>
      </c>
      <c r="H34" s="771">
        <f>'DNSP Data Inputs 2011-15'!H34/($M$147/$M$143)</f>
        <v>0</v>
      </c>
      <c r="I34" s="771">
        <f>'DNSP Data Inputs 2011-15'!I34/($M$147/$M$143)</f>
        <v>0</v>
      </c>
      <c r="J34" s="772">
        <f>'DNSP Data Inputs 2011-15'!J34/($M$147/$M$143)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75">
        <f>'Data 2009-10'!D35/($M$144/$M$143)</f>
        <v>0</v>
      </c>
      <c r="E35" s="776">
        <f>'Data 2009-10'!E35/($M$145/$M$143)</f>
        <v>0</v>
      </c>
      <c r="F35" s="776">
        <f>'DNSP Data Inputs 2011-15'!F35/($M$146/$M$143)</f>
        <v>0</v>
      </c>
      <c r="G35" s="771">
        <f>'DNSP Data Inputs 2011-15'!G35/($M$147/$M$143)</f>
        <v>0</v>
      </c>
      <c r="H35" s="771">
        <f>'DNSP Data Inputs 2011-15'!H35/($M$147/$M$143)</f>
        <v>0</v>
      </c>
      <c r="I35" s="771">
        <f>'DNSP Data Inputs 2011-15'!I35/($M$147/$M$143)</f>
        <v>0</v>
      </c>
      <c r="J35" s="772">
        <f>'DNSP Data Inputs 2011-15'!J35/($M$147/$M$143)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75">
        <f>'Data 2009-10'!D36/($M$144/$M$143)</f>
        <v>0</v>
      </c>
      <c r="E36" s="776">
        <f>'Data 2009-10'!E36/($M$145/$M$143)</f>
        <v>0</v>
      </c>
      <c r="F36" s="776">
        <f>'DNSP Data Inputs 2011-15'!F36/($M$146/$M$143)</f>
        <v>0</v>
      </c>
      <c r="G36" s="771">
        <f>'DNSP Data Inputs 2011-15'!G36/($M$147/$M$143)</f>
        <v>0</v>
      </c>
      <c r="H36" s="771">
        <f>'DNSP Data Inputs 2011-15'!H36/($M$147/$M$143)</f>
        <v>0</v>
      </c>
      <c r="I36" s="771">
        <f>'DNSP Data Inputs 2011-15'!I36/($M$147/$M$143)</f>
        <v>0</v>
      </c>
      <c r="J36" s="772">
        <f>'DNSP Data Inputs 2011-15'!J36/($M$147/$M$143)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75">
        <f>'Data 2009-10'!D37/($M$144/$M$143)</f>
        <v>0</v>
      </c>
      <c r="E37" s="776">
        <f>'Data 2009-10'!E37/($M$145/$M$143)</f>
        <v>0</v>
      </c>
      <c r="F37" s="776">
        <f>'DNSP Data Inputs 2011-15'!F37/($M$146/$M$143)</f>
        <v>0</v>
      </c>
      <c r="G37" s="771">
        <f>'DNSP Data Inputs 2011-15'!G37/($M$147/$M$143)</f>
        <v>0</v>
      </c>
      <c r="H37" s="771">
        <f>'DNSP Data Inputs 2011-15'!H37/($M$147/$M$143)</f>
        <v>0</v>
      </c>
      <c r="I37" s="771">
        <f>'DNSP Data Inputs 2011-15'!I37/($M$147/$M$143)</f>
        <v>0</v>
      </c>
      <c r="J37" s="772">
        <f>'DNSP Data Inputs 2011-15'!J37/($M$147/$M$143)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75">
        <f>'Data 2009-10'!D38/($M$144/$M$143)</f>
        <v>0</v>
      </c>
      <c r="E38" s="776">
        <f>'Data 2009-10'!E38/($M$145/$M$143)</f>
        <v>0</v>
      </c>
      <c r="F38" s="776">
        <f>'DNSP Data Inputs 2011-15'!F38/($M$146/$M$143)</f>
        <v>0</v>
      </c>
      <c r="G38" s="771">
        <f>'DNSP Data Inputs 2011-15'!G38/($M$147/$M$143)</f>
        <v>0</v>
      </c>
      <c r="H38" s="771">
        <f>'DNSP Data Inputs 2011-15'!H38/($M$147/$M$143)</f>
        <v>0</v>
      </c>
      <c r="I38" s="771">
        <f>'DNSP Data Inputs 2011-15'!I38/($M$147/$M$143)</f>
        <v>0</v>
      </c>
      <c r="J38" s="772">
        <f>'DNSP Data Inputs 2011-15'!J38/($M$147/$M$143)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75">
        <f>'Data 2009-10'!D39/($M$144/$M$143)</f>
        <v>0</v>
      </c>
      <c r="E39" s="776">
        <f>'Data 2009-10'!E39/($M$145/$M$143)</f>
        <v>0</v>
      </c>
      <c r="F39" s="776">
        <f>'DNSP Data Inputs 2011-15'!F39/($M$146/$M$143)</f>
        <v>0</v>
      </c>
      <c r="G39" s="771">
        <f>'DNSP Data Inputs 2011-15'!G39/($M$147/$M$143)</f>
        <v>0</v>
      </c>
      <c r="H39" s="771">
        <f>'DNSP Data Inputs 2011-15'!H39/($M$147/$M$143)</f>
        <v>0</v>
      </c>
      <c r="I39" s="771">
        <f>'DNSP Data Inputs 2011-15'!I39/($M$147/$M$143)</f>
        <v>0</v>
      </c>
      <c r="J39" s="772">
        <f>'DNSP Data Inputs 2011-15'!J39/($M$147/$M$143)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si="12"/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6"/>
      <c r="K42" s="2"/>
      <c r="M42" s="2"/>
      <c r="N42" s="2"/>
      <c r="O42" s="2"/>
    </row>
    <row r="43" spans="1:15" x14ac:dyDescent="0.2">
      <c r="A43" s="83" t="str">
        <f t="shared" ref="A43:A48" si="14">A10</f>
        <v>Accumulation Meters</v>
      </c>
      <c r="C43" s="20"/>
      <c r="D43" s="775">
        <f>'Data 2009-10'!D43/($M$144/$M$143)</f>
        <v>0</v>
      </c>
      <c r="E43" s="776">
        <f>'Data 2009-10'!E43/($M$145/$M$143)</f>
        <v>0</v>
      </c>
      <c r="F43" s="776">
        <f>'DNSP Data Inputs 2011-15'!F43/($M$146/$M$143)</f>
        <v>0</v>
      </c>
      <c r="G43" s="771">
        <f>'DNSP Data Inputs 2011-15'!G43/($M$147/$M$143)</f>
        <v>0</v>
      </c>
      <c r="H43" s="771">
        <f>'DNSP Data Inputs 2011-15'!H43/($M$147/$M$143)</f>
        <v>0</v>
      </c>
      <c r="I43" s="771">
        <f>'DNSP Data Inputs 2011-15'!I43/($M$147/$M$143)</f>
        <v>0</v>
      </c>
      <c r="J43" s="772">
        <f>'DNSP Data Inputs 2011-15'!J43/($M$147/$M$143)</f>
        <v>0</v>
      </c>
      <c r="K43" s="36"/>
      <c r="M43" s="2"/>
      <c r="N43" s="2"/>
      <c r="O43" s="2"/>
    </row>
    <row r="44" spans="1:15" x14ac:dyDescent="0.2">
      <c r="A44" s="83" t="str">
        <f t="shared" si="14"/>
        <v>Manually read interval meters</v>
      </c>
      <c r="B44" s="447"/>
      <c r="C44" s="20"/>
      <c r="D44" s="775">
        <f>'Data 2009-10'!D44/($M$144/$M$143)</f>
        <v>0</v>
      </c>
      <c r="E44" s="776">
        <f>'Data 2009-10'!E44/($M$145/$M$143)</f>
        <v>0</v>
      </c>
      <c r="F44" s="776">
        <f>'DNSP Data Inputs 2011-15'!F44/($M$146/$M$143)</f>
        <v>0</v>
      </c>
      <c r="G44" s="771">
        <f>'DNSP Data Inputs 2011-15'!G44/($M$147/$M$143)</f>
        <v>0</v>
      </c>
      <c r="H44" s="771">
        <f>'DNSP Data Inputs 2011-15'!H44/($M$147/$M$143)</f>
        <v>0</v>
      </c>
      <c r="I44" s="771">
        <f>'DNSP Data Inputs 2011-15'!I44/($M$147/$M$143)</f>
        <v>0</v>
      </c>
      <c r="J44" s="772">
        <f>'DNSP Data Inputs 2011-15'!J44/($M$147/$M$143)</f>
        <v>0</v>
      </c>
      <c r="K44" s="36"/>
      <c r="M44" s="2"/>
      <c r="N44" s="2"/>
      <c r="O44" s="2"/>
    </row>
    <row r="45" spans="1:15" x14ac:dyDescent="0.2">
      <c r="A45" s="83" t="str">
        <f t="shared" si="14"/>
        <v>Remotely read interval meters &amp; transformers</v>
      </c>
      <c r="C45" s="20"/>
      <c r="D45" s="775">
        <f>'Data 2009-10'!D45/($M$144/$M$143)</f>
        <v>0</v>
      </c>
      <c r="E45" s="776">
        <f>'Data 2009-10'!E45/($M$145/$M$143)</f>
        <v>0</v>
      </c>
      <c r="F45" s="776">
        <f>'DNSP Data Inputs 2011-15'!F45/($M$146/$M$143)</f>
        <v>0</v>
      </c>
      <c r="G45" s="771">
        <f>'DNSP Data Inputs 2011-15'!G45/($M$147/$M$143)</f>
        <v>0</v>
      </c>
      <c r="H45" s="771">
        <f>'DNSP Data Inputs 2011-15'!H45/($M$147/$M$143)</f>
        <v>0</v>
      </c>
      <c r="I45" s="771">
        <f>'DNSP Data Inputs 2011-15'!I45/($M$147/$M$143)</f>
        <v>0</v>
      </c>
      <c r="J45" s="772">
        <f>'DNSP Data Inputs 2011-15'!J45/($M$147/$M$143)</f>
        <v>0</v>
      </c>
      <c r="K45" s="36"/>
      <c r="M45" s="2"/>
      <c r="N45" s="2"/>
      <c r="O45" s="2"/>
    </row>
    <row r="46" spans="1:15" x14ac:dyDescent="0.2">
      <c r="A46" s="83" t="str">
        <f t="shared" si="14"/>
        <v>IT</v>
      </c>
      <c r="C46" s="20"/>
      <c r="D46" s="775">
        <f>'Data 2009-10'!D46/($M$144/$M$143)</f>
        <v>0</v>
      </c>
      <c r="E46" s="776">
        <f>'Data 2009-10'!E46/($M$145/$M$143)</f>
        <v>0</v>
      </c>
      <c r="F46" s="776">
        <f>'DNSP Data Inputs 2011-15'!F46/($M$146/$M$143)</f>
        <v>0</v>
      </c>
      <c r="G46" s="771">
        <f>'DNSP Data Inputs 2011-15'!G46/($M$147/$M$143)</f>
        <v>0</v>
      </c>
      <c r="H46" s="771">
        <f>'DNSP Data Inputs 2011-15'!H46/($M$147/$M$143)</f>
        <v>0</v>
      </c>
      <c r="I46" s="771">
        <f>'DNSP Data Inputs 2011-15'!I46/($M$147/$M$143)</f>
        <v>0</v>
      </c>
      <c r="J46" s="772">
        <f>'DNSP Data Inputs 2011-15'!J46/($M$147/$M$143)</f>
        <v>0</v>
      </c>
      <c r="K46" s="36"/>
      <c r="M46" s="2"/>
      <c r="N46" s="2"/>
      <c r="O46" s="2"/>
    </row>
    <row r="47" spans="1:15" x14ac:dyDescent="0.2">
      <c r="A47" s="83" t="str">
        <f t="shared" si="14"/>
        <v>Communications</v>
      </c>
      <c r="B47" s="89"/>
      <c r="C47" s="20"/>
      <c r="D47" s="775">
        <f>'Data 2009-10'!D47/($M$144/$M$143)</f>
        <v>0</v>
      </c>
      <c r="E47" s="776">
        <f>'Data 2009-10'!E47/($M$145/$M$143)</f>
        <v>0</v>
      </c>
      <c r="F47" s="776">
        <f>'DNSP Data Inputs 2011-15'!F47/($M$146/$M$143)</f>
        <v>0</v>
      </c>
      <c r="G47" s="771">
        <f>'DNSP Data Inputs 2011-15'!G47/($M$147/$M$143)</f>
        <v>0</v>
      </c>
      <c r="H47" s="771">
        <f>'DNSP Data Inputs 2011-15'!H47/($M$147/$M$143)</f>
        <v>0</v>
      </c>
      <c r="I47" s="771">
        <f>'DNSP Data Inputs 2011-15'!I47/($M$147/$M$143)</f>
        <v>0</v>
      </c>
      <c r="J47" s="772">
        <f>'DNSP Data Inputs 2011-15'!J47/($M$147/$M$143)</f>
        <v>0</v>
      </c>
      <c r="K47" s="36"/>
      <c r="M47" s="2"/>
      <c r="N47" s="2"/>
      <c r="O47" s="2"/>
    </row>
    <row r="48" spans="1:15" x14ac:dyDescent="0.2">
      <c r="A48" s="83" t="str">
        <f t="shared" si="14"/>
        <v>Other</v>
      </c>
      <c r="C48" s="20"/>
      <c r="D48" s="775">
        <f>'Data 2009-10'!D48/($M$144/$M$143)</f>
        <v>0</v>
      </c>
      <c r="E48" s="776">
        <f>'Data 2009-10'!E48/($M$145/$M$143)</f>
        <v>0</v>
      </c>
      <c r="F48" s="776">
        <f>'DNSP Data Inputs 2011-15'!F48/($M$146/$M$143)</f>
        <v>0</v>
      </c>
      <c r="G48" s="771">
        <f>'DNSP Data Inputs 2011-15'!G48/($M$147/$M$143)</f>
        <v>0</v>
      </c>
      <c r="H48" s="771">
        <f>'DNSP Data Inputs 2011-15'!H48/($M$147/$M$143)</f>
        <v>0</v>
      </c>
      <c r="I48" s="771">
        <f>'DNSP Data Inputs 2011-15'!I48/($M$147/$M$143)</f>
        <v>0</v>
      </c>
      <c r="J48" s="772">
        <f>'DNSP Data Inputs 2011-15'!J48/($M$147/$M$143)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5">SUM(D43:D48)</f>
        <v>0</v>
      </c>
      <c r="E49" s="90">
        <f t="shared" si="15"/>
        <v>0</v>
      </c>
      <c r="F49" s="90">
        <f t="shared" si="15"/>
        <v>0</v>
      </c>
      <c r="G49" s="90">
        <f t="shared" si="15"/>
        <v>0</v>
      </c>
      <c r="H49" s="90">
        <f t="shared" si="15"/>
        <v>0</v>
      </c>
      <c r="I49" s="90">
        <f t="shared" si="15"/>
        <v>0</v>
      </c>
      <c r="J49" s="327">
        <f t="shared" si="15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6">D$2</f>
        <v>Real 2008 $</v>
      </c>
      <c r="E53" s="48" t="str">
        <f t="shared" si="16"/>
        <v>Real 2008 $</v>
      </c>
      <c r="F53" s="48" t="str">
        <f t="shared" si="16"/>
        <v>Real 2008 $</v>
      </c>
      <c r="G53" s="48" t="str">
        <f t="shared" si="16"/>
        <v>Real 2008 $</v>
      </c>
      <c r="H53" s="48" t="str">
        <f t="shared" si="16"/>
        <v>Real 2008 $</v>
      </c>
      <c r="I53" s="48" t="str">
        <f t="shared" si="16"/>
        <v>Real 2008 $</v>
      </c>
      <c r="J53" s="49" t="str">
        <f t="shared" si="16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7">D$3</f>
        <v>Actual</v>
      </c>
      <c r="E54" s="51" t="str">
        <f t="shared" si="17"/>
        <v>Actual</v>
      </c>
      <c r="F54" s="51" t="str">
        <f t="shared" si="17"/>
        <v>Actual</v>
      </c>
      <c r="G54" s="51" t="str">
        <f t="shared" si="17"/>
        <v>Forecast</v>
      </c>
      <c r="H54" s="51" t="str">
        <f t="shared" si="17"/>
        <v>Forecast</v>
      </c>
      <c r="I54" s="51" t="str">
        <f t="shared" si="17"/>
        <v>Forecast</v>
      </c>
      <c r="J54" s="725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393</v>
      </c>
      <c r="B55" s="83"/>
      <c r="C55" s="2"/>
      <c r="D55" s="773">
        <f>'Data 2009-10'!D55/($M$144/$M$143)</f>
        <v>23636704.616791114</v>
      </c>
      <c r="E55" s="774">
        <f>'Data 2009-10'!E55/($M$145/$M$143)</f>
        <v>18769980.999180179</v>
      </c>
      <c r="F55" s="774">
        <f>'DNSP Data Inputs 2011-15'!F55/($M$146/$M$143)</f>
        <v>24547324.281262718</v>
      </c>
      <c r="G55" s="774">
        <f>'DNSP Data Inputs 2011-15'!G55/($M$147/$M$143)</f>
        <v>22245409.641302649</v>
      </c>
      <c r="H55" s="774">
        <f>'DNSP Data Inputs 2011-15'!H55/($M$147/$M$143)</f>
        <v>21087606.146370094</v>
      </c>
      <c r="I55" s="792">
        <f>'DNSP Data Inputs 2011-15'!I55/($M$147/$M$143)+I56</f>
        <v>19787877.592452828</v>
      </c>
      <c r="J55" s="793">
        <f>'DNSP Data Inputs 2011-15'!J55/($M$147/$M$143)+J56</f>
        <v>19550997.861317001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394</v>
      </c>
      <c r="B56" s="446"/>
      <c r="C56" s="797"/>
      <c r="D56" s="790"/>
      <c r="E56" s="790"/>
      <c r="F56" s="790"/>
      <c r="G56" s="790"/>
      <c r="H56" s="790"/>
      <c r="I56" s="791">
        <f>'AMI RAB 2009-15'!I12*10^3*$I$133*I57</f>
        <v>199657.42273625868</v>
      </c>
      <c r="J56" s="791">
        <f>'AMI RAB 2009-15'!J12*10^3*$I$133*J57</f>
        <v>183496.0720850247</v>
      </c>
      <c r="K56" s="19"/>
      <c r="L56" s="2"/>
      <c r="M56" s="21"/>
      <c r="N56" s="21"/>
      <c r="O56" s="21"/>
    </row>
    <row r="57" spans="1:15" s="1" customFormat="1" x14ac:dyDescent="0.2">
      <c r="A57" s="789" t="s">
        <v>395</v>
      </c>
      <c r="B57" s="442"/>
      <c r="C57" s="797"/>
      <c r="D57" s="790"/>
      <c r="E57" s="790"/>
      <c r="F57" s="790"/>
      <c r="G57" s="790"/>
      <c r="H57" s="790"/>
      <c r="I57" s="798">
        <v>1.08E-3</v>
      </c>
      <c r="J57" s="798">
        <v>1.08E-3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8">D$1</f>
        <v>2009</v>
      </c>
      <c r="E58" s="45">
        <f t="shared" si="18"/>
        <v>2010</v>
      </c>
      <c r="F58" s="45">
        <f t="shared" si="18"/>
        <v>2011</v>
      </c>
      <c r="G58" s="45">
        <f t="shared" si="18"/>
        <v>2012</v>
      </c>
      <c r="H58" s="45">
        <f t="shared" si="18"/>
        <v>2013</v>
      </c>
      <c r="I58" s="45">
        <f t="shared" si="18"/>
        <v>2014</v>
      </c>
      <c r="J58" s="4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23" t="s">
        <v>22</v>
      </c>
      <c r="E59" s="727" t="s">
        <v>22</v>
      </c>
      <c r="F59" s="800" t="s">
        <v>22</v>
      </c>
      <c r="G59" s="727" t="s">
        <v>22</v>
      </c>
      <c r="H59" s="727" t="s">
        <v>22</v>
      </c>
      <c r="I59" s="727" t="s">
        <v>22</v>
      </c>
      <c r="J59" s="724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802">
        <f>'Data 2009-10'!D60</f>
        <v>33138971.770000003</v>
      </c>
      <c r="E60" s="803">
        <f>'Data 2009-10'!E60</f>
        <v>71092652.63000001</v>
      </c>
      <c r="F60" s="801">
        <f>'DNSP Data Inputs 2011-15'!F60</f>
        <v>72026210.274123311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888" t="s">
        <v>380</v>
      </c>
      <c r="F65" s="891"/>
      <c r="G65" s="891"/>
      <c r="H65" s="891"/>
      <c r="I65" s="891"/>
      <c r="J65" s="892"/>
      <c r="K65" s="32"/>
      <c r="L65" s="2"/>
      <c r="N65" s="888" t="s">
        <v>23</v>
      </c>
      <c r="O65" s="889"/>
      <c r="P65" s="889"/>
      <c r="Q65" s="890"/>
    </row>
    <row r="66" spans="1:17" x14ac:dyDescent="0.2">
      <c r="L66" s="2"/>
    </row>
    <row r="67" spans="1:17" x14ac:dyDescent="0.2">
      <c r="D67" s="54"/>
      <c r="E67" s="4">
        <f t="shared" ref="E67:J67" si="19">E$1</f>
        <v>2010</v>
      </c>
      <c r="F67" s="5">
        <f t="shared" si="19"/>
        <v>2011</v>
      </c>
      <c r="G67" s="5">
        <f t="shared" si="19"/>
        <v>2012</v>
      </c>
      <c r="H67" s="5">
        <f t="shared" si="19"/>
        <v>2013</v>
      </c>
      <c r="I67" s="5">
        <f t="shared" si="19"/>
        <v>2014</v>
      </c>
      <c r="J67" s="6">
        <f t="shared" si="19"/>
        <v>2015</v>
      </c>
      <c r="K67" s="54"/>
      <c r="L67" s="2"/>
      <c r="M67" s="21"/>
      <c r="N67" s="4">
        <f>N$1</f>
        <v>2012</v>
      </c>
      <c r="O67" s="5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9" t="s">
        <v>20</v>
      </c>
      <c r="F68" s="730" t="s">
        <v>20</v>
      </c>
      <c r="G68" s="730" t="s">
        <v>20</v>
      </c>
      <c r="H68" s="731" t="s">
        <v>21</v>
      </c>
      <c r="I68" s="731" t="s">
        <v>21</v>
      </c>
      <c r="J68" s="731" t="s">
        <v>21</v>
      </c>
      <c r="K68" s="108"/>
      <c r="L68" s="2"/>
      <c r="M68" s="21"/>
      <c r="N68" s="685" t="str">
        <f>N$3</f>
        <v>Forecast</v>
      </c>
      <c r="O68" s="732" t="str">
        <f>O$3</f>
        <v>Forecast</v>
      </c>
      <c r="P68" s="732" t="str">
        <f>P$3</f>
        <v>Forecast</v>
      </c>
      <c r="Q68" s="733" t="str">
        <f>Q$3</f>
        <v>Forecast</v>
      </c>
    </row>
    <row r="69" spans="1:17" x14ac:dyDescent="0.2">
      <c r="B69" s="1"/>
      <c r="D69" s="308"/>
      <c r="E69" s="734" t="s">
        <v>22</v>
      </c>
      <c r="F69" s="718" t="s">
        <v>22</v>
      </c>
      <c r="G69" s="725" t="s">
        <v>22</v>
      </c>
      <c r="H69" s="725" t="s">
        <v>22</v>
      </c>
      <c r="I69" s="725" t="s">
        <v>22</v>
      </c>
      <c r="J69" s="725" t="s">
        <v>22</v>
      </c>
      <c r="K69" s="108"/>
      <c r="L69" s="2"/>
      <c r="M69" s="21"/>
      <c r="N69" s="734"/>
      <c r="O69" s="735"/>
      <c r="P69" s="735"/>
      <c r="Q69" s="736"/>
    </row>
    <row r="70" spans="1:17" x14ac:dyDescent="0.2">
      <c r="B70" s="89"/>
      <c r="D70" s="20"/>
      <c r="E70" s="737"/>
      <c r="F70" s="739"/>
      <c r="G70" s="739"/>
      <c r="H70" s="20"/>
      <c r="I70" s="20"/>
      <c r="J70" s="738"/>
      <c r="K70" s="2"/>
      <c r="L70" s="2"/>
      <c r="M70" s="21"/>
      <c r="N70" s="737"/>
      <c r="O70" s="739"/>
      <c r="P70" s="739"/>
      <c r="Q70" s="738"/>
    </row>
    <row r="71" spans="1:17" x14ac:dyDescent="0.2">
      <c r="A71" s="88" t="s">
        <v>24</v>
      </c>
      <c r="B71" s="89"/>
      <c r="D71" s="332"/>
      <c r="E71" s="339" t="s">
        <v>25</v>
      </c>
      <c r="F71" s="699"/>
      <c r="G71" s="699"/>
      <c r="H71" s="699"/>
      <c r="I71" s="699"/>
      <c r="J71" s="121"/>
      <c r="K71" s="118"/>
      <c r="L71" s="2"/>
      <c r="M71" s="21"/>
      <c r="N71" s="23"/>
      <c r="P71" s="20"/>
      <c r="Q71" s="726"/>
    </row>
    <row r="72" spans="1:17" x14ac:dyDescent="0.2">
      <c r="A72" s="82" t="s">
        <v>26</v>
      </c>
      <c r="B72" s="53"/>
      <c r="D72" s="337"/>
      <c r="E72" s="686">
        <v>0</v>
      </c>
      <c r="F72" s="721">
        <v>0</v>
      </c>
      <c r="G72" s="721">
        <v>0</v>
      </c>
      <c r="H72" s="700">
        <f>'DNSP Data Inputs 2011-15'!H72</f>
        <v>0</v>
      </c>
      <c r="I72" s="700">
        <f>'DNSP Data Inputs 2011-15'!I72</f>
        <v>0</v>
      </c>
      <c r="J72" s="692">
        <f>'DNSP Data Inputs 2011-15'!J72</f>
        <v>0</v>
      </c>
      <c r="K72" s="119"/>
      <c r="L72" s="2"/>
      <c r="M72" s="21"/>
      <c r="N72" s="688">
        <f>'DNSP Data Inputs 2011-15'!N72</f>
        <v>0</v>
      </c>
      <c r="O72" s="740">
        <f>'DNSP Data Inputs 2011-15'!O72</f>
        <v>0</v>
      </c>
      <c r="P72" s="740">
        <f>'DNSP Data Inputs 2011-15'!P72</f>
        <v>0</v>
      </c>
      <c r="Q72" s="689">
        <f>'DNSP Data Inputs 2011-15'!Q72</f>
        <v>0</v>
      </c>
    </row>
    <row r="73" spans="1:17" x14ac:dyDescent="0.2">
      <c r="A73" s="82" t="s">
        <v>27</v>
      </c>
      <c r="B73" s="444"/>
      <c r="D73" s="337"/>
      <c r="E73" s="686">
        <v>0</v>
      </c>
      <c r="F73" s="721">
        <v>0</v>
      </c>
      <c r="G73" s="721">
        <v>0</v>
      </c>
      <c r="H73" s="700">
        <f>'DNSP Data Inputs 2011-15'!H73</f>
        <v>0</v>
      </c>
      <c r="I73" s="700">
        <f>'DNSP Data Inputs 2011-15'!I73</f>
        <v>0</v>
      </c>
      <c r="J73" s="692">
        <f>'DNSP Data Inputs 2011-15'!J73</f>
        <v>0</v>
      </c>
      <c r="K73" s="119"/>
      <c r="L73" s="2"/>
      <c r="M73" s="21"/>
      <c r="N73" s="688">
        <f>'DNSP Data Inputs 2011-15'!N73</f>
        <v>0</v>
      </c>
      <c r="O73" s="740">
        <f>'DNSP Data Inputs 2011-15'!O73</f>
        <v>0</v>
      </c>
      <c r="P73" s="740">
        <f>'DNSP Data Inputs 2011-15'!P73</f>
        <v>0</v>
      </c>
      <c r="Q73" s="689">
        <f>'DNSP Data Inputs 2011-15'!Q73</f>
        <v>0</v>
      </c>
    </row>
    <row r="74" spans="1:17" x14ac:dyDescent="0.2">
      <c r="A74" s="552" t="s">
        <v>370</v>
      </c>
      <c r="B74" s="2"/>
      <c r="D74" s="337"/>
      <c r="E74" s="686">
        <v>0</v>
      </c>
      <c r="F74" s="721">
        <v>0</v>
      </c>
      <c r="G74" s="721">
        <v>0</v>
      </c>
      <c r="H74" s="700">
        <f>'DNSP Data Inputs 2011-15'!H74</f>
        <v>0</v>
      </c>
      <c r="I74" s="700">
        <f>'DNSP Data Inputs 2011-15'!I74</f>
        <v>0</v>
      </c>
      <c r="J74" s="692">
        <f>'DNSP Data Inputs 2011-15'!J74</f>
        <v>0</v>
      </c>
      <c r="K74" s="119"/>
      <c r="L74" s="2"/>
      <c r="M74" s="21"/>
      <c r="N74" s="688">
        <f>'DNSP Data Inputs 2011-15'!N74</f>
        <v>0</v>
      </c>
      <c r="O74" s="740">
        <f>'DNSP Data Inputs 2011-15'!O74</f>
        <v>0</v>
      </c>
      <c r="P74" s="740">
        <f>'DNSP Data Inputs 2011-15'!P74</f>
        <v>0</v>
      </c>
      <c r="Q74" s="689">
        <f>'DNSP Data Inputs 2011-15'!Q74</f>
        <v>0</v>
      </c>
    </row>
    <row r="75" spans="1:17" x14ac:dyDescent="0.2">
      <c r="A75" s="552" t="s">
        <v>371</v>
      </c>
      <c r="D75" s="337"/>
      <c r="E75" s="686">
        <v>0</v>
      </c>
      <c r="F75" s="721">
        <v>0</v>
      </c>
      <c r="G75" s="721">
        <v>0</v>
      </c>
      <c r="H75" s="700">
        <f>'DNSP Data Inputs 2011-15'!H75</f>
        <v>0</v>
      </c>
      <c r="I75" s="700">
        <f>'DNSP Data Inputs 2011-15'!I75</f>
        <v>0</v>
      </c>
      <c r="J75" s="692">
        <f>'DNSP Data Inputs 2011-15'!J75</f>
        <v>0</v>
      </c>
      <c r="K75" s="119"/>
      <c r="L75" s="2"/>
      <c r="M75" s="21"/>
      <c r="N75" s="688">
        <f>'DNSP Data Inputs 2011-15'!N75</f>
        <v>0</v>
      </c>
      <c r="O75" s="740">
        <f>'DNSP Data Inputs 2011-15'!O75</f>
        <v>0</v>
      </c>
      <c r="P75" s="740">
        <f>'DNSP Data Inputs 2011-15'!P75</f>
        <v>0</v>
      </c>
      <c r="Q75" s="689">
        <f>'DNSP Data Inputs 2011-15'!Q75</f>
        <v>0</v>
      </c>
    </row>
    <row r="76" spans="1:17" x14ac:dyDescent="0.2">
      <c r="A76" s="552" t="s">
        <v>372</v>
      </c>
      <c r="D76" s="337"/>
      <c r="E76" s="686">
        <v>0</v>
      </c>
      <c r="F76" s="721">
        <v>0</v>
      </c>
      <c r="G76" s="721">
        <v>0</v>
      </c>
      <c r="H76" s="700">
        <f>'DNSP Data Inputs 2011-15'!H76</f>
        <v>0</v>
      </c>
      <c r="I76" s="700">
        <f>'DNSP Data Inputs 2011-15'!I76</f>
        <v>0</v>
      </c>
      <c r="J76" s="692">
        <f>'DNSP Data Inputs 2011-15'!J76</f>
        <v>0</v>
      </c>
      <c r="K76" s="119"/>
      <c r="L76" s="2"/>
      <c r="M76" s="21"/>
      <c r="N76" s="688">
        <f>'DNSP Data Inputs 2011-15'!N76</f>
        <v>0</v>
      </c>
      <c r="O76" s="740">
        <f>'DNSP Data Inputs 2011-15'!O76</f>
        <v>0</v>
      </c>
      <c r="P76" s="740">
        <f>'DNSP Data Inputs 2011-15'!P76</f>
        <v>0</v>
      </c>
      <c r="Q76" s="689">
        <f>'DNSP Data Inputs 2011-15'!Q76</f>
        <v>0</v>
      </c>
    </row>
    <row r="77" spans="1:17" x14ac:dyDescent="0.2">
      <c r="A77" s="552" t="s">
        <v>373</v>
      </c>
      <c r="B77" s="2"/>
      <c r="D77" s="337"/>
      <c r="E77" s="686">
        <v>0</v>
      </c>
      <c r="F77" s="721">
        <v>0</v>
      </c>
      <c r="G77" s="721">
        <v>0</v>
      </c>
      <c r="H77" s="700">
        <f>'DNSP Data Inputs 2011-15'!H77</f>
        <v>0</v>
      </c>
      <c r="I77" s="700">
        <f>'DNSP Data Inputs 2011-15'!I77</f>
        <v>0</v>
      </c>
      <c r="J77" s="692">
        <f>'DNSP Data Inputs 2011-15'!J77</f>
        <v>0</v>
      </c>
      <c r="K77" s="119"/>
      <c r="L77" s="2"/>
      <c r="M77" s="21"/>
      <c r="N77" s="688">
        <f>'DNSP Data Inputs 2011-15'!N77</f>
        <v>0</v>
      </c>
      <c r="O77" s="740">
        <f>'DNSP Data Inputs 2011-15'!O77</f>
        <v>0</v>
      </c>
      <c r="P77" s="740">
        <f>'DNSP Data Inputs 2011-15'!P77</f>
        <v>0</v>
      </c>
      <c r="Q77" s="689">
        <f>'DNSP Data Inputs 2011-15'!Q77</f>
        <v>0</v>
      </c>
    </row>
    <row r="78" spans="1:17" x14ac:dyDescent="0.2">
      <c r="A78" s="552" t="s">
        <v>374</v>
      </c>
      <c r="B78" s="86"/>
      <c r="D78" s="337"/>
      <c r="E78" s="686">
        <v>0</v>
      </c>
      <c r="F78" s="721">
        <v>0</v>
      </c>
      <c r="G78" s="721">
        <v>0</v>
      </c>
      <c r="H78" s="700">
        <f>'DNSP Data Inputs 2011-15'!H78</f>
        <v>0</v>
      </c>
      <c r="I78" s="700">
        <f>'DNSP Data Inputs 2011-15'!I78</f>
        <v>0</v>
      </c>
      <c r="J78" s="692">
        <f>'DNSP Data Inputs 2011-15'!J78</f>
        <v>0</v>
      </c>
      <c r="K78" s="119"/>
      <c r="L78" s="2"/>
      <c r="M78" s="21"/>
      <c r="N78" s="688">
        <f>'DNSP Data Inputs 2011-15'!N78</f>
        <v>0</v>
      </c>
      <c r="O78" s="740">
        <f>'DNSP Data Inputs 2011-15'!O78</f>
        <v>0</v>
      </c>
      <c r="P78" s="740">
        <f>'DNSP Data Inputs 2011-15'!P78</f>
        <v>0</v>
      </c>
      <c r="Q78" s="689">
        <f>'DNSP Data Inputs 2011-15'!Q78</f>
        <v>0</v>
      </c>
    </row>
    <row r="79" spans="1:17" x14ac:dyDescent="0.2">
      <c r="A79" s="82"/>
      <c r="D79" s="338"/>
      <c r="E79" s="741"/>
      <c r="F79" s="334"/>
      <c r="G79" s="334"/>
      <c r="H79" s="334"/>
      <c r="I79" s="334"/>
      <c r="J79" s="742"/>
      <c r="K79" s="2"/>
      <c r="L79" s="2"/>
      <c r="M79" s="21"/>
      <c r="N79" s="23"/>
      <c r="P79" s="20"/>
      <c r="Q79" s="726"/>
    </row>
    <row r="80" spans="1:17" x14ac:dyDescent="0.2">
      <c r="A80" s="82"/>
      <c r="D80" s="338"/>
      <c r="E80" s="741"/>
      <c r="F80" s="334"/>
      <c r="G80" s="334"/>
      <c r="H80" s="334"/>
      <c r="I80" s="334"/>
      <c r="J80" s="742"/>
      <c r="K80" s="2"/>
      <c r="L80" s="2"/>
      <c r="M80" s="21"/>
      <c r="N80" s="23"/>
      <c r="P80" s="20"/>
      <c r="Q80" s="726"/>
    </row>
    <row r="81" spans="1:17" x14ac:dyDescent="0.2">
      <c r="A81" s="88" t="s">
        <v>24</v>
      </c>
      <c r="B81" s="319"/>
      <c r="D81" s="332"/>
      <c r="E81" s="512" t="s">
        <v>28</v>
      </c>
      <c r="F81" s="701"/>
      <c r="G81" s="701"/>
      <c r="H81" s="701"/>
      <c r="I81" s="701"/>
      <c r="J81" s="335"/>
      <c r="K81" s="118"/>
      <c r="L81" s="2"/>
      <c r="M81" s="21"/>
      <c r="N81" s="23"/>
      <c r="P81" s="20"/>
      <c r="Q81" s="726"/>
    </row>
    <row r="82" spans="1:17" x14ac:dyDescent="0.2">
      <c r="A82" s="82" t="s">
        <v>26</v>
      </c>
      <c r="B82" s="319"/>
      <c r="D82" s="334"/>
      <c r="E82" s="686">
        <v>0</v>
      </c>
      <c r="F82" s="721">
        <v>0</v>
      </c>
      <c r="G82" s="721">
        <v>0</v>
      </c>
      <c r="H82" s="700">
        <f>'DNSP Data Inputs 2011-15'!H82</f>
        <v>0</v>
      </c>
      <c r="I82" s="700">
        <f>'DNSP Data Inputs 2011-15'!I82</f>
        <v>0</v>
      </c>
      <c r="J82" s="692">
        <f>'DNSP Data Inputs 2011-15'!J82</f>
        <v>0</v>
      </c>
      <c r="K82" s="119"/>
      <c r="L82" s="2"/>
      <c r="M82" s="21"/>
      <c r="N82" s="688">
        <f>'DNSP Data Inputs 2011-15'!N82</f>
        <v>0</v>
      </c>
      <c r="O82" s="740">
        <f>'DNSP Data Inputs 2011-15'!O82</f>
        <v>0</v>
      </c>
      <c r="P82" s="740">
        <f>'DNSP Data Inputs 2011-15'!P82</f>
        <v>0</v>
      </c>
      <c r="Q82" s="689">
        <f>'DNSP Data Inputs 2011-15'!Q82</f>
        <v>0</v>
      </c>
    </row>
    <row r="83" spans="1:17" x14ac:dyDescent="0.2">
      <c r="A83" s="82" t="s">
        <v>27</v>
      </c>
      <c r="B83" s="431"/>
      <c r="D83" s="334"/>
      <c r="E83" s="686">
        <v>0</v>
      </c>
      <c r="F83" s="721">
        <v>0</v>
      </c>
      <c r="G83" s="721">
        <v>0</v>
      </c>
      <c r="H83" s="700">
        <f>'DNSP Data Inputs 2011-15'!H83</f>
        <v>0</v>
      </c>
      <c r="I83" s="700">
        <f>'DNSP Data Inputs 2011-15'!I83</f>
        <v>0</v>
      </c>
      <c r="J83" s="692">
        <f>'DNSP Data Inputs 2011-15'!J83</f>
        <v>0</v>
      </c>
      <c r="K83" s="119"/>
      <c r="L83" s="2"/>
      <c r="M83" s="21"/>
      <c r="N83" s="688">
        <f>'DNSP Data Inputs 2011-15'!N83</f>
        <v>0</v>
      </c>
      <c r="O83" s="740">
        <f>'DNSP Data Inputs 2011-15'!O83</f>
        <v>0</v>
      </c>
      <c r="P83" s="740">
        <f>'DNSP Data Inputs 2011-15'!P83</f>
        <v>0</v>
      </c>
      <c r="Q83" s="689">
        <f>'DNSP Data Inputs 2011-15'!Q83</f>
        <v>0</v>
      </c>
    </row>
    <row r="84" spans="1:17" x14ac:dyDescent="0.2">
      <c r="A84" s="552" t="s">
        <v>370</v>
      </c>
      <c r="D84" s="337"/>
      <c r="E84" s="686">
        <v>0</v>
      </c>
      <c r="F84" s="721">
        <v>0</v>
      </c>
      <c r="G84" s="721">
        <v>0</v>
      </c>
      <c r="H84" s="700">
        <f>'DNSP Data Inputs 2011-15'!H84</f>
        <v>0</v>
      </c>
      <c r="I84" s="700">
        <f>'DNSP Data Inputs 2011-15'!I84</f>
        <v>0</v>
      </c>
      <c r="J84" s="692">
        <f>'DNSP Data Inputs 2011-15'!J84</f>
        <v>0</v>
      </c>
      <c r="K84" s="119"/>
      <c r="L84" s="2"/>
      <c r="M84" s="21"/>
      <c r="N84" s="688">
        <f>'DNSP Data Inputs 2011-15'!N84</f>
        <v>0</v>
      </c>
      <c r="O84" s="740">
        <f>'DNSP Data Inputs 2011-15'!O84</f>
        <v>0</v>
      </c>
      <c r="P84" s="740">
        <f>'DNSP Data Inputs 2011-15'!P84</f>
        <v>0</v>
      </c>
      <c r="Q84" s="689">
        <f>'DNSP Data Inputs 2011-15'!Q84</f>
        <v>0</v>
      </c>
    </row>
    <row r="85" spans="1:17" x14ac:dyDescent="0.2">
      <c r="A85" s="552" t="s">
        <v>371</v>
      </c>
      <c r="D85" s="337"/>
      <c r="E85" s="686">
        <v>0</v>
      </c>
      <c r="F85" s="721">
        <v>0</v>
      </c>
      <c r="G85" s="721">
        <v>0</v>
      </c>
      <c r="H85" s="700">
        <f>'DNSP Data Inputs 2011-15'!H85</f>
        <v>0</v>
      </c>
      <c r="I85" s="700">
        <f>'DNSP Data Inputs 2011-15'!I85</f>
        <v>0</v>
      </c>
      <c r="J85" s="692">
        <f>'DNSP Data Inputs 2011-15'!J85</f>
        <v>0</v>
      </c>
      <c r="K85" s="119"/>
      <c r="L85" s="2"/>
      <c r="M85" s="21"/>
      <c r="N85" s="688">
        <f>'DNSP Data Inputs 2011-15'!N85</f>
        <v>0</v>
      </c>
      <c r="O85" s="740">
        <f>'DNSP Data Inputs 2011-15'!O85</f>
        <v>0</v>
      </c>
      <c r="P85" s="740">
        <f>'DNSP Data Inputs 2011-15'!P85</f>
        <v>0</v>
      </c>
      <c r="Q85" s="689">
        <f>'DNSP Data Inputs 2011-15'!Q85</f>
        <v>0</v>
      </c>
    </row>
    <row r="86" spans="1:17" x14ac:dyDescent="0.2">
      <c r="A86" s="552" t="s">
        <v>372</v>
      </c>
      <c r="D86" s="337"/>
      <c r="E86" s="686">
        <v>0</v>
      </c>
      <c r="F86" s="721">
        <v>0</v>
      </c>
      <c r="G86" s="721">
        <v>0</v>
      </c>
      <c r="H86" s="700">
        <f>'DNSP Data Inputs 2011-15'!H86</f>
        <v>0</v>
      </c>
      <c r="I86" s="700">
        <f>'DNSP Data Inputs 2011-15'!I86</f>
        <v>0</v>
      </c>
      <c r="J86" s="692">
        <f>'DNSP Data Inputs 2011-15'!J86</f>
        <v>0</v>
      </c>
      <c r="K86" s="119"/>
      <c r="L86" s="2"/>
      <c r="M86" s="21"/>
      <c r="N86" s="688">
        <f>'DNSP Data Inputs 2011-15'!N86</f>
        <v>0</v>
      </c>
      <c r="O86" s="740">
        <f>'DNSP Data Inputs 2011-15'!O86</f>
        <v>0</v>
      </c>
      <c r="P86" s="740">
        <f>'DNSP Data Inputs 2011-15'!P86</f>
        <v>0</v>
      </c>
      <c r="Q86" s="689">
        <f>'DNSP Data Inputs 2011-15'!Q86</f>
        <v>0</v>
      </c>
    </row>
    <row r="87" spans="1:17" x14ac:dyDescent="0.2">
      <c r="A87" s="552" t="s">
        <v>373</v>
      </c>
      <c r="D87" s="337"/>
      <c r="E87" s="686">
        <v>0</v>
      </c>
      <c r="F87" s="721">
        <v>0</v>
      </c>
      <c r="G87" s="721">
        <v>0</v>
      </c>
      <c r="H87" s="700">
        <f>'DNSP Data Inputs 2011-15'!H87</f>
        <v>0</v>
      </c>
      <c r="I87" s="700">
        <f>'DNSP Data Inputs 2011-15'!I87</f>
        <v>0</v>
      </c>
      <c r="J87" s="692">
        <f>'DNSP Data Inputs 2011-15'!J87</f>
        <v>0</v>
      </c>
      <c r="K87" s="119"/>
      <c r="L87" s="2"/>
      <c r="M87" s="21"/>
      <c r="N87" s="688">
        <f>'DNSP Data Inputs 2011-15'!N87</f>
        <v>0</v>
      </c>
      <c r="O87" s="740">
        <f>'DNSP Data Inputs 2011-15'!O87</f>
        <v>0</v>
      </c>
      <c r="P87" s="740">
        <f>'DNSP Data Inputs 2011-15'!P87</f>
        <v>0</v>
      </c>
      <c r="Q87" s="689">
        <f>'DNSP Data Inputs 2011-15'!Q87</f>
        <v>0</v>
      </c>
    </row>
    <row r="88" spans="1:17" x14ac:dyDescent="0.2">
      <c r="A88" s="552" t="s">
        <v>374</v>
      </c>
      <c r="B88" s="106"/>
      <c r="D88" s="337"/>
      <c r="E88" s="686">
        <v>0</v>
      </c>
      <c r="F88" s="721">
        <v>0</v>
      </c>
      <c r="G88" s="721">
        <v>0</v>
      </c>
      <c r="H88" s="700">
        <f>'DNSP Data Inputs 2011-15'!H88</f>
        <v>0</v>
      </c>
      <c r="I88" s="700">
        <f>'DNSP Data Inputs 2011-15'!I88</f>
        <v>0</v>
      </c>
      <c r="J88" s="692">
        <f>'DNSP Data Inputs 2011-15'!J88</f>
        <v>0</v>
      </c>
      <c r="K88" s="119"/>
      <c r="L88" s="2"/>
      <c r="M88" s="21"/>
      <c r="N88" s="688">
        <f>'DNSP Data Inputs 2011-15'!N88</f>
        <v>0</v>
      </c>
      <c r="O88" s="740">
        <f>'DNSP Data Inputs 2011-15'!O88</f>
        <v>0</v>
      </c>
      <c r="P88" s="740">
        <f>'DNSP Data Inputs 2011-15'!P88</f>
        <v>0</v>
      </c>
      <c r="Q88" s="689">
        <f>'DNSP Data Inputs 2011-15'!Q88</f>
        <v>0</v>
      </c>
    </row>
    <row r="89" spans="1:17" x14ac:dyDescent="0.2">
      <c r="A89" s="82"/>
      <c r="B89" s="86"/>
      <c r="D89" s="338"/>
      <c r="E89" s="741"/>
      <c r="F89" s="334"/>
      <c r="G89" s="334"/>
      <c r="H89" s="334"/>
      <c r="I89" s="334"/>
      <c r="J89" s="742"/>
      <c r="K89" s="2"/>
      <c r="L89" s="2"/>
      <c r="M89" s="21"/>
      <c r="N89" s="23"/>
      <c r="P89" s="20"/>
      <c r="Q89" s="726"/>
    </row>
    <row r="90" spans="1:17" x14ac:dyDescent="0.2">
      <c r="A90" s="82"/>
      <c r="B90" s="91"/>
      <c r="D90" s="338"/>
      <c r="E90" s="741"/>
      <c r="F90" s="334"/>
      <c r="G90" s="334"/>
      <c r="H90" s="334"/>
      <c r="I90" s="334"/>
      <c r="J90" s="742"/>
      <c r="K90" s="2"/>
      <c r="L90" s="2"/>
      <c r="M90" s="21"/>
      <c r="N90" s="23"/>
      <c r="P90" s="20"/>
      <c r="Q90" s="726"/>
    </row>
    <row r="91" spans="1:17" x14ac:dyDescent="0.2">
      <c r="A91" s="88" t="s">
        <v>29</v>
      </c>
      <c r="B91" s="91"/>
      <c r="D91" s="332"/>
      <c r="E91" s="339" t="s">
        <v>25</v>
      </c>
      <c r="F91" s="701"/>
      <c r="G91" s="701"/>
      <c r="H91" s="701"/>
      <c r="I91" s="701"/>
      <c r="J91" s="335"/>
      <c r="K91" s="118"/>
      <c r="L91" s="2"/>
      <c r="M91" s="21"/>
      <c r="N91" s="23"/>
      <c r="P91" s="20"/>
      <c r="Q91" s="726"/>
    </row>
    <row r="92" spans="1:17" x14ac:dyDescent="0.2">
      <c r="A92" s="82" t="s">
        <v>30</v>
      </c>
      <c r="B92" s="89"/>
      <c r="D92" s="337"/>
      <c r="E92" s="686">
        <v>0</v>
      </c>
      <c r="F92" s="721">
        <v>0</v>
      </c>
      <c r="G92" s="721">
        <v>0</v>
      </c>
      <c r="H92" s="700">
        <f>'DNSP Data Inputs 2011-15'!H92</f>
        <v>0</v>
      </c>
      <c r="I92" s="700">
        <f>'DNSP Data Inputs 2011-15'!I92</f>
        <v>0</v>
      </c>
      <c r="J92" s="692">
        <f>'DNSP Data Inputs 2011-15'!J92</f>
        <v>0</v>
      </c>
      <c r="K92" s="119"/>
      <c r="L92" s="2"/>
      <c r="M92" s="21"/>
      <c r="N92" s="688">
        <f>'DNSP Data Inputs 2011-15'!N92</f>
        <v>0</v>
      </c>
      <c r="O92" s="740">
        <f>'DNSP Data Inputs 2011-15'!O92</f>
        <v>0</v>
      </c>
      <c r="P92" s="740">
        <f>'DNSP Data Inputs 2011-15'!P92</f>
        <v>0</v>
      </c>
      <c r="Q92" s="689">
        <f>'DNSP Data Inputs 2011-15'!Q92</f>
        <v>0</v>
      </c>
    </row>
    <row r="93" spans="1:17" x14ac:dyDescent="0.2">
      <c r="A93" s="82" t="s">
        <v>31</v>
      </c>
      <c r="B93" s="84"/>
      <c r="D93" s="337"/>
      <c r="E93" s="686">
        <v>0</v>
      </c>
      <c r="F93" s="721">
        <v>0</v>
      </c>
      <c r="G93" s="721">
        <v>0</v>
      </c>
      <c r="H93" s="700">
        <f>'DNSP Data Inputs 2011-15'!H93</f>
        <v>0</v>
      </c>
      <c r="I93" s="700">
        <f>'DNSP Data Inputs 2011-15'!I93</f>
        <v>0</v>
      </c>
      <c r="J93" s="692">
        <f>'DNSP Data Inputs 2011-15'!J93</f>
        <v>0</v>
      </c>
      <c r="K93" s="119"/>
      <c r="L93" s="2"/>
      <c r="M93" s="21"/>
      <c r="N93" s="688">
        <f>'DNSP Data Inputs 2011-15'!N93</f>
        <v>0</v>
      </c>
      <c r="O93" s="740">
        <f>'DNSP Data Inputs 2011-15'!O93</f>
        <v>0</v>
      </c>
      <c r="P93" s="740">
        <f>'DNSP Data Inputs 2011-15'!P93</f>
        <v>0</v>
      </c>
      <c r="Q93" s="689">
        <f>'DNSP Data Inputs 2011-15'!Q93</f>
        <v>0</v>
      </c>
    </row>
    <row r="94" spans="1:17" x14ac:dyDescent="0.2">
      <c r="A94" s="82" t="s">
        <v>32</v>
      </c>
      <c r="B94" s="89"/>
      <c r="D94" s="337"/>
      <c r="E94" s="686">
        <v>0</v>
      </c>
      <c r="F94" s="721">
        <v>0</v>
      </c>
      <c r="G94" s="721">
        <v>0</v>
      </c>
      <c r="H94" s="700">
        <f>'DNSP Data Inputs 2011-15'!H94</f>
        <v>0</v>
      </c>
      <c r="I94" s="700">
        <f>'DNSP Data Inputs 2011-15'!I94</f>
        <v>0</v>
      </c>
      <c r="J94" s="692">
        <f>'DNSP Data Inputs 2011-15'!J94</f>
        <v>0</v>
      </c>
      <c r="K94" s="119"/>
      <c r="L94" s="2"/>
      <c r="M94" s="21"/>
      <c r="N94" s="688">
        <f>'DNSP Data Inputs 2011-15'!N94</f>
        <v>0</v>
      </c>
      <c r="O94" s="740">
        <f>'DNSP Data Inputs 2011-15'!O94</f>
        <v>0</v>
      </c>
      <c r="P94" s="740">
        <f>'DNSP Data Inputs 2011-15'!P94</f>
        <v>0</v>
      </c>
      <c r="Q94" s="689">
        <f>'DNSP Data Inputs 2011-15'!Q94</f>
        <v>0</v>
      </c>
    </row>
    <row r="95" spans="1:17" x14ac:dyDescent="0.2">
      <c r="A95" s="82" t="s">
        <v>33</v>
      </c>
      <c r="B95" s="91"/>
      <c r="D95" s="337"/>
      <c r="E95" s="686">
        <v>0</v>
      </c>
      <c r="F95" s="721">
        <v>0</v>
      </c>
      <c r="G95" s="721">
        <v>0</v>
      </c>
      <c r="H95" s="700">
        <f>'DNSP Data Inputs 2011-15'!H95</f>
        <v>0</v>
      </c>
      <c r="I95" s="700">
        <f>'DNSP Data Inputs 2011-15'!I95</f>
        <v>0</v>
      </c>
      <c r="J95" s="692">
        <f>'DNSP Data Inputs 2011-15'!J95</f>
        <v>0</v>
      </c>
      <c r="K95" s="119"/>
      <c r="L95" s="2"/>
      <c r="M95" s="21"/>
      <c r="N95" s="688">
        <f>'DNSP Data Inputs 2011-15'!N95</f>
        <v>0</v>
      </c>
      <c r="O95" s="740">
        <f>'DNSP Data Inputs 2011-15'!O95</f>
        <v>0</v>
      </c>
      <c r="P95" s="740">
        <f>'DNSP Data Inputs 2011-15'!P95</f>
        <v>0</v>
      </c>
      <c r="Q95" s="689">
        <f>'DNSP Data Inputs 2011-15'!Q95</f>
        <v>0</v>
      </c>
    </row>
    <row r="96" spans="1:17" x14ac:dyDescent="0.2">
      <c r="A96" s="82" t="s">
        <v>34</v>
      </c>
      <c r="B96" s="91"/>
      <c r="D96" s="337"/>
      <c r="E96" s="686">
        <v>0</v>
      </c>
      <c r="F96" s="721">
        <v>0</v>
      </c>
      <c r="G96" s="721">
        <v>0</v>
      </c>
      <c r="H96" s="700">
        <f>'DNSP Data Inputs 2011-15'!H96</f>
        <v>0</v>
      </c>
      <c r="I96" s="700">
        <f>'DNSP Data Inputs 2011-15'!I96</f>
        <v>0</v>
      </c>
      <c r="J96" s="692">
        <f>'DNSP Data Inputs 2011-15'!J96</f>
        <v>0</v>
      </c>
      <c r="K96" s="119"/>
      <c r="L96" s="2"/>
      <c r="M96" s="21"/>
      <c r="N96" s="688">
        <f>'DNSP Data Inputs 2011-15'!N96</f>
        <v>0</v>
      </c>
      <c r="O96" s="740">
        <f>'DNSP Data Inputs 2011-15'!O96</f>
        <v>0</v>
      </c>
      <c r="P96" s="740">
        <f>'DNSP Data Inputs 2011-15'!P96</f>
        <v>0</v>
      </c>
      <c r="Q96" s="689">
        <f>'DNSP Data Inputs 2011-15'!Q96</f>
        <v>0</v>
      </c>
    </row>
    <row r="97" spans="1:17" x14ac:dyDescent="0.2">
      <c r="A97" s="82" t="s">
        <v>35</v>
      </c>
      <c r="B97" s="91"/>
      <c r="D97" s="337"/>
      <c r="E97" s="686">
        <v>0</v>
      </c>
      <c r="F97" s="721">
        <v>0</v>
      </c>
      <c r="G97" s="721">
        <v>0</v>
      </c>
      <c r="H97" s="700">
        <f>'DNSP Data Inputs 2011-15'!H97</f>
        <v>0</v>
      </c>
      <c r="I97" s="700">
        <f>'DNSP Data Inputs 2011-15'!I97</f>
        <v>0</v>
      </c>
      <c r="J97" s="692">
        <f>'DNSP Data Inputs 2011-15'!J97</f>
        <v>0</v>
      </c>
      <c r="K97" s="119"/>
      <c r="L97" s="2"/>
      <c r="M97" s="21"/>
      <c r="N97" s="688">
        <f>'DNSP Data Inputs 2011-15'!N97</f>
        <v>0</v>
      </c>
      <c r="O97" s="740">
        <f>'DNSP Data Inputs 2011-15'!O97</f>
        <v>0</v>
      </c>
      <c r="P97" s="740">
        <f>'DNSP Data Inputs 2011-15'!P97</f>
        <v>0</v>
      </c>
      <c r="Q97" s="689">
        <f>'DNSP Data Inputs 2011-15'!Q97</f>
        <v>0</v>
      </c>
    </row>
    <row r="98" spans="1:17" x14ac:dyDescent="0.2">
      <c r="A98" s="552" t="s">
        <v>370</v>
      </c>
      <c r="B98" s="91"/>
      <c r="D98" s="337"/>
      <c r="E98" s="686">
        <v>0</v>
      </c>
      <c r="F98" s="721">
        <v>0</v>
      </c>
      <c r="G98" s="721">
        <v>0</v>
      </c>
      <c r="H98" s="700">
        <f>'DNSP Data Inputs 2011-15'!H98</f>
        <v>0</v>
      </c>
      <c r="I98" s="700">
        <f>'DNSP Data Inputs 2011-15'!I98</f>
        <v>0</v>
      </c>
      <c r="J98" s="692">
        <f>'DNSP Data Inputs 2011-15'!J98</f>
        <v>0</v>
      </c>
      <c r="K98" s="119"/>
      <c r="L98" s="2"/>
      <c r="M98" s="21"/>
      <c r="N98" s="688">
        <f>'DNSP Data Inputs 2011-15'!N98</f>
        <v>0</v>
      </c>
      <c r="O98" s="740">
        <f>'DNSP Data Inputs 2011-15'!O98</f>
        <v>0</v>
      </c>
      <c r="P98" s="740">
        <f>'DNSP Data Inputs 2011-15'!P98</f>
        <v>0</v>
      </c>
      <c r="Q98" s="689">
        <f>'DNSP Data Inputs 2011-15'!Q98</f>
        <v>0</v>
      </c>
    </row>
    <row r="99" spans="1:17" x14ac:dyDescent="0.2">
      <c r="A99" s="552" t="s">
        <v>371</v>
      </c>
      <c r="B99" s="91"/>
      <c r="D99" s="337"/>
      <c r="E99" s="686">
        <v>0</v>
      </c>
      <c r="F99" s="721">
        <v>0</v>
      </c>
      <c r="G99" s="721">
        <v>0</v>
      </c>
      <c r="H99" s="700">
        <f>'DNSP Data Inputs 2011-15'!H99</f>
        <v>0</v>
      </c>
      <c r="I99" s="700">
        <f>'DNSP Data Inputs 2011-15'!I99</f>
        <v>0</v>
      </c>
      <c r="J99" s="692">
        <f>'DNSP Data Inputs 2011-15'!J99</f>
        <v>0</v>
      </c>
      <c r="K99" s="119"/>
      <c r="L99" s="2"/>
      <c r="M99" s="21"/>
      <c r="N99" s="688">
        <f>'DNSP Data Inputs 2011-15'!N99</f>
        <v>0</v>
      </c>
      <c r="O99" s="740">
        <f>'DNSP Data Inputs 2011-15'!O99</f>
        <v>0</v>
      </c>
      <c r="P99" s="740">
        <f>'DNSP Data Inputs 2011-15'!P99</f>
        <v>0</v>
      </c>
      <c r="Q99" s="689">
        <f>'DNSP Data Inputs 2011-15'!Q99</f>
        <v>0</v>
      </c>
    </row>
    <row r="100" spans="1:17" x14ac:dyDescent="0.2">
      <c r="A100" s="552" t="s">
        <v>372</v>
      </c>
      <c r="B100" s="91"/>
      <c r="D100" s="337"/>
      <c r="E100" s="686">
        <v>0</v>
      </c>
      <c r="F100" s="721">
        <v>0</v>
      </c>
      <c r="G100" s="721">
        <v>0</v>
      </c>
      <c r="H100" s="700">
        <f>'DNSP Data Inputs 2011-15'!H100</f>
        <v>0</v>
      </c>
      <c r="I100" s="700">
        <f>'DNSP Data Inputs 2011-15'!I100</f>
        <v>0</v>
      </c>
      <c r="J100" s="692">
        <f>'DNSP Data Inputs 2011-15'!J100</f>
        <v>0</v>
      </c>
      <c r="K100" s="119"/>
      <c r="L100" s="2"/>
      <c r="M100" s="21"/>
      <c r="N100" s="688">
        <f>'DNSP Data Inputs 2011-15'!N100</f>
        <v>0</v>
      </c>
      <c r="O100" s="740">
        <f>'DNSP Data Inputs 2011-15'!O100</f>
        <v>0</v>
      </c>
      <c r="P100" s="740">
        <f>'DNSP Data Inputs 2011-15'!P100</f>
        <v>0</v>
      </c>
      <c r="Q100" s="689">
        <f>'DNSP Data Inputs 2011-15'!Q100</f>
        <v>0</v>
      </c>
    </row>
    <row r="101" spans="1:17" x14ac:dyDescent="0.2">
      <c r="A101" s="552" t="s">
        <v>373</v>
      </c>
      <c r="B101" s="91"/>
      <c r="D101" s="337"/>
      <c r="E101" s="686">
        <v>0</v>
      </c>
      <c r="F101" s="721">
        <v>0</v>
      </c>
      <c r="G101" s="721">
        <v>0</v>
      </c>
      <c r="H101" s="700">
        <f>'DNSP Data Inputs 2011-15'!H101</f>
        <v>0</v>
      </c>
      <c r="I101" s="700">
        <f>'DNSP Data Inputs 2011-15'!I101</f>
        <v>0</v>
      </c>
      <c r="J101" s="692">
        <f>'DNSP Data Inputs 2011-15'!J101</f>
        <v>0</v>
      </c>
      <c r="K101" s="119"/>
      <c r="L101" s="2"/>
      <c r="M101" s="21"/>
      <c r="N101" s="688">
        <f>'DNSP Data Inputs 2011-15'!N101</f>
        <v>0</v>
      </c>
      <c r="O101" s="740">
        <f>'DNSP Data Inputs 2011-15'!O101</f>
        <v>0</v>
      </c>
      <c r="P101" s="740">
        <f>'DNSP Data Inputs 2011-15'!P101</f>
        <v>0</v>
      </c>
      <c r="Q101" s="689">
        <f>'DNSP Data Inputs 2011-15'!Q101</f>
        <v>0</v>
      </c>
    </row>
    <row r="102" spans="1:17" x14ac:dyDescent="0.2">
      <c r="A102" s="552" t="s">
        <v>374</v>
      </c>
      <c r="B102" s="91"/>
      <c r="D102" s="337"/>
      <c r="E102" s="686">
        <v>0</v>
      </c>
      <c r="F102" s="721">
        <v>0</v>
      </c>
      <c r="G102" s="721">
        <v>0</v>
      </c>
      <c r="H102" s="700">
        <f>'DNSP Data Inputs 2011-15'!H102</f>
        <v>0</v>
      </c>
      <c r="I102" s="700">
        <f>'DNSP Data Inputs 2011-15'!I102</f>
        <v>0</v>
      </c>
      <c r="J102" s="692">
        <f>'DNSP Data Inputs 2011-15'!J102</f>
        <v>0</v>
      </c>
      <c r="K102" s="119"/>
      <c r="L102" s="2"/>
      <c r="M102" s="21"/>
      <c r="N102" s="688">
        <f>'DNSP Data Inputs 2011-15'!N102</f>
        <v>0</v>
      </c>
      <c r="O102" s="740">
        <f>'DNSP Data Inputs 2011-15'!O102</f>
        <v>0</v>
      </c>
      <c r="P102" s="740">
        <f>'DNSP Data Inputs 2011-15'!P102</f>
        <v>0</v>
      </c>
      <c r="Q102" s="689">
        <f>'DNSP Data Inputs 2011-15'!Q102</f>
        <v>0</v>
      </c>
    </row>
    <row r="103" spans="1:17" x14ac:dyDescent="0.2">
      <c r="A103" s="82"/>
      <c r="B103" s="91"/>
      <c r="D103" s="338"/>
      <c r="E103" s="741"/>
      <c r="F103" s="334"/>
      <c r="G103" s="334"/>
      <c r="H103" s="334"/>
      <c r="I103" s="334"/>
      <c r="J103" s="742"/>
      <c r="K103" s="2"/>
      <c r="L103" s="2"/>
      <c r="M103" s="21"/>
      <c r="N103" s="23"/>
      <c r="P103" s="20"/>
      <c r="Q103" s="726"/>
    </row>
    <row r="104" spans="1:17" x14ac:dyDescent="0.2">
      <c r="A104" s="82"/>
      <c r="B104" s="91"/>
      <c r="D104" s="338"/>
      <c r="E104" s="741"/>
      <c r="F104" s="334"/>
      <c r="G104" s="334"/>
      <c r="H104" s="334"/>
      <c r="I104" s="334"/>
      <c r="J104" s="742"/>
      <c r="K104" s="2"/>
      <c r="L104" s="2"/>
      <c r="M104" s="21"/>
      <c r="N104" s="23"/>
      <c r="P104" s="20"/>
      <c r="Q104" s="726"/>
    </row>
    <row r="105" spans="1:17" x14ac:dyDescent="0.2">
      <c r="A105" s="88" t="s">
        <v>29</v>
      </c>
      <c r="D105" s="332"/>
      <c r="E105" s="512" t="s">
        <v>28</v>
      </c>
      <c r="F105" s="701"/>
      <c r="G105" s="701"/>
      <c r="H105" s="701"/>
      <c r="I105" s="701"/>
      <c r="J105" s="335"/>
      <c r="K105" s="118"/>
      <c r="L105" s="2"/>
      <c r="M105" s="21"/>
      <c r="N105" s="23"/>
      <c r="P105" s="20"/>
      <c r="Q105" s="726"/>
    </row>
    <row r="106" spans="1:17" x14ac:dyDescent="0.2">
      <c r="A106" s="82" t="s">
        <v>30</v>
      </c>
      <c r="B106" s="91"/>
      <c r="D106" s="334"/>
      <c r="E106" s="686">
        <v>0</v>
      </c>
      <c r="F106" s="721">
        <v>0</v>
      </c>
      <c r="G106" s="721">
        <v>0</v>
      </c>
      <c r="H106" s="700">
        <f>'DNSP Data Inputs 2011-15'!H106</f>
        <v>0</v>
      </c>
      <c r="I106" s="700">
        <f>'DNSP Data Inputs 2011-15'!I106</f>
        <v>0</v>
      </c>
      <c r="J106" s="692">
        <f>'DNSP Data Inputs 2011-15'!J106</f>
        <v>0</v>
      </c>
      <c r="K106" s="119"/>
      <c r="L106" s="2"/>
      <c r="M106" s="21"/>
      <c r="N106" s="688">
        <f>'DNSP Data Inputs 2011-15'!N106</f>
        <v>0</v>
      </c>
      <c r="O106" s="740">
        <f>'DNSP Data Inputs 2011-15'!O106</f>
        <v>0</v>
      </c>
      <c r="P106" s="740">
        <f>'DNSP Data Inputs 2011-15'!P106</f>
        <v>0</v>
      </c>
      <c r="Q106" s="689">
        <f>'DNSP Data Inputs 2011-15'!Q106</f>
        <v>0</v>
      </c>
    </row>
    <row r="107" spans="1:17" x14ac:dyDescent="0.2">
      <c r="A107" s="82" t="s">
        <v>31</v>
      </c>
      <c r="B107" s="91"/>
      <c r="D107" s="337"/>
      <c r="E107" s="686">
        <v>0</v>
      </c>
      <c r="F107" s="721">
        <v>0</v>
      </c>
      <c r="G107" s="721">
        <v>0</v>
      </c>
      <c r="H107" s="700">
        <f>'DNSP Data Inputs 2011-15'!H107</f>
        <v>0</v>
      </c>
      <c r="I107" s="700">
        <f>'DNSP Data Inputs 2011-15'!I107</f>
        <v>0</v>
      </c>
      <c r="J107" s="692">
        <f>'DNSP Data Inputs 2011-15'!J107</f>
        <v>0</v>
      </c>
      <c r="K107" s="119"/>
      <c r="L107" s="2"/>
      <c r="M107" s="21"/>
      <c r="N107" s="688">
        <f>'DNSP Data Inputs 2011-15'!N107</f>
        <v>0</v>
      </c>
      <c r="O107" s="740">
        <f>'DNSP Data Inputs 2011-15'!O107</f>
        <v>0</v>
      </c>
      <c r="P107" s="740">
        <f>'DNSP Data Inputs 2011-15'!P107</f>
        <v>0</v>
      </c>
      <c r="Q107" s="689">
        <f>'DNSP Data Inputs 2011-15'!Q107</f>
        <v>0</v>
      </c>
    </row>
    <row r="108" spans="1:17" x14ac:dyDescent="0.2">
      <c r="A108" s="82" t="s">
        <v>32</v>
      </c>
      <c r="B108" s="91"/>
      <c r="D108" s="334"/>
      <c r="E108" s="686">
        <v>0</v>
      </c>
      <c r="F108" s="721">
        <v>0</v>
      </c>
      <c r="G108" s="721">
        <v>0</v>
      </c>
      <c r="H108" s="700">
        <f>'DNSP Data Inputs 2011-15'!H108</f>
        <v>0</v>
      </c>
      <c r="I108" s="700">
        <f>'DNSP Data Inputs 2011-15'!I108</f>
        <v>0</v>
      </c>
      <c r="J108" s="692">
        <f>'DNSP Data Inputs 2011-15'!J108</f>
        <v>0</v>
      </c>
      <c r="K108" s="119"/>
      <c r="L108" s="2"/>
      <c r="M108" s="21"/>
      <c r="N108" s="688">
        <f>'DNSP Data Inputs 2011-15'!N108</f>
        <v>0</v>
      </c>
      <c r="O108" s="740">
        <f>'DNSP Data Inputs 2011-15'!O108</f>
        <v>0</v>
      </c>
      <c r="P108" s="740">
        <f>'DNSP Data Inputs 2011-15'!P108</f>
        <v>0</v>
      </c>
      <c r="Q108" s="689">
        <f>'DNSP Data Inputs 2011-15'!Q108</f>
        <v>0</v>
      </c>
    </row>
    <row r="109" spans="1:17" x14ac:dyDescent="0.2">
      <c r="A109" s="82" t="s">
        <v>33</v>
      </c>
      <c r="B109" s="91"/>
      <c r="D109" s="334"/>
      <c r="E109" s="686">
        <v>0</v>
      </c>
      <c r="F109" s="721">
        <v>0</v>
      </c>
      <c r="G109" s="721">
        <v>0</v>
      </c>
      <c r="H109" s="700">
        <f>'DNSP Data Inputs 2011-15'!H109</f>
        <v>0</v>
      </c>
      <c r="I109" s="700">
        <f>'DNSP Data Inputs 2011-15'!I109</f>
        <v>0</v>
      </c>
      <c r="J109" s="692">
        <f>'DNSP Data Inputs 2011-15'!J109</f>
        <v>0</v>
      </c>
      <c r="K109" s="119"/>
      <c r="L109" s="2"/>
      <c r="M109" s="21"/>
      <c r="N109" s="688">
        <f>'DNSP Data Inputs 2011-15'!N109</f>
        <v>0</v>
      </c>
      <c r="O109" s="740">
        <f>'DNSP Data Inputs 2011-15'!O109</f>
        <v>0</v>
      </c>
      <c r="P109" s="740">
        <f>'DNSP Data Inputs 2011-15'!P109</f>
        <v>0</v>
      </c>
      <c r="Q109" s="689">
        <f>'DNSP Data Inputs 2011-15'!Q109</f>
        <v>0</v>
      </c>
    </row>
    <row r="110" spans="1:17" x14ac:dyDescent="0.2">
      <c r="A110" s="82" t="s">
        <v>34</v>
      </c>
      <c r="B110" s="91"/>
      <c r="D110" s="337"/>
      <c r="E110" s="686">
        <v>0</v>
      </c>
      <c r="F110" s="721">
        <v>0</v>
      </c>
      <c r="G110" s="721">
        <v>0</v>
      </c>
      <c r="H110" s="700">
        <f>'DNSP Data Inputs 2011-15'!H110</f>
        <v>0</v>
      </c>
      <c r="I110" s="700">
        <f>'DNSP Data Inputs 2011-15'!I110</f>
        <v>0</v>
      </c>
      <c r="J110" s="692">
        <f>'DNSP Data Inputs 2011-15'!J110</f>
        <v>0</v>
      </c>
      <c r="K110" s="119"/>
      <c r="L110" s="2"/>
      <c r="M110" s="21"/>
      <c r="N110" s="688">
        <f>'DNSP Data Inputs 2011-15'!N110</f>
        <v>0</v>
      </c>
      <c r="O110" s="740">
        <f>'DNSP Data Inputs 2011-15'!O110</f>
        <v>0</v>
      </c>
      <c r="P110" s="740">
        <f>'DNSP Data Inputs 2011-15'!P110</f>
        <v>0</v>
      </c>
      <c r="Q110" s="689">
        <f>'DNSP Data Inputs 2011-15'!Q110</f>
        <v>0</v>
      </c>
    </row>
    <row r="111" spans="1:17" x14ac:dyDescent="0.2">
      <c r="A111" s="82" t="s">
        <v>35</v>
      </c>
      <c r="B111" s="89"/>
      <c r="D111" s="334"/>
      <c r="E111" s="686">
        <v>0</v>
      </c>
      <c r="F111" s="721">
        <v>0</v>
      </c>
      <c r="G111" s="721">
        <v>0</v>
      </c>
      <c r="H111" s="700">
        <f>'DNSP Data Inputs 2011-15'!H111</f>
        <v>0</v>
      </c>
      <c r="I111" s="700">
        <f>'DNSP Data Inputs 2011-15'!I111</f>
        <v>0</v>
      </c>
      <c r="J111" s="692">
        <f>'DNSP Data Inputs 2011-15'!J111</f>
        <v>0</v>
      </c>
      <c r="K111" s="119"/>
      <c r="L111" s="2"/>
      <c r="M111" s="21"/>
      <c r="N111" s="688">
        <f>'DNSP Data Inputs 2011-15'!N111</f>
        <v>0</v>
      </c>
      <c r="O111" s="740">
        <f>'DNSP Data Inputs 2011-15'!O111</f>
        <v>0</v>
      </c>
      <c r="P111" s="740">
        <f>'DNSP Data Inputs 2011-15'!P111</f>
        <v>0</v>
      </c>
      <c r="Q111" s="689">
        <f>'DNSP Data Inputs 2011-15'!Q111</f>
        <v>0</v>
      </c>
    </row>
    <row r="112" spans="1:17" x14ac:dyDescent="0.2">
      <c r="A112" s="552" t="s">
        <v>375</v>
      </c>
      <c r="B112" s="89"/>
      <c r="D112" s="337"/>
      <c r="E112" s="578">
        <f t="shared" ref="E112:F114" si="20">E185</f>
        <v>96.67</v>
      </c>
      <c r="F112" s="743">
        <f t="shared" si="20"/>
        <v>95.01</v>
      </c>
      <c r="G112" s="743">
        <f t="shared" ref="G112" si="21">G185</f>
        <v>102.96</v>
      </c>
      <c r="H112" s="700">
        <f>'DNSP Data Inputs 2011-15'!H112</f>
        <v>127.75</v>
      </c>
      <c r="I112" s="700">
        <f>'DNSP Data Inputs 2011-15'!I112</f>
        <v>127.75</v>
      </c>
      <c r="J112" s="692">
        <f>'DNSP Data Inputs 2011-15'!J112</f>
        <v>127.75</v>
      </c>
      <c r="K112" s="119"/>
      <c r="L112" s="2"/>
      <c r="M112" s="21"/>
      <c r="N112" s="688">
        <f>'DNSP Data Inputs 2011-15'!N112</f>
        <v>608884.52263649413</v>
      </c>
      <c r="O112" s="740">
        <f>'DNSP Data Inputs 2011-15'!O112</f>
        <v>619494.27478956722</v>
      </c>
      <c r="P112" s="740">
        <f>'DNSP Data Inputs 2011-15'!P112</f>
        <v>630824.29446182703</v>
      </c>
      <c r="Q112" s="689">
        <f>'DNSP Data Inputs 2011-15'!Q112</f>
        <v>642772.44899599045</v>
      </c>
    </row>
    <row r="113" spans="1:17" x14ac:dyDescent="0.2">
      <c r="A113" s="552" t="s">
        <v>290</v>
      </c>
      <c r="B113" s="89"/>
      <c r="D113" s="337"/>
      <c r="E113" s="578">
        <f t="shared" si="20"/>
        <v>127.5</v>
      </c>
      <c r="F113" s="743">
        <f t="shared" si="20"/>
        <v>125.32</v>
      </c>
      <c r="G113" s="743">
        <f t="shared" ref="G113" si="22">G186</f>
        <v>135.80000000000001</v>
      </c>
      <c r="H113" s="700">
        <f>'DNSP Data Inputs 2011-15'!H113</f>
        <v>168.5</v>
      </c>
      <c r="I113" s="700">
        <f>'DNSP Data Inputs 2011-15'!I113</f>
        <v>168.5</v>
      </c>
      <c r="J113" s="692">
        <f>'DNSP Data Inputs 2011-15'!J113</f>
        <v>168.5</v>
      </c>
      <c r="K113" s="119"/>
      <c r="L113" s="2"/>
      <c r="M113" s="21"/>
      <c r="N113" s="688">
        <f>'DNSP Data Inputs 2011-15'!N113</f>
        <v>114880.73414048826</v>
      </c>
      <c r="O113" s="740">
        <f>'DNSP Data Inputs 2011-15'!O113</f>
        <v>116621.80849491595</v>
      </c>
      <c r="P113" s="740">
        <f>'DNSP Data Inputs 2011-15'!P113</f>
        <v>118147.36937687505</v>
      </c>
      <c r="Q113" s="689">
        <f>'DNSP Data Inputs 2011-15'!Q113</f>
        <v>119756.16068493875</v>
      </c>
    </row>
    <row r="114" spans="1:17" x14ac:dyDescent="0.2">
      <c r="A114" s="552" t="s">
        <v>291</v>
      </c>
      <c r="B114" s="89"/>
      <c r="D114" s="337"/>
      <c r="E114" s="578">
        <f t="shared" si="20"/>
        <v>168.94</v>
      </c>
      <c r="F114" s="743">
        <f t="shared" si="20"/>
        <v>166.05</v>
      </c>
      <c r="G114" s="743">
        <f t="shared" ref="G114" si="23">G187</f>
        <v>179.94</v>
      </c>
      <c r="H114" s="700">
        <f>'DNSP Data Inputs 2011-15'!H114</f>
        <v>223.27</v>
      </c>
      <c r="I114" s="700">
        <f>'DNSP Data Inputs 2011-15'!I114</f>
        <v>223.27</v>
      </c>
      <c r="J114" s="692">
        <f>'DNSP Data Inputs 2011-15'!J114</f>
        <v>223.27</v>
      </c>
      <c r="K114" s="119"/>
      <c r="L114" s="2"/>
      <c r="M114" s="21"/>
      <c r="N114" s="688">
        <f>'DNSP Data Inputs 2011-15'!N114</f>
        <v>4339.3026097331567</v>
      </c>
      <c r="O114" s="740">
        <f>'DNSP Data Inputs 2011-15'!O114</f>
        <v>4432.1986710164201</v>
      </c>
      <c r="P114" s="740">
        <f>'DNSP Data Inputs 2011-15'!P114</f>
        <v>4496.2788522774736</v>
      </c>
      <c r="Q114" s="689">
        <f>'DNSP Data Inputs 2011-15'!Q114</f>
        <v>4563.8550728341643</v>
      </c>
    </row>
    <row r="115" spans="1:17" x14ac:dyDescent="0.2">
      <c r="A115" s="552" t="s">
        <v>373</v>
      </c>
      <c r="D115" s="337"/>
      <c r="E115" s="686">
        <v>0</v>
      </c>
      <c r="F115" s="721">
        <v>0</v>
      </c>
      <c r="G115" s="721">
        <v>0</v>
      </c>
      <c r="H115" s="700">
        <f>'DNSP Data Inputs 2011-15'!H115</f>
        <v>0</v>
      </c>
      <c r="I115" s="700">
        <f>'DNSP Data Inputs 2011-15'!I115</f>
        <v>0</v>
      </c>
      <c r="J115" s="692">
        <f>'DNSP Data Inputs 2011-15'!J115</f>
        <v>0</v>
      </c>
      <c r="K115" s="119"/>
      <c r="L115" s="2"/>
      <c r="M115" s="21"/>
      <c r="N115" s="688">
        <f>'DNSP Data Inputs 2011-15'!N115</f>
        <v>0</v>
      </c>
      <c r="O115" s="740">
        <f>'DNSP Data Inputs 2011-15'!O115</f>
        <v>0</v>
      </c>
      <c r="P115" s="740">
        <f>'DNSP Data Inputs 2011-15'!P115</f>
        <v>0</v>
      </c>
      <c r="Q115" s="689">
        <f>'DNSP Data Inputs 2011-15'!Q115</f>
        <v>0</v>
      </c>
    </row>
    <row r="116" spans="1:17" x14ac:dyDescent="0.2">
      <c r="A116" s="552" t="s">
        <v>374</v>
      </c>
      <c r="B116" s="58"/>
      <c r="D116" s="337"/>
      <c r="E116" s="687">
        <v>0</v>
      </c>
      <c r="F116" s="722">
        <v>0</v>
      </c>
      <c r="G116" s="722">
        <v>0</v>
      </c>
      <c r="H116" s="744">
        <f>'DNSP Data Inputs 2011-15'!H116</f>
        <v>0</v>
      </c>
      <c r="I116" s="744">
        <f>'DNSP Data Inputs 2011-15'!I116</f>
        <v>0</v>
      </c>
      <c r="J116" s="693">
        <f>'DNSP Data Inputs 2011-15'!J116</f>
        <v>0</v>
      </c>
      <c r="K116" s="119"/>
      <c r="L116" s="2"/>
      <c r="M116" s="21"/>
      <c r="N116" s="690">
        <f>'DNSP Data Inputs 2011-15'!N116</f>
        <v>0</v>
      </c>
      <c r="O116" s="745">
        <f>'DNSP Data Inputs 2011-15'!O116</f>
        <v>0</v>
      </c>
      <c r="P116" s="745">
        <f>'DNSP Data Inputs 2011-15'!P116</f>
        <v>0</v>
      </c>
      <c r="Q116" s="691">
        <f>'DNSP Data Inputs 2011-15'!Q116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7" t="s">
        <v>382</v>
      </c>
      <c r="D124" s="19"/>
      <c r="E124" s="19"/>
      <c r="F124" s="19"/>
      <c r="G124" s="19"/>
      <c r="H124" s="19"/>
      <c r="I124" s="697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8" t="s">
        <v>383</v>
      </c>
      <c r="D125" s="2"/>
      <c r="E125" s="2"/>
      <c r="F125" s="2"/>
      <c r="G125" s="2"/>
      <c r="H125" s="2"/>
      <c r="I125" s="698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v>5.5599999999999997E-2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v>3.8100000000000002E-2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11">
        <v>0.06</v>
      </c>
    </row>
    <row r="132" spans="1:16" x14ac:dyDescent="0.2">
      <c r="A132" s="21" t="s">
        <v>14</v>
      </c>
      <c r="C132" s="101">
        <f>'Data 2006-08'!C131</f>
        <v>1</v>
      </c>
      <c r="I132" s="712"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13"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14">
        <v>2.5499999999999998E-2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12"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44">
        <f>D$1</f>
        <v>2009</v>
      </c>
      <c r="E142" s="45">
        <f t="shared" ref="E142:J142" si="24">E$1</f>
        <v>2010</v>
      </c>
      <c r="F142" s="45">
        <f t="shared" si="24"/>
        <v>2011</v>
      </c>
      <c r="G142" s="45">
        <f t="shared" si="24"/>
        <v>2012</v>
      </c>
      <c r="H142" s="45">
        <f t="shared" si="24"/>
        <v>2013</v>
      </c>
      <c r="I142" s="45">
        <f t="shared" si="24"/>
        <v>2014</v>
      </c>
      <c r="J142" s="46">
        <f t="shared" si="24"/>
        <v>2015</v>
      </c>
      <c r="K142" s="54"/>
      <c r="L142" s="906" t="s">
        <v>36</v>
      </c>
      <c r="M142" s="892"/>
      <c r="N142" s="519" t="s">
        <v>75</v>
      </c>
    </row>
    <row r="143" spans="1:16" x14ac:dyDescent="0.2">
      <c r="A143" s="41" t="s">
        <v>86</v>
      </c>
      <c r="D143" s="707" t="s">
        <v>20</v>
      </c>
      <c r="E143" s="680" t="s">
        <v>20</v>
      </c>
      <c r="F143" s="680" t="s">
        <v>20</v>
      </c>
      <c r="G143" s="680" t="s">
        <v>20</v>
      </c>
      <c r="H143" s="708" t="str">
        <f>H$3</f>
        <v>Forecast</v>
      </c>
      <c r="I143" s="708" t="str">
        <f>I$3</f>
        <v>Forecast</v>
      </c>
      <c r="J143" s="709" t="str">
        <f>J$3</f>
        <v>Forecast</v>
      </c>
      <c r="K143" s="108"/>
      <c r="L143" s="312">
        <v>39355</v>
      </c>
      <c r="M143" s="681">
        <f>'Data 2006-08'!D150</f>
        <v>158.6</v>
      </c>
    </row>
    <row r="144" spans="1:16" x14ac:dyDescent="0.2">
      <c r="A144" s="21" t="s">
        <v>87</v>
      </c>
      <c r="D144" s="710">
        <f>'Data 2006-08'!F151</f>
        <v>4.9810844892812067E-2</v>
      </c>
      <c r="E144" s="710">
        <f>N145</f>
        <v>1.2612612612612484E-2</v>
      </c>
      <c r="F144" s="710">
        <f>N146</f>
        <v>2.7876631079478242E-2</v>
      </c>
      <c r="G144" s="804">
        <f>N147</f>
        <v>3.5199076745527913E-2</v>
      </c>
      <c r="H144" s="113">
        <f>$C134</f>
        <v>2.5600000000000001E-2</v>
      </c>
      <c r="I144" s="113">
        <f>$I$134</f>
        <v>2.5499999999999998E-2</v>
      </c>
      <c r="J144" s="113">
        <f>$I$134</f>
        <v>2.5499999999999998E-2</v>
      </c>
      <c r="K144" s="113"/>
      <c r="L144" s="313">
        <v>39721</v>
      </c>
      <c r="M144" s="682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5">D145*(1+E144)</f>
        <v>1.0630517023959645</v>
      </c>
      <c r="F145" s="59">
        <f t="shared" si="25"/>
        <v>1.0926860025220682</v>
      </c>
      <c r="G145" s="59">
        <f t="shared" si="25"/>
        <v>1.1311475409836065</v>
      </c>
      <c r="H145" s="59">
        <f t="shared" si="25"/>
        <v>1.1601049180327869</v>
      </c>
      <c r="I145" s="59">
        <f t="shared" si="25"/>
        <v>1.189687593442623</v>
      </c>
      <c r="J145" s="59">
        <f t="shared" si="25"/>
        <v>1.22002462707541</v>
      </c>
      <c r="K145" s="59"/>
      <c r="L145" s="704">
        <v>40086</v>
      </c>
      <c r="M145" s="683">
        <v>168.6</v>
      </c>
      <c r="N145" s="314">
        <f>M145/M144-1</f>
        <v>1.2612612612612484E-2</v>
      </c>
    </row>
    <row r="146" spans="1:15" x14ac:dyDescent="0.2">
      <c r="B146" s="98"/>
      <c r="L146" s="704">
        <v>40451</v>
      </c>
      <c r="M146" s="683">
        <v>173.3</v>
      </c>
      <c r="N146" s="314">
        <f>M146/M145-1</f>
        <v>2.7876631079478242E-2</v>
      </c>
    </row>
    <row r="147" spans="1:15" x14ac:dyDescent="0.2">
      <c r="B147" s="98"/>
      <c r="L147" s="704">
        <v>40816</v>
      </c>
      <c r="M147" s="683">
        <v>179.4</v>
      </c>
      <c r="N147" s="314">
        <f>M147/M146-1</f>
        <v>3.5199076745527913E-2</v>
      </c>
    </row>
    <row r="148" spans="1:15" x14ac:dyDescent="0.2">
      <c r="B148" s="98"/>
      <c r="L148" s="704">
        <v>41182</v>
      </c>
      <c r="M148" s="705"/>
      <c r="N148" s="2"/>
    </row>
    <row r="149" spans="1:15" x14ac:dyDescent="0.2">
      <c r="B149" s="98"/>
      <c r="L149" s="704">
        <v>41547</v>
      </c>
      <c r="M149" s="705"/>
      <c r="N149" s="2"/>
    </row>
    <row r="150" spans="1:15" x14ac:dyDescent="0.2">
      <c r="B150" s="98"/>
      <c r="L150" s="706">
        <v>41912</v>
      </c>
      <c r="M150" s="684"/>
      <c r="N150" s="2"/>
    </row>
    <row r="151" spans="1:15" x14ac:dyDescent="0.2">
      <c r="B151" s="98"/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2"/>
      <c r="M152" s="21"/>
      <c r="N152" s="21"/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2"/>
      <c r="M153" s="21"/>
      <c r="N153" s="21"/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26">D$1</f>
        <v>2009</v>
      </c>
      <c r="E169" s="330">
        <f t="shared" si="26"/>
        <v>2010</v>
      </c>
      <c r="F169" s="330">
        <f t="shared" si="26"/>
        <v>2011</v>
      </c>
      <c r="G169" s="330">
        <f t="shared" si="26"/>
        <v>2012</v>
      </c>
      <c r="H169" s="330">
        <f t="shared" si="26"/>
        <v>2013</v>
      </c>
      <c r="I169" s="330">
        <f t="shared" si="26"/>
        <v>2014</v>
      </c>
      <c r="J169" s="330">
        <f t="shared" si="26"/>
        <v>2015</v>
      </c>
    </row>
    <row r="170" spans="1:10" x14ac:dyDescent="0.2">
      <c r="A170" s="30"/>
      <c r="D170" s="717" t="s">
        <v>20</v>
      </c>
      <c r="E170" s="717" t="s">
        <v>20</v>
      </c>
      <c r="F170" s="717" t="s">
        <v>20</v>
      </c>
      <c r="G170" s="717" t="s">
        <v>20</v>
      </c>
      <c r="H170" s="717" t="s">
        <v>20</v>
      </c>
      <c r="I170" s="717" t="s">
        <v>20</v>
      </c>
      <c r="J170" s="717" t="s">
        <v>20</v>
      </c>
    </row>
    <row r="171" spans="1:10" x14ac:dyDescent="0.2">
      <c r="A171" s="30"/>
      <c r="D171" s="718" t="s">
        <v>22</v>
      </c>
      <c r="E171" s="718" t="s">
        <v>22</v>
      </c>
      <c r="F171" s="718" t="s">
        <v>22</v>
      </c>
      <c r="G171" s="718" t="s">
        <v>22</v>
      </c>
      <c r="H171" s="718" t="s">
        <v>22</v>
      </c>
      <c r="I171" s="718" t="s">
        <v>22</v>
      </c>
      <c r="J171" s="718" t="s">
        <v>22</v>
      </c>
    </row>
    <row r="172" spans="1:10" x14ac:dyDescent="0.2">
      <c r="A172" s="30"/>
      <c r="B172" s="53"/>
      <c r="D172" s="331"/>
      <c r="E172" s="719"/>
      <c r="F172" s="719"/>
      <c r="G172" s="719"/>
      <c r="H172" s="737"/>
      <c r="I172" s="739"/>
      <c r="J172" s="738"/>
    </row>
    <row r="173" spans="1:10" x14ac:dyDescent="0.2">
      <c r="A173" s="88" t="s">
        <v>24</v>
      </c>
      <c r="D173" s="715" t="s">
        <v>28</v>
      </c>
      <c r="E173" s="719"/>
      <c r="F173" s="719"/>
      <c r="G173" s="719"/>
      <c r="H173" s="23"/>
      <c r="I173" s="20"/>
      <c r="J173" s="726"/>
    </row>
    <row r="174" spans="1:10" x14ac:dyDescent="0.2">
      <c r="A174" s="82" t="s">
        <v>26</v>
      </c>
      <c r="D174" s="549">
        <v>74.754999999999995</v>
      </c>
      <c r="E174" s="719"/>
      <c r="F174" s="719"/>
      <c r="G174" s="719"/>
      <c r="H174" s="23"/>
      <c r="I174" s="20"/>
      <c r="J174" s="726"/>
    </row>
    <row r="175" spans="1:10" x14ac:dyDescent="0.2">
      <c r="A175" s="82" t="s">
        <v>27</v>
      </c>
      <c r="D175" s="549">
        <v>26.5</v>
      </c>
      <c r="E175" s="719"/>
      <c r="F175" s="719"/>
      <c r="G175" s="719"/>
      <c r="H175" s="23"/>
      <c r="I175" s="20"/>
      <c r="J175" s="726"/>
    </row>
    <row r="176" spans="1:10" x14ac:dyDescent="0.2">
      <c r="A176" s="30"/>
      <c r="D176" s="550"/>
      <c r="E176" s="719"/>
      <c r="F176" s="719"/>
      <c r="G176" s="719"/>
      <c r="H176" s="23"/>
      <c r="I176" s="20"/>
      <c r="J176" s="726"/>
    </row>
    <row r="177" spans="1:17" x14ac:dyDescent="0.2">
      <c r="A177" s="88" t="s">
        <v>29</v>
      </c>
      <c r="B177" s="446"/>
      <c r="D177" s="716" t="s">
        <v>28</v>
      </c>
      <c r="E177" s="719"/>
      <c r="F177" s="719"/>
      <c r="G177" s="719"/>
      <c r="H177" s="23"/>
      <c r="I177" s="20"/>
      <c r="J177" s="726"/>
    </row>
    <row r="178" spans="1:17" x14ac:dyDescent="0.2">
      <c r="A178" s="55" t="s">
        <v>288</v>
      </c>
      <c r="B178" s="442"/>
      <c r="D178" s="549">
        <v>8.4499999999999993</v>
      </c>
      <c r="E178" s="719"/>
      <c r="F178" s="719"/>
      <c r="G178" s="719"/>
      <c r="H178" s="23"/>
      <c r="I178" s="20"/>
      <c r="J178" s="726"/>
    </row>
    <row r="179" spans="1:17" x14ac:dyDescent="0.2">
      <c r="A179" s="55" t="s">
        <v>289</v>
      </c>
      <c r="B179" s="443"/>
      <c r="D179" s="549">
        <v>21.736000000000001</v>
      </c>
      <c r="E179" s="719"/>
      <c r="F179" s="719"/>
      <c r="G179" s="719"/>
      <c r="H179" s="23"/>
      <c r="I179" s="20"/>
      <c r="J179" s="726"/>
    </row>
    <row r="180" spans="1:17" x14ac:dyDescent="0.2">
      <c r="A180" s="55" t="s">
        <v>290</v>
      </c>
      <c r="B180" s="86"/>
      <c r="D180" s="549">
        <v>64.293999999999997</v>
      </c>
      <c r="E180" s="719"/>
      <c r="F180" s="719"/>
      <c r="G180" s="719"/>
      <c r="H180" s="23"/>
      <c r="I180" s="20"/>
      <c r="J180" s="726"/>
    </row>
    <row r="181" spans="1:17" x14ac:dyDescent="0.2">
      <c r="A181" s="55" t="s">
        <v>291</v>
      </c>
      <c r="B181" s="86"/>
      <c r="D181" s="551">
        <v>102.741</v>
      </c>
      <c r="E181" s="719"/>
      <c r="F181" s="719"/>
      <c r="G181" s="719"/>
      <c r="H181" s="23"/>
      <c r="I181" s="20"/>
      <c r="J181" s="726"/>
    </row>
    <row r="182" spans="1:17" x14ac:dyDescent="0.2">
      <c r="E182" s="719"/>
      <c r="F182" s="719"/>
      <c r="G182" s="719"/>
      <c r="H182" s="23"/>
      <c r="I182" s="20"/>
      <c r="J182" s="726"/>
    </row>
    <row r="183" spans="1:17" x14ac:dyDescent="0.2">
      <c r="E183" s="719"/>
      <c r="F183" s="719"/>
      <c r="G183" s="719"/>
      <c r="H183" s="23"/>
      <c r="I183" s="20"/>
      <c r="J183" s="726"/>
    </row>
    <row r="184" spans="1:17" x14ac:dyDescent="0.2">
      <c r="A184" s="88" t="s">
        <v>29</v>
      </c>
      <c r="E184" s="720" t="s">
        <v>28</v>
      </c>
      <c r="F184" s="719"/>
      <c r="G184" s="719"/>
      <c r="H184" s="23"/>
      <c r="I184" s="20"/>
      <c r="J184" s="726"/>
    </row>
    <row r="185" spans="1:17" x14ac:dyDescent="0.2">
      <c r="A185" s="83" t="s">
        <v>375</v>
      </c>
      <c r="E185" s="721">
        <v>96.67</v>
      </c>
      <c r="F185" s="721">
        <v>95.01</v>
      </c>
      <c r="G185" s="721">
        <v>102.96</v>
      </c>
      <c r="H185" s="23"/>
      <c r="I185" s="20"/>
      <c r="J185" s="726"/>
    </row>
    <row r="186" spans="1:17" x14ac:dyDescent="0.2">
      <c r="A186" s="83" t="s">
        <v>290</v>
      </c>
      <c r="E186" s="721">
        <v>127.5</v>
      </c>
      <c r="F186" s="721">
        <v>125.32</v>
      </c>
      <c r="G186" s="721">
        <v>135.80000000000001</v>
      </c>
      <c r="H186" s="23"/>
      <c r="I186" s="20"/>
      <c r="J186" s="726"/>
    </row>
    <row r="187" spans="1:17" x14ac:dyDescent="0.2">
      <c r="A187" s="83" t="s">
        <v>291</v>
      </c>
      <c r="E187" s="722">
        <v>168.94</v>
      </c>
      <c r="F187" s="722">
        <v>166.05</v>
      </c>
      <c r="G187" s="722">
        <v>179.94</v>
      </c>
      <c r="H187" s="805"/>
      <c r="I187" s="735"/>
      <c r="J187" s="736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N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7" sqref="J17"/>
    </sheetView>
  </sheetViews>
  <sheetFormatPr defaultRowHeight="12.75" x14ac:dyDescent="0.2"/>
  <cols>
    <col min="1" max="1" width="33.5703125" style="55" customWidth="1"/>
    <col min="2" max="3" width="9.140625" style="55"/>
    <col min="4" max="10" width="15" style="55" customWidth="1"/>
    <col min="11" max="16384" width="9.140625" style="55"/>
  </cols>
  <sheetData>
    <row r="1" spans="1:12" x14ac:dyDescent="0.2">
      <c r="A1" s="543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2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2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85557.929309617248</v>
      </c>
      <c r="H4" s="345">
        <f>'AMI Building Blocks 2009-15'!H34</f>
        <v>98862.19217821132</v>
      </c>
      <c r="I4" s="345">
        <f>'AMI Building Blocks 2009-15'!I34</f>
        <v>94572.492499017055</v>
      </c>
      <c r="J4" s="345">
        <f>'AMI Building Blocks 2009-15'!J34</f>
        <v>94821.422103910736</v>
      </c>
    </row>
    <row r="5" spans="1:12" x14ac:dyDescent="0.2">
      <c r="A5" s="55" t="s">
        <v>351</v>
      </c>
      <c r="D5" s="345">
        <f>'Offset of Costs and Rev 2006-08'!G20</f>
        <v>27871.184186465216</v>
      </c>
      <c r="E5" s="513"/>
      <c r="F5" s="513"/>
      <c r="G5" s="513"/>
      <c r="H5" s="513"/>
      <c r="I5" s="513"/>
      <c r="J5" s="513"/>
    </row>
    <row r="6" spans="1:12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85557.929309617248</v>
      </c>
      <c r="H6" s="387">
        <f t="shared" si="0"/>
        <v>98862.19217821132</v>
      </c>
      <c r="I6" s="387">
        <f t="shared" si="0"/>
        <v>94572.492499017055</v>
      </c>
      <c r="J6" s="387">
        <f t="shared" si="0"/>
        <v>94821.422103910736</v>
      </c>
    </row>
    <row r="8" spans="1:12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Q76</f>
        <v>79072.368258527131</v>
      </c>
      <c r="H8" s="345">
        <f>R76</f>
        <v>99780.745333038387</v>
      </c>
      <c r="I8" s="345">
        <f>S76</f>
        <v>101499.51953684984</v>
      </c>
      <c r="J8" s="345">
        <f>T76</f>
        <v>103312.06535676164</v>
      </c>
      <c r="L8" s="887"/>
    </row>
    <row r="10" spans="1:12" x14ac:dyDescent="0.2">
      <c r="A10" s="55" t="str">
        <f>'AMI Building Blocks 2009-15'!A19</f>
        <v>Vanilla' after tax WACC (nominal)</v>
      </c>
      <c r="D10" s="514">
        <f>'AMI Building Blocks 2009-15'!D24</f>
        <v>0.1209003175700798</v>
      </c>
      <c r="E10" s="514">
        <f>'AMI Building Blocks 2009-15'!E24</f>
        <v>8.1183152731514552E-2</v>
      </c>
      <c r="F10" s="514">
        <f>'AMI Building Blocks 2009-15'!F24</f>
        <v>9.7480796473851994E-2</v>
      </c>
      <c r="G10" s="514">
        <f>'AMI Building Blocks 2009-15'!G24</f>
        <v>0.10529909222912481</v>
      </c>
      <c r="H10" s="514">
        <f>'AMI Building Blocks 2009-15'!H24</f>
        <v>9.5050000000000079E-2</v>
      </c>
      <c r="I10" s="514">
        <f>'AMI Building Blocks 2009-15'!I24</f>
        <v>9.766000000000008E-2</v>
      </c>
      <c r="J10" s="514">
        <f>'AMI Building Blocks 2009-15'!J24</f>
        <v>9.766000000000008E-2</v>
      </c>
    </row>
    <row r="11" spans="1:12" x14ac:dyDescent="0.2">
      <c r="A11" s="55" t="s">
        <v>346</v>
      </c>
      <c r="C11" s="515"/>
      <c r="D11" s="515">
        <f>1/(1+D10)*(1+D10)^(0.5)</f>
        <v>0.94453162556261583</v>
      </c>
      <c r="E11" s="515">
        <f t="shared" ref="E11:J11" si="1">D11/(1+E10)</f>
        <v>0.87360927071083139</v>
      </c>
      <c r="F11" s="515">
        <f t="shared" si="1"/>
        <v>0.79601326375613313</v>
      </c>
      <c r="G11" s="515">
        <f t="shared" si="1"/>
        <v>0.72017906225794881</v>
      </c>
      <c r="H11" s="515">
        <f t="shared" si="1"/>
        <v>0.65766774326099153</v>
      </c>
      <c r="I11" s="515">
        <f t="shared" si="1"/>
        <v>0.59915433126923778</v>
      </c>
      <c r="J11" s="515">
        <f t="shared" si="1"/>
        <v>0.54584692096754706</v>
      </c>
    </row>
    <row r="13" spans="1:12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61617.029298932022</v>
      </c>
      <c r="H13" s="345">
        <f t="shared" si="2"/>
        <v>65018.474823678691</v>
      </c>
      <c r="I13" s="345">
        <f t="shared" si="2"/>
        <v>56663.518499713573</v>
      </c>
      <c r="J13" s="345">
        <f t="shared" si="2"/>
        <v>51757.981297183782</v>
      </c>
    </row>
    <row r="15" spans="1:12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56946.264022941265</v>
      </c>
      <c r="H15" s="345">
        <f t="shared" si="3"/>
        <v>65622.577604079066</v>
      </c>
      <c r="I15" s="345">
        <f t="shared" si="3"/>
        <v>60813.876752250202</v>
      </c>
      <c r="J15" s="345">
        <f t="shared" si="3"/>
        <v>56392.572773786327</v>
      </c>
    </row>
    <row r="17" spans="1:20" x14ac:dyDescent="0.2">
      <c r="A17" s="266" t="s">
        <v>350</v>
      </c>
      <c r="D17" s="345"/>
      <c r="E17" s="517">
        <f>SUM($D15:E15)-SUM($D13:E13)</f>
        <v>-7084.6592265974759</v>
      </c>
      <c r="F17" s="517">
        <f>SUM($D15:F15)-SUM($D13:F13)</f>
        <v>-4718.8026346215047</v>
      </c>
      <c r="G17" s="517">
        <f>SUM($D15:G15)-SUM($D13:G13)</f>
        <v>-9389.5679106122698</v>
      </c>
      <c r="H17" s="517">
        <f>SUM($D15:H15)-SUM($D13:H13)</f>
        <v>-8785.4651302119019</v>
      </c>
      <c r="I17" s="517">
        <f>SUM($D15:I15)-SUM($D13:I13)</f>
        <v>-4635.10687767528</v>
      </c>
      <c r="J17" s="517">
        <f>SUM($D15:J15)-SUM($D13:J13)</f>
        <v>-0.51540107274195179</v>
      </c>
    </row>
    <row r="19" spans="1:20" x14ac:dyDescent="0.2">
      <c r="A19" s="516" t="s">
        <v>292</v>
      </c>
      <c r="E19" s="518" t="str">
        <f t="shared" ref="E19:J19" si="4">IF(E17&gt;0,"Non Compliant","Compliant")</f>
        <v>Compliant</v>
      </c>
      <c r="F19" s="518" t="str">
        <f t="shared" si="4"/>
        <v>Compliant</v>
      </c>
      <c r="G19" s="518" t="str">
        <f t="shared" si="4"/>
        <v>Compliant</v>
      </c>
      <c r="H19" s="518" t="str">
        <f t="shared" si="4"/>
        <v>Compliant</v>
      </c>
      <c r="I19" s="518" t="str">
        <f t="shared" si="4"/>
        <v>Compliant</v>
      </c>
      <c r="J19" s="518" t="str">
        <f t="shared" si="4"/>
        <v>Compliant</v>
      </c>
    </row>
    <row r="21" spans="1:20" x14ac:dyDescent="0.2">
      <c r="A21" s="820"/>
      <c r="E21" s="784"/>
      <c r="F21" s="784"/>
    </row>
    <row r="22" spans="1:20" ht="13.5" thickBot="1" x14ac:dyDescent="0.25">
      <c r="A22" s="523"/>
      <c r="B22" s="523"/>
      <c r="C22" s="523"/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  <c r="S22" s="523"/>
      <c r="T22" s="523"/>
    </row>
    <row r="24" spans="1:20" s="358" customFormat="1" x14ac:dyDescent="0.2">
      <c r="A24" s="694"/>
      <c r="B24" s="393"/>
      <c r="C24" s="393"/>
      <c r="D24" s="695"/>
      <c r="E24" s="510"/>
      <c r="G24" s="510"/>
      <c r="J24" s="510"/>
    </row>
    <row r="25" spans="1:20" s="358" customFormat="1" x14ac:dyDescent="0.2">
      <c r="A25" s="86"/>
      <c r="B25" s="393"/>
      <c r="C25" s="393"/>
      <c r="D25" s="785"/>
    </row>
    <row r="26" spans="1:20" s="358" customFormat="1" x14ac:dyDescent="0.2">
      <c r="A26" s="493" t="s">
        <v>390</v>
      </c>
      <c r="B26" s="363"/>
      <c r="C26" s="363"/>
      <c r="E26" s="884" t="s">
        <v>387</v>
      </c>
      <c r="F26" s="907" t="s">
        <v>292</v>
      </c>
      <c r="G26" s="889"/>
      <c r="H26" s="890"/>
      <c r="K26" s="907" t="s">
        <v>23</v>
      </c>
      <c r="L26" s="889"/>
      <c r="M26" s="889"/>
      <c r="N26" s="890"/>
      <c r="Q26" s="907" t="s">
        <v>341</v>
      </c>
      <c r="R26" s="889"/>
      <c r="S26" s="889"/>
      <c r="T26" s="890"/>
    </row>
    <row r="27" spans="1:20" s="358" customFormat="1" x14ac:dyDescent="0.2">
      <c r="A27" s="407" t="s">
        <v>304</v>
      </c>
      <c r="B27" s="363"/>
      <c r="C27" s="363"/>
      <c r="E27" s="885">
        <v>2012</v>
      </c>
      <c r="F27" s="786">
        <v>2013</v>
      </c>
      <c r="G27" s="786">
        <v>2014</v>
      </c>
      <c r="H27" s="786">
        <v>2015</v>
      </c>
      <c r="K27" s="511">
        <f>E27</f>
        <v>2012</v>
      </c>
      <c r="L27" s="511">
        <f>F27</f>
        <v>2013</v>
      </c>
      <c r="M27" s="511">
        <f>G27</f>
        <v>2014</v>
      </c>
      <c r="N27" s="511">
        <f>H27</f>
        <v>2015</v>
      </c>
      <c r="Q27" s="511">
        <f>K27</f>
        <v>2012</v>
      </c>
      <c r="R27" s="511">
        <f>L27</f>
        <v>2013</v>
      </c>
      <c r="S27" s="511">
        <f>M27</f>
        <v>2014</v>
      </c>
      <c r="T27" s="511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E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E30" s="508">
        <f>'Data 2009-15 (Real $2008)'!G72</f>
        <v>0</v>
      </c>
      <c r="F30" s="508">
        <f>'Data 2009-15 (Real $2008)'!H72</f>
        <v>0</v>
      </c>
      <c r="G30" s="508">
        <f>'Data 2009-15 (Real $2008)'!I72</f>
        <v>0</v>
      </c>
      <c r="H30" s="508">
        <f>'Data 2009-15 (Real $2008)'!J72</f>
        <v>0</v>
      </c>
      <c r="K30" s="507">
        <f>'Data 2009-15 (Real $2008)'!N72</f>
        <v>0</v>
      </c>
      <c r="L30" s="507">
        <f>'Data 2009-15 (Real $2008)'!O72</f>
        <v>0</v>
      </c>
      <c r="M30" s="507">
        <f>'Data 2009-15 (Real $2008)'!P72</f>
        <v>0</v>
      </c>
      <c r="N30" s="507">
        <f>'Data 2009-15 (Real $2008)'!Q72</f>
        <v>0</v>
      </c>
      <c r="Q30" s="80">
        <f t="shared" ref="Q30:Q36" si="5">E30*K30/10^3</f>
        <v>0</v>
      </c>
      <c r="R30" s="80">
        <f t="shared" ref="R30:T36" si="6">F30*L30/10^3</f>
        <v>0</v>
      </c>
      <c r="S30" s="80">
        <f t="shared" si="6"/>
        <v>0</v>
      </c>
      <c r="T30" s="80">
        <f t="shared" si="6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E31" s="508">
        <f>'Data 2009-15 (Real $2008)'!G73</f>
        <v>0</v>
      </c>
      <c r="F31" s="508">
        <f>'Data 2009-15 (Real $2008)'!H73</f>
        <v>0</v>
      </c>
      <c r="G31" s="508">
        <f>'Data 2009-15 (Real $2008)'!I73</f>
        <v>0</v>
      </c>
      <c r="H31" s="508">
        <f>'Data 2009-15 (Real $2008)'!J73</f>
        <v>0</v>
      </c>
      <c r="K31" s="507">
        <f>'Data 2009-15 (Real $2008)'!N73</f>
        <v>0</v>
      </c>
      <c r="L31" s="507">
        <f>'Data 2009-15 (Real $2008)'!O73</f>
        <v>0</v>
      </c>
      <c r="M31" s="507">
        <f>'Data 2009-15 (Real $2008)'!P73</f>
        <v>0</v>
      </c>
      <c r="N31" s="507">
        <f>'Data 2009-15 (Real $2008)'!Q73</f>
        <v>0</v>
      </c>
      <c r="Q31" s="80">
        <f t="shared" si="5"/>
        <v>0</v>
      </c>
      <c r="R31" s="80">
        <f t="shared" si="6"/>
        <v>0</v>
      </c>
      <c r="S31" s="80">
        <f t="shared" si="6"/>
        <v>0</v>
      </c>
      <c r="T31" s="80">
        <f t="shared" si="6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E32" s="508">
        <f>'Data 2009-15 (Real $2008)'!G74</f>
        <v>0</v>
      </c>
      <c r="F32" s="508">
        <f>'Data 2009-15 (Real $2008)'!H74</f>
        <v>0</v>
      </c>
      <c r="G32" s="508">
        <f>'Data 2009-15 (Real $2008)'!I74</f>
        <v>0</v>
      </c>
      <c r="H32" s="508">
        <f>'Data 2009-15 (Real $2008)'!J74</f>
        <v>0</v>
      </c>
      <c r="K32" s="507">
        <f>'Data 2009-15 (Real $2008)'!N74</f>
        <v>0</v>
      </c>
      <c r="L32" s="507">
        <f>'Data 2009-15 (Real $2008)'!O74</f>
        <v>0</v>
      </c>
      <c r="M32" s="507">
        <f>'Data 2009-15 (Real $2008)'!P74</f>
        <v>0</v>
      </c>
      <c r="N32" s="507">
        <f>'Data 2009-15 (Real $2008)'!Q74</f>
        <v>0</v>
      </c>
      <c r="Q32" s="80">
        <f t="shared" si="5"/>
        <v>0</v>
      </c>
      <c r="R32" s="80">
        <f t="shared" si="6"/>
        <v>0</v>
      </c>
      <c r="S32" s="80">
        <f t="shared" si="6"/>
        <v>0</v>
      </c>
      <c r="T32" s="80">
        <f t="shared" si="6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E33" s="508">
        <f>'Data 2009-15 (Real $2008)'!G75</f>
        <v>0</v>
      </c>
      <c r="F33" s="508">
        <f>'Data 2009-15 (Real $2008)'!H75</f>
        <v>0</v>
      </c>
      <c r="G33" s="508">
        <f>'Data 2009-15 (Real $2008)'!I75</f>
        <v>0</v>
      </c>
      <c r="H33" s="508">
        <f>'Data 2009-15 (Real $2008)'!J75</f>
        <v>0</v>
      </c>
      <c r="K33" s="507">
        <f>'Data 2009-15 (Real $2008)'!N75</f>
        <v>0</v>
      </c>
      <c r="L33" s="507">
        <f>'Data 2009-15 (Real $2008)'!O75</f>
        <v>0</v>
      </c>
      <c r="M33" s="507">
        <f>'Data 2009-15 (Real $2008)'!P75</f>
        <v>0</v>
      </c>
      <c r="N33" s="507">
        <f>'Data 2009-15 (Real $2008)'!Q75</f>
        <v>0</v>
      </c>
      <c r="Q33" s="80">
        <f t="shared" si="5"/>
        <v>0</v>
      </c>
      <c r="R33" s="80">
        <f t="shared" si="6"/>
        <v>0</v>
      </c>
      <c r="S33" s="80">
        <f t="shared" si="6"/>
        <v>0</v>
      </c>
      <c r="T33" s="80">
        <f t="shared" si="6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E34" s="508">
        <f>'Data 2009-15 (Real $2008)'!G76</f>
        <v>0</v>
      </c>
      <c r="F34" s="508">
        <f>'Data 2009-15 (Real $2008)'!H76</f>
        <v>0</v>
      </c>
      <c r="G34" s="508">
        <f>'Data 2009-15 (Real $2008)'!I76</f>
        <v>0</v>
      </c>
      <c r="H34" s="508">
        <f>'Data 2009-15 (Real $2008)'!J76</f>
        <v>0</v>
      </c>
      <c r="K34" s="507">
        <f>'Data 2009-15 (Real $2008)'!N76</f>
        <v>0</v>
      </c>
      <c r="L34" s="507">
        <f>'Data 2009-15 (Real $2008)'!O76</f>
        <v>0</v>
      </c>
      <c r="M34" s="507">
        <f>'Data 2009-15 (Real $2008)'!P76</f>
        <v>0</v>
      </c>
      <c r="N34" s="507">
        <f>'Data 2009-15 (Real $2008)'!Q76</f>
        <v>0</v>
      </c>
      <c r="Q34" s="80">
        <f t="shared" si="5"/>
        <v>0</v>
      </c>
      <c r="R34" s="80">
        <f t="shared" si="6"/>
        <v>0</v>
      </c>
      <c r="S34" s="80">
        <f t="shared" si="6"/>
        <v>0</v>
      </c>
      <c r="T34" s="80">
        <f t="shared" si="6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E35" s="508">
        <f>'Data 2009-15 (Real $2008)'!G77</f>
        <v>0</v>
      </c>
      <c r="F35" s="508">
        <f>'Data 2009-15 (Real $2008)'!H77</f>
        <v>0</v>
      </c>
      <c r="G35" s="508">
        <f>'Data 2009-15 (Real $2008)'!I77</f>
        <v>0</v>
      </c>
      <c r="H35" s="508">
        <f>'Data 2009-15 (Real $2008)'!J77</f>
        <v>0</v>
      </c>
      <c r="K35" s="507">
        <f>'Data 2009-15 (Real $2008)'!N77</f>
        <v>0</v>
      </c>
      <c r="L35" s="507">
        <f>'Data 2009-15 (Real $2008)'!O77</f>
        <v>0</v>
      </c>
      <c r="M35" s="507">
        <f>'Data 2009-15 (Real $2008)'!P77</f>
        <v>0</v>
      </c>
      <c r="N35" s="507">
        <f>'Data 2009-15 (Real $2008)'!Q77</f>
        <v>0</v>
      </c>
      <c r="Q35" s="80">
        <f t="shared" si="5"/>
        <v>0</v>
      </c>
      <c r="R35" s="80">
        <f t="shared" si="6"/>
        <v>0</v>
      </c>
      <c r="S35" s="80">
        <f t="shared" si="6"/>
        <v>0</v>
      </c>
      <c r="T35" s="80">
        <f t="shared" si="6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E36" s="508">
        <f>'Data 2009-15 (Real $2008)'!G78</f>
        <v>0</v>
      </c>
      <c r="F36" s="508">
        <f>'Data 2009-15 (Real $2008)'!H78</f>
        <v>0</v>
      </c>
      <c r="G36" s="508">
        <f>'Data 2009-15 (Real $2008)'!I78</f>
        <v>0</v>
      </c>
      <c r="H36" s="508">
        <f>'Data 2009-15 (Real $2008)'!J78</f>
        <v>0</v>
      </c>
      <c r="K36" s="507">
        <f>'Data 2009-15 (Real $2008)'!N78</f>
        <v>0</v>
      </c>
      <c r="L36" s="507">
        <f>'Data 2009-15 (Real $2008)'!O78</f>
        <v>0</v>
      </c>
      <c r="M36" s="507">
        <f>'Data 2009-15 (Real $2008)'!P78</f>
        <v>0</v>
      </c>
      <c r="N36" s="507">
        <f>'Data 2009-15 (Real $2008)'!Q78</f>
        <v>0</v>
      </c>
      <c r="Q36" s="80">
        <f t="shared" si="5"/>
        <v>0</v>
      </c>
      <c r="R36" s="80">
        <f t="shared" si="6"/>
        <v>0</v>
      </c>
      <c r="S36" s="80">
        <f t="shared" si="6"/>
        <v>0</v>
      </c>
      <c r="T36" s="80">
        <f t="shared" si="6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E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E40" s="508">
        <f>'Data 2009-15 (Real $2008)'!G82</f>
        <v>0</v>
      </c>
      <c r="F40" s="508">
        <f>'Data 2009-15 (Real $2008)'!H82</f>
        <v>0</v>
      </c>
      <c r="G40" s="508">
        <f>'Data 2009-15 (Real $2008)'!I82</f>
        <v>0</v>
      </c>
      <c r="H40" s="508">
        <f>'Data 2009-15 (Real $2008)'!J82</f>
        <v>0</v>
      </c>
      <c r="K40" s="507">
        <f>'Data 2009-15 (Real $2008)'!N82</f>
        <v>0</v>
      </c>
      <c r="L40" s="507">
        <f>'Data 2009-15 (Real $2008)'!O82</f>
        <v>0</v>
      </c>
      <c r="M40" s="507">
        <f>'Data 2009-15 (Real $2008)'!P82</f>
        <v>0</v>
      </c>
      <c r="N40" s="507">
        <f>'Data 2009-15 (Real $2008)'!Q82</f>
        <v>0</v>
      </c>
      <c r="Q40" s="80">
        <f t="shared" ref="Q40:Q46" si="7">E40*K40/10^3</f>
        <v>0</v>
      </c>
      <c r="R40" s="80">
        <f t="shared" ref="R40:T46" si="8">F40*L40/10^3</f>
        <v>0</v>
      </c>
      <c r="S40" s="80">
        <f t="shared" si="8"/>
        <v>0</v>
      </c>
      <c r="T40" s="80">
        <f t="shared" si="8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E41" s="508">
        <f>'Data 2009-15 (Real $2008)'!G83</f>
        <v>0</v>
      </c>
      <c r="F41" s="508">
        <f>'Data 2009-15 (Real $2008)'!H83</f>
        <v>0</v>
      </c>
      <c r="G41" s="508">
        <f>'Data 2009-15 (Real $2008)'!I83</f>
        <v>0</v>
      </c>
      <c r="H41" s="508">
        <f>'Data 2009-15 (Real $2008)'!J83</f>
        <v>0</v>
      </c>
      <c r="K41" s="507">
        <f>'Data 2009-15 (Real $2008)'!N83</f>
        <v>0</v>
      </c>
      <c r="L41" s="507">
        <f>'Data 2009-15 (Real $2008)'!O83</f>
        <v>0</v>
      </c>
      <c r="M41" s="507">
        <f>'Data 2009-15 (Real $2008)'!P83</f>
        <v>0</v>
      </c>
      <c r="N41" s="507">
        <f>'Data 2009-15 (Real $2008)'!Q83</f>
        <v>0</v>
      </c>
      <c r="Q41" s="80">
        <f t="shared" si="7"/>
        <v>0</v>
      </c>
      <c r="R41" s="80">
        <f t="shared" si="8"/>
        <v>0</v>
      </c>
      <c r="S41" s="80">
        <f t="shared" si="8"/>
        <v>0</v>
      </c>
      <c r="T41" s="80">
        <f t="shared" si="8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E42" s="508">
        <f>'Data 2009-15 (Real $2008)'!G84</f>
        <v>0</v>
      </c>
      <c r="F42" s="508">
        <f>'Data 2009-15 (Real $2008)'!H84</f>
        <v>0</v>
      </c>
      <c r="G42" s="508">
        <f>'Data 2009-15 (Real $2008)'!I84</f>
        <v>0</v>
      </c>
      <c r="H42" s="508">
        <f>'Data 2009-15 (Real $2008)'!J84</f>
        <v>0</v>
      </c>
      <c r="K42" s="507">
        <f>'Data 2009-15 (Real $2008)'!N84</f>
        <v>0</v>
      </c>
      <c r="L42" s="507">
        <f>'Data 2009-15 (Real $2008)'!O84</f>
        <v>0</v>
      </c>
      <c r="M42" s="507">
        <f>'Data 2009-15 (Real $2008)'!P84</f>
        <v>0</v>
      </c>
      <c r="N42" s="507">
        <f>'Data 2009-15 (Real $2008)'!Q84</f>
        <v>0</v>
      </c>
      <c r="Q42" s="80">
        <f t="shared" si="7"/>
        <v>0</v>
      </c>
      <c r="R42" s="80">
        <f t="shared" si="8"/>
        <v>0</v>
      </c>
      <c r="S42" s="80">
        <f t="shared" si="8"/>
        <v>0</v>
      </c>
      <c r="T42" s="80">
        <f t="shared" si="8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E43" s="508">
        <f>'Data 2009-15 (Real $2008)'!G85</f>
        <v>0</v>
      </c>
      <c r="F43" s="508">
        <f>'Data 2009-15 (Real $2008)'!H85</f>
        <v>0</v>
      </c>
      <c r="G43" s="508">
        <f>'Data 2009-15 (Real $2008)'!I85</f>
        <v>0</v>
      </c>
      <c r="H43" s="508">
        <f>'Data 2009-15 (Real $2008)'!J85</f>
        <v>0</v>
      </c>
      <c r="K43" s="507">
        <f>'Data 2009-15 (Real $2008)'!N85</f>
        <v>0</v>
      </c>
      <c r="L43" s="507">
        <f>'Data 2009-15 (Real $2008)'!O85</f>
        <v>0</v>
      </c>
      <c r="M43" s="507">
        <f>'Data 2009-15 (Real $2008)'!P85</f>
        <v>0</v>
      </c>
      <c r="N43" s="507">
        <f>'Data 2009-15 (Real $2008)'!Q85</f>
        <v>0</v>
      </c>
      <c r="Q43" s="80">
        <f t="shared" si="7"/>
        <v>0</v>
      </c>
      <c r="R43" s="80">
        <f t="shared" si="8"/>
        <v>0</v>
      </c>
      <c r="S43" s="80">
        <f t="shared" si="8"/>
        <v>0</v>
      </c>
      <c r="T43" s="80">
        <f t="shared" si="8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E44" s="508">
        <f>'Data 2009-15 (Real $2008)'!G86</f>
        <v>0</v>
      </c>
      <c r="F44" s="508">
        <f>'Data 2009-15 (Real $2008)'!H86</f>
        <v>0</v>
      </c>
      <c r="G44" s="508">
        <f>'Data 2009-15 (Real $2008)'!I86</f>
        <v>0</v>
      </c>
      <c r="H44" s="508">
        <f>'Data 2009-15 (Real $2008)'!J86</f>
        <v>0</v>
      </c>
      <c r="K44" s="507">
        <f>'Data 2009-15 (Real $2008)'!N86</f>
        <v>0</v>
      </c>
      <c r="L44" s="507">
        <f>'Data 2009-15 (Real $2008)'!O86</f>
        <v>0</v>
      </c>
      <c r="M44" s="507">
        <f>'Data 2009-15 (Real $2008)'!P86</f>
        <v>0</v>
      </c>
      <c r="N44" s="507">
        <f>'Data 2009-15 (Real $2008)'!Q86</f>
        <v>0</v>
      </c>
      <c r="Q44" s="80">
        <f t="shared" si="7"/>
        <v>0</v>
      </c>
      <c r="R44" s="80">
        <f t="shared" si="8"/>
        <v>0</v>
      </c>
      <c r="S44" s="80">
        <f t="shared" si="8"/>
        <v>0</v>
      </c>
      <c r="T44" s="80">
        <f t="shared" si="8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E45" s="508">
        <f>'Data 2009-15 (Real $2008)'!G87</f>
        <v>0</v>
      </c>
      <c r="F45" s="508">
        <f>'Data 2009-15 (Real $2008)'!H87</f>
        <v>0</v>
      </c>
      <c r="G45" s="508">
        <f>'Data 2009-15 (Real $2008)'!I87</f>
        <v>0</v>
      </c>
      <c r="H45" s="508">
        <f>'Data 2009-15 (Real $2008)'!J87</f>
        <v>0</v>
      </c>
      <c r="K45" s="507">
        <f>'Data 2009-15 (Real $2008)'!N87</f>
        <v>0</v>
      </c>
      <c r="L45" s="507">
        <f>'Data 2009-15 (Real $2008)'!O87</f>
        <v>0</v>
      </c>
      <c r="M45" s="507">
        <f>'Data 2009-15 (Real $2008)'!P87</f>
        <v>0</v>
      </c>
      <c r="N45" s="507">
        <f>'Data 2009-15 (Real $2008)'!Q87</f>
        <v>0</v>
      </c>
      <c r="Q45" s="80">
        <f t="shared" si="7"/>
        <v>0</v>
      </c>
      <c r="R45" s="80">
        <f t="shared" si="8"/>
        <v>0</v>
      </c>
      <c r="S45" s="80">
        <f t="shared" si="8"/>
        <v>0</v>
      </c>
      <c r="T45" s="80">
        <f t="shared" si="8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E46" s="508">
        <f>'Data 2009-15 (Real $2008)'!G88</f>
        <v>0</v>
      </c>
      <c r="F46" s="508">
        <f>'Data 2009-15 (Real $2008)'!H88</f>
        <v>0</v>
      </c>
      <c r="G46" s="508">
        <f>'Data 2009-15 (Real $2008)'!I88</f>
        <v>0</v>
      </c>
      <c r="H46" s="508">
        <f>'Data 2009-15 (Real $2008)'!J88</f>
        <v>0</v>
      </c>
      <c r="K46" s="507">
        <f>'Data 2009-15 (Real $2008)'!N88</f>
        <v>0</v>
      </c>
      <c r="L46" s="507">
        <f>'Data 2009-15 (Real $2008)'!O88</f>
        <v>0</v>
      </c>
      <c r="M46" s="507">
        <f>'Data 2009-15 (Real $2008)'!P88</f>
        <v>0</v>
      </c>
      <c r="N46" s="507">
        <f>'Data 2009-15 (Real $2008)'!Q88</f>
        <v>0</v>
      </c>
      <c r="Q46" s="80">
        <f t="shared" si="7"/>
        <v>0</v>
      </c>
      <c r="R46" s="80">
        <f t="shared" si="8"/>
        <v>0</v>
      </c>
      <c r="S46" s="80">
        <f t="shared" si="8"/>
        <v>0</v>
      </c>
      <c r="T46" s="80">
        <f t="shared" si="8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E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E50" s="508">
        <f>'Data 2009-15 (Real $2008)'!G92</f>
        <v>0</v>
      </c>
      <c r="F50" s="508">
        <f>'Data 2009-15 (Real $2008)'!H92</f>
        <v>0</v>
      </c>
      <c r="G50" s="508">
        <f>'Data 2009-15 (Real $2008)'!I92</f>
        <v>0</v>
      </c>
      <c r="H50" s="508">
        <f>'Data 2009-15 (Real $2008)'!J92</f>
        <v>0</v>
      </c>
      <c r="K50" s="507">
        <f>'Data 2009-15 (Real $2008)'!N92</f>
        <v>0</v>
      </c>
      <c r="L50" s="507">
        <f>'Data 2009-15 (Real $2008)'!O92</f>
        <v>0</v>
      </c>
      <c r="M50" s="507">
        <f>'Data 2009-15 (Real $2008)'!P92</f>
        <v>0</v>
      </c>
      <c r="N50" s="507">
        <f>'Data 2009-15 (Real $2008)'!Q92</f>
        <v>0</v>
      </c>
      <c r="Q50" s="80">
        <f t="shared" ref="Q50:Q60" si="9">E50*K50/10^3</f>
        <v>0</v>
      </c>
      <c r="R50" s="80">
        <f t="shared" ref="R50:T60" si="10">F50*L50/10^3</f>
        <v>0</v>
      </c>
      <c r="S50" s="80">
        <f t="shared" si="10"/>
        <v>0</v>
      </c>
      <c r="T50" s="80">
        <f t="shared" si="10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E51" s="508">
        <f>'Data 2009-15 (Real $2008)'!G93</f>
        <v>0</v>
      </c>
      <c r="F51" s="508">
        <f>'Data 2009-15 (Real $2008)'!H93</f>
        <v>0</v>
      </c>
      <c r="G51" s="508">
        <f>'Data 2009-15 (Real $2008)'!I93</f>
        <v>0</v>
      </c>
      <c r="H51" s="508">
        <f>'Data 2009-15 (Real $2008)'!J93</f>
        <v>0</v>
      </c>
      <c r="K51" s="507">
        <f>'Data 2009-15 (Real $2008)'!N93</f>
        <v>0</v>
      </c>
      <c r="L51" s="507">
        <f>'Data 2009-15 (Real $2008)'!O93</f>
        <v>0</v>
      </c>
      <c r="M51" s="507">
        <f>'Data 2009-15 (Real $2008)'!P93</f>
        <v>0</v>
      </c>
      <c r="N51" s="507">
        <f>'Data 2009-15 (Real $2008)'!Q93</f>
        <v>0</v>
      </c>
      <c r="Q51" s="80">
        <f t="shared" si="9"/>
        <v>0</v>
      </c>
      <c r="R51" s="80">
        <f t="shared" si="10"/>
        <v>0</v>
      </c>
      <c r="S51" s="80">
        <f t="shared" si="10"/>
        <v>0</v>
      </c>
      <c r="T51" s="80">
        <f t="shared" si="10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E52" s="508">
        <f>'Data 2009-15 (Real $2008)'!G94</f>
        <v>0</v>
      </c>
      <c r="F52" s="508">
        <f>'Data 2009-15 (Real $2008)'!H94</f>
        <v>0</v>
      </c>
      <c r="G52" s="508">
        <f>'Data 2009-15 (Real $2008)'!I94</f>
        <v>0</v>
      </c>
      <c r="H52" s="508">
        <f>'Data 2009-15 (Real $2008)'!J94</f>
        <v>0</v>
      </c>
      <c r="K52" s="507">
        <f>'Data 2009-15 (Real $2008)'!N94</f>
        <v>0</v>
      </c>
      <c r="L52" s="507">
        <f>'Data 2009-15 (Real $2008)'!O94</f>
        <v>0</v>
      </c>
      <c r="M52" s="507">
        <f>'Data 2009-15 (Real $2008)'!P94</f>
        <v>0</v>
      </c>
      <c r="N52" s="507">
        <f>'Data 2009-15 (Real $2008)'!Q94</f>
        <v>0</v>
      </c>
      <c r="Q52" s="80">
        <f t="shared" si="9"/>
        <v>0</v>
      </c>
      <c r="R52" s="80">
        <f t="shared" si="10"/>
        <v>0</v>
      </c>
      <c r="S52" s="80">
        <f t="shared" si="10"/>
        <v>0</v>
      </c>
      <c r="T52" s="80">
        <f t="shared" si="10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E53" s="508">
        <f>'Data 2009-15 (Real $2008)'!G95</f>
        <v>0</v>
      </c>
      <c r="F53" s="508">
        <f>'Data 2009-15 (Real $2008)'!H95</f>
        <v>0</v>
      </c>
      <c r="G53" s="508">
        <f>'Data 2009-15 (Real $2008)'!I95</f>
        <v>0</v>
      </c>
      <c r="H53" s="508">
        <f>'Data 2009-15 (Real $2008)'!J95</f>
        <v>0</v>
      </c>
      <c r="K53" s="507">
        <f>'Data 2009-15 (Real $2008)'!N95</f>
        <v>0</v>
      </c>
      <c r="L53" s="507">
        <f>'Data 2009-15 (Real $2008)'!O95</f>
        <v>0</v>
      </c>
      <c r="M53" s="507">
        <f>'Data 2009-15 (Real $2008)'!P95</f>
        <v>0</v>
      </c>
      <c r="N53" s="507">
        <f>'Data 2009-15 (Real $2008)'!Q95</f>
        <v>0</v>
      </c>
      <c r="Q53" s="80">
        <f t="shared" si="9"/>
        <v>0</v>
      </c>
      <c r="R53" s="80">
        <f t="shared" si="10"/>
        <v>0</v>
      </c>
      <c r="S53" s="80">
        <f t="shared" si="10"/>
        <v>0</v>
      </c>
      <c r="T53" s="80">
        <f t="shared" si="10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E54" s="508">
        <f>'Data 2009-15 (Real $2008)'!G96</f>
        <v>0</v>
      </c>
      <c r="F54" s="508">
        <f>'Data 2009-15 (Real $2008)'!H96</f>
        <v>0</v>
      </c>
      <c r="G54" s="508">
        <f>'Data 2009-15 (Real $2008)'!I96</f>
        <v>0</v>
      </c>
      <c r="H54" s="508">
        <f>'Data 2009-15 (Real $2008)'!J96</f>
        <v>0</v>
      </c>
      <c r="K54" s="507">
        <f>'Data 2009-15 (Real $2008)'!N96</f>
        <v>0</v>
      </c>
      <c r="L54" s="507">
        <f>'Data 2009-15 (Real $2008)'!O96</f>
        <v>0</v>
      </c>
      <c r="M54" s="507">
        <f>'Data 2009-15 (Real $2008)'!P96</f>
        <v>0</v>
      </c>
      <c r="N54" s="507">
        <f>'Data 2009-15 (Real $2008)'!Q96</f>
        <v>0</v>
      </c>
      <c r="Q54" s="80">
        <f t="shared" si="9"/>
        <v>0</v>
      </c>
      <c r="R54" s="80">
        <f t="shared" si="10"/>
        <v>0</v>
      </c>
      <c r="S54" s="80">
        <f t="shared" si="10"/>
        <v>0</v>
      </c>
      <c r="T54" s="80">
        <f t="shared" si="10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E55" s="508">
        <f>'Data 2009-15 (Real $2008)'!G97</f>
        <v>0</v>
      </c>
      <c r="F55" s="508">
        <f>'Data 2009-15 (Real $2008)'!H97</f>
        <v>0</v>
      </c>
      <c r="G55" s="508">
        <f>'Data 2009-15 (Real $2008)'!I97</f>
        <v>0</v>
      </c>
      <c r="H55" s="508">
        <f>'Data 2009-15 (Real $2008)'!J97</f>
        <v>0</v>
      </c>
      <c r="K55" s="507">
        <f>'Data 2009-15 (Real $2008)'!N97</f>
        <v>0</v>
      </c>
      <c r="L55" s="507">
        <f>'Data 2009-15 (Real $2008)'!O97</f>
        <v>0</v>
      </c>
      <c r="M55" s="507">
        <f>'Data 2009-15 (Real $2008)'!P97</f>
        <v>0</v>
      </c>
      <c r="N55" s="507">
        <f>'Data 2009-15 (Real $2008)'!Q97</f>
        <v>0</v>
      </c>
      <c r="Q55" s="80">
        <f t="shared" si="9"/>
        <v>0</v>
      </c>
      <c r="R55" s="80">
        <f t="shared" si="10"/>
        <v>0</v>
      </c>
      <c r="S55" s="80">
        <f t="shared" si="10"/>
        <v>0</v>
      </c>
      <c r="T55" s="80">
        <f t="shared" si="10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E56" s="508">
        <f>'Data 2009-15 (Real $2008)'!G98</f>
        <v>0</v>
      </c>
      <c r="F56" s="508">
        <f>'Data 2009-15 (Real $2008)'!H98</f>
        <v>0</v>
      </c>
      <c r="G56" s="508">
        <f>'Data 2009-15 (Real $2008)'!I98</f>
        <v>0</v>
      </c>
      <c r="H56" s="508">
        <f>'Data 2009-15 (Real $2008)'!J98</f>
        <v>0</v>
      </c>
      <c r="K56" s="507">
        <f>'Data 2009-15 (Real $2008)'!N98</f>
        <v>0</v>
      </c>
      <c r="L56" s="507">
        <f>'Data 2009-15 (Real $2008)'!O98</f>
        <v>0</v>
      </c>
      <c r="M56" s="507">
        <f>'Data 2009-15 (Real $2008)'!P98</f>
        <v>0</v>
      </c>
      <c r="N56" s="507">
        <f>'Data 2009-15 (Real $2008)'!Q98</f>
        <v>0</v>
      </c>
      <c r="Q56" s="80">
        <f t="shared" si="9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E57" s="508">
        <f>'Data 2009-15 (Real $2008)'!G99</f>
        <v>0</v>
      </c>
      <c r="F57" s="508">
        <f>'Data 2009-15 (Real $2008)'!H99</f>
        <v>0</v>
      </c>
      <c r="G57" s="508">
        <f>'Data 2009-15 (Real $2008)'!I99</f>
        <v>0</v>
      </c>
      <c r="H57" s="508">
        <f>'Data 2009-15 (Real $2008)'!J99</f>
        <v>0</v>
      </c>
      <c r="K57" s="507">
        <f>'Data 2009-15 (Real $2008)'!N99</f>
        <v>0</v>
      </c>
      <c r="L57" s="507">
        <f>'Data 2009-15 (Real $2008)'!O99</f>
        <v>0</v>
      </c>
      <c r="M57" s="507">
        <f>'Data 2009-15 (Real $2008)'!P99</f>
        <v>0</v>
      </c>
      <c r="N57" s="507">
        <f>'Data 2009-15 (Real $2008)'!Q99</f>
        <v>0</v>
      </c>
      <c r="Q57" s="80">
        <f t="shared" si="9"/>
        <v>0</v>
      </c>
      <c r="R57" s="80">
        <f t="shared" si="10"/>
        <v>0</v>
      </c>
      <c r="S57" s="80">
        <f t="shared" si="10"/>
        <v>0</v>
      </c>
      <c r="T57" s="80">
        <f t="shared" si="10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E58" s="508">
        <f>'Data 2009-15 (Real $2008)'!G100</f>
        <v>0</v>
      </c>
      <c r="F58" s="508">
        <f>'Data 2009-15 (Real $2008)'!H100</f>
        <v>0</v>
      </c>
      <c r="G58" s="508">
        <f>'Data 2009-15 (Real $2008)'!I100</f>
        <v>0</v>
      </c>
      <c r="H58" s="508">
        <f>'Data 2009-15 (Real $2008)'!J100</f>
        <v>0</v>
      </c>
      <c r="K58" s="507">
        <f>'Data 2009-15 (Real $2008)'!N100</f>
        <v>0</v>
      </c>
      <c r="L58" s="507">
        <f>'Data 2009-15 (Real $2008)'!O100</f>
        <v>0</v>
      </c>
      <c r="M58" s="507">
        <f>'Data 2009-15 (Real $2008)'!P100</f>
        <v>0</v>
      </c>
      <c r="N58" s="507">
        <f>'Data 2009-15 (Real $2008)'!Q100</f>
        <v>0</v>
      </c>
      <c r="Q58" s="80">
        <f t="shared" si="9"/>
        <v>0</v>
      </c>
      <c r="R58" s="80">
        <f t="shared" si="10"/>
        <v>0</v>
      </c>
      <c r="S58" s="80">
        <f t="shared" si="10"/>
        <v>0</v>
      </c>
      <c r="T58" s="80">
        <f t="shared" si="10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E59" s="508">
        <f>'Data 2009-15 (Real $2008)'!G101</f>
        <v>0</v>
      </c>
      <c r="F59" s="508">
        <f>'Data 2009-15 (Real $2008)'!H101</f>
        <v>0</v>
      </c>
      <c r="G59" s="508">
        <f>'Data 2009-15 (Real $2008)'!I101</f>
        <v>0</v>
      </c>
      <c r="H59" s="508">
        <f>'Data 2009-15 (Real $2008)'!J101</f>
        <v>0</v>
      </c>
      <c r="K59" s="507">
        <f>'Data 2009-15 (Real $2008)'!N101</f>
        <v>0</v>
      </c>
      <c r="L59" s="507">
        <f>'Data 2009-15 (Real $2008)'!O101</f>
        <v>0</v>
      </c>
      <c r="M59" s="507">
        <f>'Data 2009-15 (Real $2008)'!P101</f>
        <v>0</v>
      </c>
      <c r="N59" s="507">
        <f>'Data 2009-15 (Real $2008)'!Q101</f>
        <v>0</v>
      </c>
      <c r="Q59" s="80">
        <f t="shared" si="9"/>
        <v>0</v>
      </c>
      <c r="R59" s="80">
        <f t="shared" si="10"/>
        <v>0</v>
      </c>
      <c r="S59" s="80">
        <f t="shared" si="10"/>
        <v>0</v>
      </c>
      <c r="T59" s="80">
        <f t="shared" si="10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E60" s="508">
        <f>'Data 2009-15 (Real $2008)'!G102</f>
        <v>0</v>
      </c>
      <c r="F60" s="508">
        <f>'Data 2009-15 (Real $2008)'!H102</f>
        <v>0</v>
      </c>
      <c r="G60" s="508">
        <f>'Data 2009-15 (Real $2008)'!I102</f>
        <v>0</v>
      </c>
      <c r="H60" s="508">
        <f>'Data 2009-15 (Real $2008)'!J102</f>
        <v>0</v>
      </c>
      <c r="K60" s="507">
        <f>'Data 2009-15 (Real $2008)'!N102</f>
        <v>0</v>
      </c>
      <c r="L60" s="507">
        <f>'Data 2009-15 (Real $2008)'!O102</f>
        <v>0</v>
      </c>
      <c r="M60" s="507">
        <f>'Data 2009-15 (Real $2008)'!P102</f>
        <v>0</v>
      </c>
      <c r="N60" s="507">
        <f>'Data 2009-15 (Real $2008)'!Q102</f>
        <v>0</v>
      </c>
      <c r="Q60" s="80">
        <f t="shared" si="9"/>
        <v>0</v>
      </c>
      <c r="R60" s="80">
        <f t="shared" si="10"/>
        <v>0</v>
      </c>
      <c r="S60" s="80">
        <f t="shared" si="10"/>
        <v>0</v>
      </c>
      <c r="T60" s="80">
        <f t="shared" si="10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E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E64" s="508">
        <f>'Data 2009-15 (Real $2008)'!G106</f>
        <v>0</v>
      </c>
      <c r="F64" s="508">
        <f>'Data 2009-15 (Real $2008)'!H106</f>
        <v>0</v>
      </c>
      <c r="G64" s="508">
        <f>'Data 2009-15 (Real $2008)'!I106</f>
        <v>0</v>
      </c>
      <c r="H64" s="508">
        <f>'Data 2009-15 (Real $2008)'!J106</f>
        <v>0</v>
      </c>
      <c r="K64" s="507">
        <f>'Data 2009-15 (Real $2008)'!N106</f>
        <v>0</v>
      </c>
      <c r="L64" s="507">
        <f>'Data 2009-15 (Real $2008)'!O106</f>
        <v>0</v>
      </c>
      <c r="M64" s="507">
        <f>'Data 2009-15 (Real $2008)'!P106</f>
        <v>0</v>
      </c>
      <c r="N64" s="507">
        <f>'Data 2009-15 (Real $2008)'!Q106</f>
        <v>0</v>
      </c>
      <c r="Q64" s="80">
        <f t="shared" ref="Q64:Q74" si="11">E64*K64/10^3</f>
        <v>0</v>
      </c>
      <c r="R64" s="80">
        <f t="shared" ref="R64:T74" si="12">F64*L64/10^3</f>
        <v>0</v>
      </c>
      <c r="S64" s="80">
        <f t="shared" si="12"/>
        <v>0</v>
      </c>
      <c r="T64" s="80">
        <f t="shared" si="12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E65" s="508">
        <f>'Data 2009-15 (Real $2008)'!G107</f>
        <v>0</v>
      </c>
      <c r="F65" s="508">
        <f>'Data 2009-15 (Real $2008)'!H107</f>
        <v>0</v>
      </c>
      <c r="G65" s="508">
        <f>'Data 2009-15 (Real $2008)'!I107</f>
        <v>0</v>
      </c>
      <c r="H65" s="508">
        <f>'Data 2009-15 (Real $2008)'!J107</f>
        <v>0</v>
      </c>
      <c r="K65" s="507">
        <f>'Data 2009-15 (Real $2008)'!N107</f>
        <v>0</v>
      </c>
      <c r="L65" s="507">
        <f>'Data 2009-15 (Real $2008)'!O107</f>
        <v>0</v>
      </c>
      <c r="M65" s="507">
        <f>'Data 2009-15 (Real $2008)'!P107</f>
        <v>0</v>
      </c>
      <c r="N65" s="507">
        <f>'Data 2009-15 (Real $2008)'!Q107</f>
        <v>0</v>
      </c>
      <c r="Q65" s="80">
        <f t="shared" si="11"/>
        <v>0</v>
      </c>
      <c r="R65" s="80">
        <f t="shared" si="12"/>
        <v>0</v>
      </c>
      <c r="S65" s="80">
        <f t="shared" si="12"/>
        <v>0</v>
      </c>
      <c r="T65" s="80">
        <f t="shared" si="12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E66" s="508">
        <f>'Data 2009-15 (Real $2008)'!G108</f>
        <v>0</v>
      </c>
      <c r="F66" s="508">
        <f>'Data 2009-15 (Real $2008)'!H108</f>
        <v>0</v>
      </c>
      <c r="G66" s="508">
        <f>'Data 2009-15 (Real $2008)'!I108</f>
        <v>0</v>
      </c>
      <c r="H66" s="508">
        <f>'Data 2009-15 (Real $2008)'!J108</f>
        <v>0</v>
      </c>
      <c r="K66" s="507">
        <f>'Data 2009-15 (Real $2008)'!N108</f>
        <v>0</v>
      </c>
      <c r="L66" s="507">
        <f>'Data 2009-15 (Real $2008)'!O108</f>
        <v>0</v>
      </c>
      <c r="M66" s="507">
        <f>'Data 2009-15 (Real $2008)'!P108</f>
        <v>0</v>
      </c>
      <c r="N66" s="507">
        <f>'Data 2009-15 (Real $2008)'!Q108</f>
        <v>0</v>
      </c>
      <c r="Q66" s="80">
        <f t="shared" si="11"/>
        <v>0</v>
      </c>
      <c r="R66" s="80">
        <f t="shared" si="12"/>
        <v>0</v>
      </c>
      <c r="S66" s="80">
        <f t="shared" si="12"/>
        <v>0</v>
      </c>
      <c r="T66" s="80">
        <f t="shared" si="12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E67" s="508">
        <f>'Data 2009-15 (Real $2008)'!G109</f>
        <v>0</v>
      </c>
      <c r="F67" s="508">
        <f>'Data 2009-15 (Real $2008)'!H109</f>
        <v>0</v>
      </c>
      <c r="G67" s="508">
        <f>'Data 2009-15 (Real $2008)'!I109</f>
        <v>0</v>
      </c>
      <c r="H67" s="508">
        <f>'Data 2009-15 (Real $2008)'!J109</f>
        <v>0</v>
      </c>
      <c r="K67" s="507">
        <f>'Data 2009-15 (Real $2008)'!N109</f>
        <v>0</v>
      </c>
      <c r="L67" s="507">
        <f>'Data 2009-15 (Real $2008)'!O109</f>
        <v>0</v>
      </c>
      <c r="M67" s="507">
        <f>'Data 2009-15 (Real $2008)'!P109</f>
        <v>0</v>
      </c>
      <c r="N67" s="507">
        <f>'Data 2009-15 (Real $2008)'!Q109</f>
        <v>0</v>
      </c>
      <c r="Q67" s="80">
        <f t="shared" si="11"/>
        <v>0</v>
      </c>
      <c r="R67" s="80">
        <f t="shared" si="12"/>
        <v>0</v>
      </c>
      <c r="S67" s="80">
        <f t="shared" si="12"/>
        <v>0</v>
      </c>
      <c r="T67" s="80">
        <f t="shared" si="12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E68" s="508">
        <f>'Data 2009-15 (Real $2008)'!G110</f>
        <v>0</v>
      </c>
      <c r="F68" s="508">
        <f>'Data 2009-15 (Real $2008)'!H110</f>
        <v>0</v>
      </c>
      <c r="G68" s="508">
        <f>'Data 2009-15 (Real $2008)'!I110</f>
        <v>0</v>
      </c>
      <c r="H68" s="508">
        <f>'Data 2009-15 (Real $2008)'!J110</f>
        <v>0</v>
      </c>
      <c r="K68" s="507">
        <f>'Data 2009-15 (Real $2008)'!N110</f>
        <v>0</v>
      </c>
      <c r="L68" s="507">
        <f>'Data 2009-15 (Real $2008)'!O110</f>
        <v>0</v>
      </c>
      <c r="M68" s="507">
        <f>'Data 2009-15 (Real $2008)'!P110</f>
        <v>0</v>
      </c>
      <c r="N68" s="507">
        <f>'Data 2009-15 (Real $2008)'!Q110</f>
        <v>0</v>
      </c>
      <c r="Q68" s="80">
        <f t="shared" si="11"/>
        <v>0</v>
      </c>
      <c r="R68" s="80">
        <f t="shared" si="12"/>
        <v>0</v>
      </c>
      <c r="S68" s="80">
        <f t="shared" si="12"/>
        <v>0</v>
      </c>
      <c r="T68" s="80">
        <f t="shared" si="12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E69" s="508">
        <f>'Data 2009-15 (Real $2008)'!G111</f>
        <v>0</v>
      </c>
      <c r="F69" s="508">
        <f>'Data 2009-15 (Real $2008)'!H111</f>
        <v>0</v>
      </c>
      <c r="G69" s="508">
        <f>'Data 2009-15 (Real $2008)'!I111</f>
        <v>0</v>
      </c>
      <c r="H69" s="508">
        <f>'Data 2009-15 (Real $2008)'!J111</f>
        <v>0</v>
      </c>
      <c r="K69" s="507">
        <f>'Data 2009-15 (Real $2008)'!N111</f>
        <v>0</v>
      </c>
      <c r="L69" s="507">
        <f>'Data 2009-15 (Real $2008)'!O111</f>
        <v>0</v>
      </c>
      <c r="M69" s="507">
        <f>'Data 2009-15 (Real $2008)'!P111</f>
        <v>0</v>
      </c>
      <c r="N69" s="507">
        <f>'Data 2009-15 (Real $2008)'!Q111</f>
        <v>0</v>
      </c>
      <c r="Q69" s="80">
        <f t="shared" si="11"/>
        <v>0</v>
      </c>
      <c r="R69" s="80">
        <f t="shared" si="12"/>
        <v>0</v>
      </c>
      <c r="S69" s="80">
        <f t="shared" si="12"/>
        <v>0</v>
      </c>
      <c r="T69" s="80">
        <f t="shared" si="12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E70" s="508">
        <f>'Data 2009-15 (Real $2008)'!G112</f>
        <v>102.96</v>
      </c>
      <c r="F70" s="508">
        <f>'Data 2009-15 (Real $2008)'!H112</f>
        <v>127.75</v>
      </c>
      <c r="G70" s="508">
        <f>'Data 2009-15 (Real $2008)'!I112</f>
        <v>127.75</v>
      </c>
      <c r="H70" s="508">
        <f>'Data 2009-15 (Real $2008)'!J112</f>
        <v>127.75</v>
      </c>
      <c r="K70" s="507">
        <f>'Data 2009-15 (Real $2008)'!N112</f>
        <v>608884.52263649413</v>
      </c>
      <c r="L70" s="507">
        <f>'Data 2009-15 (Real $2008)'!O112</f>
        <v>619494.27478956722</v>
      </c>
      <c r="M70" s="507">
        <f>'Data 2009-15 (Real $2008)'!P112</f>
        <v>630824.29446182703</v>
      </c>
      <c r="N70" s="507">
        <f>'Data 2009-15 (Real $2008)'!Q112</f>
        <v>642772.44899599045</v>
      </c>
      <c r="Q70" s="80">
        <f t="shared" si="11"/>
        <v>62690.750450653431</v>
      </c>
      <c r="R70" s="80">
        <f t="shared" si="12"/>
        <v>79140.393604367215</v>
      </c>
      <c r="S70" s="80">
        <f t="shared" si="12"/>
        <v>80587.803617498401</v>
      </c>
      <c r="T70" s="80">
        <f t="shared" si="12"/>
        <v>82114.180359237769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E71" s="508">
        <f>'Data 2009-15 (Real $2008)'!G113</f>
        <v>135.80000000000001</v>
      </c>
      <c r="F71" s="508">
        <f>'Data 2009-15 (Real $2008)'!H113</f>
        <v>168.5</v>
      </c>
      <c r="G71" s="508">
        <f>'Data 2009-15 (Real $2008)'!I113</f>
        <v>168.5</v>
      </c>
      <c r="H71" s="508">
        <f>'Data 2009-15 (Real $2008)'!J113</f>
        <v>168.5</v>
      </c>
      <c r="K71" s="507">
        <f>'Data 2009-15 (Real $2008)'!N113</f>
        <v>114880.73414048826</v>
      </c>
      <c r="L71" s="507">
        <f>'Data 2009-15 (Real $2008)'!O113</f>
        <v>116621.80849491595</v>
      </c>
      <c r="M71" s="507">
        <f>'Data 2009-15 (Real $2008)'!P113</f>
        <v>118147.36937687505</v>
      </c>
      <c r="N71" s="507">
        <f>'Data 2009-15 (Real $2008)'!Q113</f>
        <v>119756.16068493875</v>
      </c>
      <c r="Q71" s="80">
        <f t="shared" si="11"/>
        <v>15600.803696278308</v>
      </c>
      <c r="R71" s="80">
        <f t="shared" si="12"/>
        <v>19650.774731393336</v>
      </c>
      <c r="S71" s="80">
        <f t="shared" si="12"/>
        <v>19907.831740003447</v>
      </c>
      <c r="T71" s="80">
        <f t="shared" si="12"/>
        <v>20178.91307541218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E72" s="508">
        <f>'Data 2009-15 (Real $2008)'!G114</f>
        <v>179.94</v>
      </c>
      <c r="F72" s="508">
        <f>'Data 2009-15 (Real $2008)'!H114</f>
        <v>223.27</v>
      </c>
      <c r="G72" s="508">
        <f>'Data 2009-15 (Real $2008)'!I114</f>
        <v>223.27</v>
      </c>
      <c r="H72" s="508">
        <f>'Data 2009-15 (Real $2008)'!J114</f>
        <v>223.27</v>
      </c>
      <c r="K72" s="507">
        <f>'Data 2009-15 (Real $2008)'!N114</f>
        <v>4339.3026097331567</v>
      </c>
      <c r="L72" s="507">
        <f>'Data 2009-15 (Real $2008)'!O114</f>
        <v>4432.1986710164201</v>
      </c>
      <c r="M72" s="507">
        <f>'Data 2009-15 (Real $2008)'!P114</f>
        <v>4496.2788522774736</v>
      </c>
      <c r="N72" s="507">
        <f>'Data 2009-15 (Real $2008)'!Q114</f>
        <v>4563.8550728341643</v>
      </c>
      <c r="Q72" s="80">
        <f t="shared" si="11"/>
        <v>780.81411159538425</v>
      </c>
      <c r="R72" s="80">
        <f t="shared" si="12"/>
        <v>989.5769972778362</v>
      </c>
      <c r="S72" s="80">
        <f t="shared" si="12"/>
        <v>1003.8841793479916</v>
      </c>
      <c r="T72" s="80">
        <f t="shared" si="12"/>
        <v>1018.9719221116839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E73" s="508">
        <f>'Data 2009-15 (Real $2008)'!G115</f>
        <v>0</v>
      </c>
      <c r="F73" s="508">
        <f>'Data 2009-15 (Real $2008)'!H115</f>
        <v>0</v>
      </c>
      <c r="G73" s="508">
        <f>'Data 2009-15 (Real $2008)'!I115</f>
        <v>0</v>
      </c>
      <c r="H73" s="508">
        <f>'Data 2009-15 (Real $2008)'!J115</f>
        <v>0</v>
      </c>
      <c r="K73" s="507">
        <f>'Data 2009-15 (Real $2008)'!N115</f>
        <v>0</v>
      </c>
      <c r="L73" s="507">
        <f>'Data 2009-15 (Real $2008)'!O115</f>
        <v>0</v>
      </c>
      <c r="M73" s="507">
        <f>'Data 2009-15 (Real $2008)'!P115</f>
        <v>0</v>
      </c>
      <c r="N73" s="507">
        <f>'Data 2009-15 (Real $2008)'!Q115</f>
        <v>0</v>
      </c>
      <c r="Q73" s="80">
        <f t="shared" si="11"/>
        <v>0</v>
      </c>
      <c r="R73" s="80">
        <f t="shared" si="12"/>
        <v>0</v>
      </c>
      <c r="S73" s="80">
        <f t="shared" si="12"/>
        <v>0</v>
      </c>
      <c r="T73" s="80">
        <f t="shared" si="12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E74" s="508">
        <f>'Data 2009-15 (Real $2008)'!G116</f>
        <v>0</v>
      </c>
      <c r="F74" s="508">
        <f>'Data 2009-15 (Real $2008)'!H116</f>
        <v>0</v>
      </c>
      <c r="G74" s="508">
        <f>'Data 2009-15 (Real $2008)'!I116</f>
        <v>0</v>
      </c>
      <c r="H74" s="508">
        <f>'Data 2009-15 (Real $2008)'!J116</f>
        <v>0</v>
      </c>
      <c r="K74" s="507">
        <f>'Data 2009-15 (Real $2008)'!N116</f>
        <v>0</v>
      </c>
      <c r="L74" s="507">
        <f>'Data 2009-15 (Real $2008)'!O116</f>
        <v>0</v>
      </c>
      <c r="M74" s="507">
        <f>'Data 2009-15 (Real $2008)'!P116</f>
        <v>0</v>
      </c>
      <c r="N74" s="507">
        <f>'Data 2009-15 (Real $2008)'!Q116</f>
        <v>0</v>
      </c>
      <c r="Q74" s="80">
        <f t="shared" si="11"/>
        <v>0</v>
      </c>
      <c r="R74" s="80">
        <f t="shared" si="12"/>
        <v>0</v>
      </c>
      <c r="S74" s="80">
        <f t="shared" si="12"/>
        <v>0</v>
      </c>
      <c r="T74" s="80">
        <f t="shared" si="12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Q76" s="509">
        <f>SUM(Q30:Q74)</f>
        <v>79072.368258527131</v>
      </c>
      <c r="R76" s="509">
        <f>SUM(R30:R74)</f>
        <v>99780.745333038387</v>
      </c>
      <c r="S76" s="509">
        <f>SUM(S30:S74)</f>
        <v>101499.51953684984</v>
      </c>
      <c r="T76" s="509">
        <f>SUM(T30:T74)</f>
        <v>103312.06535676164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</sheetData>
  <mergeCells count="3">
    <mergeCell ref="Q26:T26"/>
    <mergeCell ref="K26:N26"/>
    <mergeCell ref="F26:H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3" t="str">
        <f>'Data 2006-08'!$A$1</f>
        <v>Powercor</v>
      </c>
      <c r="B1" s="488" t="s">
        <v>0</v>
      </c>
      <c r="C1" s="489" t="str">
        <f>IF(SUM(C35)&lt;0.001,"Ok","Error")</f>
        <v>Ok</v>
      </c>
      <c r="D1" s="787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77" t="s">
        <v>389</v>
      </c>
      <c r="I3" s="777" t="s">
        <v>385</v>
      </c>
    </row>
    <row r="4" spans="1:22" s="82" customFormat="1" x14ac:dyDescent="0.2">
      <c r="A4" s="431" t="s">
        <v>315</v>
      </c>
      <c r="C4" s="777" t="s">
        <v>383</v>
      </c>
      <c r="I4" s="777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5.5599999999999997E-2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3.8100000000000002E-2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0.06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2.5499999999999998E-2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7.6157971721111384E-2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0.1036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6.6504144319843972E-2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78"/>
      <c r="E16" s="779"/>
      <c r="F16" s="780"/>
      <c r="G16" s="780"/>
      <c r="H16" s="780"/>
      <c r="I16" s="440">
        <f>I6+I7</f>
        <v>9.3700000000000006E-2</v>
      </c>
      <c r="J16" s="780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78"/>
      <c r="E18" s="779"/>
      <c r="F18" s="781"/>
      <c r="G18" s="781"/>
      <c r="H18" s="781"/>
      <c r="I18" s="437">
        <f>(I13*(1-I10))+(I15*I10)</f>
        <v>7.0365675280350926E-2</v>
      </c>
      <c r="J18" s="781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82"/>
      <c r="E19" s="783"/>
      <c r="F19" s="83"/>
      <c r="G19" s="83"/>
      <c r="H19" s="83"/>
      <c r="I19" s="440">
        <f>(I14*(1-I10))+(I16*I10)</f>
        <v>9.7659999999999997E-2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2">
        <f>'Data 2009-15 (Real $2008)'!D144</f>
        <v>4.9810844892812067E-2</v>
      </c>
      <c r="E22" s="542">
        <f>'Data 2009-15 (Real $2008)'!E144</f>
        <v>1.2612612612612484E-2</v>
      </c>
      <c r="F22" s="542">
        <f>'Data 2009-15 (Real $2008)'!F144</f>
        <v>2.7876631079478242E-2</v>
      </c>
      <c r="G22" s="542">
        <f>'Data 2009-15 (Real $2008)'!G144</f>
        <v>3.5199076745527913E-2</v>
      </c>
      <c r="H22" s="542">
        <f>'Data 2009-15 (Real $2008)'!H144</f>
        <v>2.5600000000000001E-2</v>
      </c>
      <c r="I22" s="542">
        <f>'Data 2009-15 (Real $2008)'!I144</f>
        <v>2.5499999999999998E-2</v>
      </c>
      <c r="J22" s="542">
        <f>'Data 2009-15 (Real $2008)'!J144</f>
        <v>2.5499999999999998E-2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7.0365675280350926E-2</v>
      </c>
      <c r="J23" s="503">
        <f>$I$18</f>
        <v>7.0365675280350926E-2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9.5050000000000079E-2</v>
      </c>
      <c r="I24" s="503">
        <f t="shared" si="0"/>
        <v>9.766000000000008E-2</v>
      </c>
      <c r="J24" s="503">
        <f t="shared" si="0"/>
        <v>9.766000000000008E-2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3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3" t="s">
        <v>367</v>
      </c>
      <c r="R27" s="492"/>
      <c r="S27" s="492"/>
      <c r="T27" s="492"/>
      <c r="U27" s="492"/>
      <c r="V27" s="492"/>
      <c r="X27" s="357"/>
      <c r="Y27" s="357"/>
      <c r="Z27" s="491"/>
      <c r="AB27" s="553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4"/>
      <c r="Q28" s="555"/>
      <c r="R28" s="555"/>
      <c r="S28" s="555"/>
      <c r="T28" s="555"/>
      <c r="U28" s="492"/>
      <c r="V28" s="492"/>
      <c r="Y28" s="357"/>
      <c r="Z28" s="491"/>
      <c r="AA28" s="554"/>
      <c r="AB28" s="555"/>
      <c r="AC28" s="555"/>
      <c r="AD28" s="555"/>
      <c r="AE28" s="555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29563.494445828263</v>
      </c>
      <c r="H30" s="80">
        <f>H24*('AMI RAB 2009-15'!H12*'Data 2009-15 (Real $2008)'!H145-H38)</f>
        <v>32840.503804452979</v>
      </c>
      <c r="I30" s="80">
        <f>I24*('AMI RAB 2009-15'!I12*'Data 2009-15 (Real $2008)'!I145-I38)</f>
        <v>34907.957836418813</v>
      </c>
      <c r="J30" s="80">
        <f>J24*('AMI RAB 2009-15'!J12*'Data 2009-15 (Real $2008)'!J145-J38)</f>
        <v>32900.418240050953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13302.734612437607</v>
      </c>
      <c r="S30" s="80">
        <f>G23*'AMI RAB 2009-15'!G12*'Data 2009-15 (Real $2008)'!G145</f>
        <v>19681.094817915069</v>
      </c>
      <c r="T30" s="80">
        <f>H23*'AMI RAB 2009-15'!H12*'Data 2009-15 (Real $2008)'!H145</f>
        <v>23995.507514142624</v>
      </c>
      <c r="U30" s="80">
        <f>I23*'AMI RAB 2009-15'!I12*'Data 2009-15 (Real $2008)'!I145</f>
        <v>25793.141895105215</v>
      </c>
      <c r="V30" s="80">
        <f>J23*'AMI RAB 2009-15'!J12*'Data 2009-15 (Real $2008)'!J145</f>
        <v>24309.790909298288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12174.343390263153</v>
      </c>
      <c r="AD30" s="80">
        <f>G23*'AMI RAB 2009-15'!G12</f>
        <v>17399.228752069845</v>
      </c>
      <c r="AE30" s="80">
        <f>H23*'AMI RAB 2009-15'!H12</f>
        <v>20683.911550717574</v>
      </c>
      <c r="AF30" s="80">
        <f>I23*'AMI RAB 2009-15'!I12</f>
        <v>21680.600888227371</v>
      </c>
      <c r="AG30" s="80">
        <f>J23*'AMI RAB 2009-15'!J12</f>
        <v>19925.655900547401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30831.594449856486</v>
      </c>
      <c r="H31" s="80">
        <f t="shared" si="1"/>
        <v>41557.852773815961</v>
      </c>
      <c r="I31" s="80">
        <f t="shared" si="1"/>
        <v>36123.142190295839</v>
      </c>
      <c r="J31" s="80">
        <f t="shared" si="1"/>
        <v>38068.304989154378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40713.994077769654</v>
      </c>
      <c r="T31" s="80">
        <f>'AMI RAB 2009-15'!H9*'Data 2009-15 (Real $2008)'!H145</f>
        <v>50402.849064126276</v>
      </c>
      <c r="U31" s="80">
        <f>'AMI RAB 2009-15'!I9*'Data 2009-15 (Real $2008)'!I145</f>
        <v>45237.958131609361</v>
      </c>
      <c r="V31" s="80">
        <f>'AMI RAB 2009-15'!J9*'Data 2009-15 (Real $2008)'!J145</f>
        <v>46658.932319906969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35993.530996289119</v>
      </c>
      <c r="AE31" s="80">
        <f>'AMI RAB 2009-15'!H9</f>
        <v>43446.802337150155</v>
      </c>
      <c r="AF31" s="80">
        <f>'AMI RAB 2009-15'!I9</f>
        <v>38025.073457060578</v>
      </c>
      <c r="AG31" s="80">
        <f>'AMI RAB 2009-15'!J9</f>
        <v>38244.254488334169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19953.460255118396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25162.840413932503</v>
      </c>
      <c r="H32" s="80">
        <f>'Data 2009-15 (Real $2008)'!H55*'Data 2009-15 (Real $2008)'!H145/10^3</f>
        <v>24463.835599942373</v>
      </c>
      <c r="I32" s="80">
        <f>'Data 2009-15 (Real $2008)'!I55*'Data 2009-15 (Real $2008)'!I145/10^3</f>
        <v>23541.39247230241</v>
      </c>
      <c r="J32" s="80">
        <f>'Data 2009-15 (Real $2008)'!J55*'Data 2009-15 (Real $2008)'!J145/10^3</f>
        <v>23852.698874705417</v>
      </c>
      <c r="K32" s="495"/>
      <c r="L32" s="495"/>
      <c r="M32" s="358" t="s">
        <v>139</v>
      </c>
      <c r="N32" s="495"/>
      <c r="O32" s="556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19953.460255118396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25162.840413932503</v>
      </c>
      <c r="T32" s="80">
        <f>'Data 2009-15 (Real $2008)'!H55*'Data 2009-15 (Real $2008)'!H145/10^3</f>
        <v>24463.835599942373</v>
      </c>
      <c r="U32" s="80">
        <f>'Data 2009-15 (Real $2008)'!I55*'Data 2009-15 (Real $2008)'!I145/10^3</f>
        <v>23541.39247230241</v>
      </c>
      <c r="V32" s="80">
        <f>'Data 2009-15 (Real $2008)'!J55*'Data 2009-15 (Real $2008)'!J145/10^3</f>
        <v>23852.698874705417</v>
      </c>
      <c r="X32" s="358" t="s">
        <v>139</v>
      </c>
      <c r="Y32" s="495"/>
      <c r="Z32" s="556"/>
      <c r="AA32" s="80">
        <f>'Data 2009-15 (Real $2008)'!D55/10^3</f>
        <v>23636.704616791114</v>
      </c>
      <c r="AB32" s="80">
        <f>'Data 2009-15 (Real $2008)'!E55/10^3</f>
        <v>18769.980999180178</v>
      </c>
      <c r="AC32" s="80">
        <f>'Data 2009-15 (Real $2008)'!F55/10^3</f>
        <v>24547.324281262718</v>
      </c>
      <c r="AD32" s="80">
        <f>'Data 2009-15 (Real $2008)'!G55/10^3</f>
        <v>22245.409641302649</v>
      </c>
      <c r="AE32" s="80">
        <f>'Data 2009-15 (Real $2008)'!H55/10^3</f>
        <v>21087.606146370093</v>
      </c>
      <c r="AF32" s="80">
        <f>'Data 2009-15 (Real $2008)'!I55/10^3</f>
        <v>19787.877592452827</v>
      </c>
      <c r="AG32" s="80">
        <f>'Data 2009-15 (Real $2008)'!J55/10^3</f>
        <v>19550.997861317002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85557.929309617248</v>
      </c>
      <c r="H34" s="107">
        <f t="shared" si="5"/>
        <v>98862.19217821132</v>
      </c>
      <c r="I34" s="107">
        <f t="shared" si="5"/>
        <v>94572.492499017055</v>
      </c>
      <c r="J34" s="107">
        <f t="shared" si="5"/>
        <v>94821.422103910736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</v>
      </c>
      <c r="R34" s="107">
        <f t="shared" si="6"/>
        <v>69054.078150580201</v>
      </c>
      <c r="S34" s="107">
        <f t="shared" si="6"/>
        <v>85557.929309617219</v>
      </c>
      <c r="T34" s="107">
        <f t="shared" si="6"/>
        <v>98862.192178211262</v>
      </c>
      <c r="U34" s="107">
        <f t="shared" si="6"/>
        <v>94572.492499016982</v>
      </c>
      <c r="V34" s="107">
        <f t="shared" si="6"/>
        <v>94821.422103910678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75638.169389661605</v>
      </c>
      <c r="AE34" s="107">
        <f t="shared" si="7"/>
        <v>85218.320034237826</v>
      </c>
      <c r="AF34" s="107">
        <f t="shared" si="7"/>
        <v>79493.551937740776</v>
      </c>
      <c r="AG34" s="107">
        <f t="shared" si="7"/>
        <v>77720.908250198583</v>
      </c>
    </row>
    <row r="35" spans="1:33" x14ac:dyDescent="0.2">
      <c r="A35" s="557" t="s">
        <v>0</v>
      </c>
      <c r="B35" s="558"/>
      <c r="C35" s="546">
        <f>SUM(D35:J35,P35:V35)</f>
        <v>0</v>
      </c>
      <c r="D35" s="548">
        <f t="shared" ref="D35:J35" si="8">IF(ABS(P34-D34)&lt;0.001,0,ABS(P34-D34))</f>
        <v>0</v>
      </c>
      <c r="E35" s="548">
        <f t="shared" si="8"/>
        <v>0</v>
      </c>
      <c r="F35" s="548">
        <f t="shared" si="8"/>
        <v>0</v>
      </c>
      <c r="G35" s="548">
        <f t="shared" si="8"/>
        <v>0</v>
      </c>
      <c r="H35" s="548">
        <f t="shared" si="8"/>
        <v>0</v>
      </c>
      <c r="I35" s="548">
        <f t="shared" si="8"/>
        <v>0</v>
      </c>
      <c r="J35" s="548">
        <f t="shared" si="8"/>
        <v>0</v>
      </c>
      <c r="K35" s="561"/>
      <c r="L35" s="561"/>
      <c r="M35" s="561"/>
      <c r="N35" s="561"/>
      <c r="O35" s="561"/>
      <c r="P35" s="548">
        <f>IF(ABS(AA34*'Data 2009-15 (Real $2008)'!D145-P34)&lt;0.001,0,ABS(AA34*'Data 2009-15 (Real $2008)'!D145-P34))</f>
        <v>0</v>
      </c>
      <c r="Q35" s="548">
        <f>IF(ABS(AB34*'Data 2009-15 (Real $2008)'!E145-Q34)&lt;0.001,0,ABS(AB34*'Data 2009-15 (Real $2008)'!E145-Q34))</f>
        <v>0</v>
      </c>
      <c r="R35" s="548">
        <f>IF(ABS(AC34*'Data 2009-15 (Real $2008)'!F145-R34)&lt;0.001,0,ABS(AC34*'Data 2009-15 (Real $2008)'!F145-R34))</f>
        <v>0</v>
      </c>
      <c r="S35" s="548">
        <f>IF(ABS(AD34*'Data 2009-15 (Real $2008)'!G145-S34)&lt;0.001,0,ABS(AD34*'Data 2009-15 (Real $2008)'!G145-S34))</f>
        <v>0</v>
      </c>
      <c r="T35" s="548">
        <f>IF(ABS(AE34*'Data 2009-15 (Real $2008)'!H145-T34)&lt;0.001,0,ABS(AE34*'Data 2009-15 (Real $2008)'!H145-T34))</f>
        <v>0</v>
      </c>
      <c r="U35" s="548">
        <f>IF(ABS(AF34*'Data 2009-15 (Real $2008)'!I145-U34)&lt;0.001,0,ABS(AF34*'Data 2009-15 (Real $2008)'!I145-U34))</f>
        <v>0</v>
      </c>
      <c r="V35" s="548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40713.994077769654</v>
      </c>
      <c r="H37" s="507">
        <f>'AMI RAB 2009-15'!H9*'Data 2009-15 (Real $2008)'!H145</f>
        <v>50402.849064126276</v>
      </c>
      <c r="I37" s="507">
        <f>'AMI RAB 2009-15'!I9*'Data 2009-15 (Real $2008)'!I145</f>
        <v>45237.958131609361</v>
      </c>
      <c r="J37" s="507">
        <f>'AMI RAB 2009-15'!J9*'Data 2009-15 (Real $2008)'!J145</f>
        <v>46658.932319906969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5327.7763340454403</v>
      </c>
      <c r="G38" s="507">
        <f>'AMI RAB 2009-15'!G12*'Data 2009-15 (Real $2008)'!F145*'Data 2009-15 (Real $2008)'!G144</f>
        <v>9882.3996279131661</v>
      </c>
      <c r="H38" s="507">
        <f>'AMI RAB 2009-15'!H12*'Data 2009-15 (Real $2008)'!G145*'Data 2009-15 (Real $2008)'!H144</f>
        <v>8844.9962903103169</v>
      </c>
      <c r="I38" s="507">
        <f>'AMI RAB 2009-15'!I12*'Data 2009-15 (Real $2008)'!H145*'Data 2009-15 (Real $2008)'!I144</f>
        <v>9114.8159413135254</v>
      </c>
      <c r="J38" s="507">
        <f>'AMI RAB 2009-15'!J12*'Data 2009-15 (Real $2008)'!I145*'Data 2009-15 (Real $2008)'!J144</f>
        <v>8590.6273307525953</v>
      </c>
    </row>
    <row r="39" spans="1:33" x14ac:dyDescent="0.2">
      <c r="A39" s="55" t="s">
        <v>138</v>
      </c>
      <c r="B39" s="55"/>
      <c r="C39" s="358"/>
      <c r="D39" s="559">
        <f t="shared" ref="D39:J39" si="9">D37-D38</f>
        <v>6943.2808609939821</v>
      </c>
      <c r="E39" s="559">
        <f t="shared" si="9"/>
        <v>16205.133180424409</v>
      </c>
      <c r="F39" s="559">
        <f t="shared" si="9"/>
        <v>23601.049562591292</v>
      </c>
      <c r="G39" s="559">
        <f t="shared" si="9"/>
        <v>30831.594449856486</v>
      </c>
      <c r="H39" s="559">
        <f t="shared" si="9"/>
        <v>41557.852773815961</v>
      </c>
      <c r="I39" s="559">
        <f t="shared" si="9"/>
        <v>36123.142190295839</v>
      </c>
      <c r="J39" s="559">
        <f t="shared" si="9"/>
        <v>38068.304989154378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8.7550000000000017E-2</v>
      </c>
      <c r="I46" s="503">
        <f>(1+$I$15)*(1+'Data 2009-15 (Real $2008)'!I144)-1</f>
        <v>9.3700000000000117E-2</v>
      </c>
      <c r="J46" s="503">
        <f>(1+$I$15)*(1+'Data 2009-15 (Real $2008)'!J144)-1</f>
        <v>9.3700000000000117E-2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79072.368258527131</v>
      </c>
      <c r="H51" s="81">
        <f>'Tariff Compliance'!H8</f>
        <v>99780.745333038387</v>
      </c>
      <c r="I51" s="81">
        <f>'Tariff Compliance'!I8</f>
        <v>101499.51953684984</v>
      </c>
      <c r="J51" s="81">
        <f>'Tariff Compliance'!J8</f>
        <v>103312.06535676164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19953.460255118393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25162.840413932503</v>
      </c>
      <c r="H53" s="80">
        <f>'Data 2009-15 (Real $2008)'!H55/10^3*'Data 2009-15 (Real $2008)'!H145</f>
        <v>24463.835599942369</v>
      </c>
      <c r="I53" s="80">
        <f>'Data 2009-15 (Real $2008)'!I55/10^3*'Data 2009-15 (Real $2008)'!I145</f>
        <v>23541.39247230241</v>
      </c>
      <c r="J53" s="80">
        <f>'Data 2009-15 (Real $2008)'!J55/10^3*'Data 2009-15 (Real $2008)'!J145</f>
        <v>23852.698874705417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35884.472940893844</v>
      </c>
      <c r="F54" s="80">
        <f>'AMI Tax Depn 2009-15'!F56</f>
        <v>62714.932656050107</v>
      </c>
      <c r="G54" s="80">
        <f>'AMI Tax Depn 2009-15'!G56</f>
        <v>82009.088943421666</v>
      </c>
      <c r="H54" s="80">
        <f>'AMI Tax Depn 2009-15'!H56</f>
        <v>87863.73775118991</v>
      </c>
      <c r="I54" s="80">
        <f>'AMI Tax Depn 2009-15'!I56</f>
        <v>74062.341066086708</v>
      </c>
      <c r="J54" s="80">
        <f>'AMI Tax Depn 2009-15'!J56</f>
        <v>52946.247989826166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10603.943635858057</v>
      </c>
      <c r="G55" s="80">
        <f>'AMI RAB 2009-15'!G12*G45*'Data 2009-15 (Real $2008)'!G145*G46</f>
        <v>17042.341346233468</v>
      </c>
      <c r="H55" s="80">
        <f>'AMI RAB 2009-15'!H12*H45*'Data 2009-15 (Real $2008)'!H145*H46</f>
        <v>18614.145433645666</v>
      </c>
      <c r="I55" s="80">
        <f>'AMI RAB 2009-15'!I12*I45*'Data 2009-15 (Real $2008)'!I145*I46</f>
        <v>20607.923274598961</v>
      </c>
      <c r="J55" s="80">
        <f>'AMI RAB 2009-15'!J12*J45*'Data 2009-15 (Real $2008)'!J145*J46</f>
        <v>19422.771677747129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1039.0481101197511</v>
      </c>
      <c r="G56" s="80">
        <f t="shared" si="10"/>
        <v>29154.231769410471</v>
      </c>
      <c r="H56" s="80">
        <f t="shared" si="10"/>
        <v>74296.134214470978</v>
      </c>
      <c r="I56" s="80">
        <f t="shared" si="10"/>
        <v>105457.10766621053</v>
      </c>
      <c r="J56" s="80">
        <f t="shared" si="10"/>
        <v>122169.24494234877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-1039.0481101197511</v>
      </c>
      <c r="F57" s="80">
        <f t="shared" si="11"/>
        <v>-29154.231769410471</v>
      </c>
      <c r="G57" s="80">
        <f t="shared" si="11"/>
        <v>-74296.134214470978</v>
      </c>
      <c r="H57" s="80">
        <f t="shared" si="11"/>
        <v>-105457.10766621053</v>
      </c>
      <c r="I57" s="80">
        <f t="shared" si="11"/>
        <v>-122169.24494234877</v>
      </c>
      <c r="J57" s="80">
        <f t="shared" si="11"/>
        <v>-115078.89812786585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60">
        <f>D60/'Data 2009-15 (Real $2008)'!D145</f>
        <v>0</v>
      </c>
      <c r="E64" s="560">
        <f>E60/'Data 2009-15 (Real $2008)'!E145</f>
        <v>0</v>
      </c>
      <c r="F64" s="560">
        <f>F60/'Data 2009-15 (Real $2008)'!F145</f>
        <v>0</v>
      </c>
      <c r="G64" s="560">
        <f>G60/'Data 2009-15 (Real $2008)'!G145</f>
        <v>0</v>
      </c>
      <c r="H64" s="560">
        <f>H60/'Data 2009-15 (Real $2008)'!H145</f>
        <v>0</v>
      </c>
      <c r="I64" s="560">
        <f>I60/'Data 2009-15 (Real $2008)'!I145</f>
        <v>0</v>
      </c>
      <c r="J64" s="560">
        <f>J60/'Data 2009-15 (Real $2008)'!J145</f>
        <v>0</v>
      </c>
    </row>
    <row r="65" spans="2:3" ht="13.5" thickTop="1" x14ac:dyDescent="0.2">
      <c r="B65" s="358"/>
      <c r="C65" s="358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D2" sqref="D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3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87">
        <f>C59</f>
        <v>9.8395958048058674E-11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74781.534033008618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91054.373740205716</v>
      </c>
      <c r="H16" s="80">
        <f>'Data 2009-15 (Real $2008)'!H22*'Data 2009-15 (Real $2008)'!H$145/10^3</f>
        <v>66253.142161248747</v>
      </c>
      <c r="I16" s="80">
        <f>'Data 2009-15 (Real $2008)'!I22*'Data 2009-15 (Real $2008)'!I$145/10^3</f>
        <v>7432.0859259307663</v>
      </c>
      <c r="J16" s="80">
        <f>'Data 2009-15 (Real $2008)'!J22*'Data 2009-15 (Real $2008)'!J$145/10^3</f>
        <v>7593.684041212663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21118.048699999996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9979.9822689559096</v>
      </c>
      <c r="H18" s="80">
        <f>'Data 2009-15 (Real $2008)'!H24*'Data 2009-15 (Real $2008)'!H$145/10^3</f>
        <v>9071.2632931279368</v>
      </c>
      <c r="I18" s="80">
        <f>'Data 2009-15 (Real $2008)'!I24*'Data 2009-15 (Real $2008)'!I$145/10^3</f>
        <v>7336.0299225185045</v>
      </c>
      <c r="J18" s="80">
        <f>'Data 2009-15 (Real $2008)'!J24*'Data 2009-15 (Real $2008)'!J$145/10^3</f>
        <v>5605.6469311199571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16665.630703535797</v>
      </c>
      <c r="H19" s="80">
        <f>'Data 2009-15 (Real $2008)'!H25*'Data 2009-15 (Real $2008)'!H$145/10^3</f>
        <v>8412.4210927370186</v>
      </c>
      <c r="I19" s="80">
        <f>'Data 2009-15 (Real $2008)'!I25*'Data 2009-15 (Real $2008)'!I$145/10^3</f>
        <v>2371.5891259173486</v>
      </c>
      <c r="J19" s="80">
        <f>'Data 2009-15 (Real $2008)'!J25*'Data 2009-15 (Real $2008)'!J$145/10^3</f>
        <v>1147.9049920624068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627.65381999999988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127.10898903635311</v>
      </c>
      <c r="H20" s="80">
        <f>'Data 2009-15 (Real $2008)'!H26*'Data 2009-15 (Real $2008)'!H$145/10^3</f>
        <v>123.89191660057701</v>
      </c>
      <c r="I20" s="80">
        <f>'Data 2009-15 (Real $2008)'!I26*'Data 2009-15 (Real $2008)'!I$145/10^3</f>
        <v>127.05116047389173</v>
      </c>
      <c r="J20" s="80">
        <f>'Data 2009-15 (Real $2008)'!J26*'Data 2009-15 (Real $2008)'!J$145/10^3</f>
        <v>140.46708558504588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99225.728113008619</v>
      </c>
      <c r="F21" s="107">
        <f t="shared" si="1"/>
        <v>122708.17717042645</v>
      </c>
      <c r="G21" s="107">
        <f t="shared" si="1"/>
        <v>117699.98671269743</v>
      </c>
      <c r="H21" s="107">
        <f t="shared" si="1"/>
        <v>83736.826547113698</v>
      </c>
      <c r="I21" s="107">
        <f t="shared" si="1"/>
        <v>17139.704974366618</v>
      </c>
      <c r="J21" s="107">
        <f t="shared" si="1"/>
        <v>14347.235964395028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70456.207514085225</v>
      </c>
      <c r="G24" s="80">
        <f t="shared" si="2"/>
        <v>121386.88192602477</v>
      </c>
      <c r="H24" s="80">
        <f t="shared" si="2"/>
        <v>149848.47986768262</v>
      </c>
      <c r="I24" s="80">
        <f t="shared" si="2"/>
        <v>147485.97792331624</v>
      </c>
      <c r="J24" s="80">
        <f t="shared" si="2"/>
        <v>98217.306016891394</v>
      </c>
      <c r="K24" s="80">
        <f t="shared" si="2"/>
        <v>67555.684544042408</v>
      </c>
      <c r="L24" s="80">
        <f t="shared" si="2"/>
        <v>42222.302840026503</v>
      </c>
      <c r="M24" s="80">
        <f t="shared" si="2"/>
        <v>26388.939275016564</v>
      </c>
      <c r="N24" s="80">
        <f t="shared" si="2"/>
        <v>16493.087046885354</v>
      </c>
      <c r="O24" s="80">
        <f t="shared" si="2"/>
        <v>10308.179404303346</v>
      </c>
      <c r="P24" s="80">
        <f t="shared" si="2"/>
        <v>6442.612127689591</v>
      </c>
      <c r="Q24" s="80">
        <f t="shared" si="2"/>
        <v>4026.6325798059943</v>
      </c>
      <c r="R24" s="80">
        <f t="shared" si="2"/>
        <v>2516.6453623787465</v>
      </c>
      <c r="S24" s="80">
        <f t="shared" si="2"/>
        <v>1572.9033514867165</v>
      </c>
      <c r="T24" s="80">
        <f t="shared" si="2"/>
        <v>983.06459467919785</v>
      </c>
      <c r="U24" s="80">
        <f t="shared" si="2"/>
        <v>614.4153716744986</v>
      </c>
      <c r="V24" s="80">
        <f t="shared" si="2"/>
        <v>384.00960729656163</v>
      </c>
      <c r="W24" s="80">
        <f t="shared" si="2"/>
        <v>240.00600456035102</v>
      </c>
      <c r="X24" s="80">
        <f>W27</f>
        <v>150.00375285021937</v>
      </c>
      <c r="Y24" s="80">
        <f>X27</f>
        <v>93.752345531387107</v>
      </c>
      <c r="Z24" s="80">
        <f>Y27</f>
        <v>58.595215957116942</v>
      </c>
      <c r="AA24" s="80">
        <f>Z27</f>
        <v>36.622009973198089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19839.264298548544</v>
      </c>
      <c r="F25" s="80">
        <f t="shared" si="3"/>
        <v>44271.48217848692</v>
      </c>
      <c r="G25" s="80">
        <f t="shared" si="3"/>
        <v>62592.77579854786</v>
      </c>
      <c r="H25" s="80">
        <f t="shared" si="3"/>
        <v>68615.644105615123</v>
      </c>
      <c r="I25" s="80">
        <f t="shared" si="3"/>
        <v>56700.757832355608</v>
      </c>
      <c r="J25" s="80">
        <f t="shared" si="3"/>
        <v>38255.305514061649</v>
      </c>
      <c r="K25" s="80">
        <f t="shared" si="3"/>
        <v>25333.381704015905</v>
      </c>
      <c r="L25" s="80">
        <f t="shared" si="3"/>
        <v>15833.363565009939</v>
      </c>
      <c r="M25" s="80">
        <f t="shared" si="3"/>
        <v>9895.8522281312107</v>
      </c>
      <c r="N25" s="80">
        <f t="shared" si="3"/>
        <v>6184.9076425820076</v>
      </c>
      <c r="O25" s="80">
        <f t="shared" si="3"/>
        <v>3865.567276613755</v>
      </c>
      <c r="P25" s="80">
        <f t="shared" si="3"/>
        <v>2415.9795478835968</v>
      </c>
      <c r="Q25" s="80">
        <f t="shared" si="3"/>
        <v>1509.9872174272477</v>
      </c>
      <c r="R25" s="80">
        <f t="shared" si="3"/>
        <v>943.74201089202995</v>
      </c>
      <c r="S25" s="80">
        <f t="shared" si="3"/>
        <v>589.83875680751862</v>
      </c>
      <c r="T25" s="80">
        <f t="shared" si="3"/>
        <v>368.64922300469919</v>
      </c>
      <c r="U25" s="80">
        <f t="shared" si="3"/>
        <v>230.40576437793698</v>
      </c>
      <c r="V25" s="80">
        <f t="shared" si="3"/>
        <v>144.00360273621061</v>
      </c>
      <c r="W25" s="80">
        <f t="shared" si="3"/>
        <v>90.002251710131631</v>
      </c>
      <c r="X25" s="80">
        <f>$D$6*(X24+X26*0.5)</f>
        <v>56.251407318832264</v>
      </c>
      <c r="Y25" s="80">
        <f>$D$6*(Y24+Y26*0.5)</f>
        <v>35.157129574270165</v>
      </c>
      <c r="Z25" s="80">
        <f>$D$6*(Z24+Z26*0.5)</f>
        <v>21.973205983918852</v>
      </c>
      <c r="AA25" s="80">
        <f>$D$6*(AA24+AA26*0.5)</f>
        <v>13.733253739949284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74781.534033008618</v>
      </c>
      <c r="F26" s="80">
        <f t="shared" si="4"/>
        <v>95202.156590426457</v>
      </c>
      <c r="G26" s="80">
        <f t="shared" si="4"/>
        <v>91054.373740205716</v>
      </c>
      <c r="H26" s="80">
        <f t="shared" si="4"/>
        <v>66253.142161248747</v>
      </c>
      <c r="I26" s="80">
        <f t="shared" si="4"/>
        <v>7432.0859259307663</v>
      </c>
      <c r="J26" s="80">
        <f t="shared" si="4"/>
        <v>7593.684041212663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70456.207514085225</v>
      </c>
      <c r="F27" s="107">
        <f t="shared" si="5"/>
        <v>121386.88192602477</v>
      </c>
      <c r="G27" s="107">
        <f t="shared" si="5"/>
        <v>149848.47986768262</v>
      </c>
      <c r="H27" s="107">
        <f t="shared" si="5"/>
        <v>147485.97792331624</v>
      </c>
      <c r="I27" s="107">
        <f t="shared" si="5"/>
        <v>98217.306016891394</v>
      </c>
      <c r="J27" s="107">
        <f t="shared" si="5"/>
        <v>67555.684544042408</v>
      </c>
      <c r="K27" s="107">
        <f t="shared" si="5"/>
        <v>42222.302840026503</v>
      </c>
      <c r="L27" s="107">
        <f t="shared" si="5"/>
        <v>26388.939275016564</v>
      </c>
      <c r="M27" s="107">
        <f t="shared" si="5"/>
        <v>16493.087046885354</v>
      </c>
      <c r="N27" s="107">
        <f t="shared" si="5"/>
        <v>10308.179404303346</v>
      </c>
      <c r="O27" s="107">
        <f t="shared" si="5"/>
        <v>6442.612127689591</v>
      </c>
      <c r="P27" s="107">
        <f t="shared" si="5"/>
        <v>4026.6325798059943</v>
      </c>
      <c r="Q27" s="107">
        <f t="shared" si="5"/>
        <v>2516.6453623787465</v>
      </c>
      <c r="R27" s="107">
        <f t="shared" si="5"/>
        <v>1572.9033514867165</v>
      </c>
      <c r="S27" s="107">
        <f t="shared" si="5"/>
        <v>983.06459467919785</v>
      </c>
      <c r="T27" s="107">
        <f t="shared" si="5"/>
        <v>614.4153716744986</v>
      </c>
      <c r="U27" s="107">
        <f t="shared" si="5"/>
        <v>384.00960729656163</v>
      </c>
      <c r="V27" s="107">
        <f t="shared" si="5"/>
        <v>240.00600456035102</v>
      </c>
      <c r="W27" s="107">
        <f t="shared" si="5"/>
        <v>150.00375285021937</v>
      </c>
      <c r="X27" s="107">
        <f>X24-X25+X26</f>
        <v>93.752345531387107</v>
      </c>
      <c r="Y27" s="107">
        <f>Y24-Y25+Y26</f>
        <v>58.595215957116942</v>
      </c>
      <c r="Z27" s="107">
        <f>Z24-Z25+Z26</f>
        <v>36.622009973198089</v>
      </c>
      <c r="AA27" s="107">
        <f>AA24-AA25+AA26</f>
        <v>22.888756233248806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33464.160524374718</v>
      </c>
      <c r="G36" s="80">
        <f t="shared" si="10"/>
        <v>29145.227714624831</v>
      </c>
      <c r="H36" s="80">
        <f t="shared" si="10"/>
        <v>25471.122443939625</v>
      </c>
      <c r="I36" s="80">
        <f t="shared" si="10"/>
        <v>22539.684100866121</v>
      </c>
      <c r="J36" s="80">
        <f t="shared" si="10"/>
        <v>19392.634398534476</v>
      </c>
      <c r="K36" s="80">
        <f t="shared" si="10"/>
        <v>16120.09818401665</v>
      </c>
      <c r="L36" s="80">
        <f t="shared" si="10"/>
        <v>9672.058910409989</v>
      </c>
      <c r="M36" s="80">
        <f t="shared" si="10"/>
        <v>5803.2353462459932</v>
      </c>
      <c r="N36" s="80">
        <f t="shared" si="10"/>
        <v>3481.9412077475959</v>
      </c>
      <c r="O36" s="80">
        <f t="shared" si="10"/>
        <v>2089.1647246485572</v>
      </c>
      <c r="P36" s="80">
        <f t="shared" si="10"/>
        <v>1253.4988347891344</v>
      </c>
      <c r="Q36" s="80">
        <f t="shared" si="10"/>
        <v>752.09930087348062</v>
      </c>
      <c r="R36" s="80">
        <f t="shared" si="10"/>
        <v>451.25958052408834</v>
      </c>
      <c r="S36" s="80">
        <f t="shared" si="10"/>
        <v>270.755748314453</v>
      </c>
      <c r="T36" s="80">
        <f t="shared" si="10"/>
        <v>162.45344898867179</v>
      </c>
      <c r="U36" s="80">
        <f t="shared" si="10"/>
        <v>97.472069393203071</v>
      </c>
      <c r="V36" s="80">
        <f t="shared" si="10"/>
        <v>58.483241635921843</v>
      </c>
      <c r="W36" s="80">
        <f t="shared" si="10"/>
        <v>35.089944981553103</v>
      </c>
      <c r="X36" s="80">
        <f>W39</f>
        <v>21.053966988931862</v>
      </c>
      <c r="Y36" s="80">
        <f>X39</f>
        <v>12.632380193359117</v>
      </c>
      <c r="Z36" s="80">
        <f>Y39</f>
        <v>7.5794281160154693</v>
      </c>
      <c r="AA36" s="80">
        <f>Z39</f>
        <v>4.5476568696092814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15652.347059749889</v>
      </c>
      <c r="G37" s="80">
        <f t="shared" si="11"/>
        <v>13654.087539641114</v>
      </c>
      <c r="H37" s="80">
        <f t="shared" si="11"/>
        <v>12002.701636201438</v>
      </c>
      <c r="I37" s="80">
        <f t="shared" si="11"/>
        <v>10483.07962485015</v>
      </c>
      <c r="J37" s="80">
        <f t="shared" si="11"/>
        <v>8878.1831456377822</v>
      </c>
      <c r="K37" s="80">
        <f t="shared" si="11"/>
        <v>6448.0392736066606</v>
      </c>
      <c r="L37" s="80">
        <f t="shared" si="11"/>
        <v>3868.8235641639958</v>
      </c>
      <c r="M37" s="80">
        <f t="shared" si="11"/>
        <v>2321.2941384983974</v>
      </c>
      <c r="N37" s="80">
        <f t="shared" si="11"/>
        <v>1392.7764830990384</v>
      </c>
      <c r="O37" s="80">
        <f t="shared" si="11"/>
        <v>835.66588985942292</v>
      </c>
      <c r="P37" s="80">
        <f t="shared" si="11"/>
        <v>501.39953391565382</v>
      </c>
      <c r="Q37" s="80">
        <f t="shared" si="11"/>
        <v>300.83972034939228</v>
      </c>
      <c r="R37" s="80">
        <f t="shared" si="11"/>
        <v>180.50383220963533</v>
      </c>
      <c r="S37" s="80">
        <f t="shared" si="11"/>
        <v>108.30229932578121</v>
      </c>
      <c r="T37" s="80">
        <f t="shared" si="11"/>
        <v>64.981379595468724</v>
      </c>
      <c r="U37" s="80">
        <f t="shared" si="11"/>
        <v>38.988827757281229</v>
      </c>
      <c r="V37" s="80">
        <f t="shared" si="11"/>
        <v>23.39329665436874</v>
      </c>
      <c r="W37" s="80">
        <f t="shared" si="11"/>
        <v>14.035977992621241</v>
      </c>
      <c r="X37" s="80">
        <f>$D$8*(X36+X38*0.5)</f>
        <v>8.421586795572745</v>
      </c>
      <c r="Y37" s="80">
        <f>$D$8*(Y36+Y38*0.5)</f>
        <v>5.0529520773436474</v>
      </c>
      <c r="Z37" s="80">
        <f>$D$8*(Z36+Z38*0.5)</f>
        <v>3.0317712464061879</v>
      </c>
      <c r="AA37" s="80">
        <f>$D$8*(AA36+AA38*0.5)</f>
        <v>1.8190627478437127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21118.048699999996</v>
      </c>
      <c r="F38" s="80">
        <f t="shared" si="12"/>
        <v>11333.414250000002</v>
      </c>
      <c r="G38" s="80">
        <f t="shared" si="12"/>
        <v>9979.9822689559096</v>
      </c>
      <c r="H38" s="80">
        <f t="shared" si="12"/>
        <v>9071.2632931279368</v>
      </c>
      <c r="I38" s="80">
        <f t="shared" si="12"/>
        <v>7336.0299225185045</v>
      </c>
      <c r="J38" s="80">
        <f t="shared" si="12"/>
        <v>5605.6469311199571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33464.160524374718</v>
      </c>
      <c r="F39" s="107">
        <f t="shared" si="13"/>
        <v>29145.227714624831</v>
      </c>
      <c r="G39" s="107">
        <f t="shared" si="13"/>
        <v>25471.122443939625</v>
      </c>
      <c r="H39" s="107">
        <f t="shared" si="13"/>
        <v>22539.684100866121</v>
      </c>
      <c r="I39" s="107">
        <f t="shared" si="13"/>
        <v>19392.634398534476</v>
      </c>
      <c r="J39" s="107">
        <f t="shared" si="13"/>
        <v>16120.09818401665</v>
      </c>
      <c r="K39" s="107">
        <f t="shared" si="13"/>
        <v>9672.058910409989</v>
      </c>
      <c r="L39" s="107">
        <f t="shared" si="13"/>
        <v>5803.2353462459932</v>
      </c>
      <c r="M39" s="107">
        <f t="shared" si="13"/>
        <v>3481.9412077475959</v>
      </c>
      <c r="N39" s="107">
        <f t="shared" si="13"/>
        <v>2089.1647246485572</v>
      </c>
      <c r="O39" s="107">
        <f t="shared" si="13"/>
        <v>1253.4988347891344</v>
      </c>
      <c r="P39" s="107">
        <f t="shared" si="13"/>
        <v>752.09930087348062</v>
      </c>
      <c r="Q39" s="107">
        <f t="shared" si="13"/>
        <v>451.25958052408834</v>
      </c>
      <c r="R39" s="107">
        <f t="shared" si="13"/>
        <v>270.755748314453</v>
      </c>
      <c r="S39" s="107">
        <f t="shared" si="13"/>
        <v>162.45344898867179</v>
      </c>
      <c r="T39" s="107">
        <f t="shared" si="13"/>
        <v>97.472069393203071</v>
      </c>
      <c r="U39" s="107">
        <f t="shared" si="13"/>
        <v>58.483241635921843</v>
      </c>
      <c r="V39" s="107">
        <f t="shared" si="13"/>
        <v>35.089944981553103</v>
      </c>
      <c r="W39" s="107">
        <f t="shared" si="13"/>
        <v>21.053966988931862</v>
      </c>
      <c r="X39" s="107">
        <f>X36-X37+X38</f>
        <v>12.632380193359117</v>
      </c>
      <c r="Y39" s="107">
        <f>Y36-Y37+Y38</f>
        <v>7.5794281160154693</v>
      </c>
      <c r="Z39" s="107">
        <f>Z36-Z37+Z38</f>
        <v>4.5476568696092814</v>
      </c>
      <c r="AA39" s="107">
        <f>AA36-AA37+AA38</f>
        <v>2.7285941217655685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3851.0981932703417</v>
      </c>
      <c r="G42" s="80">
        <f t="shared" si="14"/>
        <v>17465.689946498125</v>
      </c>
      <c r="H42" s="80">
        <f t="shared" si="14"/>
        <v>28603.069514691204</v>
      </c>
      <c r="I42" s="80">
        <f t="shared" si="14"/>
        <v>29984.930594344001</v>
      </c>
      <c r="J42" s="80">
        <f t="shared" si="14"/>
        <v>25677.078615125061</v>
      </c>
      <c r="K42" s="80">
        <f t="shared" si="14"/>
        <v>21199.762654796839</v>
      </c>
      <c r="L42" s="80">
        <f t="shared" si="14"/>
        <v>16656.956371626089</v>
      </c>
      <c r="M42" s="80">
        <f t="shared" si="14"/>
        <v>13087.608577706213</v>
      </c>
      <c r="N42" s="80">
        <f t="shared" si="14"/>
        <v>10283.121025340595</v>
      </c>
      <c r="O42" s="80">
        <f t="shared" si="14"/>
        <v>8079.5950913390388</v>
      </c>
      <c r="P42" s="80">
        <f t="shared" si="14"/>
        <v>6348.2532860521023</v>
      </c>
      <c r="Q42" s="80">
        <f t="shared" si="14"/>
        <v>4987.913296183795</v>
      </c>
      <c r="R42" s="80">
        <f t="shared" si="14"/>
        <v>3919.0747327158388</v>
      </c>
      <c r="S42" s="80">
        <f t="shared" si="14"/>
        <v>3079.2730042767307</v>
      </c>
      <c r="T42" s="80">
        <f t="shared" si="14"/>
        <v>2419.4287890745741</v>
      </c>
      <c r="U42" s="80">
        <f t="shared" si="14"/>
        <v>1900.9797628443082</v>
      </c>
      <c r="V42" s="80">
        <f t="shared" si="14"/>
        <v>1493.626956520528</v>
      </c>
      <c r="W42" s="80">
        <f t="shared" si="14"/>
        <v>1173.5640372661292</v>
      </c>
      <c r="X42" s="80">
        <f>W45</f>
        <v>922.08602928053006</v>
      </c>
      <c r="Y42" s="80">
        <f>X45</f>
        <v>724.49616586327363</v>
      </c>
      <c r="Z42" s="80">
        <f>Y45</f>
        <v>569.24698746400077</v>
      </c>
      <c r="AA42" s="80">
        <f>Z45</f>
        <v>447.26549015028633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596.73422816463869</v>
      </c>
      <c r="F43" s="80">
        <f t="shared" si="15"/>
        <v>2558.0145767722156</v>
      </c>
      <c r="G43" s="80">
        <f t="shared" si="15"/>
        <v>5528.251135342719</v>
      </c>
      <c r="H43" s="80">
        <f t="shared" si="15"/>
        <v>7030.5600130842231</v>
      </c>
      <c r="I43" s="80">
        <f t="shared" si="15"/>
        <v>6679.4411051362877</v>
      </c>
      <c r="J43" s="80">
        <f t="shared" si="15"/>
        <v>5625.2209523906286</v>
      </c>
      <c r="K43" s="80">
        <f t="shared" si="15"/>
        <v>4542.8062831707512</v>
      </c>
      <c r="L43" s="80">
        <f t="shared" si="15"/>
        <v>3569.347793919876</v>
      </c>
      <c r="M43" s="80">
        <f t="shared" si="15"/>
        <v>2804.4875523656169</v>
      </c>
      <c r="N43" s="80">
        <f t="shared" si="15"/>
        <v>2203.5259340015559</v>
      </c>
      <c r="O43" s="80">
        <f t="shared" si="15"/>
        <v>1731.3418052869367</v>
      </c>
      <c r="P43" s="80">
        <f t="shared" si="15"/>
        <v>1360.3399898683076</v>
      </c>
      <c r="Q43" s="80">
        <f t="shared" si="15"/>
        <v>1068.838563467956</v>
      </c>
      <c r="R43" s="80">
        <f t="shared" si="15"/>
        <v>839.80172843910827</v>
      </c>
      <c r="S43" s="80">
        <f t="shared" si="15"/>
        <v>659.84421520215653</v>
      </c>
      <c r="T43" s="80">
        <f t="shared" si="15"/>
        <v>518.44902623026587</v>
      </c>
      <c r="U43" s="80">
        <f t="shared" si="15"/>
        <v>407.35280632378033</v>
      </c>
      <c r="V43" s="80">
        <f t="shared" si="15"/>
        <v>320.06291925439882</v>
      </c>
      <c r="W43" s="80">
        <f t="shared" si="15"/>
        <v>251.47800798559911</v>
      </c>
      <c r="X43" s="80">
        <f>$D$9*(X42+X44*0.5)</f>
        <v>197.58986341725642</v>
      </c>
      <c r="Y43" s="80">
        <f>$D$9*(Y42+Y44*0.5)</f>
        <v>155.24917839927292</v>
      </c>
      <c r="Z43" s="80">
        <f>$D$9*(Z42+Z44*0.5)</f>
        <v>121.98149731371444</v>
      </c>
      <c r="AA43" s="80">
        <f>$D$9*(AA42+AA44*0.5)</f>
        <v>95.842605032204204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</v>
      </c>
      <c r="F44" s="80">
        <f t="shared" si="16"/>
        <v>16172.606329999999</v>
      </c>
      <c r="G44" s="80">
        <f t="shared" si="16"/>
        <v>16665.630703535797</v>
      </c>
      <c r="H44" s="80">
        <f t="shared" si="16"/>
        <v>8412.4210927370186</v>
      </c>
      <c r="I44" s="80">
        <f t="shared" si="16"/>
        <v>2371.5891259173486</v>
      </c>
      <c r="J44" s="80">
        <f t="shared" si="16"/>
        <v>1147.9049920624068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3851.0981932703417</v>
      </c>
      <c r="F45" s="107">
        <f t="shared" si="17"/>
        <v>17465.689946498125</v>
      </c>
      <c r="G45" s="107">
        <f t="shared" si="17"/>
        <v>28603.069514691204</v>
      </c>
      <c r="H45" s="107">
        <f t="shared" si="17"/>
        <v>29984.930594344001</v>
      </c>
      <c r="I45" s="107">
        <f t="shared" si="17"/>
        <v>25677.078615125061</v>
      </c>
      <c r="J45" s="107">
        <f t="shared" si="17"/>
        <v>21199.762654796839</v>
      </c>
      <c r="K45" s="107">
        <f t="shared" si="17"/>
        <v>16656.956371626089</v>
      </c>
      <c r="L45" s="107">
        <f t="shared" si="17"/>
        <v>13087.608577706213</v>
      </c>
      <c r="M45" s="107">
        <f t="shared" si="17"/>
        <v>10283.121025340595</v>
      </c>
      <c r="N45" s="107">
        <f t="shared" si="17"/>
        <v>8079.5950913390388</v>
      </c>
      <c r="O45" s="107">
        <f t="shared" si="17"/>
        <v>6348.2532860521023</v>
      </c>
      <c r="P45" s="107">
        <f t="shared" si="17"/>
        <v>4987.913296183795</v>
      </c>
      <c r="Q45" s="107">
        <f t="shared" si="17"/>
        <v>3919.0747327158388</v>
      </c>
      <c r="R45" s="107">
        <f t="shared" si="17"/>
        <v>3079.2730042767307</v>
      </c>
      <c r="S45" s="107">
        <f t="shared" si="17"/>
        <v>2419.4287890745741</v>
      </c>
      <c r="T45" s="107">
        <f t="shared" si="17"/>
        <v>1900.9797628443082</v>
      </c>
      <c r="U45" s="107">
        <f t="shared" si="17"/>
        <v>1493.626956520528</v>
      </c>
      <c r="V45" s="107">
        <f t="shared" si="17"/>
        <v>1173.5640372661292</v>
      </c>
      <c r="W45" s="107">
        <f t="shared" si="17"/>
        <v>922.08602928053006</v>
      </c>
      <c r="X45" s="107">
        <f>X42-X43+X44</f>
        <v>724.49616586327363</v>
      </c>
      <c r="Y45" s="107">
        <f>Y42-Y43+Y44</f>
        <v>569.24698746400077</v>
      </c>
      <c r="Z45" s="107">
        <f>Z42-Z43+Z44</f>
        <v>447.26549015028633</v>
      </c>
      <c r="AA45" s="107">
        <f>AA42-AA43+AA44</f>
        <v>351.42288511808215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1146.2838558994604</v>
      </c>
      <c r="G48" s="80">
        <f t="shared" si="18"/>
        <v>1262.3008348583792</v>
      </c>
      <c r="H48" s="80">
        <f t="shared" si="18"/>
        <v>1155.4353540047518</v>
      </c>
      <c r="I48" s="80">
        <f t="shared" si="18"/>
        <v>1064.4952743162041</v>
      </c>
      <c r="J48" s="80">
        <f t="shared" si="18"/>
        <v>992.48393104542242</v>
      </c>
      <c r="K48" s="80">
        <f t="shared" si="18"/>
        <v>945.41263889436027</v>
      </c>
      <c r="L48" s="80">
        <f t="shared" si="18"/>
        <v>778.57511438359086</v>
      </c>
      <c r="M48" s="80">
        <f t="shared" si="18"/>
        <v>641.17950596295714</v>
      </c>
      <c r="N48" s="80">
        <f t="shared" si="18"/>
        <v>528.03018138125879</v>
      </c>
      <c r="O48" s="80">
        <f t="shared" si="18"/>
        <v>434.848384666919</v>
      </c>
      <c r="P48" s="80">
        <f t="shared" si="18"/>
        <v>358.11043443158036</v>
      </c>
      <c r="Q48" s="80">
        <f t="shared" si="18"/>
        <v>294.91447541424265</v>
      </c>
      <c r="R48" s="80">
        <f t="shared" si="18"/>
        <v>242.87074445878807</v>
      </c>
      <c r="S48" s="80">
        <f t="shared" si="18"/>
        <v>200.01120131900194</v>
      </c>
      <c r="T48" s="80">
        <f t="shared" si="18"/>
        <v>164.71510696858985</v>
      </c>
      <c r="U48" s="80">
        <f t="shared" si="18"/>
        <v>135.64773515060341</v>
      </c>
      <c r="V48" s="80">
        <f t="shared" si="18"/>
        <v>111.70989953579104</v>
      </c>
      <c r="W48" s="80">
        <f t="shared" si="18"/>
        <v>91.996387853004393</v>
      </c>
      <c r="X48" s="80">
        <f>W51</f>
        <v>75.761731173062444</v>
      </c>
      <c r="Y48" s="80">
        <f>X51</f>
        <v>62.392013907227899</v>
      </c>
      <c r="Z48" s="80">
        <f>Y51</f>
        <v>51.381658511834743</v>
      </c>
      <c r="AA48" s="80">
        <f>Z51</f>
        <v>42.314307009746258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178.38363126417008</v>
      </c>
      <c r="F49" s="80">
        <f t="shared" si="19"/>
        <v>233.0888410410812</v>
      </c>
      <c r="G49" s="80">
        <f t="shared" si="19"/>
        <v>233.97446988998041</v>
      </c>
      <c r="H49" s="80">
        <f t="shared" si="19"/>
        <v>214.83199628912476</v>
      </c>
      <c r="I49" s="80">
        <f t="shared" si="19"/>
        <v>199.06250374467351</v>
      </c>
      <c r="J49" s="80">
        <f t="shared" si="19"/>
        <v>187.53837773610798</v>
      </c>
      <c r="K49" s="80">
        <f t="shared" si="19"/>
        <v>166.83752451076944</v>
      </c>
      <c r="L49" s="80">
        <f t="shared" si="19"/>
        <v>137.39560842063366</v>
      </c>
      <c r="M49" s="80">
        <f t="shared" si="19"/>
        <v>113.14932458169831</v>
      </c>
      <c r="N49" s="80">
        <f t="shared" si="19"/>
        <v>93.181796714339782</v>
      </c>
      <c r="O49" s="80">
        <f t="shared" si="19"/>
        <v>76.737950235338644</v>
      </c>
      <c r="P49" s="80">
        <f t="shared" si="19"/>
        <v>63.195959017337707</v>
      </c>
      <c r="Q49" s="80">
        <f t="shared" si="19"/>
        <v>52.043730955454578</v>
      </c>
      <c r="R49" s="80">
        <f t="shared" si="19"/>
        <v>42.859543139786126</v>
      </c>
      <c r="S49" s="80">
        <f t="shared" si="19"/>
        <v>35.296094350412105</v>
      </c>
      <c r="T49" s="80">
        <f t="shared" si="19"/>
        <v>29.067371817986441</v>
      </c>
      <c r="U49" s="80">
        <f t="shared" si="19"/>
        <v>23.937835614812364</v>
      </c>
      <c r="V49" s="80">
        <f t="shared" si="19"/>
        <v>19.713511682786653</v>
      </c>
      <c r="W49" s="80">
        <f t="shared" si="19"/>
        <v>16.234656679941949</v>
      </c>
      <c r="X49" s="80">
        <f>$D$10*(X48+X50*0.5)</f>
        <v>13.369717265834547</v>
      </c>
      <c r="Y49" s="80">
        <f>$D$10*(Y48+Y50*0.5)</f>
        <v>11.010355395393157</v>
      </c>
      <c r="Z49" s="80">
        <f>$D$10*(Z48+Z50*0.5)</f>
        <v>9.0673515020884832</v>
      </c>
      <c r="AA49" s="80">
        <f>$D$10*(AA48+AA50*0.5)</f>
        <v>7.4672306487787505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627.65381999999988</v>
      </c>
      <c r="F50" s="80">
        <f t="shared" si="20"/>
        <v>349.10581999999999</v>
      </c>
      <c r="G50" s="80">
        <f t="shared" si="20"/>
        <v>127.10898903635311</v>
      </c>
      <c r="H50" s="80">
        <f t="shared" si="20"/>
        <v>123.89191660057701</v>
      </c>
      <c r="I50" s="80">
        <f t="shared" si="20"/>
        <v>127.05116047389173</v>
      </c>
      <c r="J50" s="80">
        <f t="shared" si="20"/>
        <v>140.46708558504588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1146.2838558994604</v>
      </c>
      <c r="F51" s="107">
        <f t="shared" si="21"/>
        <v>1262.3008348583792</v>
      </c>
      <c r="G51" s="107">
        <f t="shared" si="21"/>
        <v>1155.4353540047518</v>
      </c>
      <c r="H51" s="107">
        <f t="shared" si="21"/>
        <v>1064.4952743162041</v>
      </c>
      <c r="I51" s="107">
        <f t="shared" si="21"/>
        <v>992.48393104542242</v>
      </c>
      <c r="J51" s="107">
        <f t="shared" si="21"/>
        <v>945.41263889436027</v>
      </c>
      <c r="K51" s="107">
        <f t="shared" si="21"/>
        <v>778.57511438359086</v>
      </c>
      <c r="L51" s="107">
        <f t="shared" si="21"/>
        <v>641.17950596295714</v>
      </c>
      <c r="M51" s="107">
        <f t="shared" si="21"/>
        <v>528.03018138125879</v>
      </c>
      <c r="N51" s="107">
        <f t="shared" si="21"/>
        <v>434.848384666919</v>
      </c>
      <c r="O51" s="107">
        <f t="shared" si="21"/>
        <v>358.11043443158036</v>
      </c>
      <c r="P51" s="107">
        <f t="shared" si="21"/>
        <v>294.91447541424265</v>
      </c>
      <c r="Q51" s="107">
        <f t="shared" si="21"/>
        <v>242.87074445878807</v>
      </c>
      <c r="R51" s="107">
        <f t="shared" si="21"/>
        <v>200.01120131900194</v>
      </c>
      <c r="S51" s="107">
        <f t="shared" si="21"/>
        <v>164.71510696858985</v>
      </c>
      <c r="T51" s="107">
        <f t="shared" si="21"/>
        <v>135.64773515060341</v>
      </c>
      <c r="U51" s="107">
        <f t="shared" si="21"/>
        <v>111.70989953579104</v>
      </c>
      <c r="V51" s="107">
        <f t="shared" si="21"/>
        <v>91.996387853004393</v>
      </c>
      <c r="W51" s="107">
        <f t="shared" si="21"/>
        <v>75.761731173062444</v>
      </c>
      <c r="X51" s="107">
        <f>X48-X49+X50</f>
        <v>62.392013907227899</v>
      </c>
      <c r="Y51" s="107">
        <f>Y48-Y49+Y50</f>
        <v>51.381658511834743</v>
      </c>
      <c r="Z51" s="107">
        <f>Z48-Z49+Z50</f>
        <v>42.314307009746258</v>
      </c>
      <c r="AA51" s="107">
        <f>AA48-AA49+AA50</f>
        <v>34.847076360967506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108917.75008762974</v>
      </c>
      <c r="G55" s="80">
        <f t="shared" si="23"/>
        <v>169260.1004220061</v>
      </c>
      <c r="H55" s="80">
        <f t="shared" si="23"/>
        <v>205078.10718031818</v>
      </c>
      <c r="I55" s="80">
        <f t="shared" si="23"/>
        <v>201075.08789284257</v>
      </c>
      <c r="J55" s="80">
        <f t="shared" si="23"/>
        <v>144279.50296159636</v>
      </c>
      <c r="K55" s="80">
        <f t="shared" si="23"/>
        <v>105820.95802175025</v>
      </c>
      <c r="L55" s="80">
        <f t="shared" si="23"/>
        <v>69329.89323644618</v>
      </c>
      <c r="M55" s="80">
        <f t="shared" si="23"/>
        <v>45920.962704931728</v>
      </c>
      <c r="N55" s="80">
        <f t="shared" si="23"/>
        <v>30786.179461354805</v>
      </c>
      <c r="O55" s="80">
        <f t="shared" si="23"/>
        <v>20911.787604957863</v>
      </c>
      <c r="P55" s="80">
        <f t="shared" si="23"/>
        <v>14402.474682962409</v>
      </c>
      <c r="Q55" s="80">
        <f t="shared" si="23"/>
        <v>10061.559652277512</v>
      </c>
      <c r="R55" s="80">
        <f t="shared" si="23"/>
        <v>7129.8504200774614</v>
      </c>
      <c r="S55" s="80">
        <f t="shared" si="23"/>
        <v>5122.9433053969024</v>
      </c>
      <c r="T55" s="80">
        <f t="shared" si="23"/>
        <v>3729.6619397110335</v>
      </c>
      <c r="U55" s="80">
        <f t="shared" si="23"/>
        <v>2748.5149390626134</v>
      </c>
      <c r="V55" s="80">
        <f t="shared" si="23"/>
        <v>2047.8297049888024</v>
      </c>
      <c r="W55" s="80">
        <f t="shared" si="23"/>
        <v>1540.6563746610377</v>
      </c>
      <c r="X55" s="80">
        <f t="shared" ref="X55:AA58" si="24">SUM(X24,X30,X36,X42,X48)</f>
        <v>1168.9054802927435</v>
      </c>
      <c r="Y55" s="80">
        <f t="shared" si="24"/>
        <v>893.27290549524776</v>
      </c>
      <c r="Z55" s="80">
        <f t="shared" si="24"/>
        <v>686.80329004896794</v>
      </c>
      <c r="AA55" s="80">
        <f t="shared" si="24"/>
        <v>530.74946400284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35884.472940893844</v>
      </c>
      <c r="F56" s="80">
        <f t="shared" si="25"/>
        <v>62714.932656050107</v>
      </c>
      <c r="G56" s="80">
        <f t="shared" si="25"/>
        <v>82009.088943421666</v>
      </c>
      <c r="H56" s="80">
        <f t="shared" si="25"/>
        <v>87863.73775118991</v>
      </c>
      <c r="I56" s="80">
        <f t="shared" si="25"/>
        <v>74062.341066086708</v>
      </c>
      <c r="J56" s="80">
        <f t="shared" si="25"/>
        <v>52946.247989826166</v>
      </c>
      <c r="K56" s="80">
        <f t="shared" si="25"/>
        <v>36491.064785304086</v>
      </c>
      <c r="L56" s="80">
        <f t="shared" si="25"/>
        <v>23408.930531514441</v>
      </c>
      <c r="M56" s="80">
        <f t="shared" si="25"/>
        <v>15134.783243576923</v>
      </c>
      <c r="N56" s="80">
        <f t="shared" si="25"/>
        <v>9874.3918563969419</v>
      </c>
      <c r="O56" s="80">
        <f t="shared" si="25"/>
        <v>6509.3129219954535</v>
      </c>
      <c r="P56" s="80">
        <f t="shared" si="25"/>
        <v>4340.9150306848951</v>
      </c>
      <c r="Q56" s="80">
        <f t="shared" si="25"/>
        <v>2931.7092322000508</v>
      </c>
      <c r="R56" s="80">
        <f t="shared" si="25"/>
        <v>2006.9071146805597</v>
      </c>
      <c r="S56" s="80">
        <f t="shared" si="25"/>
        <v>1393.2813656858684</v>
      </c>
      <c r="T56" s="80">
        <f t="shared" si="25"/>
        <v>981.1470006484202</v>
      </c>
      <c r="U56" s="80">
        <f t="shared" si="25"/>
        <v>700.68523407381088</v>
      </c>
      <c r="V56" s="80">
        <f t="shared" si="25"/>
        <v>507.1733303277648</v>
      </c>
      <c r="W56" s="80">
        <f t="shared" si="25"/>
        <v>371.75089436829393</v>
      </c>
      <c r="X56" s="80">
        <f t="shared" si="24"/>
        <v>275.63257479749598</v>
      </c>
      <c r="Y56" s="80">
        <f t="shared" si="24"/>
        <v>206.4696154462799</v>
      </c>
      <c r="Z56" s="80">
        <f t="shared" si="24"/>
        <v>156.05382604612797</v>
      </c>
      <c r="AA56" s="80">
        <f t="shared" si="24"/>
        <v>118.86215216877595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99853.381933008626</v>
      </c>
      <c r="F57" s="80">
        <f t="shared" si="26"/>
        <v>123057.28299042645</v>
      </c>
      <c r="G57" s="80">
        <f t="shared" si="26"/>
        <v>117827.09570173378</v>
      </c>
      <c r="H57" s="80">
        <f t="shared" si="26"/>
        <v>83860.718463714278</v>
      </c>
      <c r="I57" s="80">
        <f t="shared" si="26"/>
        <v>17266.756134840511</v>
      </c>
      <c r="J57" s="80">
        <f t="shared" si="26"/>
        <v>14487.703049980073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108917.75008762974</v>
      </c>
      <c r="F58" s="107">
        <f t="shared" si="27"/>
        <v>169260.1004220061</v>
      </c>
      <c r="G58" s="107">
        <f t="shared" si="27"/>
        <v>205078.10718031818</v>
      </c>
      <c r="H58" s="107">
        <f t="shared" si="27"/>
        <v>201075.08789284257</v>
      </c>
      <c r="I58" s="107">
        <f t="shared" si="27"/>
        <v>144279.50296159636</v>
      </c>
      <c r="J58" s="107">
        <f t="shared" si="27"/>
        <v>105820.95802175025</v>
      </c>
      <c r="K58" s="107">
        <f t="shared" si="27"/>
        <v>69329.89323644618</v>
      </c>
      <c r="L58" s="107">
        <f t="shared" si="27"/>
        <v>45920.962704931728</v>
      </c>
      <c r="M58" s="107">
        <f t="shared" si="27"/>
        <v>30786.179461354805</v>
      </c>
      <c r="N58" s="107">
        <f t="shared" si="27"/>
        <v>20911.787604957863</v>
      </c>
      <c r="O58" s="107">
        <f t="shared" si="27"/>
        <v>14402.474682962409</v>
      </c>
      <c r="P58" s="107">
        <f t="shared" si="27"/>
        <v>10061.559652277512</v>
      </c>
      <c r="Q58" s="107">
        <f t="shared" si="27"/>
        <v>7129.8504200774614</v>
      </c>
      <c r="R58" s="107">
        <f t="shared" si="27"/>
        <v>5122.9433053969024</v>
      </c>
      <c r="S58" s="107">
        <f t="shared" si="27"/>
        <v>3729.6619397110335</v>
      </c>
      <c r="T58" s="107">
        <f t="shared" si="27"/>
        <v>2748.5149390626134</v>
      </c>
      <c r="U58" s="107">
        <f t="shared" si="27"/>
        <v>2047.8297049888024</v>
      </c>
      <c r="V58" s="107">
        <f t="shared" si="27"/>
        <v>1540.6563746610377</v>
      </c>
      <c r="W58" s="107">
        <f t="shared" si="27"/>
        <v>1168.9054802927435</v>
      </c>
      <c r="X58" s="107">
        <f t="shared" si="24"/>
        <v>893.27290549524776</v>
      </c>
      <c r="Y58" s="107">
        <f t="shared" si="24"/>
        <v>686.80329004896794</v>
      </c>
      <c r="Z58" s="107">
        <f t="shared" si="24"/>
        <v>530.74946400284</v>
      </c>
      <c r="AA58" s="107">
        <f t="shared" si="24"/>
        <v>411.88731183406401</v>
      </c>
    </row>
    <row r="59" spans="1:27" s="82" customFormat="1" x14ac:dyDescent="0.2">
      <c r="A59" s="557" t="s">
        <v>0</v>
      </c>
      <c r="B59" s="545"/>
      <c r="C59" s="545">
        <f>SUM(D59:AA59)</f>
        <v>9.8395958048058674E-11</v>
      </c>
      <c r="D59" s="548">
        <f>ABS(D55-D56+D57-D58)</f>
        <v>0</v>
      </c>
      <c r="E59" s="548">
        <f t="shared" ref="E59:W59" si="28">ABS(E55-E56+E57-E58)</f>
        <v>0</v>
      </c>
      <c r="F59" s="548">
        <f t="shared" si="28"/>
        <v>0</v>
      </c>
      <c r="G59" s="548">
        <f t="shared" si="28"/>
        <v>2.9103830456733704E-11</v>
      </c>
      <c r="H59" s="548">
        <f t="shared" si="28"/>
        <v>2.9103830456733704E-11</v>
      </c>
      <c r="I59" s="548">
        <f t="shared" si="28"/>
        <v>0</v>
      </c>
      <c r="J59" s="548">
        <f t="shared" si="28"/>
        <v>1.4551915228366852E-11</v>
      </c>
      <c r="K59" s="548">
        <f t="shared" si="28"/>
        <v>1.4551915228366852E-11</v>
      </c>
      <c r="L59" s="548">
        <f t="shared" si="28"/>
        <v>7.2759576141834259E-12</v>
      </c>
      <c r="M59" s="548">
        <f t="shared" si="28"/>
        <v>0</v>
      </c>
      <c r="N59" s="548">
        <f t="shared" si="28"/>
        <v>0</v>
      </c>
      <c r="O59" s="548">
        <f t="shared" si="28"/>
        <v>0</v>
      </c>
      <c r="P59" s="548">
        <f t="shared" si="28"/>
        <v>1.8189894035458565E-12</v>
      </c>
      <c r="Q59" s="548">
        <f t="shared" si="28"/>
        <v>0</v>
      </c>
      <c r="R59" s="548">
        <f t="shared" si="28"/>
        <v>9.0949470177292824E-13</v>
      </c>
      <c r="S59" s="548">
        <f t="shared" si="28"/>
        <v>4.5474735088646412E-13</v>
      </c>
      <c r="T59" s="548">
        <f t="shared" si="28"/>
        <v>0</v>
      </c>
      <c r="U59" s="548">
        <f t="shared" si="28"/>
        <v>0</v>
      </c>
      <c r="V59" s="548">
        <f t="shared" si="28"/>
        <v>0</v>
      </c>
      <c r="W59" s="548">
        <f t="shared" si="28"/>
        <v>2.2737367544323206E-13</v>
      </c>
      <c r="X59" s="548">
        <f>ABS(X55-X56+X57-X58)</f>
        <v>2.2737367544323206E-13</v>
      </c>
      <c r="Y59" s="548">
        <f>ABS(Y55-Y56+Y57-Y58)</f>
        <v>1.1368683772161603E-13</v>
      </c>
      <c r="Z59" s="548">
        <f>ABS(Z55-Z56+Z57-Z58)</f>
        <v>0</v>
      </c>
      <c r="AA59" s="548">
        <f>ABS(AA55-AA56+AA57-AA58)</f>
        <v>5.6843418860808015E-14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D2" sqref="D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3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87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136712.05983084129</v>
      </c>
      <c r="G5" s="80">
        <f t="shared" ref="G5:W5" si="1">F10</f>
        <v>222856.16424558478</v>
      </c>
      <c r="H5" s="80">
        <f t="shared" si="1"/>
        <v>291028.61640590092</v>
      </c>
      <c r="I5" s="80">
        <f t="shared" si="1"/>
        <v>319868.99875366577</v>
      </c>
      <c r="J5" s="80">
        <f t="shared" si="1"/>
        <v>296357.61462984886</v>
      </c>
      <c r="K5" s="80">
        <f t="shared" si="1"/>
        <v>269988.28686714103</v>
      </c>
      <c r="L5" s="80">
        <f t="shared" si="1"/>
        <v>233768.18965035383</v>
      </c>
      <c r="M5" s="80">
        <f t="shared" si="1"/>
        <v>200969.15694870445</v>
      </c>
      <c r="N5" s="80">
        <f t="shared" si="1"/>
        <v>171675.63353011751</v>
      </c>
      <c r="O5" s="80">
        <f t="shared" si="1"/>
        <v>145893.60877478082</v>
      </c>
      <c r="P5" s="80">
        <f t="shared" si="1"/>
        <v>122886.31334692029</v>
      </c>
      <c r="Q5" s="80">
        <f t="shared" si="1"/>
        <v>101553.60158172046</v>
      </c>
      <c r="R5" s="80">
        <f t="shared" si="1"/>
        <v>81214.984111901897</v>
      </c>
      <c r="S5" s="80">
        <f t="shared" si="1"/>
        <v>61279.989584005496</v>
      </c>
      <c r="T5" s="80">
        <f t="shared" si="1"/>
        <v>41415.192290552339</v>
      </c>
      <c r="U5" s="80">
        <f t="shared" si="1"/>
        <v>23692.05786208214</v>
      </c>
      <c r="V5" s="80">
        <f t="shared" si="1"/>
        <v>10873.076398729074</v>
      </c>
      <c r="W5" s="80">
        <f t="shared" si="1"/>
        <v>3563.1480492454739</v>
      </c>
      <c r="X5" s="80">
        <f>W10</f>
        <v>830.65690003204281</v>
      </c>
      <c r="Y5" s="80">
        <f>X10</f>
        <v>207.47351795709596</v>
      </c>
      <c r="Z5" s="80">
        <f>Y10</f>
        <v>-1.0209078027401119E-10</v>
      </c>
      <c r="AA5" s="80">
        <f>Z10</f>
        <v>-1.0209078027401119E-10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93930.880038998628</v>
      </c>
      <c r="F6" s="80">
        <f>'Data 2009-15 (Real $2008)'!F16/10^3</f>
        <v>112619.07144998059</v>
      </c>
      <c r="G6" s="80">
        <f>'Data 2009-15 (Real $2008)'!G16/10^3</f>
        <v>104165.98315660523</v>
      </c>
      <c r="H6" s="80">
        <f>'Data 2009-15 (Real $2008)'!H16/10^3</f>
        <v>72287.184684915017</v>
      </c>
      <c r="I6" s="80">
        <f>'Data 2009-15 (Real $2008)'!I16/10^3</f>
        <v>14513.689333243658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35993.530996289119</v>
      </c>
      <c r="H9" s="80">
        <f t="shared" si="2"/>
        <v>43446.802337150155</v>
      </c>
      <c r="I9" s="80">
        <f t="shared" si="2"/>
        <v>38025.073457060578</v>
      </c>
      <c r="J9" s="80">
        <f t="shared" si="2"/>
        <v>38244.254488334169</v>
      </c>
      <c r="K9" s="80">
        <f t="shared" si="2"/>
        <v>36220.097216787188</v>
      </c>
      <c r="L9" s="80">
        <f t="shared" si="2"/>
        <v>32799.032701649368</v>
      </c>
      <c r="M9" s="80">
        <f t="shared" si="2"/>
        <v>29293.523418586927</v>
      </c>
      <c r="N9" s="80">
        <f t="shared" si="2"/>
        <v>25782.024755336697</v>
      </c>
      <c r="O9" s="80">
        <f t="shared" si="2"/>
        <v>23007.295427860536</v>
      </c>
      <c r="P9" s="80">
        <f t="shared" si="2"/>
        <v>21332.71176519982</v>
      </c>
      <c r="Q9" s="80">
        <f t="shared" si="2"/>
        <v>20338.617469818564</v>
      </c>
      <c r="R9" s="80">
        <f t="shared" si="2"/>
        <v>19934.994527896397</v>
      </c>
      <c r="S9" s="80">
        <f t="shared" si="2"/>
        <v>19864.797293453154</v>
      </c>
      <c r="T9" s="80">
        <f t="shared" si="2"/>
        <v>17723.134428470199</v>
      </c>
      <c r="U9" s="80">
        <f t="shared" si="2"/>
        <v>12818.981463353066</v>
      </c>
      <c r="V9" s="80">
        <f t="shared" si="2"/>
        <v>7309.9283494836</v>
      </c>
      <c r="W9" s="80">
        <f t="shared" si="2"/>
        <v>2732.4911492134311</v>
      </c>
      <c r="X9" s="80">
        <f>SUM(X83,X127,X172)</f>
        <v>623.18338207494685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136712.05983084129</v>
      </c>
      <c r="F10" s="107">
        <f>F5+F6-SUM(F7:F9)</f>
        <v>222856.16424558478</v>
      </c>
      <c r="G10" s="107">
        <f t="shared" ref="G10:W10" si="3">G5+G6-SUM(G7:G9)</f>
        <v>291028.61640590092</v>
      </c>
      <c r="H10" s="107">
        <f t="shared" si="3"/>
        <v>319868.99875366577</v>
      </c>
      <c r="I10" s="107">
        <f t="shared" si="3"/>
        <v>296357.61462984886</v>
      </c>
      <c r="J10" s="107">
        <f t="shared" si="3"/>
        <v>269988.28686714103</v>
      </c>
      <c r="K10" s="107">
        <f t="shared" si="3"/>
        <v>233768.18965035383</v>
      </c>
      <c r="L10" s="107">
        <f t="shared" si="3"/>
        <v>200969.15694870445</v>
      </c>
      <c r="M10" s="107">
        <f t="shared" si="3"/>
        <v>171675.63353011751</v>
      </c>
      <c r="N10" s="107">
        <f t="shared" si="3"/>
        <v>145893.60877478082</v>
      </c>
      <c r="O10" s="107">
        <f t="shared" si="3"/>
        <v>122886.31334692029</v>
      </c>
      <c r="P10" s="107">
        <f t="shared" si="3"/>
        <v>101553.60158172046</v>
      </c>
      <c r="Q10" s="107">
        <f t="shared" si="3"/>
        <v>81214.984111901897</v>
      </c>
      <c r="R10" s="107">
        <f t="shared" si="3"/>
        <v>61279.989584005496</v>
      </c>
      <c r="S10" s="107">
        <f t="shared" si="3"/>
        <v>41415.192290552339</v>
      </c>
      <c r="T10" s="107">
        <f t="shared" si="3"/>
        <v>23692.05786208214</v>
      </c>
      <c r="U10" s="107">
        <f t="shared" si="3"/>
        <v>10873.076398729074</v>
      </c>
      <c r="V10" s="107">
        <f t="shared" si="3"/>
        <v>3563.1480492454739</v>
      </c>
      <c r="W10" s="107">
        <f t="shared" si="3"/>
        <v>830.65690003204281</v>
      </c>
      <c r="X10" s="107">
        <f>X5+X6-SUM(X7:X9)</f>
        <v>207.47351795709596</v>
      </c>
      <c r="Y10" s="107">
        <f>Y5+Y6-SUM(Y7:Y9)</f>
        <v>-1.0209078027401119E-10</v>
      </c>
      <c r="Z10" s="107">
        <f>Z5+Z6-SUM(Z7:Z9)</f>
        <v>-1.0209078027401119E-10</v>
      </c>
      <c r="AA10" s="107">
        <f>AA5+AA6-SUM(AA7:AA9)</f>
        <v>-1.0209078027401119E-10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179784.11203821303</v>
      </c>
      <c r="G12" s="80">
        <f t="shared" ref="G12:W12" si="4">AVERAGE(G5,G10)</f>
        <v>256942.39032574283</v>
      </c>
      <c r="H12" s="80">
        <f t="shared" si="4"/>
        <v>305448.80757978337</v>
      </c>
      <c r="I12" s="80">
        <f t="shared" si="4"/>
        <v>308113.30669175729</v>
      </c>
      <c r="J12" s="80">
        <f t="shared" si="4"/>
        <v>283172.95074849494</v>
      </c>
      <c r="K12" s="80">
        <f t="shared" si="4"/>
        <v>251878.23825874744</v>
      </c>
      <c r="L12" s="80">
        <f t="shared" si="4"/>
        <v>217368.67329952912</v>
      </c>
      <c r="M12" s="80">
        <f t="shared" si="4"/>
        <v>186322.39523941098</v>
      </c>
      <c r="N12" s="80">
        <f t="shared" si="4"/>
        <v>158784.62115244917</v>
      </c>
      <c r="O12" s="80">
        <f t="shared" si="4"/>
        <v>134389.96106085056</v>
      </c>
      <c r="P12" s="80">
        <f t="shared" si="4"/>
        <v>112219.95746432038</v>
      </c>
      <c r="Q12" s="80">
        <f t="shared" si="4"/>
        <v>91384.292846811179</v>
      </c>
      <c r="R12" s="80">
        <f t="shared" si="4"/>
        <v>71247.486847953696</v>
      </c>
      <c r="S12" s="80">
        <f t="shared" si="4"/>
        <v>51347.590937278917</v>
      </c>
      <c r="T12" s="80">
        <f t="shared" si="4"/>
        <v>32553.625076317239</v>
      </c>
      <c r="U12" s="80">
        <f t="shared" si="4"/>
        <v>17282.567130405609</v>
      </c>
      <c r="V12" s="80">
        <f t="shared" si="4"/>
        <v>7218.1122239872739</v>
      </c>
      <c r="W12" s="80">
        <f t="shared" si="4"/>
        <v>2196.9024746387586</v>
      </c>
      <c r="X12" s="80">
        <f>AVERAGE(X5,X10)</f>
        <v>519.06520899456939</v>
      </c>
      <c r="Y12" s="80">
        <f>AVERAGE(Y5,Y10)</f>
        <v>103.73675897849694</v>
      </c>
      <c r="Z12" s="80">
        <f>AVERAGE(Z5,Z10)</f>
        <v>-1.0209078027401119E-10</v>
      </c>
      <c r="AA12" s="80">
        <f>AVERAGE(AA5,AA10)</f>
        <v>-1.0209078027401119E-10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4" t="s">
        <v>0</v>
      </c>
      <c r="B14" s="547"/>
      <c r="C14" s="545">
        <f>SUM(D14:AA14)</f>
        <v>0</v>
      </c>
      <c r="D14" s="548">
        <f t="shared" ref="D14:W14" si="5">IF(ABS(D10-D84-D128-D173)&lt;0.001,0,ABS(D10-D84-D128-D173))</f>
        <v>0</v>
      </c>
      <c r="E14" s="548">
        <f t="shared" si="5"/>
        <v>0</v>
      </c>
      <c r="F14" s="548">
        <f t="shared" si="5"/>
        <v>0</v>
      </c>
      <c r="G14" s="548">
        <f t="shared" si="5"/>
        <v>0</v>
      </c>
      <c r="H14" s="548">
        <f t="shared" si="5"/>
        <v>0</v>
      </c>
      <c r="I14" s="548">
        <f t="shared" si="5"/>
        <v>0</v>
      </c>
      <c r="J14" s="548">
        <f t="shared" si="5"/>
        <v>0</v>
      </c>
      <c r="K14" s="548">
        <f t="shared" si="5"/>
        <v>0</v>
      </c>
      <c r="L14" s="548">
        <f t="shared" si="5"/>
        <v>0</v>
      </c>
      <c r="M14" s="548">
        <f t="shared" si="5"/>
        <v>0</v>
      </c>
      <c r="N14" s="548">
        <f t="shared" si="5"/>
        <v>0</v>
      </c>
      <c r="O14" s="548">
        <f t="shared" si="5"/>
        <v>0</v>
      </c>
      <c r="P14" s="548">
        <f t="shared" si="5"/>
        <v>0</v>
      </c>
      <c r="Q14" s="548">
        <f t="shared" si="5"/>
        <v>0</v>
      </c>
      <c r="R14" s="548">
        <f t="shared" si="5"/>
        <v>0</v>
      </c>
      <c r="S14" s="548">
        <f t="shared" si="5"/>
        <v>0</v>
      </c>
      <c r="T14" s="548">
        <f t="shared" si="5"/>
        <v>0</v>
      </c>
      <c r="U14" s="548">
        <f t="shared" si="5"/>
        <v>0</v>
      </c>
      <c r="V14" s="548">
        <f t="shared" si="5"/>
        <v>0</v>
      </c>
      <c r="W14" s="548">
        <f t="shared" si="5"/>
        <v>0</v>
      </c>
      <c r="X14" s="548">
        <f>IF(ABS(X10-X84-X128-X173)&lt;0.001,0,ABS(X10-X84-X128-X173))</f>
        <v>0</v>
      </c>
      <c r="Y14" s="548">
        <f>IF(ABS(Y10-Y84-Y128-Y173)&lt;0.001,0,ABS(Y10-Y84-Y128-Y173))</f>
        <v>0</v>
      </c>
      <c r="Z14" s="548">
        <f>IF(ABS(Z10-Z84-Z128-Z173)&lt;0.001,0,ABS(Z10-Z84-Z128-Z173))</f>
        <v>0</v>
      </c>
      <c r="AA14" s="548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4487.1129958256533</v>
      </c>
      <c r="I20" s="80">
        <f t="shared" si="7"/>
        <v>0</v>
      </c>
      <c r="J20" s="80">
        <f t="shared" si="7"/>
        <v>9.0949470177292824E-13</v>
      </c>
      <c r="K20" s="80">
        <f t="shared" si="7"/>
        <v>9.0949470177292824E-13</v>
      </c>
      <c r="L20" s="80">
        <f t="shared" si="7"/>
        <v>9.0949470177292824E-13</v>
      </c>
      <c r="M20" s="80">
        <f t="shared" si="7"/>
        <v>9.0949470177292824E-13</v>
      </c>
      <c r="N20" s="80">
        <f t="shared" si="7"/>
        <v>9.0949470177292824E-13</v>
      </c>
      <c r="O20" s="80">
        <f t="shared" si="7"/>
        <v>9.0949470177292824E-13</v>
      </c>
      <c r="P20" s="80">
        <f t="shared" si="7"/>
        <v>9.0949470177292824E-13</v>
      </c>
      <c r="Q20" s="80">
        <f t="shared" si="7"/>
        <v>9.0949470177292824E-13</v>
      </c>
      <c r="R20" s="80">
        <f t="shared" si="7"/>
        <v>9.0949470177292824E-13</v>
      </c>
      <c r="S20" s="80">
        <f t="shared" si="7"/>
        <v>9.0949470177292824E-13</v>
      </c>
      <c r="T20" s="80">
        <f t="shared" si="7"/>
        <v>9.0949470177292824E-13</v>
      </c>
      <c r="U20" s="80">
        <f t="shared" si="7"/>
        <v>9.0949470177292824E-13</v>
      </c>
      <c r="V20" s="80">
        <f t="shared" si="7"/>
        <v>9.0949470177292824E-13</v>
      </c>
      <c r="W20" s="80">
        <f t="shared" si="7"/>
        <v>9.0949470177292824E-13</v>
      </c>
      <c r="X20" s="80">
        <f>W25</f>
        <v>9.0949470177292824E-13</v>
      </c>
      <c r="Y20" s="80">
        <f>X25</f>
        <v>9.0949470177292824E-13</v>
      </c>
      <c r="Z20" s="80">
        <f>Y25</f>
        <v>9.0949470177292824E-13</v>
      </c>
      <c r="AA20" s="80">
        <f>Z25</f>
        <v>9.0949470177292824E-13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3670.0541176541233</v>
      </c>
      <c r="F21" s="80">
        <f>'Data 2009-15 (Real $2008)'!F10/10^3</f>
        <v>1449.8892054472012</v>
      </c>
      <c r="G21" s="80">
        <f>'Data 2009-15 (Real $2008)'!G10/10^3</f>
        <v>90.651464791370358</v>
      </c>
      <c r="H21" s="80">
        <f>'Data 2009-15 (Real $2008)'!H10/10^3</f>
        <v>33.904311093644807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4456.895840895193</v>
      </c>
      <c r="H24" s="80">
        <f t="shared" si="8"/>
        <v>4521.0173069192952</v>
      </c>
      <c r="I24" s="80">
        <f t="shared" si="8"/>
        <v>-9.0949470177292824E-13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4487.1129958256533</v>
      </c>
      <c r="H25" s="107">
        <f t="shared" si="9"/>
        <v>0</v>
      </c>
      <c r="I25" s="107">
        <f t="shared" si="9"/>
        <v>9.0949470177292824E-13</v>
      </c>
      <c r="J25" s="107">
        <f t="shared" si="9"/>
        <v>9.0949470177292824E-13</v>
      </c>
      <c r="K25" s="107">
        <f t="shared" si="9"/>
        <v>9.0949470177292824E-13</v>
      </c>
      <c r="L25" s="107">
        <f t="shared" si="9"/>
        <v>9.0949470177292824E-13</v>
      </c>
      <c r="M25" s="107">
        <f t="shared" si="9"/>
        <v>9.0949470177292824E-13</v>
      </c>
      <c r="N25" s="107">
        <f t="shared" si="9"/>
        <v>9.0949470177292824E-13</v>
      </c>
      <c r="O25" s="107">
        <f t="shared" si="9"/>
        <v>9.0949470177292824E-13</v>
      </c>
      <c r="P25" s="107">
        <f t="shared" si="9"/>
        <v>9.0949470177292824E-13</v>
      </c>
      <c r="Q25" s="107">
        <f t="shared" si="9"/>
        <v>9.0949470177292824E-13</v>
      </c>
      <c r="R25" s="107">
        <f t="shared" si="9"/>
        <v>9.0949470177292824E-13</v>
      </c>
      <c r="S25" s="107">
        <f t="shared" si="9"/>
        <v>9.0949470177292824E-13</v>
      </c>
      <c r="T25" s="107">
        <f t="shared" si="9"/>
        <v>9.0949470177292824E-13</v>
      </c>
      <c r="U25" s="107">
        <f t="shared" si="9"/>
        <v>9.0949470177292824E-13</v>
      </c>
      <c r="V25" s="107">
        <f t="shared" si="9"/>
        <v>9.0949470177292824E-13</v>
      </c>
      <c r="W25" s="107">
        <f t="shared" si="9"/>
        <v>9.0949470177292824E-13</v>
      </c>
      <c r="X25" s="107">
        <f>X20+X21-SUM(X22:X24)</f>
        <v>9.0949470177292824E-13</v>
      </c>
      <c r="Y25" s="107">
        <f>Y20+Y21-SUM(Y22:Y24)</f>
        <v>9.0949470177292824E-13</v>
      </c>
      <c r="Z25" s="107">
        <f>Z20+Z21-SUM(Z22:Z24)</f>
        <v>9.0949470177292824E-13</v>
      </c>
      <c r="AA25" s="107">
        <f>AA20+AA21-SUM(AA22:AA24)</f>
        <v>9.0949470177292824E-13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4304.075892488092</v>
      </c>
      <c r="I30" s="80">
        <f t="shared" si="11"/>
        <v>0</v>
      </c>
      <c r="J30" s="80">
        <f t="shared" si="11"/>
        <v>-9.0949470177292824E-13</v>
      </c>
      <c r="K30" s="80">
        <f t="shared" si="11"/>
        <v>-9.0949470177292824E-13</v>
      </c>
      <c r="L30" s="80">
        <f t="shared" si="11"/>
        <v>-9.0949470177292824E-13</v>
      </c>
      <c r="M30" s="80">
        <f t="shared" si="11"/>
        <v>-9.0949470177292824E-13</v>
      </c>
      <c r="N30" s="80">
        <f t="shared" si="11"/>
        <v>-9.0949470177292824E-13</v>
      </c>
      <c r="O30" s="80">
        <f t="shared" si="11"/>
        <v>-9.0949470177292824E-13</v>
      </c>
      <c r="P30" s="80">
        <f t="shared" si="11"/>
        <v>-9.0949470177292824E-13</v>
      </c>
      <c r="Q30" s="80">
        <f t="shared" si="11"/>
        <v>-9.0949470177292824E-13</v>
      </c>
      <c r="R30" s="80">
        <f t="shared" si="11"/>
        <v>-9.0949470177292824E-13</v>
      </c>
      <c r="S30" s="80">
        <f t="shared" si="11"/>
        <v>-9.0949470177292824E-13</v>
      </c>
      <c r="T30" s="80">
        <f t="shared" si="11"/>
        <v>-9.0949470177292824E-13</v>
      </c>
      <c r="U30" s="80">
        <f t="shared" si="11"/>
        <v>-9.0949470177292824E-13</v>
      </c>
      <c r="V30" s="80">
        <f t="shared" si="11"/>
        <v>-9.0949470177292824E-13</v>
      </c>
      <c r="W30" s="80">
        <f t="shared" si="11"/>
        <v>-9.0949470177292824E-13</v>
      </c>
      <c r="X30" s="80">
        <f>W35</f>
        <v>-9.0949470177292824E-13</v>
      </c>
      <c r="Y30" s="80">
        <f>X35</f>
        <v>-9.0949470177292824E-13</v>
      </c>
      <c r="Z30" s="80">
        <f>Y35</f>
        <v>-9.0949470177292824E-13</v>
      </c>
      <c r="AA30" s="80">
        <f>Z35</f>
        <v>-9.0949470177292824E-13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4532.0700719376482</v>
      </c>
      <c r="F31" s="80">
        <f>'Data 2009-15 (Real $2008)'!F11/10^3</f>
        <v>696.21917755337563</v>
      </c>
      <c r="G31" s="80">
        <f>'Data 2009-15 (Real $2008)'!G11/10^3</f>
        <v>115.7200572051907</v>
      </c>
      <c r="H31" s="80">
        <f>'Data 2009-15 (Real $2008)'!H11/10^3</f>
        <v>43.565415660110993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3301.0029349578995</v>
      </c>
      <c r="F34" s="80">
        <f t="shared" si="12"/>
        <v>4087.6853521739531</v>
      </c>
      <c r="G34" s="80">
        <f t="shared" si="12"/>
        <v>4265.5025400863578</v>
      </c>
      <c r="H34" s="80">
        <f t="shared" si="12"/>
        <v>4347.6413081481996</v>
      </c>
      <c r="I34" s="80">
        <f t="shared" si="12"/>
        <v>9.0949470177292824E-13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4304.075892488092</v>
      </c>
      <c r="H35" s="107">
        <f t="shared" si="13"/>
        <v>0</v>
      </c>
      <c r="I35" s="107">
        <f t="shared" si="13"/>
        <v>-9.0949470177292824E-13</v>
      </c>
      <c r="J35" s="107">
        <f t="shared" si="13"/>
        <v>-9.0949470177292824E-13</v>
      </c>
      <c r="K35" s="107">
        <f t="shared" si="13"/>
        <v>-9.0949470177292824E-13</v>
      </c>
      <c r="L35" s="107">
        <f t="shared" si="13"/>
        <v>-9.0949470177292824E-13</v>
      </c>
      <c r="M35" s="107">
        <f t="shared" si="13"/>
        <v>-9.0949470177292824E-13</v>
      </c>
      <c r="N35" s="107">
        <f t="shared" si="13"/>
        <v>-9.0949470177292824E-13</v>
      </c>
      <c r="O35" s="107">
        <f t="shared" si="13"/>
        <v>-9.0949470177292824E-13</v>
      </c>
      <c r="P35" s="107">
        <f t="shared" si="13"/>
        <v>-9.0949470177292824E-13</v>
      </c>
      <c r="Q35" s="107">
        <f t="shared" si="13"/>
        <v>-9.0949470177292824E-13</v>
      </c>
      <c r="R35" s="107">
        <f t="shared" si="13"/>
        <v>-9.0949470177292824E-13</v>
      </c>
      <c r="S35" s="107">
        <f t="shared" si="13"/>
        <v>-9.0949470177292824E-13</v>
      </c>
      <c r="T35" s="107">
        <f t="shared" si="13"/>
        <v>-9.0949470177292824E-13</v>
      </c>
      <c r="U35" s="107">
        <f t="shared" si="13"/>
        <v>-9.0949470177292824E-13</v>
      </c>
      <c r="V35" s="107">
        <f t="shared" si="13"/>
        <v>-9.0949470177292824E-13</v>
      </c>
      <c r="W35" s="107">
        <f t="shared" si="13"/>
        <v>-9.0949470177292824E-13</v>
      </c>
      <c r="X35" s="107">
        <f>X30+X31-SUM(X32:X34)</f>
        <v>-9.0949470177292824E-13</v>
      </c>
      <c r="Y35" s="107">
        <f>Y30+Y31-SUM(Y32:Y34)</f>
        <v>-9.0949470177292824E-13</v>
      </c>
      <c r="Z35" s="107">
        <f>Z30+Z31-SUM(Z32:Z34)</f>
        <v>-9.0949470177292824E-13</v>
      </c>
      <c r="AA35" s="107">
        <f>AA30+AA31-SUM(AA32:AA34)</f>
        <v>-9.0949470177292824E-13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61967.82861561999</v>
      </c>
      <c r="G40" s="80">
        <f t="shared" si="15"/>
        <v>139832.43558839714</v>
      </c>
      <c r="H40" s="80">
        <f t="shared" si="15"/>
        <v>207498.34278874937</v>
      </c>
      <c r="I40" s="80">
        <f t="shared" si="15"/>
        <v>247327.98203940503</v>
      </c>
      <c r="J40" s="80">
        <f t="shared" si="15"/>
        <v>234263.26127839999</v>
      </c>
      <c r="K40" s="80">
        <f t="shared" si="15"/>
        <v>220759.94580717676</v>
      </c>
      <c r="L40" s="80">
        <f t="shared" si="15"/>
        <v>200824.95127928036</v>
      </c>
      <c r="M40" s="80">
        <f t="shared" si="15"/>
        <v>180889.95675138396</v>
      </c>
      <c r="N40" s="80">
        <f t="shared" si="15"/>
        <v>160954.96222348756</v>
      </c>
      <c r="O40" s="80">
        <f t="shared" si="15"/>
        <v>141019.96769559116</v>
      </c>
      <c r="P40" s="80">
        <f t="shared" si="15"/>
        <v>121084.97316769476</v>
      </c>
      <c r="Q40" s="80">
        <f t="shared" si="15"/>
        <v>101149.97863979836</v>
      </c>
      <c r="R40" s="80">
        <f t="shared" si="15"/>
        <v>81214.984111901955</v>
      </c>
      <c r="S40" s="80">
        <f t="shared" si="15"/>
        <v>61279.989584005554</v>
      </c>
      <c r="T40" s="80">
        <f t="shared" si="15"/>
        <v>41415.192290552397</v>
      </c>
      <c r="U40" s="80">
        <f t="shared" si="15"/>
        <v>23692.057862082198</v>
      </c>
      <c r="V40" s="80">
        <f t="shared" si="15"/>
        <v>10873.076398729132</v>
      </c>
      <c r="W40" s="80">
        <f t="shared" si="15"/>
        <v>3563.1480492455321</v>
      </c>
      <c r="X40" s="80">
        <f>W45</f>
        <v>830.65690003210102</v>
      </c>
      <c r="Y40" s="80">
        <f>X45</f>
        <v>207.47351795715417</v>
      </c>
      <c r="Z40" s="80">
        <f>Y45</f>
        <v>-4.3883119360543787E-11</v>
      </c>
      <c r="AA40" s="80">
        <f>Z45</f>
        <v>-4.3883119360543787E-11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62143.968916192156</v>
      </c>
      <c r="F41" s="80">
        <f>'Data 2009-15 (Real $2008)'!F12/10^3</f>
        <v>84980.620037320448</v>
      </c>
      <c r="G41" s="80">
        <f>'Data 2009-15 (Real $2008)'!G12/10^3</f>
        <v>80290.973378765033</v>
      </c>
      <c r="H41" s="80">
        <f>'Data 2009-15 (Real $2008)'!H12/10^3</f>
        <v>57032.142629338588</v>
      </c>
      <c r="I41" s="80">
        <f>'Data 2009-15 (Real $2008)'!I12/10^3</f>
        <v>6247.0903848163953</v>
      </c>
      <c r="J41" s="80">
        <f>'Data 2009-15 (Real $2008)'!J12/10^3</f>
        <v>6224.205538715978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2211.8600994262251</v>
      </c>
      <c r="F44" s="80">
        <f t="shared" si="16"/>
        <v>7116.0130645433119</v>
      </c>
      <c r="G44" s="80">
        <f t="shared" si="16"/>
        <v>12625.066178412828</v>
      </c>
      <c r="H44" s="80">
        <f t="shared" si="16"/>
        <v>17202.503378682948</v>
      </c>
      <c r="I44" s="80">
        <f t="shared" si="16"/>
        <v>19311.811145821448</v>
      </c>
      <c r="J44" s="80">
        <f t="shared" si="16"/>
        <v>19727.521009939195</v>
      </c>
      <c r="K44" s="80">
        <f t="shared" si="16"/>
        <v>19934.994527896397</v>
      </c>
      <c r="L44" s="80">
        <f t="shared" si="16"/>
        <v>19934.994527896397</v>
      </c>
      <c r="M44" s="80">
        <f t="shared" si="16"/>
        <v>19934.994527896397</v>
      </c>
      <c r="N44" s="80">
        <f t="shared" si="16"/>
        <v>19934.994527896397</v>
      </c>
      <c r="O44" s="80">
        <f t="shared" si="16"/>
        <v>19934.994527896397</v>
      </c>
      <c r="P44" s="80">
        <f t="shared" si="16"/>
        <v>19934.994527896397</v>
      </c>
      <c r="Q44" s="80">
        <f t="shared" si="16"/>
        <v>19934.994527896397</v>
      </c>
      <c r="R44" s="80">
        <f t="shared" si="16"/>
        <v>19934.994527896397</v>
      </c>
      <c r="S44" s="80">
        <f t="shared" si="16"/>
        <v>19864.797293453154</v>
      </c>
      <c r="T44" s="80">
        <f t="shared" si="16"/>
        <v>17723.134428470199</v>
      </c>
      <c r="U44" s="80">
        <f t="shared" si="16"/>
        <v>12818.981463353066</v>
      </c>
      <c r="V44" s="80">
        <f t="shared" si="16"/>
        <v>7309.9283494836</v>
      </c>
      <c r="W44" s="80">
        <f t="shared" si="16"/>
        <v>2732.4911492134311</v>
      </c>
      <c r="X44" s="80">
        <f>X136+X222</f>
        <v>623.18338207494685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61967.82861561999</v>
      </c>
      <c r="F45" s="107">
        <f t="shared" si="17"/>
        <v>139832.43558839714</v>
      </c>
      <c r="G45" s="107">
        <f t="shared" si="17"/>
        <v>207498.34278874937</v>
      </c>
      <c r="H45" s="107">
        <f t="shared" si="17"/>
        <v>247327.98203940503</v>
      </c>
      <c r="I45" s="107">
        <f t="shared" si="17"/>
        <v>234263.26127839999</v>
      </c>
      <c r="J45" s="107">
        <f t="shared" si="17"/>
        <v>220759.94580717676</v>
      </c>
      <c r="K45" s="107">
        <f t="shared" si="17"/>
        <v>200824.95127928036</v>
      </c>
      <c r="L45" s="107">
        <f t="shared" si="17"/>
        <v>180889.95675138396</v>
      </c>
      <c r="M45" s="107">
        <f t="shared" si="17"/>
        <v>160954.96222348756</v>
      </c>
      <c r="N45" s="107">
        <f t="shared" si="17"/>
        <v>141019.96769559116</v>
      </c>
      <c r="O45" s="107">
        <f t="shared" si="17"/>
        <v>121084.97316769476</v>
      </c>
      <c r="P45" s="107">
        <f t="shared" si="17"/>
        <v>101149.97863979836</v>
      </c>
      <c r="Q45" s="107">
        <f t="shared" si="17"/>
        <v>81214.984111901955</v>
      </c>
      <c r="R45" s="107">
        <f t="shared" si="17"/>
        <v>61279.989584005554</v>
      </c>
      <c r="S45" s="107">
        <f t="shared" si="17"/>
        <v>41415.192290552397</v>
      </c>
      <c r="T45" s="107">
        <f t="shared" si="17"/>
        <v>23692.057862082198</v>
      </c>
      <c r="U45" s="107">
        <f t="shared" si="17"/>
        <v>10873.076398729132</v>
      </c>
      <c r="V45" s="107">
        <f t="shared" si="17"/>
        <v>3563.1480492455321</v>
      </c>
      <c r="W45" s="107">
        <f t="shared" si="17"/>
        <v>830.65690003210102</v>
      </c>
      <c r="X45" s="107">
        <f>X40+X41-SUM(X42:X44)</f>
        <v>207.47351795715417</v>
      </c>
      <c r="Y45" s="107">
        <f>Y40+Y41-SUM(Y42:Y44)</f>
        <v>-4.3883119360543787E-11</v>
      </c>
      <c r="Z45" s="107">
        <f>Z40+Z41-SUM(Z42:Z44)</f>
        <v>-4.3883119360543787E-11</v>
      </c>
      <c r="AA45" s="107">
        <f>AA40+AA41-SUM(AA42:AA44)</f>
        <v>-4.3883119360543787E-11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45744.227159260678</v>
      </c>
      <c r="I50" s="80">
        <f t="shared" si="19"/>
        <v>41826.797563594511</v>
      </c>
      <c r="J50" s="80">
        <f t="shared" si="19"/>
        <v>35586.902632042271</v>
      </c>
      <c r="K50" s="80">
        <f t="shared" si="19"/>
        <v>28147.045327698819</v>
      </c>
      <c r="L50" s="80">
        <f t="shared" si="19"/>
        <v>18276.456699556064</v>
      </c>
      <c r="M50" s="80">
        <f t="shared" si="19"/>
        <v>11461.014378733655</v>
      </c>
      <c r="N50" s="80">
        <f t="shared" si="19"/>
        <v>6805.3980624585674</v>
      </c>
      <c r="O50" s="80">
        <f t="shared" si="19"/>
        <v>3520.849713525884</v>
      </c>
      <c r="P50" s="80">
        <f t="shared" si="19"/>
        <v>1425.0320935411546</v>
      </c>
      <c r="Q50" s="80">
        <f t="shared" si="19"/>
        <v>328.19284409256579</v>
      </c>
      <c r="R50" s="80">
        <f t="shared" si="19"/>
        <v>-2.7284841053187847E-12</v>
      </c>
      <c r="S50" s="80">
        <f t="shared" si="19"/>
        <v>-2.7284841053187847E-12</v>
      </c>
      <c r="T50" s="80">
        <f t="shared" si="19"/>
        <v>-2.7284841053187847E-12</v>
      </c>
      <c r="U50" s="80">
        <f t="shared" si="19"/>
        <v>-2.7284841053187847E-12</v>
      </c>
      <c r="V50" s="80">
        <f t="shared" si="19"/>
        <v>-2.7284841053187847E-12</v>
      </c>
      <c r="W50" s="80">
        <f t="shared" si="19"/>
        <v>-2.7284841053187847E-12</v>
      </c>
      <c r="X50" s="80">
        <f>W55</f>
        <v>-2.7284841053187847E-12</v>
      </c>
      <c r="Y50" s="80">
        <f>X55</f>
        <v>-2.7284841053187847E-12</v>
      </c>
      <c r="Z50" s="80">
        <f>Y55</f>
        <v>-2.7284841053187847E-12</v>
      </c>
      <c r="AA50" s="80">
        <f>Z55</f>
        <v>-2.7284841053187847E-12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19865.495396322658</v>
      </c>
      <c r="F51" s="80">
        <f>'Data 2009-15 (Real $2008)'!F13/10^3</f>
        <v>10372.068667339874</v>
      </c>
      <c r="G51" s="80">
        <f>'Data 2009-15 (Real $2008)'!G13/10^3</f>
        <v>8822.8828754537753</v>
      </c>
      <c r="H51" s="80">
        <f>'Data 2009-15 (Real $2008)'!H13/10^3</f>
        <v>7819.3473298175986</v>
      </c>
      <c r="I51" s="80">
        <f>'Data 2009-15 (Real $2008)'!I13/10^3</f>
        <v>6166.3498576883421</v>
      </c>
      <c r="J51" s="80">
        <f>'Data 2009-15 (Real $2008)'!J13/10^3</f>
        <v>4594.6998172959593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9222.1336501645928</v>
      </c>
      <c r="G54" s="80">
        <f t="shared" si="20"/>
        <v>10593.201617506997</v>
      </c>
      <c r="H54" s="80">
        <f t="shared" si="20"/>
        <v>11736.776925483762</v>
      </c>
      <c r="I54" s="80">
        <f t="shared" si="20"/>
        <v>12406.244789240583</v>
      </c>
      <c r="J54" s="80">
        <f t="shared" si="20"/>
        <v>12034.557121639407</v>
      </c>
      <c r="K54" s="80">
        <f t="shared" si="20"/>
        <v>9870.5886281427556</v>
      </c>
      <c r="L54" s="80">
        <f t="shared" si="20"/>
        <v>6815.4423208224089</v>
      </c>
      <c r="M54" s="80">
        <f t="shared" si="20"/>
        <v>4655.6163162750872</v>
      </c>
      <c r="N54" s="80">
        <f t="shared" si="20"/>
        <v>3284.5483489326834</v>
      </c>
      <c r="O54" s="80">
        <f t="shared" si="20"/>
        <v>2095.8176199847294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45744.227159260678</v>
      </c>
      <c r="H55" s="107">
        <f t="shared" si="21"/>
        <v>41826.797563594511</v>
      </c>
      <c r="I55" s="107">
        <f t="shared" si="21"/>
        <v>35586.902632042271</v>
      </c>
      <c r="J55" s="107">
        <f t="shared" si="21"/>
        <v>28147.045327698819</v>
      </c>
      <c r="K55" s="107">
        <f t="shared" si="21"/>
        <v>18276.456699556064</v>
      </c>
      <c r="L55" s="107">
        <f t="shared" si="21"/>
        <v>11461.014378733655</v>
      </c>
      <c r="M55" s="107">
        <f t="shared" si="21"/>
        <v>6805.3980624585674</v>
      </c>
      <c r="N55" s="107">
        <f t="shared" si="21"/>
        <v>3520.849713525884</v>
      </c>
      <c r="O55" s="107">
        <f t="shared" si="21"/>
        <v>1425.0320935411546</v>
      </c>
      <c r="P55" s="107">
        <f t="shared" si="21"/>
        <v>328.19284409256579</v>
      </c>
      <c r="Q55" s="107">
        <f t="shared" si="21"/>
        <v>-2.7284841053187847E-12</v>
      </c>
      <c r="R55" s="107">
        <f t="shared" si="21"/>
        <v>-2.7284841053187847E-12</v>
      </c>
      <c r="S55" s="107">
        <f t="shared" si="21"/>
        <v>-2.7284841053187847E-12</v>
      </c>
      <c r="T55" s="107">
        <f t="shared" si="21"/>
        <v>-2.7284841053187847E-12</v>
      </c>
      <c r="U55" s="107">
        <f t="shared" si="21"/>
        <v>-2.7284841053187847E-12</v>
      </c>
      <c r="V55" s="107">
        <f t="shared" si="21"/>
        <v>-2.7284841053187847E-12</v>
      </c>
      <c r="W55" s="107">
        <f t="shared" si="21"/>
        <v>-2.7284841053187847E-12</v>
      </c>
      <c r="X55" s="107">
        <f>X50+X51-SUM(X52:X54)</f>
        <v>-2.7284841053187847E-12</v>
      </c>
      <c r="Y55" s="107">
        <f>Y50+Y51-SUM(Y52:Y54)</f>
        <v>-2.7284841053187847E-12</v>
      </c>
      <c r="Z55" s="107">
        <f>Z50+Z51-SUM(Z52:Z54)</f>
        <v>-2.7284841053187847E-12</v>
      </c>
      <c r="AA55" s="107">
        <f>AA50+AA51-SUM(AA52:AA54)</f>
        <v>-2.7284841053187847E-12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27911.707579515089</v>
      </c>
      <c r="I60" s="80">
        <f t="shared" si="23"/>
        <v>29794.4668510886</v>
      </c>
      <c r="J60" s="80">
        <f t="shared" si="23"/>
        <v>25758.901167593278</v>
      </c>
      <c r="K60" s="80">
        <f t="shared" si="23"/>
        <v>20489.105608563659</v>
      </c>
      <c r="L60" s="80">
        <f t="shared" si="23"/>
        <v>14303.499869925612</v>
      </c>
      <c r="M60" s="80">
        <f t="shared" si="23"/>
        <v>8405.732625753657</v>
      </c>
      <c r="N60" s="80">
        <f t="shared" si="23"/>
        <v>3788.6543961787056</v>
      </c>
      <c r="O60" s="80">
        <f t="shared" si="23"/>
        <v>1281.1593638502973</v>
      </c>
      <c r="P60" s="80">
        <f t="shared" si="23"/>
        <v>344.00825632163662</v>
      </c>
      <c r="Q60" s="80">
        <f t="shared" si="23"/>
        <v>67.20619559564534</v>
      </c>
      <c r="R60" s="80">
        <f t="shared" si="23"/>
        <v>-7.3896444519050419E-12</v>
      </c>
      <c r="S60" s="80">
        <f t="shared" si="23"/>
        <v>-7.3896444519050419E-12</v>
      </c>
      <c r="T60" s="80">
        <f t="shared" si="23"/>
        <v>-7.3896444519050419E-12</v>
      </c>
      <c r="U60" s="80">
        <f t="shared" si="23"/>
        <v>-7.3896444519050419E-12</v>
      </c>
      <c r="V60" s="80">
        <f t="shared" si="23"/>
        <v>-7.3896444519050419E-12</v>
      </c>
      <c r="W60" s="80">
        <f t="shared" si="23"/>
        <v>-7.3896444519050419E-12</v>
      </c>
      <c r="X60" s="80">
        <f>W65</f>
        <v>-7.3896444519050419E-12</v>
      </c>
      <c r="Y60" s="80">
        <f>X65</f>
        <v>-7.3896444519050419E-12</v>
      </c>
      <c r="Z60" s="80">
        <f>Y65</f>
        <v>-7.3896444519050419E-12</v>
      </c>
      <c r="AA60" s="80">
        <f>Z65</f>
        <v>-7.3896444519050419E-12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3128.8651083511268</v>
      </c>
      <c r="F61" s="80">
        <f>'Data 2009-15 (Real $2008)'!F14/10^3</f>
        <v>14800.781096006922</v>
      </c>
      <c r="G61" s="80">
        <f>'Data 2009-15 (Real $2008)'!G14/10^3</f>
        <v>14733.38366544469</v>
      </c>
      <c r="H61" s="80">
        <f>'Data 2009-15 (Real $2008)'!H14/10^3</f>
        <v>7251.4312817517657</v>
      </c>
      <c r="I61" s="80">
        <f>'Data 2009-15 (Real $2008)'!I14/10^3</f>
        <v>1993.4553734855999</v>
      </c>
      <c r="J61" s="80">
        <f>'Data 2009-15 (Real $2008)'!J14/10^3</f>
        <v>940.8867383391389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408.05587353495628</v>
      </c>
      <c r="F64" s="80">
        <f t="shared" si="24"/>
        <v>1688.7448881319599</v>
      </c>
      <c r="G64" s="80">
        <f t="shared" si="24"/>
        <v>3798.3280853785036</v>
      </c>
      <c r="H64" s="80">
        <f t="shared" si="24"/>
        <v>5368.6720101782512</v>
      </c>
      <c r="I64" s="80">
        <f t="shared" si="24"/>
        <v>6029.0210569809196</v>
      </c>
      <c r="J64" s="80">
        <f t="shared" si="24"/>
        <v>6210.6822973687604</v>
      </c>
      <c r="K64" s="80">
        <f t="shared" si="24"/>
        <v>6185.6057386380471</v>
      </c>
      <c r="L64" s="80">
        <f t="shared" si="24"/>
        <v>5897.7672441719551</v>
      </c>
      <c r="M64" s="80">
        <f t="shared" si="24"/>
        <v>4617.0782295749514</v>
      </c>
      <c r="N64" s="80">
        <f t="shared" si="24"/>
        <v>2507.4950323284083</v>
      </c>
      <c r="O64" s="80">
        <f t="shared" si="24"/>
        <v>937.15110752866065</v>
      </c>
      <c r="P64" s="80">
        <f t="shared" si="24"/>
        <v>276.80206072599128</v>
      </c>
      <c r="Q64" s="80">
        <f t="shared" si="24"/>
        <v>67.20619559565273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27911.707579515089</v>
      </c>
      <c r="H65" s="107">
        <f t="shared" si="25"/>
        <v>29794.4668510886</v>
      </c>
      <c r="I65" s="107">
        <f t="shared" si="25"/>
        <v>25758.901167593278</v>
      </c>
      <c r="J65" s="107">
        <f t="shared" si="25"/>
        <v>20489.105608563659</v>
      </c>
      <c r="K65" s="107">
        <f t="shared" si="25"/>
        <v>14303.499869925612</v>
      </c>
      <c r="L65" s="107">
        <f t="shared" si="25"/>
        <v>8405.732625753657</v>
      </c>
      <c r="M65" s="107">
        <f t="shared" si="25"/>
        <v>3788.6543961787056</v>
      </c>
      <c r="N65" s="107">
        <f t="shared" si="25"/>
        <v>1281.1593638502973</v>
      </c>
      <c r="O65" s="107">
        <f t="shared" si="25"/>
        <v>344.00825632163662</v>
      </c>
      <c r="P65" s="107">
        <f t="shared" si="25"/>
        <v>67.20619559564534</v>
      </c>
      <c r="Q65" s="107">
        <f t="shared" si="25"/>
        <v>-7.3896444519050419E-12</v>
      </c>
      <c r="R65" s="107">
        <f t="shared" si="25"/>
        <v>-7.3896444519050419E-12</v>
      </c>
      <c r="S65" s="107">
        <f t="shared" si="25"/>
        <v>-7.3896444519050419E-12</v>
      </c>
      <c r="T65" s="107">
        <f t="shared" si="25"/>
        <v>-7.3896444519050419E-12</v>
      </c>
      <c r="U65" s="107">
        <f t="shared" si="25"/>
        <v>-7.3896444519050419E-12</v>
      </c>
      <c r="V65" s="107">
        <f t="shared" si="25"/>
        <v>-7.3896444519050419E-12</v>
      </c>
      <c r="W65" s="107">
        <f t="shared" si="25"/>
        <v>-7.3896444519050419E-12</v>
      </c>
      <c r="X65" s="107">
        <f>X60+X61-SUM(X62:X64)</f>
        <v>-7.3896444519050419E-12</v>
      </c>
      <c r="Y65" s="107">
        <f>Y60+Y61-SUM(Y62:Y64)</f>
        <v>-7.3896444519050419E-12</v>
      </c>
      <c r="Z65" s="107">
        <f>Z60+Z61-SUM(Z62:Z64)</f>
        <v>-7.3896444519050419E-12</v>
      </c>
      <c r="AA65" s="107">
        <f>AA60+AA61-SUM(AA62:AA64)</f>
        <v>-7.3896444519050419E-12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</v>
      </c>
      <c r="G70" s="80">
        <f t="shared" si="27"/>
        <v>1225.3150091261514</v>
      </c>
      <c r="H70" s="80">
        <f t="shared" si="27"/>
        <v>1083.14999006209</v>
      </c>
      <c r="I70" s="80">
        <f t="shared" si="27"/>
        <v>919.75229957770046</v>
      </c>
      <c r="J70" s="80">
        <f t="shared" si="27"/>
        <v>748.54955181339517</v>
      </c>
      <c r="K70" s="80">
        <f t="shared" si="27"/>
        <v>592.19012370183816</v>
      </c>
      <c r="L70" s="80">
        <f t="shared" si="27"/>
        <v>363.28180159184819</v>
      </c>
      <c r="M70" s="80">
        <f t="shared" si="27"/>
        <v>212.4531928332369</v>
      </c>
      <c r="N70" s="80">
        <f t="shared" si="27"/>
        <v>126.61884799274566</v>
      </c>
      <c r="O70" s="80">
        <f t="shared" si="27"/>
        <v>71.632001813535396</v>
      </c>
      <c r="P70" s="80">
        <f t="shared" si="27"/>
        <v>32.299829362789367</v>
      </c>
      <c r="Q70" s="80">
        <f t="shared" si="27"/>
        <v>8.2239022339458998</v>
      </c>
      <c r="R70" s="80">
        <f t="shared" si="27"/>
        <v>-1.6342482922482304E-13</v>
      </c>
      <c r="S70" s="80">
        <f t="shared" si="27"/>
        <v>-1.6342482922482304E-13</v>
      </c>
      <c r="T70" s="80">
        <f t="shared" si="27"/>
        <v>-1.6342482922482304E-13</v>
      </c>
      <c r="U70" s="80">
        <f t="shared" si="27"/>
        <v>-1.6342482922482304E-13</v>
      </c>
      <c r="V70" s="80">
        <f t="shared" si="27"/>
        <v>-1.6342482922482304E-13</v>
      </c>
      <c r="W70" s="80">
        <f t="shared" si="27"/>
        <v>-1.6342482922482304E-13</v>
      </c>
      <c r="X70" s="80">
        <f>W75</f>
        <v>-1.6342482922482304E-13</v>
      </c>
      <c r="Y70" s="80">
        <f>X75</f>
        <v>-1.6342482922482304E-13</v>
      </c>
      <c r="Z70" s="80">
        <f>Y75</f>
        <v>-1.6342482922482304E-13</v>
      </c>
      <c r="AA70" s="80">
        <f>Z75</f>
        <v>-1.6342482922482304E-13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590.42642854092526</v>
      </c>
      <c r="F71" s="80">
        <f>'Data 2009-15 (Real $2008)'!F15/10^3</f>
        <v>319.49326631275244</v>
      </c>
      <c r="G71" s="80">
        <f>'Data 2009-15 (Real $2008)'!G15/10^3</f>
        <v>112.37171494518174</v>
      </c>
      <c r="H71" s="80">
        <f>'Data 2009-15 (Real $2008)'!H15/10^3</f>
        <v>106.79371725331792</v>
      </c>
      <c r="I71" s="80">
        <f>'Data 2009-15 (Real $2008)'!I15/10^3</f>
        <v>106.79371725331792</v>
      </c>
      <c r="J71" s="80">
        <f>'Data 2009-15 (Real $2008)'!J15/10^3</f>
        <v>115.13463127524523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223.68923534796215</v>
      </c>
      <c r="G74" s="80">
        <f t="shared" si="28"/>
        <v>254.53673400924313</v>
      </c>
      <c r="H74" s="80">
        <f t="shared" si="28"/>
        <v>270.19140773770744</v>
      </c>
      <c r="I74" s="80">
        <f t="shared" si="28"/>
        <v>277.99646501762311</v>
      </c>
      <c r="J74" s="80">
        <f t="shared" si="28"/>
        <v>271.49405938680218</v>
      </c>
      <c r="K74" s="80">
        <f t="shared" si="28"/>
        <v>228.90832210998994</v>
      </c>
      <c r="L74" s="80">
        <f t="shared" si="28"/>
        <v>150.8286087586113</v>
      </c>
      <c r="M74" s="80">
        <f t="shared" si="28"/>
        <v>85.834344840491241</v>
      </c>
      <c r="N74" s="80">
        <f t="shared" si="28"/>
        <v>54.986846179210268</v>
      </c>
      <c r="O74" s="80">
        <f t="shared" si="28"/>
        <v>39.332172450746029</v>
      </c>
      <c r="P74" s="80">
        <f t="shared" si="28"/>
        <v>24.075927128843468</v>
      </c>
      <c r="Q74" s="80">
        <f t="shared" si="28"/>
        <v>8.2239022339460632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</v>
      </c>
      <c r="F75" s="107">
        <f t="shared" si="29"/>
        <v>1225.3150091261514</v>
      </c>
      <c r="G75" s="107">
        <f t="shared" si="29"/>
        <v>1083.14999006209</v>
      </c>
      <c r="H75" s="107">
        <f t="shared" si="29"/>
        <v>919.75229957770046</v>
      </c>
      <c r="I75" s="107">
        <f t="shared" si="29"/>
        <v>748.54955181339517</v>
      </c>
      <c r="J75" s="107">
        <f t="shared" si="29"/>
        <v>592.19012370183816</v>
      </c>
      <c r="K75" s="107">
        <f t="shared" si="29"/>
        <v>363.28180159184819</v>
      </c>
      <c r="L75" s="107">
        <f t="shared" si="29"/>
        <v>212.4531928332369</v>
      </c>
      <c r="M75" s="107">
        <f t="shared" si="29"/>
        <v>126.61884799274566</v>
      </c>
      <c r="N75" s="107">
        <f t="shared" si="29"/>
        <v>71.632001813535396</v>
      </c>
      <c r="O75" s="107">
        <f t="shared" si="29"/>
        <v>32.299829362789367</v>
      </c>
      <c r="P75" s="107">
        <f t="shared" si="29"/>
        <v>8.2239022339458998</v>
      </c>
      <c r="Q75" s="107">
        <f t="shared" si="29"/>
        <v>-1.6342482922482304E-13</v>
      </c>
      <c r="R75" s="107">
        <f t="shared" si="29"/>
        <v>-1.6342482922482304E-13</v>
      </c>
      <c r="S75" s="107">
        <f t="shared" si="29"/>
        <v>-1.6342482922482304E-13</v>
      </c>
      <c r="T75" s="107">
        <f t="shared" si="29"/>
        <v>-1.6342482922482304E-13</v>
      </c>
      <c r="U75" s="107">
        <f t="shared" si="29"/>
        <v>-1.6342482922482304E-13</v>
      </c>
      <c r="V75" s="107">
        <f t="shared" si="29"/>
        <v>-1.6342482922482304E-13</v>
      </c>
      <c r="W75" s="107">
        <f t="shared" si="29"/>
        <v>-1.6342482922482304E-13</v>
      </c>
      <c r="X75" s="107">
        <f>X70+X71-SUM(X72:X74)</f>
        <v>-1.6342482922482304E-13</v>
      </c>
      <c r="Y75" s="107">
        <f>Y70+Y71-SUM(Y72:Y74)</f>
        <v>-1.6342482922482304E-13</v>
      </c>
      <c r="Z75" s="107">
        <f>Z70+Z71-SUM(Z72:Z74)</f>
        <v>-1.6342482922482304E-13</v>
      </c>
      <c r="AA75" s="107">
        <f>AA70+AA71-SUM(AA72:AA74)</f>
        <v>-1.6342482922482304E-13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4" t="s">
        <v>0</v>
      </c>
      <c r="B77" s="547"/>
      <c r="C77" s="545">
        <f>SUM(D77:AA77)</f>
        <v>0</v>
      </c>
      <c r="D77" s="548">
        <f>IF(ABS(D10-D25-D35-D45-D55-D65-D75)&lt;0.001,0,ABS(D10-D25-D35-D45-D55-D65-D75))</f>
        <v>0</v>
      </c>
      <c r="E77" s="548">
        <f t="shared" ref="E77:W77" si="30">IF(ABS(E10-E25-E35-E45-E55-E65-E75)&lt;0.001,0,ABS(E10-E25-E35-E45-E55-E65-E75))</f>
        <v>0</v>
      </c>
      <c r="F77" s="548">
        <f t="shared" si="30"/>
        <v>0</v>
      </c>
      <c r="G77" s="548">
        <f t="shared" si="30"/>
        <v>0</v>
      </c>
      <c r="H77" s="548">
        <f t="shared" si="30"/>
        <v>0</v>
      </c>
      <c r="I77" s="548">
        <f t="shared" si="30"/>
        <v>0</v>
      </c>
      <c r="J77" s="548">
        <f t="shared" si="30"/>
        <v>0</v>
      </c>
      <c r="K77" s="548">
        <f t="shared" si="30"/>
        <v>0</v>
      </c>
      <c r="L77" s="548">
        <f t="shared" si="30"/>
        <v>0</v>
      </c>
      <c r="M77" s="548">
        <f t="shared" si="30"/>
        <v>0</v>
      </c>
      <c r="N77" s="548">
        <f t="shared" si="30"/>
        <v>0</v>
      </c>
      <c r="O77" s="548">
        <f t="shared" si="30"/>
        <v>0</v>
      </c>
      <c r="P77" s="548">
        <f t="shared" si="30"/>
        <v>0</v>
      </c>
      <c r="Q77" s="548">
        <f t="shared" si="30"/>
        <v>0</v>
      </c>
      <c r="R77" s="548">
        <f t="shared" si="30"/>
        <v>0</v>
      </c>
      <c r="S77" s="548">
        <f t="shared" si="30"/>
        <v>0</v>
      </c>
      <c r="T77" s="548">
        <f t="shared" si="30"/>
        <v>0</v>
      </c>
      <c r="U77" s="548">
        <f t="shared" si="30"/>
        <v>0</v>
      </c>
      <c r="V77" s="548">
        <f t="shared" si="30"/>
        <v>0</v>
      </c>
      <c r="W77" s="548">
        <f t="shared" si="30"/>
        <v>0</v>
      </c>
      <c r="X77" s="548">
        <f>IF(ABS(X10-X25-X35-X45-X55-X65-X75)&lt;0.001,0,ABS(X10-X25-X35-X45-X55-X65-X75))</f>
        <v>0</v>
      </c>
      <c r="Y77" s="548">
        <f>IF(ABS(Y10-Y25-Y35-Y45-Y55-Y65-Y75)&lt;0.001,0,ABS(Y10-Y25-Y35-Y45-Y55-Y65-Y75))</f>
        <v>0</v>
      </c>
      <c r="Z77" s="548">
        <f>IF(ABS(Z10-Z25-Z35-Z45-Z55-Z65-Z75)&lt;0.001,0,ABS(Z10-Z25-Z35-Z45-Z55-Z65-Z75))</f>
        <v>0</v>
      </c>
      <c r="AA77" s="548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4" t="s">
        <v>0</v>
      </c>
      <c r="B85" s="477"/>
      <c r="C85" s="545">
        <f>SUM(D85:E85)</f>
        <v>0</v>
      </c>
      <c r="D85" s="546">
        <f>IF(ABS(D82-SUM(D83:AA83))&lt;0.001,0,ABS(D82-SUM(D83:AA83)))</f>
        <v>0</v>
      </c>
      <c r="E85" s="546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4" t="s">
        <v>0</v>
      </c>
      <c r="B129" s="477"/>
      <c r="C129" s="545">
        <f>SUM(D129:E129)</f>
        <v>0</v>
      </c>
      <c r="D129" s="546">
        <f>IF(ABS(D126-SUM(D127:AA127))&lt;0.001,0,ABS(D126-SUM(D127:AA127)))</f>
        <v>0</v>
      </c>
      <c r="E129" s="546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281999.94537916989</v>
      </c>
      <c r="I170" s="85">
        <f t="shared" si="58"/>
        <v>316880.74191668979</v>
      </c>
      <c r="J170" s="85">
        <f t="shared" si="58"/>
        <v>295458.79777547356</v>
      </c>
      <c r="K170" s="85">
        <f t="shared" si="58"/>
        <v>269988.28686714103</v>
      </c>
      <c r="L170" s="85">
        <f t="shared" si="58"/>
        <v>233768.18965035383</v>
      </c>
      <c r="M170" s="85">
        <f t="shared" si="58"/>
        <v>200969.15694870445</v>
      </c>
      <c r="N170" s="85">
        <f t="shared" si="58"/>
        <v>171675.63353011751</v>
      </c>
      <c r="O170" s="85">
        <f t="shared" si="58"/>
        <v>145893.60877478082</v>
      </c>
      <c r="P170" s="85">
        <f t="shared" si="58"/>
        <v>122886.31334692029</v>
      </c>
      <c r="Q170" s="85">
        <f t="shared" si="58"/>
        <v>101553.60158172046</v>
      </c>
      <c r="R170" s="85">
        <f t="shared" si="58"/>
        <v>81214.984111901897</v>
      </c>
      <c r="S170" s="85">
        <f t="shared" si="58"/>
        <v>61279.989584005496</v>
      </c>
      <c r="T170" s="85">
        <f t="shared" si="58"/>
        <v>41415.192290552339</v>
      </c>
      <c r="U170" s="85">
        <f t="shared" si="58"/>
        <v>23692.05786208214</v>
      </c>
      <c r="V170" s="85">
        <f t="shared" si="58"/>
        <v>10873.076398729074</v>
      </c>
      <c r="W170" s="85">
        <f t="shared" si="58"/>
        <v>3563.1480492454739</v>
      </c>
      <c r="X170" s="85">
        <f>W173</f>
        <v>830.65690003204281</v>
      </c>
      <c r="Y170" s="85">
        <f>X173</f>
        <v>207.47351795709596</v>
      </c>
      <c r="Z170" s="85">
        <f>Y173</f>
        <v>-1.0209078027401119E-10</v>
      </c>
      <c r="AA170" s="85">
        <f>Z173</f>
        <v>-1.0209078027401119E-10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93930.880038998643</v>
      </c>
      <c r="F171" s="85">
        <f t="shared" si="59"/>
        <v>112619.07144998058</v>
      </c>
      <c r="G171" s="85">
        <f t="shared" si="59"/>
        <v>104165.98315660526</v>
      </c>
      <c r="H171" s="85">
        <f t="shared" si="59"/>
        <v>72287.184684915017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29907.96138556287</v>
      </c>
      <c r="H172" s="85">
        <f t="shared" si="60"/>
        <v>37406.388147395097</v>
      </c>
      <c r="I172" s="85">
        <f t="shared" si="60"/>
        <v>35935.633474459872</v>
      </c>
      <c r="J172" s="85">
        <f t="shared" si="60"/>
        <v>37345.437633958871</v>
      </c>
      <c r="K172" s="85">
        <f t="shared" si="60"/>
        <v>36220.097216787188</v>
      </c>
      <c r="L172" s="85">
        <f t="shared" si="60"/>
        <v>32799.032701649368</v>
      </c>
      <c r="M172" s="85">
        <f t="shared" si="60"/>
        <v>29293.523418586927</v>
      </c>
      <c r="N172" s="85">
        <f t="shared" si="60"/>
        <v>25782.024755336697</v>
      </c>
      <c r="O172" s="85">
        <f t="shared" si="60"/>
        <v>23007.295427860536</v>
      </c>
      <c r="P172" s="85">
        <f t="shared" si="60"/>
        <v>21332.71176519982</v>
      </c>
      <c r="Q172" s="85">
        <f t="shared" si="60"/>
        <v>20338.617469818564</v>
      </c>
      <c r="R172" s="85">
        <f t="shared" si="60"/>
        <v>19934.994527896397</v>
      </c>
      <c r="S172" s="85">
        <f t="shared" si="60"/>
        <v>19864.797293453154</v>
      </c>
      <c r="T172" s="85">
        <f t="shared" si="60"/>
        <v>17723.134428470199</v>
      </c>
      <c r="U172" s="85">
        <f t="shared" si="60"/>
        <v>12818.981463353066</v>
      </c>
      <c r="V172" s="85">
        <f t="shared" si="60"/>
        <v>7309.9283494836</v>
      </c>
      <c r="W172" s="85">
        <f t="shared" si="60"/>
        <v>2732.4911492134311</v>
      </c>
      <c r="X172" s="85">
        <f>X261</f>
        <v>623.18338207494685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281999.94537916989</v>
      </c>
      <c r="H173" s="74">
        <f t="shared" si="61"/>
        <v>316880.74191668979</v>
      </c>
      <c r="I173" s="74">
        <f t="shared" si="61"/>
        <v>295458.79777547356</v>
      </c>
      <c r="J173" s="74">
        <f t="shared" si="61"/>
        <v>269988.28686714103</v>
      </c>
      <c r="K173" s="74">
        <f t="shared" si="61"/>
        <v>233768.18965035383</v>
      </c>
      <c r="L173" s="74">
        <f t="shared" si="61"/>
        <v>200969.15694870445</v>
      </c>
      <c r="M173" s="74">
        <f t="shared" si="61"/>
        <v>171675.63353011751</v>
      </c>
      <c r="N173" s="74">
        <f t="shared" si="61"/>
        <v>145893.60877478082</v>
      </c>
      <c r="O173" s="74">
        <f t="shared" si="61"/>
        <v>122886.31334692029</v>
      </c>
      <c r="P173" s="74">
        <f t="shared" si="61"/>
        <v>101553.60158172046</v>
      </c>
      <c r="Q173" s="74">
        <f t="shared" si="61"/>
        <v>81214.984111901897</v>
      </c>
      <c r="R173" s="74">
        <f t="shared" si="61"/>
        <v>61279.989584005496</v>
      </c>
      <c r="S173" s="74">
        <f t="shared" si="61"/>
        <v>41415.192290552339</v>
      </c>
      <c r="T173" s="74">
        <f t="shared" si="61"/>
        <v>23692.05786208214</v>
      </c>
      <c r="U173" s="74">
        <f t="shared" si="61"/>
        <v>10873.076398729074</v>
      </c>
      <c r="V173" s="74">
        <f t="shared" si="61"/>
        <v>3563.1480492454739</v>
      </c>
      <c r="W173" s="74">
        <f t="shared" si="61"/>
        <v>830.65690003204281</v>
      </c>
      <c r="X173" s="74">
        <f>X170+X171-X172</f>
        <v>207.47351795709596</v>
      </c>
      <c r="Y173" s="74">
        <f>Y170+Y171-Y172</f>
        <v>-1.0209078027401119E-10</v>
      </c>
      <c r="Z173" s="74">
        <f>Z170+Z171-Z172</f>
        <v>-1.0209078027401119E-10</v>
      </c>
      <c r="AA173" s="74">
        <f>AA170+AA171-AA172</f>
        <v>-1.0209078027401119E-10</v>
      </c>
    </row>
    <row r="174" spans="1:27" s="99" customFormat="1" ht="13.5" outlineLevel="1" thickTop="1" x14ac:dyDescent="0.2">
      <c r="A174" s="544" t="s">
        <v>0</v>
      </c>
      <c r="B174" s="477"/>
      <c r="C174" s="545">
        <f>SUM(D174:K174)</f>
        <v>0</v>
      </c>
      <c r="D174" s="546">
        <f>IF(ABS(SUM(D171:AA171)-SUM(D172:AA172))&lt;0.001,0,ABS(SUM(D171:AA171)-SUM(D172:AA172)))</f>
        <v>0</v>
      </c>
      <c r="E174" s="546">
        <f t="shared" ref="E174:K174" si="62">IF(ABS(D171-D186)&lt;0.001,0,ABS(D171-D186))</f>
        <v>0</v>
      </c>
      <c r="F174" s="546">
        <f t="shared" si="62"/>
        <v>0</v>
      </c>
      <c r="G174" s="546">
        <f t="shared" si="62"/>
        <v>0</v>
      </c>
      <c r="H174" s="546">
        <f t="shared" si="62"/>
        <v>0</v>
      </c>
      <c r="I174" s="546">
        <f t="shared" si="62"/>
        <v>0</v>
      </c>
      <c r="J174" s="546">
        <f t="shared" si="62"/>
        <v>0</v>
      </c>
      <c r="K174" s="546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3670.0541176541233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90.651464791370358</v>
      </c>
      <c r="H180" s="85">
        <f>('Data 2009-15 (Real $2008)'!H10-'Data 2009-15 (Real $2008)'!H34-'Data 2009-15 (Real $2008)'!H43)/10^3</f>
        <v>33.904311093644807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4532.0700719376482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115.7200572051907</v>
      </c>
      <c r="H181" s="85">
        <f>('Data 2009-15 (Real $2008)'!H11-'Data 2009-15 (Real $2008)'!H35-'Data 2009-15 (Real $2008)'!H44)/10^3</f>
        <v>43.565415660110993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62143.968916192156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80290.973378765033</v>
      </c>
      <c r="H182" s="85">
        <f>('Data 2009-15 (Real $2008)'!H12-'Data 2009-15 (Real $2008)'!H36-'Data 2009-15 (Real $2008)'!H45)/10^3</f>
        <v>57032.142629338588</v>
      </c>
      <c r="I182" s="85">
        <f>('Data 2009-15 (Real $2008)'!I12-'Data 2009-15 (Real $2008)'!I36-'Data 2009-15 (Real $2008)'!I45)/10^3</f>
        <v>6247.0903848163953</v>
      </c>
      <c r="J182" s="85">
        <f>('Data 2009-15 (Real $2008)'!J12-'Data 2009-15 (Real $2008)'!J36-'Data 2009-15 (Real $2008)'!J45)/10^3</f>
        <v>6224.205538715978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19865.495396322658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8822.8828754537753</v>
      </c>
      <c r="H183" s="85">
        <f>('Data 2009-15 (Real $2008)'!H13-'Data 2009-15 (Real $2008)'!H37-'Data 2009-15 (Real $2008)'!H46)/10^3</f>
        <v>7819.3473298175986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4594.6998172959593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3128.8651083511268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14733.38366544469</v>
      </c>
      <c r="H184" s="85">
        <f>('Data 2009-15 (Real $2008)'!H14-'Data 2009-15 (Real $2008)'!H38-'Data 2009-15 (Real $2008)'!H47)/10^3</f>
        <v>7251.4312817517657</v>
      </c>
      <c r="I184" s="85">
        <f>('Data 2009-15 (Real $2008)'!I14-'Data 2009-15 (Real $2008)'!I38-'Data 2009-15 (Real $2008)'!I47)/10^3</f>
        <v>1993.4553734855999</v>
      </c>
      <c r="J184" s="85">
        <f>('Data 2009-15 (Real $2008)'!J14-'Data 2009-15 (Real $2008)'!J38-'Data 2009-15 (Real $2008)'!J47)/10^3</f>
        <v>940.8867383391389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590.42642854092526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112.37171494518174</v>
      </c>
      <c r="H185" s="85">
        <f>('Data 2009-15 (Real $2008)'!H15-'Data 2009-15 (Real $2008)'!H39-'Data 2009-15 (Real $2008)'!H48)/10^3</f>
        <v>106.79371725331792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115.13463127524523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93930.880038998643</v>
      </c>
      <c r="F186" s="107">
        <f t="shared" si="64"/>
        <v>112619.07144998058</v>
      </c>
      <c r="G186" s="107">
        <f t="shared" si="64"/>
        <v>104165.98315660526</v>
      </c>
      <c r="H186" s="107">
        <f t="shared" si="64"/>
        <v>72287.184684915017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3670.0541176541233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524.29344537916052</v>
      </c>
      <c r="F192" s="85">
        <f>IF((SUM($D192:E192)+$B192/$C192)&gt;$B192,$B192-SUM($D192:E192),$B192/$C192)</f>
        <v>1048.586890758321</v>
      </c>
      <c r="G192" s="85">
        <f>IF((SUM($D192:F192)+$B192/$C192)&gt;$B192,$B192-SUM($D192:F192),$B192/$C192)</f>
        <v>1048.586890758321</v>
      </c>
      <c r="H192" s="85">
        <f>IF((SUM($D192:G192)+$B192/$C192)&gt;$B192,$B192-SUM($D192:G192),$B192/$C192)</f>
        <v>1048.586890758321</v>
      </c>
      <c r="I192" s="85">
        <f>IF((SUM($D192:H192)+$B192/$C192)&gt;$B192,$B192-SUM($D192:H192),$B192/$C192)</f>
        <v>-4.5474735088646412E-13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90.651464791370358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30.217154930456786</v>
      </c>
      <c r="H194" s="85">
        <f>IF((SUM($D194:G194)+$B194/$C194)&gt;$B194,$B194-SUM($D194:G194),$B194/$C194)</f>
        <v>60.434309860913572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33.904311093644807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33.904311093644807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9561.9185914745176</v>
      </c>
      <c r="D198" s="696">
        <f t="shared" ref="D198:AA198" si="66">SUM(D191:D197)</f>
        <v>479.71327694313072</v>
      </c>
      <c r="E198" s="696">
        <f t="shared" si="66"/>
        <v>1483.7199992654218</v>
      </c>
      <c r="F198" s="696">
        <f t="shared" si="66"/>
        <v>2297.9912857340228</v>
      </c>
      <c r="G198" s="696">
        <f t="shared" si="66"/>
        <v>2618.1862817539195</v>
      </c>
      <c r="H198" s="696">
        <f t="shared" si="66"/>
        <v>2682.3077477780212</v>
      </c>
      <c r="I198" s="696">
        <f t="shared" si="66"/>
        <v>-4.5474735088646412E-13</v>
      </c>
      <c r="J198" s="696">
        <f t="shared" si="66"/>
        <v>0</v>
      </c>
      <c r="K198" s="696">
        <f t="shared" si="66"/>
        <v>0</v>
      </c>
      <c r="L198" s="696">
        <f t="shared" si="66"/>
        <v>0</v>
      </c>
      <c r="M198" s="696">
        <f t="shared" si="66"/>
        <v>0</v>
      </c>
      <c r="N198" s="696">
        <f t="shared" si="66"/>
        <v>0</v>
      </c>
      <c r="O198" s="696">
        <f t="shared" si="66"/>
        <v>0</v>
      </c>
      <c r="P198" s="696">
        <f t="shared" si="66"/>
        <v>0</v>
      </c>
      <c r="Q198" s="696">
        <f t="shared" si="66"/>
        <v>0</v>
      </c>
      <c r="R198" s="696">
        <f t="shared" si="66"/>
        <v>0</v>
      </c>
      <c r="S198" s="696">
        <f t="shared" si="66"/>
        <v>0</v>
      </c>
      <c r="T198" s="696">
        <f t="shared" si="66"/>
        <v>0</v>
      </c>
      <c r="U198" s="696">
        <f t="shared" si="66"/>
        <v>0</v>
      </c>
      <c r="V198" s="696">
        <f t="shared" si="66"/>
        <v>0</v>
      </c>
      <c r="W198" s="696">
        <f t="shared" si="66"/>
        <v>0</v>
      </c>
      <c r="X198" s="696">
        <f t="shared" si="66"/>
        <v>0</v>
      </c>
      <c r="Y198" s="696">
        <f t="shared" si="66"/>
        <v>0</v>
      </c>
      <c r="Z198" s="696">
        <f t="shared" si="66"/>
        <v>0</v>
      </c>
      <c r="AA198" s="696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4532.0700719376482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647.43858170537828</v>
      </c>
      <c r="F204" s="85">
        <f>IF((SUM($D204:E204)+$B204/$C204)&gt;$B204,$B204-SUM($D204:E204),$B204/$C204)</f>
        <v>1294.8771634107566</v>
      </c>
      <c r="G204" s="85">
        <f>IF((SUM($D204:F204)+$B204/$C204)&gt;$B204,$B204-SUM($D204:F204),$B204/$C204)</f>
        <v>1294.8771634107566</v>
      </c>
      <c r="H204" s="85">
        <f>IF((SUM($D204:G204)+$B204/$C204)&gt;$B204,$B204-SUM($D204:G204),$B204/$C204)</f>
        <v>1294.8771634107566</v>
      </c>
      <c r="I204" s="85">
        <f>IF((SUM($D204:H204)+$B204/$C204)&gt;$B204,$B204-SUM($D204:H204),$B204/$C204)</f>
        <v>9.0949470177292824E-13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115.7200572051907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38.573352401730233</v>
      </c>
      <c r="H206" s="85">
        <f>IF((SUM($D206:G206)+$B206/$C206)&gt;$B206,$B206-SUM($D206:G206),$B206/$C206)</f>
        <v>77.146704803460466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43.565415660110993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43.565415660110993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9339.7510226296818</v>
      </c>
      <c r="D210" s="696">
        <f t="shared" ref="D210:AA210" si="68">SUM(D203:D209)</f>
        <v>439.13070003037296</v>
      </c>
      <c r="E210" s="696">
        <f t="shared" si="68"/>
        <v>1525.6999817661242</v>
      </c>
      <c r="F210" s="696">
        <f t="shared" si="68"/>
        <v>2312.3823989821776</v>
      </c>
      <c r="G210" s="696">
        <f t="shared" si="68"/>
        <v>2490.1995868945828</v>
      </c>
      <c r="H210" s="696">
        <f t="shared" si="68"/>
        <v>2572.3383549564242</v>
      </c>
      <c r="I210" s="696">
        <f t="shared" si="68"/>
        <v>9.0949470177292824E-13</v>
      </c>
      <c r="J210" s="696">
        <f t="shared" si="68"/>
        <v>0</v>
      </c>
      <c r="K210" s="696">
        <f t="shared" si="68"/>
        <v>0</v>
      </c>
      <c r="L210" s="696">
        <f t="shared" si="68"/>
        <v>0</v>
      </c>
      <c r="M210" s="696">
        <f t="shared" si="68"/>
        <v>0</v>
      </c>
      <c r="N210" s="696">
        <f t="shared" si="68"/>
        <v>0</v>
      </c>
      <c r="O210" s="696">
        <f t="shared" si="68"/>
        <v>0</v>
      </c>
      <c r="P210" s="696">
        <f t="shared" si="68"/>
        <v>0</v>
      </c>
      <c r="Q210" s="696">
        <f t="shared" si="68"/>
        <v>0</v>
      </c>
      <c r="R210" s="696">
        <f t="shared" si="68"/>
        <v>0</v>
      </c>
      <c r="S210" s="696">
        <f t="shared" si="68"/>
        <v>0</v>
      </c>
      <c r="T210" s="696">
        <f t="shared" si="68"/>
        <v>0</v>
      </c>
      <c r="U210" s="696">
        <f t="shared" si="68"/>
        <v>0</v>
      </c>
      <c r="V210" s="696">
        <f t="shared" si="68"/>
        <v>0</v>
      </c>
      <c r="W210" s="696">
        <f t="shared" si="68"/>
        <v>0</v>
      </c>
      <c r="X210" s="696">
        <f t="shared" si="68"/>
        <v>0</v>
      </c>
      <c r="Y210" s="696">
        <f t="shared" si="68"/>
        <v>0</v>
      </c>
      <c r="Z210" s="696">
        <f t="shared" si="68"/>
        <v>0</v>
      </c>
      <c r="AA210" s="696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62143.968916192156</v>
      </c>
      <c r="C216" s="463">
        <f>'Data 2009-15 (Real $2008)'!C$154</f>
        <v>15</v>
      </c>
      <c r="D216" s="473"/>
      <c r="E216" s="85">
        <f>IF(C216&lt;1,B216,B216/2/C216)</f>
        <v>2071.4656305397384</v>
      </c>
      <c r="F216" s="85">
        <f>IF((SUM($D216:E216)+$B216/$C216)&gt;$B216,$B216-SUM($D216:E216),$B216/$C216)</f>
        <v>4142.9312610794768</v>
      </c>
      <c r="G216" s="85">
        <f>IF((SUM($D216:F216)+$B216/$C216)&gt;$B216,$B216-SUM($D216:F216),$B216/$C216)</f>
        <v>4142.9312610794768</v>
      </c>
      <c r="H216" s="85">
        <f>IF((SUM($D216:G216)+$B216/$C216)&gt;$B216,$B216-SUM($D216:G216),$B216/$C216)</f>
        <v>4142.9312610794768</v>
      </c>
      <c r="I216" s="85">
        <f>IF((SUM($D216:H216)+$B216/$C216)&gt;$B216,$B216-SUM($D216:H216),$B216/$C216)</f>
        <v>4142.9312610794768</v>
      </c>
      <c r="J216" s="85">
        <f>IF((SUM($D216:I216)+$B216/$C216)&gt;$B216,$B216-SUM($D216:I216),$B216/$C216)</f>
        <v>4142.9312610794768</v>
      </c>
      <c r="K216" s="85">
        <f>IF((SUM($D216:J216)+$B216/$C216)&gt;$B216,$B216-SUM($D216:J216),$B216/$C216)</f>
        <v>4142.9312610794768</v>
      </c>
      <c r="L216" s="85">
        <f>IF((SUM($D216:K216)+$B216/$C216)&gt;$B216,$B216-SUM($D216:K216),$B216/$C216)</f>
        <v>4142.9312610794768</v>
      </c>
      <c r="M216" s="85">
        <f>IF((SUM($D216:L216)+$B216/$C216)&gt;$B216,$B216-SUM($D216:L216),$B216/$C216)</f>
        <v>4142.9312610794768</v>
      </c>
      <c r="N216" s="85">
        <f>IF((SUM($D216:M216)+$B216/$C216)&gt;$B216,$B216-SUM($D216:M216),$B216/$C216)</f>
        <v>4142.9312610794768</v>
      </c>
      <c r="O216" s="85">
        <f>IF((SUM($D216:N216)+$B216/$C216)&gt;$B216,$B216-SUM($D216:N216),$B216/$C216)</f>
        <v>4142.9312610794768</v>
      </c>
      <c r="P216" s="85">
        <f>IF((SUM($D216:O216)+$B216/$C216)&gt;$B216,$B216-SUM($D216:O216),$B216/$C216)</f>
        <v>4142.9312610794768</v>
      </c>
      <c r="Q216" s="85">
        <f>IF((SUM($D216:P216)+$B216/$C216)&gt;$B216,$B216-SUM($D216:P216),$B216/$C216)</f>
        <v>4142.9312610794768</v>
      </c>
      <c r="R216" s="85">
        <f>IF((SUM($D216:Q216)+$B216/$C216)&gt;$B216,$B216-SUM($D216:Q216),$B216/$C216)</f>
        <v>4142.9312610794768</v>
      </c>
      <c r="S216" s="85">
        <f>IF((SUM($D216:R216)+$B216/$C216)&gt;$B216,$B216-SUM($D216:R216),$B216/$C216)</f>
        <v>4142.9312610794768</v>
      </c>
      <c r="T216" s="85">
        <f>IF((SUM($D216:S216)+$B216/$C216)&gt;$B216,$B216-SUM($D216:S216),$B216/$C216)</f>
        <v>2071.4656305397657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80290.973378765033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2676.3657792921676</v>
      </c>
      <c r="H218" s="85">
        <f>IF((SUM($D218:G218)+$B218/$C218)&gt;$B218,$B218-SUM($D218:G218),$B218/$C218)</f>
        <v>5352.7315585843353</v>
      </c>
      <c r="I218" s="85">
        <f>IF((SUM($D218:H218)+$B218/$C218)&gt;$B218,$B218-SUM($D218:H218),$B218/$C218)</f>
        <v>5352.7315585843353</v>
      </c>
      <c r="J218" s="85">
        <f>IF((SUM($D218:I218)+$B218/$C218)&gt;$B218,$B218-SUM($D218:I218),$B218/$C218)</f>
        <v>5352.7315585843353</v>
      </c>
      <c r="K218" s="85">
        <f>IF((SUM($D218:J218)+$B218/$C218)&gt;$B218,$B218-SUM($D218:J218),$B218/$C218)</f>
        <v>5352.7315585843353</v>
      </c>
      <c r="L218" s="85">
        <f>IF((SUM($D218:K218)+$B218/$C218)&gt;$B218,$B218-SUM($D218:K218),$B218/$C218)</f>
        <v>5352.7315585843353</v>
      </c>
      <c r="M218" s="85">
        <f>IF((SUM($D218:L218)+$B218/$C218)&gt;$B218,$B218-SUM($D218:L218),$B218/$C218)</f>
        <v>5352.7315585843353</v>
      </c>
      <c r="N218" s="85">
        <f>IF((SUM($D218:M218)+$B218/$C218)&gt;$B218,$B218-SUM($D218:M218),$B218/$C218)</f>
        <v>5352.7315585843353</v>
      </c>
      <c r="O218" s="85">
        <f>IF((SUM($D218:N218)+$B218/$C218)&gt;$B218,$B218-SUM($D218:N218),$B218/$C218)</f>
        <v>5352.7315585843353</v>
      </c>
      <c r="P218" s="85">
        <f>IF((SUM($D218:O218)+$B218/$C218)&gt;$B218,$B218-SUM($D218:O218),$B218/$C218)</f>
        <v>5352.7315585843353</v>
      </c>
      <c r="Q218" s="85">
        <f>IF((SUM($D218:P218)+$B218/$C218)&gt;$B218,$B218-SUM($D218:P218),$B218/$C218)</f>
        <v>5352.7315585843353</v>
      </c>
      <c r="R218" s="85">
        <f>IF((SUM($D218:Q218)+$B218/$C218)&gt;$B218,$B218-SUM($D218:Q218),$B218/$C218)</f>
        <v>5352.7315585843353</v>
      </c>
      <c r="S218" s="85">
        <f>IF((SUM($D218:R218)+$B218/$C218)&gt;$B218,$B218-SUM($D218:R218),$B218/$C218)</f>
        <v>5352.7315585843353</v>
      </c>
      <c r="T218" s="85">
        <f>IF((SUM($D218:S218)+$B218/$C218)&gt;$B218,$B218-SUM($D218:S218),$B218/$C218)</f>
        <v>5352.7315585843353</v>
      </c>
      <c r="U218" s="85">
        <f>IF((SUM($D218:T218)+$B218/$C218)&gt;$B218,$B218-SUM($D218:T218),$B218/$C218)</f>
        <v>5352.7315585843353</v>
      </c>
      <c r="V218" s="85">
        <f>IF((SUM($D218:U218)+$B218/$C218)&gt;$B218,$B218-SUM($D218:U218),$B218/$C218)</f>
        <v>2676.3657792922022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57032.142629338588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1901.071420977953</v>
      </c>
      <c r="I219" s="85">
        <f>IF((SUM($D219:H219)+$B219/$C219)&gt;$B219,$B219-SUM($D219:H219),$B219/$C219)</f>
        <v>3802.1428419559061</v>
      </c>
      <c r="J219" s="85">
        <f>IF((SUM($D219:I219)+$B219/$C219)&gt;$B219,$B219-SUM($D219:I219),$B219/$C219)</f>
        <v>3802.1428419559061</v>
      </c>
      <c r="K219" s="85">
        <f>IF((SUM($D219:J219)+$B219/$C219)&gt;$B219,$B219-SUM($D219:J219),$B219/$C219)</f>
        <v>3802.1428419559061</v>
      </c>
      <c r="L219" s="85">
        <f>IF((SUM($D219:K219)+$B219/$C219)&gt;$B219,$B219-SUM($D219:K219),$B219/$C219)</f>
        <v>3802.1428419559061</v>
      </c>
      <c r="M219" s="85">
        <f>IF((SUM($D219:L219)+$B219/$C219)&gt;$B219,$B219-SUM($D219:L219),$B219/$C219)</f>
        <v>3802.1428419559061</v>
      </c>
      <c r="N219" s="85">
        <f>IF((SUM($D219:M219)+$B219/$C219)&gt;$B219,$B219-SUM($D219:M219),$B219/$C219)</f>
        <v>3802.1428419559061</v>
      </c>
      <c r="O219" s="85">
        <f>IF((SUM($D219:N219)+$B219/$C219)&gt;$B219,$B219-SUM($D219:N219),$B219/$C219)</f>
        <v>3802.1428419559061</v>
      </c>
      <c r="P219" s="85">
        <f>IF((SUM($D219:O219)+$B219/$C219)&gt;$B219,$B219-SUM($D219:O219),$B219/$C219)</f>
        <v>3802.1428419559061</v>
      </c>
      <c r="Q219" s="85">
        <f>IF((SUM($D219:P219)+$B219/$C219)&gt;$B219,$B219-SUM($D219:P219),$B219/$C219)</f>
        <v>3802.1428419559061</v>
      </c>
      <c r="R219" s="85">
        <f>IF((SUM($D219:Q219)+$B219/$C219)&gt;$B219,$B219-SUM($D219:Q219),$B219/$C219)</f>
        <v>3802.1428419559061</v>
      </c>
      <c r="S219" s="85">
        <f>IF((SUM($D219:R219)+$B219/$C219)&gt;$B219,$B219-SUM($D219:R219),$B219/$C219)</f>
        <v>3802.1428419559061</v>
      </c>
      <c r="T219" s="85">
        <f>IF((SUM($D219:S219)+$B219/$C219)&gt;$B219,$B219-SUM($D219:S219),$B219/$C219)</f>
        <v>3802.1428419559061</v>
      </c>
      <c r="U219" s="85">
        <f>IF((SUM($D219:T219)+$B219/$C219)&gt;$B219,$B219-SUM($D219:T219),$B219/$C219)</f>
        <v>3802.1428419559061</v>
      </c>
      <c r="V219" s="85">
        <f>IF((SUM($D219:U219)+$B219/$C219)&gt;$B219,$B219-SUM($D219:U219),$B219/$C219)</f>
        <v>3802.1428419559061</v>
      </c>
      <c r="W219" s="85">
        <f>IF((SUM($D219:V219)+$B219/$C219)&gt;$B219,$B219-SUM($D219:V219),$B219/$C219)</f>
        <v>1901.0714209779399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6247.0903848163953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</v>
      </c>
      <c r="J220" s="85">
        <f>IF((SUM($D220:I220)+$B220/$C220)&gt;$B220,$B220-SUM($D220:I220),$B220/$C220)</f>
        <v>416.47269232109301</v>
      </c>
      <c r="K220" s="85">
        <f>IF((SUM($D220:J220)+$B220/$C220)&gt;$B220,$B220-SUM($D220:J220),$B220/$C220)</f>
        <v>416.47269232109301</v>
      </c>
      <c r="L220" s="85">
        <f>IF((SUM($D220:K220)+$B220/$C220)&gt;$B220,$B220-SUM($D220:K220),$B220/$C220)</f>
        <v>416.47269232109301</v>
      </c>
      <c r="M220" s="85">
        <f>IF((SUM($D220:L220)+$B220/$C220)&gt;$B220,$B220-SUM($D220:L220),$B220/$C220)</f>
        <v>416.47269232109301</v>
      </c>
      <c r="N220" s="85">
        <f>IF((SUM($D220:M220)+$B220/$C220)&gt;$B220,$B220-SUM($D220:M220),$B220/$C220)</f>
        <v>416.47269232109301</v>
      </c>
      <c r="O220" s="85">
        <f>IF((SUM($D220:N220)+$B220/$C220)&gt;$B220,$B220-SUM($D220:N220),$B220/$C220)</f>
        <v>416.47269232109301</v>
      </c>
      <c r="P220" s="85">
        <f>IF((SUM($D220:O220)+$B220/$C220)&gt;$B220,$B220-SUM($D220:O220),$B220/$C220)</f>
        <v>416.47269232109301</v>
      </c>
      <c r="Q220" s="85">
        <f>IF((SUM($D220:P220)+$B220/$C220)&gt;$B220,$B220-SUM($D220:P220),$B220/$C220)</f>
        <v>416.47269232109301</v>
      </c>
      <c r="R220" s="85">
        <f>IF((SUM($D220:Q220)+$B220/$C220)&gt;$B220,$B220-SUM($D220:Q220),$B220/$C220)</f>
        <v>416.47269232109301</v>
      </c>
      <c r="S220" s="85">
        <f>IF((SUM($D220:R220)+$B220/$C220)&gt;$B220,$B220-SUM($D220:R220),$B220/$C220)</f>
        <v>416.47269232109301</v>
      </c>
      <c r="T220" s="85">
        <f>IF((SUM($D220:S220)+$B220/$C220)&gt;$B220,$B220-SUM($D220:S220),$B220/$C220)</f>
        <v>416.47269232109301</v>
      </c>
      <c r="U220" s="85">
        <f>IF((SUM($D220:T220)+$B220/$C220)&gt;$B220,$B220-SUM($D220:T220),$B220/$C220)</f>
        <v>416.47269232109301</v>
      </c>
      <c r="V220" s="85">
        <f>IF((SUM($D220:U220)+$B220/$C220)&gt;$B220,$B220-SUM($D220:U220),$B220/$C220)</f>
        <v>416.47269232109301</v>
      </c>
      <c r="W220" s="85">
        <f>IF((SUM($D220:V220)+$B220/$C220)&gt;$B220,$B220-SUM($D220:V220),$B220/$C220)</f>
        <v>416.47269232109301</v>
      </c>
      <c r="X220" s="85">
        <f>IF((SUM($D220:W220)+$B220/$C220)&gt;$B220,$B220-SUM($D220:W220),$B220/$C220)</f>
        <v>208.23634616054824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6224.205538715978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207.47351795719928</v>
      </c>
      <c r="K221" s="85">
        <f>IF((SUM($D221:J221)+$B221/$C221)&gt;$B221,$B221-SUM($D221:J221),$B221/$C221)</f>
        <v>414.94703591439855</v>
      </c>
      <c r="L221" s="85">
        <f>IF((SUM($D221:K221)+$B221/$C221)&gt;$B221,$B221-SUM($D221:K221),$B221/$C221)</f>
        <v>414.94703591439855</v>
      </c>
      <c r="M221" s="85">
        <f>IF((SUM($D221:L221)+$B221/$C221)&gt;$B221,$B221-SUM($D221:L221),$B221/$C221)</f>
        <v>414.94703591439855</v>
      </c>
      <c r="N221" s="85">
        <f>IF((SUM($D221:M221)+$B221/$C221)&gt;$B221,$B221-SUM($D221:M221),$B221/$C221)</f>
        <v>414.94703591439855</v>
      </c>
      <c r="O221" s="85">
        <f>IF((SUM($D221:N221)+$B221/$C221)&gt;$B221,$B221-SUM($D221:N221),$B221/$C221)</f>
        <v>414.94703591439855</v>
      </c>
      <c r="P221" s="85">
        <f>IF((SUM($D221:O221)+$B221/$C221)&gt;$B221,$B221-SUM($D221:O221),$B221/$C221)</f>
        <v>414.94703591439855</v>
      </c>
      <c r="Q221" s="85">
        <f>IF((SUM($D221:P221)+$B221/$C221)&gt;$B221,$B221-SUM($D221:P221),$B221/$C221)</f>
        <v>414.94703591439855</v>
      </c>
      <c r="R221" s="85">
        <f>IF((SUM($D221:Q221)+$B221/$C221)&gt;$B221,$B221-SUM($D221:Q221),$B221/$C221)</f>
        <v>414.94703591439855</v>
      </c>
      <c r="S221" s="85">
        <f>IF((SUM($D221:R221)+$B221/$C221)&gt;$B221,$B221-SUM($D221:R221),$B221/$C221)</f>
        <v>414.94703591439855</v>
      </c>
      <c r="T221" s="85">
        <f>IF((SUM($D221:S221)+$B221/$C221)&gt;$B221,$B221-SUM($D221:S221),$B221/$C221)</f>
        <v>414.94703591439855</v>
      </c>
      <c r="U221" s="85">
        <f>IF((SUM($D221:T221)+$B221/$C221)&gt;$B221,$B221-SUM($D221:T221),$B221/$C221)</f>
        <v>414.94703591439855</v>
      </c>
      <c r="V221" s="85">
        <f>IF((SUM($D221:U221)+$B221/$C221)&gt;$B221,$B221-SUM($D221:U221),$B221/$C221)</f>
        <v>414.94703591439855</v>
      </c>
      <c r="W221" s="85">
        <f>IF((SUM($D221:V221)+$B221/$C221)&gt;$B221,$B221-SUM($D221:V221),$B221/$C221)</f>
        <v>414.94703591439855</v>
      </c>
      <c r="X221" s="85">
        <f>IF((SUM($D221:W221)+$B221/$C221)&gt;$B221,$B221-SUM($D221:W221),$B221/$C221)</f>
        <v>414.94703591439855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299024.91791844595</v>
      </c>
      <c r="D222" s="696">
        <f t="shared" ref="D222:AA222" si="70">SUM(D215:D221)</f>
        <v>70.197234443243261</v>
      </c>
      <c r="E222" s="696">
        <f t="shared" si="70"/>
        <v>2211.8600994262251</v>
      </c>
      <c r="F222" s="696">
        <f t="shared" si="70"/>
        <v>7116.0130645433119</v>
      </c>
      <c r="G222" s="696">
        <f t="shared" si="70"/>
        <v>12625.066178412828</v>
      </c>
      <c r="H222" s="696">
        <f t="shared" si="70"/>
        <v>17202.503378682948</v>
      </c>
      <c r="I222" s="696">
        <f t="shared" si="70"/>
        <v>19311.811145821448</v>
      </c>
      <c r="J222" s="696">
        <f t="shared" si="70"/>
        <v>19727.521009939195</v>
      </c>
      <c r="K222" s="696">
        <f t="shared" si="70"/>
        <v>19934.994527896397</v>
      </c>
      <c r="L222" s="696">
        <f t="shared" si="70"/>
        <v>19934.994527896397</v>
      </c>
      <c r="M222" s="696">
        <f t="shared" si="70"/>
        <v>19934.994527896397</v>
      </c>
      <c r="N222" s="696">
        <f t="shared" si="70"/>
        <v>19934.994527896397</v>
      </c>
      <c r="O222" s="696">
        <f t="shared" si="70"/>
        <v>19934.994527896397</v>
      </c>
      <c r="P222" s="696">
        <f t="shared" si="70"/>
        <v>19934.994527896397</v>
      </c>
      <c r="Q222" s="696">
        <f t="shared" si="70"/>
        <v>19934.994527896397</v>
      </c>
      <c r="R222" s="696">
        <f t="shared" si="70"/>
        <v>19934.994527896397</v>
      </c>
      <c r="S222" s="696">
        <f t="shared" si="70"/>
        <v>19864.797293453154</v>
      </c>
      <c r="T222" s="696">
        <f t="shared" si="70"/>
        <v>17723.134428470199</v>
      </c>
      <c r="U222" s="696">
        <f t="shared" si="70"/>
        <v>12818.981463353066</v>
      </c>
      <c r="V222" s="696">
        <f t="shared" si="70"/>
        <v>7309.9283494836</v>
      </c>
      <c r="W222" s="696">
        <f t="shared" si="70"/>
        <v>2732.4911492134311</v>
      </c>
      <c r="X222" s="696">
        <f t="shared" si="70"/>
        <v>623.18338207494685</v>
      </c>
      <c r="Y222" s="696">
        <f t="shared" si="70"/>
        <v>207.47351795719806</v>
      </c>
      <c r="Z222" s="696">
        <f t="shared" si="70"/>
        <v>0</v>
      </c>
      <c r="AA222" s="696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19865.495396322658</v>
      </c>
      <c r="C228" s="463">
        <f>'Data 2009-15 (Real $2008)'!C$155</f>
        <v>7</v>
      </c>
      <c r="D228" s="473"/>
      <c r="E228" s="85">
        <f>IF(C228&lt;1,B228,B228/2/C228)</f>
        <v>1418.9639568801899</v>
      </c>
      <c r="F228" s="85">
        <f>IF((SUM($D228:E228)+$B228/$C228)&gt;$B228,$B228-SUM($D228:E228),$B228/$C228)</f>
        <v>2837.9279137603799</v>
      </c>
      <c r="G228" s="85">
        <f>IF((SUM($D228:F228)+$B228/$C228)&gt;$B228,$B228-SUM($D228:F228),$B228/$C228)</f>
        <v>2837.9279137603799</v>
      </c>
      <c r="H228" s="85">
        <f>IF((SUM($D228:G228)+$B228/$C228)&gt;$B228,$B228-SUM($D228:G228),$B228/$C228)</f>
        <v>2837.9279137603799</v>
      </c>
      <c r="I228" s="85">
        <f>IF((SUM($D228:H228)+$B228/$C228)&gt;$B228,$B228-SUM($D228:H228),$B228/$C228)</f>
        <v>2837.9279137603799</v>
      </c>
      <c r="J228" s="85">
        <f>IF((SUM($D228:I228)+$B228/$C228)&gt;$B228,$B228-SUM($D228:I228),$B228/$C228)</f>
        <v>2837.9279137603799</v>
      </c>
      <c r="K228" s="85">
        <f>IF((SUM($D228:J228)+$B228/$C228)&gt;$B228,$B228-SUM($D228:J228),$B228/$C228)</f>
        <v>2837.9279137603799</v>
      </c>
      <c r="L228" s="85">
        <f>IF((SUM($D228:K228)+$B228/$C228)&gt;$B228,$B228-SUM($D228:K228),$B228/$C228)</f>
        <v>1418.9639568801867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8822.8828754537753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630.20591967526968</v>
      </c>
      <c r="H230" s="85">
        <f>IF((SUM($D230:G230)+$B230/$C230)&gt;$B230,$B230-SUM($D230:G230),$B230/$C230)</f>
        <v>1260.4118393505394</v>
      </c>
      <c r="I230" s="85">
        <f>IF((SUM($D230:H230)+$B230/$C230)&gt;$B230,$B230-SUM($D230:H230),$B230/$C230)</f>
        <v>1260.4118393505394</v>
      </c>
      <c r="J230" s="85">
        <f>IF((SUM($D230:I230)+$B230/$C230)&gt;$B230,$B230-SUM($D230:I230),$B230/$C230)</f>
        <v>1260.4118393505394</v>
      </c>
      <c r="K230" s="85">
        <f>IF((SUM($D230:J230)+$B230/$C230)&gt;$B230,$B230-SUM($D230:J230),$B230/$C230)</f>
        <v>1260.4118393505394</v>
      </c>
      <c r="L230" s="85">
        <f>IF((SUM($D230:K230)+$B230/$C230)&gt;$B230,$B230-SUM($D230:K230),$B230/$C230)</f>
        <v>1260.4118393505394</v>
      </c>
      <c r="M230" s="85">
        <f>IF((SUM($D230:L230)+$B230/$C230)&gt;$B230,$B230-SUM($D230:L230),$B230/$C230)</f>
        <v>1260.4118393505394</v>
      </c>
      <c r="N230" s="85">
        <f>IF((SUM($D230:M230)+$B230/$C230)&gt;$B230,$B230-SUM($D230:M230),$B230/$C230)</f>
        <v>630.20591967526889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7819.3473298175986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558.52480927268562</v>
      </c>
      <c r="I231" s="85">
        <f>IF((SUM($D231:H231)+$B231/$C231)&gt;$B231,$B231-SUM($D231:H231),$B231/$C231)</f>
        <v>1117.0496185453712</v>
      </c>
      <c r="J231" s="85">
        <f>IF((SUM($D231:I231)+$B231/$C231)&gt;$B231,$B231-SUM($D231:I231),$B231/$C231)</f>
        <v>1117.0496185453712</v>
      </c>
      <c r="K231" s="85">
        <f>IF((SUM($D231:J231)+$B231/$C231)&gt;$B231,$B231-SUM($D231:J231),$B231/$C231)</f>
        <v>1117.0496185453712</v>
      </c>
      <c r="L231" s="85">
        <f>IF((SUM($D231:K231)+$B231/$C231)&gt;$B231,$B231-SUM($D231:K231),$B231/$C231)</f>
        <v>1117.0496185453712</v>
      </c>
      <c r="M231" s="85">
        <f>IF((SUM($D231:L231)+$B231/$C231)&gt;$B231,$B231-SUM($D231:L231),$B231/$C231)</f>
        <v>1117.0496185453712</v>
      </c>
      <c r="N231" s="85">
        <f>IF((SUM($D231:M231)+$B231/$C231)&gt;$B231,$B231-SUM($D231:M231),$B231/$C231)</f>
        <v>1117.0496185453712</v>
      </c>
      <c r="O231" s="85">
        <f>IF((SUM($D231:N231)+$B231/$C231)&gt;$B231,$B231-SUM($D231:N231),$B231/$C231)</f>
        <v>558.52480927268607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4594.6998172959593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328.19284409256852</v>
      </c>
      <c r="K233" s="85">
        <f>IF((SUM($D233:J233)+$B233/$C233)&gt;$B233,$B233-SUM($D233:J233),$B233/$C233)</f>
        <v>656.38568818513704</v>
      </c>
      <c r="L233" s="85">
        <f>IF((SUM($D233:K233)+$B233/$C233)&gt;$B233,$B233-SUM($D233:K233),$B233/$C233)</f>
        <v>656.38568818513704</v>
      </c>
      <c r="M233" s="85">
        <f>IF((SUM($D233:L233)+$B233/$C233)&gt;$B233,$B233-SUM($D233:L233),$B233/$C233)</f>
        <v>656.38568818513704</v>
      </c>
      <c r="N233" s="85">
        <f>IF((SUM($D233:M233)+$B233/$C233)&gt;$B233,$B233-SUM($D233:M233),$B233/$C233)</f>
        <v>656.38568818513704</v>
      </c>
      <c r="O233" s="85">
        <f>IF((SUM($D233:N233)+$B233/$C233)&gt;$B233,$B233-SUM($D233:N233),$B233/$C233)</f>
        <v>656.38568818513704</v>
      </c>
      <c r="P233" s="85">
        <f>IF((SUM($D233:O233)+$B233/$C233)&gt;$B233,$B233-SUM($D233:O233),$B233/$C233)</f>
        <v>656.38568818513704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80547.396850080375</v>
      </c>
      <c r="D234" s="696">
        <f t="shared" ref="D234:AA234" si="72">SUM(D227:D233)</f>
        <v>1636.1823504401543</v>
      </c>
      <c r="E234" s="696">
        <f t="shared" si="72"/>
        <v>4691.3286577604986</v>
      </c>
      <c r="F234" s="696">
        <f t="shared" si="72"/>
        <v>6851.154662307822</v>
      </c>
      <c r="G234" s="696">
        <f t="shared" si="72"/>
        <v>8222.2226296502249</v>
      </c>
      <c r="H234" s="696">
        <f t="shared" si="72"/>
        <v>9410.9533585981808</v>
      </c>
      <c r="I234" s="696">
        <f t="shared" si="72"/>
        <v>10409.931729134321</v>
      </c>
      <c r="J234" s="696">
        <f t="shared" si="72"/>
        <v>11178.578134490341</v>
      </c>
      <c r="K234" s="696">
        <f t="shared" si="72"/>
        <v>9870.5886281427556</v>
      </c>
      <c r="L234" s="696">
        <f t="shared" si="72"/>
        <v>6815.4423208224089</v>
      </c>
      <c r="M234" s="696">
        <f t="shared" si="72"/>
        <v>4655.6163162750872</v>
      </c>
      <c r="N234" s="696">
        <f t="shared" si="72"/>
        <v>3284.5483489326834</v>
      </c>
      <c r="O234" s="696">
        <f t="shared" si="72"/>
        <v>2095.8176199847294</v>
      </c>
      <c r="P234" s="696">
        <f t="shared" si="72"/>
        <v>1096.8392494485888</v>
      </c>
      <c r="Q234" s="696">
        <f t="shared" si="72"/>
        <v>328.19284409256852</v>
      </c>
      <c r="R234" s="696">
        <f t="shared" si="72"/>
        <v>0</v>
      </c>
      <c r="S234" s="696">
        <f t="shared" si="72"/>
        <v>0</v>
      </c>
      <c r="T234" s="696">
        <f t="shared" si="72"/>
        <v>0</v>
      </c>
      <c r="U234" s="696">
        <f t="shared" si="72"/>
        <v>0</v>
      </c>
      <c r="V234" s="696">
        <f t="shared" si="72"/>
        <v>0</v>
      </c>
      <c r="W234" s="696">
        <f t="shared" si="72"/>
        <v>0</v>
      </c>
      <c r="X234" s="696">
        <f t="shared" si="72"/>
        <v>0</v>
      </c>
      <c r="Y234" s="696">
        <f t="shared" si="72"/>
        <v>0</v>
      </c>
      <c r="Z234" s="696">
        <f t="shared" si="72"/>
        <v>0</v>
      </c>
      <c r="AA234" s="696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3128.8651083511268</v>
      </c>
      <c r="C240" s="463">
        <f>'Data 2009-15 (Real $2008)'!C$156</f>
        <v>7</v>
      </c>
      <c r="D240" s="473"/>
      <c r="E240" s="85">
        <f>IF(C240&lt;1,B240,B240/2/C240)</f>
        <v>223.49036488222333</v>
      </c>
      <c r="F240" s="85">
        <f>IF((SUM($D240:E240)+$B240/$C240)&gt;$B240,$B240-SUM($D240:E240),$B240/$C240)</f>
        <v>446.98072976444666</v>
      </c>
      <c r="G240" s="85">
        <f>IF((SUM($D240:F240)+$B240/$C240)&gt;$B240,$B240-SUM($D240:F240),$B240/$C240)</f>
        <v>446.98072976444666</v>
      </c>
      <c r="H240" s="85">
        <f>IF((SUM($D240:G240)+$B240/$C240)&gt;$B240,$B240-SUM($D240:G240),$B240/$C240)</f>
        <v>446.98072976444666</v>
      </c>
      <c r="I240" s="85">
        <f>IF((SUM($D240:H240)+$B240/$C240)&gt;$B240,$B240-SUM($D240:H240),$B240/$C240)</f>
        <v>446.98072976444666</v>
      </c>
      <c r="J240" s="85">
        <f>IF((SUM($D240:I240)+$B240/$C240)&gt;$B240,$B240-SUM($D240:I240),$B240/$C240)</f>
        <v>446.98072976444666</v>
      </c>
      <c r="K240" s="85">
        <f>IF((SUM($D240:J240)+$B240/$C240)&gt;$B240,$B240-SUM($D240:J240),$B240/$C240)</f>
        <v>446.98072976444666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14733.38366544469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1052.3845475317635</v>
      </c>
      <c r="H242" s="85">
        <f>IF((SUM($D242:G242)+$B242/$C242)&gt;$B242,$B242-SUM($D242:G242),$B242/$C242)</f>
        <v>2104.7690950635269</v>
      </c>
      <c r="I242" s="85">
        <f>IF((SUM($D242:H242)+$B242/$C242)&gt;$B242,$B242-SUM($D242:H242),$B242/$C242)</f>
        <v>2104.7690950635269</v>
      </c>
      <c r="J242" s="85">
        <f>IF((SUM($D242:I242)+$B242/$C242)&gt;$B242,$B242-SUM($D242:I242),$B242/$C242)</f>
        <v>2104.7690950635269</v>
      </c>
      <c r="K242" s="85">
        <f>IF((SUM($D242:J242)+$B242/$C242)&gt;$B242,$B242-SUM($D242:J242),$B242/$C242)</f>
        <v>2104.7690950635269</v>
      </c>
      <c r="L242" s="85">
        <f>IF((SUM($D242:K242)+$B242/$C242)&gt;$B242,$B242-SUM($D242:K242),$B242/$C242)</f>
        <v>2104.7690950635269</v>
      </c>
      <c r="M242" s="85">
        <f>IF((SUM($D242:L242)+$B242/$C242)&gt;$B242,$B242-SUM($D242:L242),$B242/$C242)</f>
        <v>2104.7690950635269</v>
      </c>
      <c r="N242" s="85">
        <f>IF((SUM($D242:M242)+$B242/$C242)&gt;$B242,$B242-SUM($D242:M242),$B242/$C242)</f>
        <v>1052.3845475317648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7251.4312817517657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517.95937726798331</v>
      </c>
      <c r="I243" s="85">
        <f>IF((SUM($D243:H243)+$B243/$C243)&gt;$B243,$B243-SUM($D243:H243),$B243/$C243)</f>
        <v>1035.9187545359666</v>
      </c>
      <c r="J243" s="85">
        <f>IF((SUM($D243:I243)+$B243/$C243)&gt;$B243,$B243-SUM($D243:I243),$B243/$C243)</f>
        <v>1035.9187545359666</v>
      </c>
      <c r="K243" s="85">
        <f>IF((SUM($D243:J243)+$B243/$C243)&gt;$B243,$B243-SUM($D243:J243),$B243/$C243)</f>
        <v>1035.9187545359666</v>
      </c>
      <c r="L243" s="85">
        <f>IF((SUM($D243:K243)+$B243/$C243)&gt;$B243,$B243-SUM($D243:K243),$B243/$C243)</f>
        <v>1035.9187545359666</v>
      </c>
      <c r="M243" s="85">
        <f>IF((SUM($D243:L243)+$B243/$C243)&gt;$B243,$B243-SUM($D243:L243),$B243/$C243)</f>
        <v>1035.9187545359666</v>
      </c>
      <c r="N243" s="85">
        <f>IF((SUM($D243:M243)+$B243/$C243)&gt;$B243,$B243-SUM($D243:M243),$B243/$C243)</f>
        <v>1035.9187545359666</v>
      </c>
      <c r="O243" s="85">
        <f>IF((SUM($D243:N243)+$B243/$C243)&gt;$B243,$B243-SUM($D243:N243),$B243/$C243)</f>
        <v>517.95937726798365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1993.4553734855999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142.38966953468571</v>
      </c>
      <c r="J244" s="85">
        <f>IF((SUM($D244:I244)+$B244/$C244)&gt;$B244,$B244-SUM($D244:I244),$B244/$C244)</f>
        <v>284.77933906937142</v>
      </c>
      <c r="K244" s="85">
        <f>IF((SUM($D244:J244)+$B244/$C244)&gt;$B244,$B244-SUM($D244:J244),$B244/$C244)</f>
        <v>284.77933906937142</v>
      </c>
      <c r="L244" s="85">
        <f>IF((SUM($D244:K244)+$B244/$C244)&gt;$B244,$B244-SUM($D244:K244),$B244/$C244)</f>
        <v>284.77933906937142</v>
      </c>
      <c r="M244" s="85">
        <f>IF((SUM($D244:L244)+$B244/$C244)&gt;$B244,$B244-SUM($D244:L244),$B244/$C244)</f>
        <v>284.77933906937142</v>
      </c>
      <c r="N244" s="85">
        <f>IF((SUM($D244:M244)+$B244/$C244)&gt;$B244,$B244-SUM($D244:M244),$B244/$C244)</f>
        <v>284.77933906937142</v>
      </c>
      <c r="O244" s="85">
        <f>IF((SUM($D244:N244)+$B244/$C244)&gt;$B244,$B244-SUM($D244:N244),$B244/$C244)</f>
        <v>284.77933906937142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940.8867383391389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67.206195595652773</v>
      </c>
      <c r="K245" s="85">
        <f>IF((SUM($D245:J245)+$B245/$C245)&gt;$B245,$B245-SUM($D245:J245),$B245/$C245)</f>
        <v>134.41239119130555</v>
      </c>
      <c r="L245" s="85">
        <f>IF((SUM($D245:K245)+$B245/$C245)&gt;$B245,$B245-SUM($D245:K245),$B245/$C245)</f>
        <v>134.41239119130555</v>
      </c>
      <c r="M245" s="85">
        <f>IF((SUM($D245:L245)+$B245/$C245)&gt;$B245,$B245-SUM($D245:L245),$B245/$C245)</f>
        <v>134.41239119130555</v>
      </c>
      <c r="N245" s="85">
        <f>IF((SUM($D245:M245)+$B245/$C245)&gt;$B245,$B245-SUM($D245:M245),$B245/$C245)</f>
        <v>134.41239119130555</v>
      </c>
      <c r="O245" s="85">
        <f>IF((SUM($D245:N245)+$B245/$C245)&gt;$B245,$B245-SUM($D245:N245),$B245/$C245)</f>
        <v>134.41239119130555</v>
      </c>
      <c r="P245" s="85">
        <f>IF((SUM($D245:O245)+$B245/$C245)&gt;$B245,$B245-SUM($D245:O245),$B245/$C245)</f>
        <v>134.41239119130555</v>
      </c>
      <c r="Q245" s="85">
        <f>IF((SUM($D245:P245)+$B245/$C245)&gt;$B245,$B245-SUM($D245:P245),$B245/$C245)</f>
        <v>67.20619559565273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43749.677077553417</v>
      </c>
      <c r="D246" s="696">
        <f t="shared" ref="D246:AA246" si="74">SUM(D239:D245)</f>
        <v>64.348129583869579</v>
      </c>
      <c r="E246" s="696">
        <f t="shared" si="74"/>
        <v>352.18662404996246</v>
      </c>
      <c r="F246" s="696">
        <f t="shared" si="74"/>
        <v>1632.8756386469661</v>
      </c>
      <c r="G246" s="696">
        <f t="shared" si="74"/>
        <v>3742.4588358935098</v>
      </c>
      <c r="H246" s="696">
        <f t="shared" si="74"/>
        <v>5312.8027606932574</v>
      </c>
      <c r="I246" s="696">
        <f t="shared" si="74"/>
        <v>5973.1518074959258</v>
      </c>
      <c r="J246" s="696">
        <f t="shared" si="74"/>
        <v>6182.7476726262639</v>
      </c>
      <c r="K246" s="696">
        <f t="shared" si="74"/>
        <v>6185.6057386380471</v>
      </c>
      <c r="L246" s="696">
        <f t="shared" si="74"/>
        <v>5897.7672441719551</v>
      </c>
      <c r="M246" s="696">
        <f t="shared" si="74"/>
        <v>4617.0782295749514</v>
      </c>
      <c r="N246" s="696">
        <f t="shared" si="74"/>
        <v>2507.4950323284083</v>
      </c>
      <c r="O246" s="696">
        <f t="shared" si="74"/>
        <v>937.15110752866065</v>
      </c>
      <c r="P246" s="696">
        <f t="shared" si="74"/>
        <v>276.80206072599128</v>
      </c>
      <c r="Q246" s="696">
        <f t="shared" si="74"/>
        <v>67.20619559565273</v>
      </c>
      <c r="R246" s="696">
        <f t="shared" si="74"/>
        <v>0</v>
      </c>
      <c r="S246" s="696">
        <f t="shared" si="74"/>
        <v>0</v>
      </c>
      <c r="T246" s="696">
        <f t="shared" si="74"/>
        <v>0</v>
      </c>
      <c r="U246" s="696">
        <f t="shared" si="74"/>
        <v>0</v>
      </c>
      <c r="V246" s="696">
        <f t="shared" si="74"/>
        <v>0</v>
      </c>
      <c r="W246" s="696">
        <f t="shared" si="74"/>
        <v>0</v>
      </c>
      <c r="X246" s="696">
        <f t="shared" si="74"/>
        <v>0</v>
      </c>
      <c r="Y246" s="696">
        <f t="shared" si="74"/>
        <v>0</v>
      </c>
      <c r="Z246" s="696">
        <f t="shared" si="74"/>
        <v>0</v>
      </c>
      <c r="AA246" s="696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590.42642854092526</v>
      </c>
      <c r="C252" s="463">
        <f>'Data 2009-15 (Real $2008)'!C$157</f>
        <v>7</v>
      </c>
      <c r="D252" s="473"/>
      <c r="E252" s="85">
        <f>IF(C252&lt;1,B252,B252/2/C252)</f>
        <v>42.173316324351802</v>
      </c>
      <c r="F252" s="85">
        <f>IF((SUM($D252:E252)+$B252/$C252)&gt;$B252,$B252-SUM($D252:E252),$B252/$C252)</f>
        <v>84.346632648703604</v>
      </c>
      <c r="G252" s="85">
        <f>IF((SUM($D252:F252)+$B252/$C252)&gt;$B252,$B252-SUM($D252:F252),$B252/$C252)</f>
        <v>84.346632648703604</v>
      </c>
      <c r="H252" s="85">
        <f>IF((SUM($D252:G252)+$B252/$C252)&gt;$B252,$B252-SUM($D252:G252),$B252/$C252)</f>
        <v>84.346632648703604</v>
      </c>
      <c r="I252" s="85">
        <f>IF((SUM($D252:H252)+$B252/$C252)&gt;$B252,$B252-SUM($D252:H252),$B252/$C252)</f>
        <v>84.346632648703604</v>
      </c>
      <c r="J252" s="85">
        <f>IF((SUM($D252:I252)+$B252/$C252)&gt;$B252,$B252-SUM($D252:I252),$B252/$C252)</f>
        <v>84.346632648703604</v>
      </c>
      <c r="K252" s="85">
        <f>IF((SUM($D252:J252)+$B252/$C252)&gt;$B252,$B252-SUM($D252:J252),$B252/$C252)</f>
        <v>84.346632648703604</v>
      </c>
      <c r="L252" s="85">
        <f>IF((SUM($D252:K252)+$B252/$C252)&gt;$B252,$B252-SUM($D252:K252),$B252/$C252)</f>
        <v>42.173316324351958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112.37171494518174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8.0265510675129814</v>
      </c>
      <c r="H254" s="85">
        <f>IF((SUM($D254:G254)+$B254/$C254)&gt;$B254,$B254-SUM($D254:G254),$B254/$C254)</f>
        <v>16.053102135025963</v>
      </c>
      <c r="I254" s="85">
        <f>IF((SUM($D254:H254)+$B254/$C254)&gt;$B254,$B254-SUM($D254:H254),$B254/$C254)</f>
        <v>16.053102135025963</v>
      </c>
      <c r="J254" s="85">
        <f>IF((SUM($D254:I254)+$B254/$C254)&gt;$B254,$B254-SUM($D254:I254),$B254/$C254)</f>
        <v>16.053102135025963</v>
      </c>
      <c r="K254" s="85">
        <f>IF((SUM($D254:J254)+$B254/$C254)&gt;$B254,$B254-SUM($D254:J254),$B254/$C254)</f>
        <v>16.053102135025963</v>
      </c>
      <c r="L254" s="85">
        <f>IF((SUM($D254:K254)+$B254/$C254)&gt;$B254,$B254-SUM($D254:K254),$B254/$C254)</f>
        <v>16.053102135025963</v>
      </c>
      <c r="M254" s="85">
        <f>IF((SUM($D254:L254)+$B254/$C254)&gt;$B254,$B254-SUM($D254:L254),$B254/$C254)</f>
        <v>16.053102135025963</v>
      </c>
      <c r="N254" s="85">
        <f>IF((SUM($D254:M254)+$B254/$C254)&gt;$B254,$B254-SUM($D254:M254),$B254/$C254)</f>
        <v>8.026551067512969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106.79371725331792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7.6281226609512798</v>
      </c>
      <c r="I255" s="85">
        <f>IF((SUM($D255:H255)+$B255/$C255)&gt;$B255,$B255-SUM($D255:H255),$B255/$C255)</f>
        <v>15.25624532190256</v>
      </c>
      <c r="J255" s="85">
        <f>IF((SUM($D255:I255)+$B255/$C255)&gt;$B255,$B255-SUM($D255:I255),$B255/$C255)</f>
        <v>15.25624532190256</v>
      </c>
      <c r="K255" s="85">
        <f>IF((SUM($D255:J255)+$B255/$C255)&gt;$B255,$B255-SUM($D255:J255),$B255/$C255)</f>
        <v>15.25624532190256</v>
      </c>
      <c r="L255" s="85">
        <f>IF((SUM($D255:K255)+$B255/$C255)&gt;$B255,$B255-SUM($D255:K255),$B255/$C255)</f>
        <v>15.25624532190256</v>
      </c>
      <c r="M255" s="85">
        <f>IF((SUM($D255:L255)+$B255/$C255)&gt;$B255,$B255-SUM($D255:L255),$B255/$C255)</f>
        <v>15.25624532190256</v>
      </c>
      <c r="N255" s="85">
        <f>IF((SUM($D255:M255)+$B255/$C255)&gt;$B255,$B255-SUM($D255:M255),$B255/$C255)</f>
        <v>15.25624532190256</v>
      </c>
      <c r="O255" s="85">
        <f>IF((SUM($D255:N255)+$B255/$C255)&gt;$B255,$B255-SUM($D255:N255),$B255/$C255)</f>
        <v>7.6281226609512913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115.13463127524523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8.2239022339460632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1853.703033959119</v>
      </c>
      <c r="D258" s="696">
        <f t="shared" ref="D258:AA258" si="76">SUM(D251:D257)</f>
        <v>35.906397027027026</v>
      </c>
      <c r="E258" s="696">
        <f t="shared" si="76"/>
        <v>113.98611037840585</v>
      </c>
      <c r="F258" s="696">
        <f t="shared" si="76"/>
        <v>178.9803742965257</v>
      </c>
      <c r="G258" s="696">
        <f t="shared" si="76"/>
        <v>209.82787295780668</v>
      </c>
      <c r="H258" s="696">
        <f t="shared" si="76"/>
        <v>225.48254668627095</v>
      </c>
      <c r="I258" s="696">
        <f t="shared" si="76"/>
        <v>240.7387920081735</v>
      </c>
      <c r="J258" s="696">
        <f t="shared" si="76"/>
        <v>256.59081690307085</v>
      </c>
      <c r="K258" s="696">
        <f t="shared" si="76"/>
        <v>228.90832210998994</v>
      </c>
      <c r="L258" s="696">
        <f t="shared" si="76"/>
        <v>150.8286087586113</v>
      </c>
      <c r="M258" s="696">
        <f t="shared" si="76"/>
        <v>85.834344840491241</v>
      </c>
      <c r="N258" s="696">
        <f t="shared" si="76"/>
        <v>54.986846179210268</v>
      </c>
      <c r="O258" s="696">
        <f t="shared" si="76"/>
        <v>39.332172450746029</v>
      </c>
      <c r="P258" s="696">
        <f t="shared" si="76"/>
        <v>24.075927128843468</v>
      </c>
      <c r="Q258" s="696">
        <f t="shared" si="76"/>
        <v>8.2239022339460632</v>
      </c>
      <c r="R258" s="696">
        <f t="shared" si="76"/>
        <v>0</v>
      </c>
      <c r="S258" s="696">
        <f t="shared" si="76"/>
        <v>0</v>
      </c>
      <c r="T258" s="696">
        <f t="shared" si="76"/>
        <v>0</v>
      </c>
      <c r="U258" s="696">
        <f t="shared" si="76"/>
        <v>0</v>
      </c>
      <c r="V258" s="696">
        <f t="shared" si="76"/>
        <v>0</v>
      </c>
      <c r="W258" s="696">
        <f t="shared" si="76"/>
        <v>0</v>
      </c>
      <c r="X258" s="696">
        <f t="shared" si="76"/>
        <v>0</v>
      </c>
      <c r="Y258" s="696">
        <f t="shared" si="76"/>
        <v>0</v>
      </c>
      <c r="Z258" s="696">
        <f t="shared" si="76"/>
        <v>0</v>
      </c>
      <c r="AA258" s="696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444077.36449414311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29907.96138556287</v>
      </c>
      <c r="H261" s="472">
        <f t="shared" si="77"/>
        <v>37406.388147395097</v>
      </c>
      <c r="I261" s="472">
        <f t="shared" si="77"/>
        <v>35935.633474459872</v>
      </c>
      <c r="J261" s="472">
        <f t="shared" si="77"/>
        <v>37345.437633958871</v>
      </c>
      <c r="K261" s="472">
        <f t="shared" si="77"/>
        <v>36220.097216787188</v>
      </c>
      <c r="L261" s="472">
        <f t="shared" si="77"/>
        <v>32799.032701649368</v>
      </c>
      <c r="M261" s="472">
        <f t="shared" si="77"/>
        <v>29293.523418586927</v>
      </c>
      <c r="N261" s="472">
        <f t="shared" si="77"/>
        <v>25782.024755336697</v>
      </c>
      <c r="O261" s="472">
        <f t="shared" si="77"/>
        <v>23007.295427860536</v>
      </c>
      <c r="P261" s="472">
        <f t="shared" si="77"/>
        <v>21332.71176519982</v>
      </c>
      <c r="Q261" s="472">
        <f t="shared" si="77"/>
        <v>20338.617469818564</v>
      </c>
      <c r="R261" s="472">
        <f t="shared" si="77"/>
        <v>19934.994527896397</v>
      </c>
      <c r="S261" s="472">
        <f t="shared" si="77"/>
        <v>19864.797293453154</v>
      </c>
      <c r="T261" s="472">
        <f t="shared" si="77"/>
        <v>17723.134428470199</v>
      </c>
      <c r="U261" s="472">
        <f t="shared" si="77"/>
        <v>12818.981463353066</v>
      </c>
      <c r="V261" s="472">
        <f t="shared" si="77"/>
        <v>7309.9283494836</v>
      </c>
      <c r="W261" s="472">
        <f t="shared" si="77"/>
        <v>2732.4911492134311</v>
      </c>
      <c r="X261" s="472">
        <f>SUM(X198,X210,X222,X234,X246,X258)</f>
        <v>623.18338207494685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3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2.5600000000000001E-2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9.5050000000000079E-2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20"/>
      <c r="H12" s="520"/>
      <c r="I12" s="520"/>
      <c r="J12" s="520"/>
      <c r="K12" s="513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20"/>
      <c r="J13" s="520"/>
      <c r="K13" s="513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30.110374922505187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20"/>
      <c r="H15" s="520"/>
      <c r="I15" s="520"/>
      <c r="J15" s="520"/>
      <c r="K15" s="513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30.110374922505187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0.6962898069921668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2"/>
      <c r="E20" s="522"/>
      <c r="F20" s="522"/>
      <c r="G20" s="427">
        <f>SUMPRODUCT(D16:K16,D18:K18)</f>
        <v>27871.184186465216</v>
      </c>
      <c r="H20" s="521"/>
      <c r="I20" s="521"/>
      <c r="J20" s="522"/>
      <c r="K20" s="522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3"/>
      <c r="B38" s="523"/>
      <c r="C38" s="523"/>
      <c r="D38" s="524"/>
      <c r="E38" s="524"/>
      <c r="F38" s="524"/>
      <c r="G38" s="524"/>
      <c r="H38" s="524"/>
      <c r="I38" s="523"/>
      <c r="J38" s="523"/>
      <c r="K38" s="523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30.110374922505187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3"/>
      <c r="B67" s="523"/>
      <c r="C67" s="523"/>
      <c r="D67" s="523"/>
      <c r="E67" s="523"/>
      <c r="F67" s="523"/>
      <c r="G67" s="523"/>
      <c r="H67" s="523"/>
      <c r="I67" s="523"/>
      <c r="J67" s="523"/>
      <c r="K67" s="523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64">
        <v>0</v>
      </c>
      <c r="E141" s="764">
        <v>0</v>
      </c>
      <c r="F141" s="764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64">
        <v>0</v>
      </c>
      <c r="E161" s="764">
        <v>0</v>
      </c>
      <c r="F161" s="764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64">
        <v>0</v>
      </c>
      <c r="E171" s="764">
        <v>0</v>
      </c>
      <c r="F171" s="764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5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6">
        <v>0</v>
      </c>
      <c r="E124" s="526">
        <v>0</v>
      </c>
      <c r="F124" s="526">
        <v>0</v>
      </c>
      <c r="G124" s="526">
        <v>0</v>
      </c>
      <c r="H124" s="526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6">
        <v>0</v>
      </c>
      <c r="E141" s="526">
        <v>0</v>
      </c>
      <c r="F141" s="526">
        <v>0</v>
      </c>
      <c r="G141" s="526">
        <v>0</v>
      </c>
      <c r="H141" s="526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6">
        <v>0</v>
      </c>
      <c r="E151" s="526">
        <v>0</v>
      </c>
      <c r="F151" s="526">
        <v>0</v>
      </c>
      <c r="G151" s="526">
        <v>0</v>
      </c>
      <c r="H151" s="526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6">
        <v>0</v>
      </c>
      <c r="E161" s="526">
        <v>0</v>
      </c>
      <c r="F161" s="526">
        <v>0</v>
      </c>
      <c r="G161" s="526">
        <v>0</v>
      </c>
      <c r="H161" s="526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6">
        <v>0</v>
      </c>
      <c r="E171" s="526">
        <v>0</v>
      </c>
      <c r="F171" s="526">
        <v>0</v>
      </c>
      <c r="G171" s="526">
        <v>0</v>
      </c>
      <c r="H171" s="526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7">
        <v>15</v>
      </c>
      <c r="E190" s="527">
        <v>15</v>
      </c>
      <c r="F190" s="527">
        <v>15</v>
      </c>
      <c r="G190" s="527">
        <v>15</v>
      </c>
      <c r="H190" s="527">
        <v>15</v>
      </c>
      <c r="I190" s="239"/>
      <c r="J190" s="239"/>
    </row>
    <row r="191" spans="1:10" x14ac:dyDescent="0.2">
      <c r="A191" s="238" t="s">
        <v>176</v>
      </c>
      <c r="D191" s="527">
        <v>10</v>
      </c>
      <c r="E191" s="527">
        <v>10</v>
      </c>
      <c r="F191" s="527">
        <v>10</v>
      </c>
      <c r="G191" s="527">
        <v>10</v>
      </c>
      <c r="H191" s="527">
        <v>10</v>
      </c>
      <c r="I191" s="239"/>
      <c r="J191" s="239"/>
    </row>
    <row r="192" spans="1:10" x14ac:dyDescent="0.2">
      <c r="A192" s="129" t="s">
        <v>90</v>
      </c>
      <c r="D192" s="527">
        <v>5</v>
      </c>
      <c r="E192" s="527">
        <v>5</v>
      </c>
      <c r="F192" s="527">
        <v>5</v>
      </c>
      <c r="G192" s="527">
        <v>5</v>
      </c>
      <c r="H192" s="527">
        <v>5</v>
      </c>
      <c r="I192" s="239"/>
      <c r="J192" s="239"/>
    </row>
    <row r="193" spans="1:10" x14ac:dyDescent="0.2">
      <c r="A193" s="129" t="s">
        <v>168</v>
      </c>
      <c r="D193" s="527">
        <v>5</v>
      </c>
      <c r="E193" s="527">
        <v>5</v>
      </c>
      <c r="F193" s="527">
        <v>5</v>
      </c>
      <c r="G193" s="527">
        <v>5</v>
      </c>
      <c r="H193" s="527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8">
        <v>37.301250000000003</v>
      </c>
      <c r="E323" s="528">
        <v>37.301250000000003</v>
      </c>
      <c r="F323" s="528">
        <v>37.301250000000003</v>
      </c>
      <c r="G323" s="528">
        <v>37.301250000000003</v>
      </c>
      <c r="H323" s="528">
        <v>37.301250000000003</v>
      </c>
      <c r="J323" s="531">
        <v>0</v>
      </c>
      <c r="K323" s="531">
        <v>0</v>
      </c>
      <c r="L323" s="531">
        <v>0</v>
      </c>
      <c r="M323" s="531">
        <v>0</v>
      </c>
      <c r="N323" s="531">
        <v>0</v>
      </c>
      <c r="O323" s="272"/>
      <c r="P323" s="272"/>
    </row>
    <row r="324" spans="1:16" customFormat="1" x14ac:dyDescent="0.2">
      <c r="A324" t="s">
        <v>193</v>
      </c>
      <c r="D324" s="529"/>
      <c r="E324" s="529"/>
      <c r="F324" s="529"/>
      <c r="G324" s="529"/>
      <c r="H324" s="529"/>
      <c r="I324" s="226"/>
      <c r="J324" s="380"/>
      <c r="K324" s="532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8">
        <v>85.26</v>
      </c>
      <c r="E325" s="528">
        <v>85.26</v>
      </c>
      <c r="F325" s="528">
        <v>85.26</v>
      </c>
      <c r="G325" s="528">
        <v>85.26</v>
      </c>
      <c r="H325" s="528">
        <v>85.26</v>
      </c>
      <c r="J325" s="531">
        <v>7319.6972011135904</v>
      </c>
      <c r="K325" s="531">
        <v>7816.563734356585</v>
      </c>
      <c r="L325" s="531">
        <v>7744</v>
      </c>
      <c r="M325" s="531">
        <v>7494</v>
      </c>
      <c r="N325" s="531">
        <v>7234.2328577569469</v>
      </c>
      <c r="O325" s="275"/>
      <c r="P325" s="275"/>
    </row>
    <row r="326" spans="1:16" customFormat="1" x14ac:dyDescent="0.2">
      <c r="A326" t="s">
        <v>212</v>
      </c>
      <c r="D326" s="528">
        <v>165.19125</v>
      </c>
      <c r="E326" s="528">
        <v>165.19125</v>
      </c>
      <c r="F326" s="528">
        <v>165.19125</v>
      </c>
      <c r="G326" s="528">
        <v>165.19125</v>
      </c>
      <c r="H326" s="528">
        <v>165.19125</v>
      </c>
      <c r="J326" s="531">
        <v>2167.0719707366593</v>
      </c>
      <c r="K326" s="531">
        <v>2314.2576531631157</v>
      </c>
      <c r="L326" s="531">
        <v>2293</v>
      </c>
      <c r="M326" s="531">
        <v>2219</v>
      </c>
      <c r="N326" s="531">
        <v>2141.4202936598435</v>
      </c>
      <c r="O326" s="272"/>
      <c r="P326" s="272"/>
    </row>
    <row r="327" spans="1:16" customFormat="1" x14ac:dyDescent="0.2">
      <c r="A327" t="s">
        <v>213</v>
      </c>
      <c r="D327" s="528">
        <v>314.39625000000001</v>
      </c>
      <c r="E327" s="528">
        <v>314.39625000000001</v>
      </c>
      <c r="F327" s="528">
        <v>314.39625000000001</v>
      </c>
      <c r="G327" s="528">
        <v>314.39625000000001</v>
      </c>
      <c r="H327" s="528">
        <v>314.39625000000001</v>
      </c>
      <c r="J327" s="531">
        <v>2262.244213632428</v>
      </c>
      <c r="K327" s="531">
        <v>2417.2896719683231</v>
      </c>
      <c r="L327" s="531">
        <v>2394</v>
      </c>
      <c r="M327" s="531">
        <v>2317</v>
      </c>
      <c r="N327" s="531">
        <v>2236.978785302123</v>
      </c>
      <c r="O327" s="272"/>
      <c r="P327" s="272"/>
    </row>
    <row r="328" spans="1:16" customFormat="1" x14ac:dyDescent="0.2">
      <c r="A328" t="s">
        <v>214</v>
      </c>
      <c r="D328" s="528">
        <v>378.34125</v>
      </c>
      <c r="E328" s="528">
        <v>378.34125</v>
      </c>
      <c r="F328" s="528">
        <v>378.34125</v>
      </c>
      <c r="G328" s="528">
        <v>378.34125</v>
      </c>
      <c r="H328" s="528">
        <v>378.34125</v>
      </c>
      <c r="J328" s="531">
        <v>139.90319705678036</v>
      </c>
      <c r="K328" s="531">
        <v>149.59456576525278</v>
      </c>
      <c r="L328" s="531">
        <v>148</v>
      </c>
      <c r="M328" s="531">
        <v>143</v>
      </c>
      <c r="N328" s="531">
        <v>138.33229266310931</v>
      </c>
      <c r="O328" s="272"/>
      <c r="P328" s="272"/>
    </row>
    <row r="329" spans="1:16" customFormat="1" x14ac:dyDescent="0.2">
      <c r="D329" s="529"/>
      <c r="E329" s="529"/>
      <c r="F329" s="529"/>
      <c r="G329" s="529"/>
      <c r="H329" s="529"/>
      <c r="I329" s="226"/>
      <c r="J329" s="532"/>
      <c r="K329" s="532"/>
      <c r="L329" s="532"/>
      <c r="M329" s="532"/>
      <c r="N329" s="532"/>
      <c r="O329" s="272"/>
      <c r="P329" s="272"/>
    </row>
    <row r="330" spans="1:16" customFormat="1" x14ac:dyDescent="0.2">
      <c r="A330" t="s">
        <v>215</v>
      </c>
      <c r="D330" s="529"/>
      <c r="E330" s="529"/>
      <c r="F330" s="529"/>
      <c r="G330" s="529"/>
      <c r="H330" s="529"/>
      <c r="I330" s="226"/>
      <c r="J330" s="532"/>
      <c r="K330" s="532"/>
      <c r="L330" s="532"/>
      <c r="M330" s="532"/>
      <c r="N330" s="532"/>
      <c r="O330" s="272"/>
      <c r="P330" s="272"/>
    </row>
    <row r="331" spans="1:16" customFormat="1" x14ac:dyDescent="0.2">
      <c r="A331" t="s">
        <v>192</v>
      </c>
      <c r="D331" s="528">
        <v>160.24125000000001</v>
      </c>
      <c r="E331" s="528">
        <v>162.62601200000003</v>
      </c>
      <c r="F331" s="528">
        <v>165.06395419260002</v>
      </c>
      <c r="G331" s="528">
        <v>167.556262496095</v>
      </c>
      <c r="H331" s="528">
        <v>170.1041492747579</v>
      </c>
      <c r="J331" s="531">
        <v>0</v>
      </c>
      <c r="K331" s="531">
        <v>0</v>
      </c>
      <c r="L331" s="531">
        <v>0</v>
      </c>
      <c r="M331" s="531">
        <v>0</v>
      </c>
      <c r="N331" s="531">
        <v>0</v>
      </c>
      <c r="O331" s="272"/>
      <c r="P331" s="272"/>
    </row>
    <row r="332" spans="1:16" customFormat="1" x14ac:dyDescent="0.2">
      <c r="A332" t="s">
        <v>193</v>
      </c>
      <c r="D332" s="529"/>
      <c r="E332" s="529"/>
      <c r="F332" s="529"/>
      <c r="G332" s="529"/>
      <c r="H332" s="529"/>
      <c r="I332" s="226"/>
      <c r="J332" s="532"/>
      <c r="K332" s="532"/>
      <c r="L332" s="532"/>
      <c r="M332" s="532"/>
      <c r="N332" s="532"/>
      <c r="O332" s="272"/>
      <c r="P332" s="272"/>
    </row>
    <row r="333" spans="1:16" customFormat="1" x14ac:dyDescent="0.2">
      <c r="A333" t="s">
        <v>211</v>
      </c>
      <c r="D333" s="528">
        <v>214.86666666666667</v>
      </c>
      <c r="E333" s="528">
        <v>217.40009533333333</v>
      </c>
      <c r="F333" s="528">
        <v>219.99001945926665</v>
      </c>
      <c r="G333" s="528">
        <v>222.63769889320832</v>
      </c>
      <c r="H333" s="528">
        <v>225.34442157852686</v>
      </c>
      <c r="J333" s="531">
        <v>3510</v>
      </c>
      <c r="K333" s="531">
        <v>3510</v>
      </c>
      <c r="L333" s="531">
        <v>8710</v>
      </c>
      <c r="M333" s="531">
        <v>8710</v>
      </c>
      <c r="N333" s="531">
        <v>8710</v>
      </c>
      <c r="O333" s="274"/>
      <c r="P333" s="274"/>
    </row>
    <row r="334" spans="1:16" customFormat="1" x14ac:dyDescent="0.2">
      <c r="A334" t="s">
        <v>212</v>
      </c>
      <c r="D334" s="528">
        <v>356.13125000000002</v>
      </c>
      <c r="E334" s="528">
        <v>360.03241199999997</v>
      </c>
      <c r="F334" s="528">
        <v>364.02056991259997</v>
      </c>
      <c r="G334" s="528">
        <v>368.09766374665094</v>
      </c>
      <c r="H334" s="528">
        <v>372.26567677320128</v>
      </c>
      <c r="J334" s="531">
        <v>3392</v>
      </c>
      <c r="K334" s="531">
        <v>6792</v>
      </c>
      <c r="L334" s="531">
        <v>35681.599999999999</v>
      </c>
      <c r="M334" s="531">
        <v>37509.599999999999</v>
      </c>
      <c r="N334" s="531">
        <v>40129.599999999999</v>
      </c>
      <c r="O334" s="275"/>
      <c r="P334" s="275"/>
    </row>
    <row r="335" spans="1:16" customFormat="1" x14ac:dyDescent="0.2">
      <c r="A335" t="s">
        <v>213</v>
      </c>
      <c r="D335" s="528">
        <v>565.12084291720168</v>
      </c>
      <c r="E335" s="528">
        <v>570.040526404395</v>
      </c>
      <c r="F335" s="528">
        <v>575.06991883335286</v>
      </c>
      <c r="G335" s="528">
        <v>580.21146671347628</v>
      </c>
      <c r="H335" s="528">
        <v>585.46767111132658</v>
      </c>
      <c r="J335" s="531">
        <v>1998.4</v>
      </c>
      <c r="K335" s="531">
        <v>23981.4</v>
      </c>
      <c r="L335" s="531">
        <v>23395.4</v>
      </c>
      <c r="M335" s="531">
        <v>22515.4</v>
      </c>
      <c r="N335" s="531">
        <v>20756.400000000001</v>
      </c>
      <c r="O335" s="272"/>
      <c r="P335" s="272"/>
    </row>
    <row r="336" spans="1:16" customFormat="1" x14ac:dyDescent="0.2">
      <c r="A336" t="s">
        <v>214</v>
      </c>
      <c r="D336" s="528">
        <v>947.84791666666672</v>
      </c>
      <c r="E336" s="528">
        <v>960.1911153333333</v>
      </c>
      <c r="F336" s="528">
        <v>972.80956733026676</v>
      </c>
      <c r="G336" s="528">
        <v>985.70941080673163</v>
      </c>
      <c r="H336" s="528">
        <v>998.89692079272174</v>
      </c>
      <c r="J336" s="531">
        <v>1129.0204081632653</v>
      </c>
      <c r="K336" s="531">
        <v>1064.0204081632653</v>
      </c>
      <c r="L336" s="531">
        <v>976.0204081632653</v>
      </c>
      <c r="M336" s="531">
        <v>845.0204081632653</v>
      </c>
      <c r="N336" s="531">
        <v>583.0204081632653</v>
      </c>
      <c r="O336" s="272"/>
      <c r="P336" s="272"/>
    </row>
    <row r="337" spans="1:16" customFormat="1" x14ac:dyDescent="0.2">
      <c r="A337" t="s">
        <v>216</v>
      </c>
      <c r="D337" s="528">
        <v>745.29624999999999</v>
      </c>
      <c r="E337" s="528">
        <v>752.29042199999992</v>
      </c>
      <c r="F337" s="528">
        <v>759.4405640356</v>
      </c>
      <c r="G337" s="528">
        <v>766.75015423859384</v>
      </c>
      <c r="H337" s="528">
        <v>774.22274830311449</v>
      </c>
      <c r="J337" s="531">
        <v>0</v>
      </c>
      <c r="K337" s="531">
        <v>2661</v>
      </c>
      <c r="L337" s="531">
        <v>2590</v>
      </c>
      <c r="M337" s="531">
        <v>2482</v>
      </c>
      <c r="N337" s="531">
        <v>2267</v>
      </c>
      <c r="O337" s="272"/>
      <c r="P337" s="272"/>
    </row>
    <row r="338" spans="1:16" customFormat="1" x14ac:dyDescent="0.2">
      <c r="D338" s="529"/>
      <c r="E338" s="529"/>
      <c r="F338" s="529"/>
      <c r="G338" s="529"/>
      <c r="H338" s="529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30">
        <v>600000</v>
      </c>
      <c r="E339" s="530">
        <v>600000</v>
      </c>
      <c r="F339" s="530">
        <v>600000</v>
      </c>
      <c r="G339" s="530">
        <v>600000</v>
      </c>
      <c r="H339" s="530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9"/>
      <c r="E340" s="529"/>
      <c r="F340" s="529"/>
      <c r="G340" s="529"/>
      <c r="H340" s="529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30">
        <v>5730000</v>
      </c>
      <c r="E341" s="530">
        <v>5000000</v>
      </c>
      <c r="F341" s="530">
        <v>500000</v>
      </c>
      <c r="G341" s="530">
        <v>500000</v>
      </c>
      <c r="H341" s="530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9"/>
      <c r="E342" s="529"/>
      <c r="F342" s="529"/>
      <c r="G342" s="529"/>
      <c r="H342" s="529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30">
        <v>32000</v>
      </c>
      <c r="E343" s="530">
        <v>543000</v>
      </c>
      <c r="F343" s="530">
        <v>113000</v>
      </c>
      <c r="G343" s="530">
        <v>121000</v>
      </c>
      <c r="H343" s="530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3">
        <v>1.52</v>
      </c>
      <c r="E349" s="533">
        <v>1.52</v>
      </c>
      <c r="F349" s="533">
        <v>1.52</v>
      </c>
      <c r="G349" s="533">
        <v>1.52</v>
      </c>
      <c r="H349" s="533">
        <v>1.52</v>
      </c>
      <c r="J349" s="531">
        <v>860111</v>
      </c>
      <c r="K349" s="531">
        <v>867702</v>
      </c>
      <c r="L349" s="531">
        <v>852843</v>
      </c>
      <c r="M349" s="531">
        <v>836169</v>
      </c>
      <c r="N349" s="531">
        <v>818218</v>
      </c>
      <c r="O349" s="272"/>
      <c r="P349" s="272"/>
    </row>
    <row r="350" spans="1:16" customFormat="1" x14ac:dyDescent="0.2">
      <c r="D350" s="529"/>
      <c r="E350" s="529"/>
      <c r="F350" s="529"/>
      <c r="G350" s="529"/>
      <c r="H350" s="529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4">
        <v>420000</v>
      </c>
      <c r="E351" s="534">
        <v>420000</v>
      </c>
      <c r="F351" s="534">
        <v>420000</v>
      </c>
      <c r="G351" s="534">
        <v>420000</v>
      </c>
      <c r="H351" s="534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5"/>
      <c r="E352" s="535"/>
      <c r="F352" s="535"/>
      <c r="G352" s="535"/>
      <c r="H352" s="535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5"/>
      <c r="E353" s="535"/>
      <c r="F353" s="535"/>
      <c r="G353" s="535"/>
      <c r="H353" s="535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5"/>
      <c r="E354" s="535"/>
      <c r="F354" s="535"/>
      <c r="G354" s="535"/>
      <c r="H354" s="535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5"/>
      <c r="E355" s="535"/>
      <c r="F355" s="535"/>
      <c r="G355" s="535"/>
      <c r="H355" s="535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3">
        <v>10.6</v>
      </c>
      <c r="E356" s="533">
        <v>10.6</v>
      </c>
      <c r="F356" s="533">
        <v>10.6</v>
      </c>
      <c r="G356" s="533">
        <v>10.6</v>
      </c>
      <c r="H356" s="533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9"/>
      <c r="E357" s="529"/>
      <c r="F357" s="529"/>
      <c r="G357" s="529"/>
      <c r="H357" s="529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3">
        <v>10.6</v>
      </c>
      <c r="E358" s="533">
        <v>10.6</v>
      </c>
      <c r="F358" s="533">
        <v>10.6</v>
      </c>
      <c r="G358" s="533">
        <v>10.6</v>
      </c>
      <c r="H358" s="533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3">
        <v>10.6</v>
      </c>
      <c r="E359" s="533">
        <v>10.6</v>
      </c>
      <c r="F359" s="533">
        <v>10.6</v>
      </c>
      <c r="G359" s="533">
        <v>10.6</v>
      </c>
      <c r="H359" s="533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3">
        <v>10.6</v>
      </c>
      <c r="E360" s="533">
        <v>10.6</v>
      </c>
      <c r="F360" s="533">
        <v>10.6</v>
      </c>
      <c r="G360" s="533">
        <v>10.6</v>
      </c>
      <c r="H360" s="533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3">
        <v>10.6</v>
      </c>
      <c r="E361" s="533">
        <v>10.6</v>
      </c>
      <c r="F361" s="533">
        <v>10.6</v>
      </c>
      <c r="G361" s="533">
        <v>10.6</v>
      </c>
      <c r="H361" s="533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3">
        <v>10.6</v>
      </c>
      <c r="E362" s="533">
        <v>10.6</v>
      </c>
      <c r="F362" s="533">
        <v>10.6</v>
      </c>
      <c r="G362" s="533">
        <v>10.6</v>
      </c>
      <c r="H362" s="533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9"/>
      <c r="E363" s="529"/>
      <c r="F363" s="529"/>
      <c r="G363" s="529"/>
      <c r="H363" s="529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9"/>
      <c r="E364" s="529"/>
      <c r="F364" s="529"/>
      <c r="G364" s="529"/>
      <c r="H364" s="529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3">
        <v>1.5</v>
      </c>
      <c r="E365" s="533">
        <v>1.5</v>
      </c>
      <c r="F365" s="533">
        <v>1.5</v>
      </c>
      <c r="G365" s="533">
        <v>1.5</v>
      </c>
      <c r="H365" s="533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3">
        <v>2.5</v>
      </c>
      <c r="E366" s="533">
        <v>2.5</v>
      </c>
      <c r="F366" s="533">
        <v>2.5</v>
      </c>
      <c r="G366" s="533">
        <v>2.5</v>
      </c>
      <c r="H366" s="533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3">
        <v>4.5</v>
      </c>
      <c r="E367" s="533">
        <v>4.5</v>
      </c>
      <c r="F367" s="533">
        <v>4.5</v>
      </c>
      <c r="G367" s="533">
        <v>4.5</v>
      </c>
      <c r="H367" s="533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3">
        <v>6.2</v>
      </c>
      <c r="E368" s="533">
        <v>6.2</v>
      </c>
      <c r="F368" s="533">
        <v>6.2</v>
      </c>
      <c r="G368" s="533">
        <v>6.2</v>
      </c>
      <c r="H368" s="533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5"/>
      <c r="E369" s="535"/>
      <c r="F369" s="535"/>
      <c r="G369" s="535"/>
      <c r="H369" s="535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5"/>
      <c r="E370" s="535"/>
      <c r="F370" s="535"/>
      <c r="G370" s="535"/>
      <c r="H370" s="535"/>
      <c r="J370" s="536">
        <v>5055</v>
      </c>
      <c r="K370" s="536">
        <v>3571</v>
      </c>
      <c r="L370" s="536">
        <v>2185</v>
      </c>
      <c r="M370" s="536">
        <v>946</v>
      </c>
      <c r="N370" s="536">
        <v>0</v>
      </c>
    </row>
    <row r="371" spans="1:16" customFormat="1" x14ac:dyDescent="0.2">
      <c r="A371" t="s">
        <v>232</v>
      </c>
      <c r="D371" s="535"/>
      <c r="E371" s="535"/>
      <c r="F371" s="535"/>
      <c r="G371" s="535"/>
      <c r="H371" s="535"/>
      <c r="J371" s="536">
        <v>823351</v>
      </c>
      <c r="K371" s="536">
        <v>778943</v>
      </c>
      <c r="L371" s="536">
        <v>678947</v>
      </c>
      <c r="M371" s="536">
        <v>576795</v>
      </c>
      <c r="N371" s="536">
        <v>472166</v>
      </c>
    </row>
    <row r="372" spans="1:16" customFormat="1" x14ac:dyDescent="0.2">
      <c r="A372" t="s">
        <v>233</v>
      </c>
      <c r="D372" s="535"/>
      <c r="E372" s="535"/>
      <c r="F372" s="535"/>
      <c r="G372" s="535"/>
      <c r="H372" s="535"/>
      <c r="J372" s="536">
        <v>1397</v>
      </c>
      <c r="K372" s="536">
        <v>3070</v>
      </c>
      <c r="L372" s="536">
        <v>4641</v>
      </c>
      <c r="M372" s="536">
        <v>6060</v>
      </c>
      <c r="N372" s="536">
        <v>7196</v>
      </c>
    </row>
    <row r="373" spans="1:16" customFormat="1" x14ac:dyDescent="0.2">
      <c r="A373" t="s">
        <v>234</v>
      </c>
      <c r="D373" s="535"/>
      <c r="E373" s="535"/>
      <c r="F373" s="535"/>
      <c r="G373" s="535"/>
      <c r="H373" s="535"/>
      <c r="J373" s="536">
        <v>30307</v>
      </c>
      <c r="K373" s="536">
        <v>82120</v>
      </c>
      <c r="L373" s="536">
        <v>167069</v>
      </c>
      <c r="M373" s="536">
        <v>252367</v>
      </c>
      <c r="N373" s="536">
        <v>338857</v>
      </c>
    </row>
    <row r="374" spans="1:16" customFormat="1" x14ac:dyDescent="0.2">
      <c r="D374" s="535"/>
      <c r="E374" s="535"/>
      <c r="F374" s="535"/>
      <c r="G374" s="535"/>
      <c r="H374" s="535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30">
        <v>1949305.4129536522</v>
      </c>
      <c r="E375" s="530">
        <v>1975569.4544452247</v>
      </c>
      <c r="F375" s="530">
        <v>2002187.3655104858</v>
      </c>
      <c r="G375" s="530">
        <v>2029163.9140247537</v>
      </c>
      <c r="H375" s="530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7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8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8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8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8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9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40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8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1">
        <v>6430.8273357951803</v>
      </c>
      <c r="K391" s="541">
        <v>6540.4186152199882</v>
      </c>
      <c r="L391" s="541">
        <v>6654.9714644701198</v>
      </c>
      <c r="M391" s="541">
        <v>6761.6206662288687</v>
      </c>
      <c r="N391" s="541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8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1">
        <v>639239.62580768578</v>
      </c>
      <c r="K392" s="541">
        <v>650133.26122864627</v>
      </c>
      <c r="L392" s="541">
        <v>661520.08856301825</v>
      </c>
      <c r="M392" s="541">
        <v>672121.27442373626</v>
      </c>
      <c r="N392" s="541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8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1">
        <v>0</v>
      </c>
      <c r="K393" s="541">
        <v>0</v>
      </c>
      <c r="L393" s="541">
        <v>0</v>
      </c>
      <c r="M393" s="541">
        <v>0</v>
      </c>
      <c r="N393" s="541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8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1">
        <v>0</v>
      </c>
      <c r="K394" s="541">
        <v>0</v>
      </c>
      <c r="L394" s="541">
        <v>0</v>
      </c>
      <c r="M394" s="541">
        <v>0</v>
      </c>
      <c r="N394" s="541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9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40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40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8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1">
        <v>0</v>
      </c>
      <c r="K398" s="541">
        <v>0</v>
      </c>
      <c r="L398" s="541">
        <v>0</v>
      </c>
      <c r="M398" s="541">
        <v>0</v>
      </c>
      <c r="N398" s="541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8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1">
        <v>122294</v>
      </c>
      <c r="K399" s="541">
        <v>126494</v>
      </c>
      <c r="L399" s="541">
        <v>130694</v>
      </c>
      <c r="M399" s="541">
        <v>134894</v>
      </c>
      <c r="N399" s="541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9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40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8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1">
        <v>319079.32803200395</v>
      </c>
      <c r="K402" s="541">
        <v>324516.93504135334</v>
      </c>
      <c r="L402" s="541">
        <v>330200.72100765217</v>
      </c>
      <c r="M402" s="541">
        <v>335492.35050653736</v>
      </c>
      <c r="N402" s="541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8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1">
        <v>220925.01356011708</v>
      </c>
      <c r="K403" s="541">
        <v>224689.91870042938</v>
      </c>
      <c r="L403" s="541">
        <v>228625.27389696357</v>
      </c>
      <c r="M403" s="541">
        <v>232289.10673128325</v>
      </c>
      <c r="N403" s="541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8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1">
        <v>100712.9169065477</v>
      </c>
      <c r="K404" s="541">
        <v>102429.22133241178</v>
      </c>
      <c r="L404" s="541">
        <v>104223.22869499793</v>
      </c>
      <c r="M404" s="541">
        <v>105893.45736605745</v>
      </c>
      <c r="N404" s="541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8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1">
        <v>4953.1946448121762</v>
      </c>
      <c r="K405" s="541">
        <v>5037.6047696717869</v>
      </c>
      <c r="L405" s="541">
        <v>5125.8364278746849</v>
      </c>
      <c r="M405" s="541">
        <v>5207.9804860870026</v>
      </c>
      <c r="N405" s="541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Instructions</vt:lpstr>
      <vt:lpstr>DNSP Data Inputs 2011-15</vt:lpstr>
      <vt:lpstr>Data 2006-08</vt:lpstr>
      <vt:lpstr>Data 2009-10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2009-10'!Print_Area</vt:lpstr>
      <vt:lpstr>'Data 2009-15 (Real $2008)'!Print_Area</vt:lpstr>
      <vt:lpstr>'DNSP Data Inputs 2011-15'!Print_Area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 Villiers, Mark</cp:lastModifiedBy>
  <cp:lastPrinted>2009-05-05T01:34:38Z</cp:lastPrinted>
  <dcterms:created xsi:type="dcterms:W3CDTF">2009-04-11T02:58:03Z</dcterms:created>
  <dcterms:modified xsi:type="dcterms:W3CDTF">2012-10-04T22:41:28Z</dcterms:modified>
</cp:coreProperties>
</file>