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70" windowWidth="24555" windowHeight="11295"/>
  </bookViews>
  <sheets>
    <sheet name="Inputs" sheetId="8" r:id="rId1"/>
    <sheet name="Calculation" sheetId="9" r:id="rId2"/>
    <sheet name="Output" sheetId="10" r:id="rId3"/>
  </sheets>
  <externalReferences>
    <externalReference r:id="rId4"/>
  </externalReferences>
  <definedNames>
    <definedName name="_LU_Version">#REF!</definedName>
    <definedName name="InfoClassification">#REF!</definedName>
    <definedName name="ModelName">#REF!</definedName>
  </definedNames>
  <calcPr calcId="145621"/>
</workbook>
</file>

<file path=xl/calcChain.xml><?xml version="1.0" encoding="utf-8"?>
<calcChain xmlns="http://schemas.openxmlformats.org/spreadsheetml/2006/main">
  <c r="E31" i="8" l="1"/>
  <c r="F31" i="8" s="1"/>
  <c r="G31" i="8" s="1"/>
  <c r="D11" i="9" l="1"/>
  <c r="F30" i="8" l="1"/>
  <c r="G30" i="8"/>
  <c r="D22" i="8"/>
  <c r="E22" i="8" s="1"/>
  <c r="F22" i="8" s="1"/>
  <c r="G22" i="8" s="1"/>
  <c r="D14" i="8"/>
  <c r="E14" i="8" s="1"/>
  <c r="F14" i="8" s="1"/>
  <c r="G14" i="8" s="1"/>
  <c r="H14" i="8" s="1"/>
  <c r="I14" i="8" s="1"/>
  <c r="J14" i="8" s="1"/>
  <c r="D20" i="9" s="1"/>
  <c r="D13" i="8"/>
  <c r="E13" i="8" s="1"/>
  <c r="F13" i="8" s="1"/>
  <c r="G13" i="8" s="1"/>
  <c r="H13" i="8" s="1"/>
  <c r="I13" i="8" s="1"/>
  <c r="J13" i="8" s="1"/>
  <c r="D8" i="8"/>
  <c r="E8" i="8" s="1"/>
  <c r="F8" i="8" s="1"/>
  <c r="G8" i="8" s="1"/>
  <c r="H8" i="8" s="1"/>
  <c r="D4" i="8"/>
  <c r="E4" i="8" s="1"/>
  <c r="F4" i="8" s="1"/>
  <c r="G4" i="8" s="1"/>
  <c r="H4" i="8" s="1"/>
  <c r="I4" i="8" s="1"/>
  <c r="D12" i="8"/>
  <c r="E12" i="8" s="1"/>
  <c r="F12" i="8" s="1"/>
  <c r="G12" i="8" s="1"/>
  <c r="H12" i="8" s="1"/>
  <c r="I12" i="8" s="1"/>
  <c r="J12" i="8" s="1"/>
  <c r="G10" i="10"/>
  <c r="I10" i="8"/>
  <c r="J10" i="8" s="1"/>
  <c r="I9" i="8"/>
  <c r="J9" i="8" s="1"/>
  <c r="J8" i="8"/>
  <c r="E30" i="8"/>
  <c r="E21" i="9" l="1"/>
  <c r="D21" i="9"/>
  <c r="D25" i="9" s="1"/>
  <c r="F20" i="9"/>
  <c r="F24" i="9" s="1"/>
  <c r="F26" i="9" s="1"/>
  <c r="F21" i="9"/>
  <c r="F25" i="9" s="1"/>
  <c r="E20" i="9"/>
  <c r="E24" i="9" s="1"/>
  <c r="E26" i="9" s="1"/>
  <c r="F8" i="9"/>
  <c r="D8" i="9"/>
  <c r="D12" i="9" s="1"/>
  <c r="D8" i="10" s="1"/>
  <c r="F7" i="9"/>
  <c r="F11" i="9" s="1"/>
  <c r="D7" i="9"/>
  <c r="E8" i="9"/>
  <c r="E12" i="9" s="1"/>
  <c r="E8" i="10" s="1"/>
  <c r="E7" i="9"/>
  <c r="E11" i="9" s="1"/>
  <c r="E25" i="9"/>
  <c r="F12" i="9"/>
  <c r="F8" i="10" s="1"/>
  <c r="F7" i="10" l="1"/>
  <c r="F13" i="9"/>
  <c r="F9" i="10" s="1"/>
  <c r="E7" i="10"/>
  <c r="E13" i="9"/>
  <c r="E9" i="10" s="1"/>
  <c r="D24" i="9"/>
  <c r="D26" i="9" s="1"/>
  <c r="D7" i="10" l="1"/>
  <c r="D13" i="9"/>
  <c r="D9" i="10" s="1"/>
</calcChain>
</file>

<file path=xl/sharedStrings.xml><?xml version="1.0" encoding="utf-8"?>
<sst xmlns="http://schemas.openxmlformats.org/spreadsheetml/2006/main" count="81" uniqueCount="37">
  <si>
    <t>CBD</t>
  </si>
  <si>
    <t>non-CBD</t>
  </si>
  <si>
    <t>Urban</t>
  </si>
  <si>
    <t>Rural</t>
  </si>
  <si>
    <t>Network attributes</t>
  </si>
  <si>
    <t>Average unplanned SAIFI target</t>
  </si>
  <si>
    <t>Average unplanned SAIDI target</t>
  </si>
  <si>
    <t>Ratio planned to unplanned</t>
  </si>
  <si>
    <t>Rural short</t>
  </si>
  <si>
    <t>Rural long</t>
  </si>
  <si>
    <t>SAIFI</t>
  </si>
  <si>
    <t>SAIDI</t>
  </si>
  <si>
    <t>Telephone answering</t>
  </si>
  <si>
    <t>Network</t>
  </si>
  <si>
    <t>Inputs</t>
  </si>
  <si>
    <t>Output</t>
  </si>
  <si>
    <t>Calculation</t>
  </si>
  <si>
    <t>Average annual energy consumption by network type, kwh</t>
  </si>
  <si>
    <t>Average smoothed revenue requirement, $</t>
  </si>
  <si>
    <t>Inflation %, June to June</t>
  </si>
  <si>
    <t>Inflation rate %</t>
  </si>
  <si>
    <t>Incentive rates, %</t>
  </si>
  <si>
    <t>Assigned to SAIFI</t>
  </si>
  <si>
    <t>Assigned to SAIDI</t>
  </si>
  <si>
    <t>Proportion of VCR, $</t>
  </si>
  <si>
    <t>AEMO VCR, $ nominal</t>
  </si>
  <si>
    <t>STPIS Guideline VCR, $nominal</t>
  </si>
  <si>
    <t>Incentive rates based on STPIS Guideline VCR</t>
  </si>
  <si>
    <t>Incentive rates based on AEMO VCR</t>
  </si>
  <si>
    <t>Proposed incentive rates for 2016 to 2020</t>
  </si>
  <si>
    <t>Powercor STPIS Incentive rates calculation</t>
  </si>
  <si>
    <t>Energy consumption (Gwh)</t>
  </si>
  <si>
    <t>Rural Short</t>
  </si>
  <si>
    <t>Rural Long</t>
  </si>
  <si>
    <t>Source</t>
  </si>
  <si>
    <t xml:space="preserve">AEMO, Value of Customer Reliability Review, September 2014. </t>
  </si>
  <si>
    <t>MAIFI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</si>
</sst>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0.000"/>
    <numFmt numFmtId="166" formatCode="_-* #,##0.0_-;\-* #,##0.0_-;_-* &quot;-&quot;??_-;_-@_-"/>
    <numFmt numFmtId="167" formatCode="_-* #,##0_-;\-* #,##0_-;_-* &quot;-&quot;??_-;_-@_-"/>
    <numFmt numFmtId="168" formatCode="0.0000%"/>
    <numFmt numFmtId="169" formatCode="0.000%"/>
    <numFmt numFmtId="170" formatCode="_(* #,##0.00_);_(* \(#,##0.00\);_(* &quot;-&quot;??_);_(@_)"/>
  </numFmts>
  <fonts count="17" x14ac:knownFonts="1">
    <font>
      <sz val="10"/>
      <color theme="1"/>
      <name val="Verdana"/>
      <family val="2"/>
    </font>
    <font>
      <sz val="10"/>
      <name val="Arial"/>
      <family val="2"/>
    </font>
    <font>
      <b/>
      <sz val="11"/>
      <color indexed="62"/>
      <name val="Calibri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sz val="10"/>
      <color theme="1"/>
      <name val="Verdana"/>
      <family val="2"/>
    </font>
    <font>
      <sz val="10"/>
      <color indexed="12"/>
      <name val="Calibri"/>
      <family val="2"/>
      <scheme val="minor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0070C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i/>
      <sz val="10.5"/>
      <color rgb="FF333333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9" fillId="5" borderId="0">
      <alignment horizontal="center"/>
    </xf>
    <xf numFmtId="0" fontId="1" fillId="0" borderId="0"/>
    <xf numFmtId="0" fontId="1" fillId="0" borderId="0"/>
    <xf numFmtId="9" fontId="8" fillId="0" borderId="0" applyFont="0" applyFill="0" applyBorder="0" applyAlignment="0" applyProtection="0"/>
  </cellStyleXfs>
  <cellXfs count="37">
    <xf numFmtId="0" fontId="0" fillId="0" borderId="0" xfId="0"/>
    <xf numFmtId="0" fontId="3" fillId="3" borderId="0" xfId="5" applyFont="1" applyFill="1" applyBorder="1" applyAlignment="1">
      <alignment horizontal="left"/>
    </xf>
    <xf numFmtId="0" fontId="3" fillId="3" borderId="0" xfId="5" applyFont="1" applyFill="1" applyBorder="1"/>
    <xf numFmtId="0" fontId="1" fillId="3" borderId="0" xfId="5" applyFont="1" applyFill="1"/>
    <xf numFmtId="0" fontId="4" fillId="3" borderId="0" xfId="5" applyFont="1" applyFill="1" applyBorder="1" applyAlignment="1">
      <alignment horizontal="left"/>
    </xf>
    <xf numFmtId="0" fontId="5" fillId="3" borderId="0" xfId="5" applyFont="1" applyFill="1" applyBorder="1"/>
    <xf numFmtId="0" fontId="4" fillId="3" borderId="0" xfId="5" applyFont="1" applyFill="1" applyBorder="1" applyAlignment="1">
      <alignment horizontal="right"/>
    </xf>
    <xf numFmtId="0" fontId="6" fillId="3" borderId="0" xfId="5" applyFont="1" applyFill="1" applyBorder="1"/>
    <xf numFmtId="0" fontId="11" fillId="0" borderId="0" xfId="0" applyFont="1"/>
    <xf numFmtId="167" fontId="11" fillId="0" borderId="0" xfId="1" applyNumberFormat="1" applyFont="1" applyAlignment="1">
      <alignment horizontal="right"/>
    </xf>
    <xf numFmtId="0" fontId="12" fillId="6" borderId="0" xfId="0" applyFont="1" applyFill="1"/>
    <xf numFmtId="0" fontId="10" fillId="6" borderId="0" xfId="0" applyFont="1" applyFill="1"/>
    <xf numFmtId="0" fontId="12" fillId="6" borderId="0" xfId="0" applyFont="1" applyFill="1" applyAlignment="1">
      <alignment horizontal="right"/>
    </xf>
    <xf numFmtId="0" fontId="12" fillId="6" borderId="0" xfId="0" applyNumberFormat="1" applyFont="1" applyFill="1"/>
    <xf numFmtId="167" fontId="13" fillId="0" borderId="0" xfId="1" applyNumberFormat="1" applyFont="1" applyBorder="1" applyAlignment="1">
      <alignment horizontal="right"/>
    </xf>
    <xf numFmtId="167" fontId="7" fillId="2" borderId="0" xfId="1" applyNumberFormat="1" applyFont="1" applyFill="1" applyBorder="1" applyAlignment="1">
      <alignment horizontal="center"/>
    </xf>
    <xf numFmtId="10" fontId="7" fillId="4" borderId="0" xfId="7" applyNumberFormat="1" applyFont="1" applyFill="1" applyAlignment="1">
      <alignment horizontal="right"/>
    </xf>
    <xf numFmtId="167" fontId="7" fillId="4" borderId="0" xfId="1" applyNumberFormat="1" applyFont="1" applyFill="1" applyAlignment="1">
      <alignment horizontal="right"/>
    </xf>
    <xf numFmtId="166" fontId="14" fillId="0" borderId="0" xfId="0" applyNumberFormat="1" applyFont="1"/>
    <xf numFmtId="0" fontId="15" fillId="0" borderId="0" xfId="0" applyFont="1"/>
    <xf numFmtId="0" fontId="11" fillId="0" borderId="0" xfId="0" applyFont="1" applyBorder="1" applyAlignment="1">
      <alignment wrapText="1"/>
    </xf>
    <xf numFmtId="167" fontId="13" fillId="0" borderId="0" xfId="1" applyNumberFormat="1" applyFont="1" applyBorder="1"/>
    <xf numFmtId="164" fontId="11" fillId="0" borderId="0" xfId="2" applyNumberFormat="1" applyFont="1" applyBorder="1"/>
    <xf numFmtId="0" fontId="11" fillId="0" borderId="0" xfId="0" applyFont="1" applyBorder="1" applyAlignment="1">
      <alignment horizontal="left" wrapText="1"/>
    </xf>
    <xf numFmtId="0" fontId="12" fillId="6" borderId="1" xfId="0" applyFont="1" applyFill="1" applyBorder="1" applyAlignment="1">
      <alignment horizontal="left"/>
    </xf>
    <xf numFmtId="0" fontId="12" fillId="6" borderId="2" xfId="0" applyFont="1" applyFill="1" applyBorder="1" applyAlignment="1">
      <alignment horizontal="right"/>
    </xf>
    <xf numFmtId="0" fontId="11" fillId="0" borderId="0" xfId="0" applyFont="1" applyBorder="1" applyAlignment="1">
      <alignment horizontal="left"/>
    </xf>
    <xf numFmtId="167" fontId="1" fillId="0" borderId="0" xfId="1" applyNumberFormat="1" applyFont="1" applyBorder="1"/>
    <xf numFmtId="10" fontId="11" fillId="0" borderId="0" xfId="7" applyNumberFormat="1" applyFont="1" applyBorder="1" applyAlignment="1">
      <alignment horizontal="right"/>
    </xf>
    <xf numFmtId="0" fontId="11" fillId="0" borderId="0" xfId="0" applyFont="1" applyBorder="1"/>
    <xf numFmtId="0" fontId="12" fillId="6" borderId="0" xfId="0" applyNumberFormat="1" applyFont="1" applyFill="1" applyAlignment="1">
      <alignment horizontal="right"/>
    </xf>
    <xf numFmtId="0" fontId="16" fillId="0" borderId="0" xfId="0" applyFont="1"/>
    <xf numFmtId="168" fontId="11" fillId="0" borderId="0" xfId="7" applyNumberFormat="1" applyFont="1" applyBorder="1" applyAlignment="1">
      <alignment horizontal="right"/>
    </xf>
    <xf numFmtId="169" fontId="11" fillId="0" borderId="0" xfId="7" applyNumberFormat="1" applyFont="1" applyBorder="1" applyAlignment="1">
      <alignment horizontal="right"/>
    </xf>
    <xf numFmtId="170" fontId="7" fillId="4" borderId="0" xfId="1" applyNumberFormat="1" applyFont="1" applyFill="1" applyAlignment="1">
      <alignment horizontal="right"/>
    </xf>
    <xf numFmtId="165" fontId="7" fillId="7" borderId="0" xfId="5" applyNumberFormat="1" applyFont="1" applyFill="1" applyAlignment="1">
      <alignment horizontal="center"/>
    </xf>
    <xf numFmtId="0" fontId="11" fillId="0" borderId="0" xfId="0" applyFont="1" applyBorder="1" applyAlignment="1">
      <alignment horizontal="left" vertical="center" wrapText="1"/>
    </xf>
  </cellXfs>
  <cellStyles count="8">
    <cellStyle name="Comma" xfId="1" builtinId="3"/>
    <cellStyle name="Currency" xfId="2" builtinId="4"/>
    <cellStyle name="Heading 4 2" xfId="3"/>
    <cellStyle name="Input2" xfId="4"/>
    <cellStyle name="Normal" xfId="0" builtinId="0"/>
    <cellStyle name="Normal 2" xfId="5"/>
    <cellStyle name="Normal 3" xfId="6"/>
    <cellStyle name="Percent" xfId="7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15%20Modelling/215-09%20RRP/PAL/Standard%20Control/PAL%20PUBLIC%20RRP%20MOD%201.10%20PAL%202016-20%20PTR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DMS input"/>
      <sheetName val="PTRM input"/>
      <sheetName val="WACC"/>
      <sheetName val="Assets"/>
      <sheetName val="Analysis"/>
      <sheetName val="Forecast revenues"/>
      <sheetName val="X factors"/>
      <sheetName val="Revenue summary"/>
      <sheetName val="Equity raising costs"/>
      <sheetName val="Chart 1-Revenue"/>
      <sheetName val="Chart 2-Price path"/>
      <sheetName val="Chart 3-Building bloc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G11">
            <v>1.0249999999999999</v>
          </cell>
          <cell r="H11">
            <v>1.0506249999999999</v>
          </cell>
          <cell r="I11">
            <v>1.0768906249999999</v>
          </cell>
          <cell r="J11">
            <v>1.1038128906249998</v>
          </cell>
          <cell r="K11">
            <v>1.1314082128906247</v>
          </cell>
        </row>
        <row r="60">
          <cell r="G60">
            <v>621.77329362762282</v>
          </cell>
          <cell r="H60">
            <v>635.97003056433471</v>
          </cell>
          <cell r="I60">
            <v>656.75830093840636</v>
          </cell>
          <cell r="J60">
            <v>678.22608790033053</v>
          </cell>
          <cell r="K60">
            <v>700.3956031485726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activeCell="E31" sqref="E31"/>
    </sheetView>
  </sheetViews>
  <sheetFormatPr defaultRowHeight="12.75" x14ac:dyDescent="0.2"/>
  <cols>
    <col min="1" max="1" width="9" style="8"/>
    <col min="2" max="2" width="26.625" style="8" bestFit="1" customWidth="1"/>
    <col min="3" max="11" width="11.625" style="8" customWidth="1"/>
    <col min="12" max="16384" width="9" style="8"/>
  </cols>
  <sheetData>
    <row r="1" spans="1:16" s="3" customFormat="1" ht="18" customHeight="1" x14ac:dyDescent="0.25">
      <c r="A1" s="1" t="s">
        <v>30</v>
      </c>
      <c r="B1" s="1"/>
      <c r="C1" s="2"/>
      <c r="D1" s="2"/>
      <c r="E1" s="2"/>
      <c r="F1" s="2"/>
      <c r="G1" s="2"/>
      <c r="H1" s="2"/>
    </row>
    <row r="2" spans="1:16" s="7" customFormat="1" ht="15.75" x14ac:dyDescent="0.25">
      <c r="A2" s="4" t="s">
        <v>14</v>
      </c>
      <c r="B2" s="5"/>
      <c r="C2" s="5"/>
      <c r="D2" s="5"/>
      <c r="E2" s="5"/>
      <c r="F2" s="5"/>
      <c r="G2" s="6"/>
      <c r="H2" s="5"/>
      <c r="I2" s="5"/>
      <c r="J2" s="5"/>
      <c r="K2" s="5"/>
      <c r="L2" s="5"/>
      <c r="M2" s="5"/>
      <c r="N2" s="5"/>
      <c r="O2" s="5"/>
      <c r="P2" s="5"/>
    </row>
    <row r="4" spans="1:16" x14ac:dyDescent="0.2">
      <c r="B4" s="10" t="s">
        <v>19</v>
      </c>
      <c r="C4" s="13">
        <v>2008</v>
      </c>
      <c r="D4" s="13">
        <f t="shared" ref="D4:I4" si="0">C4+1</f>
        <v>2009</v>
      </c>
      <c r="E4" s="13">
        <f t="shared" si="0"/>
        <v>2010</v>
      </c>
      <c r="F4" s="13">
        <f t="shared" si="0"/>
        <v>2011</v>
      </c>
      <c r="G4" s="13">
        <f t="shared" si="0"/>
        <v>2012</v>
      </c>
      <c r="H4" s="13">
        <f t="shared" si="0"/>
        <v>2013</v>
      </c>
      <c r="I4" s="13">
        <f t="shared" si="0"/>
        <v>2014</v>
      </c>
      <c r="J4" s="13">
        <v>2015</v>
      </c>
    </row>
    <row r="5" spans="1:16" x14ac:dyDescent="0.2">
      <c r="B5" s="8" t="s">
        <v>20</v>
      </c>
      <c r="C5" s="16">
        <v>1.862556197816323E-2</v>
      </c>
      <c r="D5" s="16">
        <v>4.9810844892812067E-2</v>
      </c>
      <c r="E5" s="16">
        <v>1.2612612612612484E-2</v>
      </c>
      <c r="F5" s="16">
        <v>2.787663107947802E-2</v>
      </c>
      <c r="G5" s="16">
        <v>3.5199076745527913E-2</v>
      </c>
      <c r="H5" s="16">
        <v>2.0040080160320661E-2</v>
      </c>
      <c r="I5" s="16">
        <v>2.1611001964636278E-2</v>
      </c>
      <c r="J5" s="16">
        <v>2.30769230769232E-2</v>
      </c>
    </row>
    <row r="8" spans="1:16" x14ac:dyDescent="0.2">
      <c r="B8" s="10" t="s">
        <v>25</v>
      </c>
      <c r="C8" s="13">
        <v>2008</v>
      </c>
      <c r="D8" s="13">
        <f>C8+1</f>
        <v>2009</v>
      </c>
      <c r="E8" s="13">
        <f>D8+1</f>
        <v>2010</v>
      </c>
      <c r="F8" s="13">
        <f>E8+1</f>
        <v>2011</v>
      </c>
      <c r="G8" s="13">
        <f>F8+1</f>
        <v>2012</v>
      </c>
      <c r="H8" s="13">
        <f>G8+1</f>
        <v>2013</v>
      </c>
      <c r="I8" s="13">
        <v>2014</v>
      </c>
      <c r="J8" s="13">
        <f>I8+1</f>
        <v>2015</v>
      </c>
      <c r="K8" s="30" t="s">
        <v>34</v>
      </c>
    </row>
    <row r="9" spans="1:16" ht="14.25" x14ac:dyDescent="0.25">
      <c r="B9" s="8" t="s">
        <v>0</v>
      </c>
      <c r="I9" s="17">
        <f>44720</f>
        <v>44720</v>
      </c>
      <c r="J9" s="9">
        <f>I9*(1+J5)</f>
        <v>45752.000000000007</v>
      </c>
      <c r="K9" s="31" t="s">
        <v>35</v>
      </c>
    </row>
    <row r="10" spans="1:16" ht="14.25" x14ac:dyDescent="0.25">
      <c r="B10" s="8" t="s">
        <v>1</v>
      </c>
      <c r="I10" s="17">
        <f>39500</f>
        <v>39500</v>
      </c>
      <c r="J10" s="9">
        <f>I10*(1+J5)</f>
        <v>40411.538461538468</v>
      </c>
      <c r="K10" s="31" t="s">
        <v>35</v>
      </c>
    </row>
    <row r="11" spans="1:16" x14ac:dyDescent="0.2">
      <c r="C11" s="9"/>
      <c r="D11" s="9"/>
      <c r="E11" s="9"/>
    </row>
    <row r="12" spans="1:16" x14ac:dyDescent="0.2">
      <c r="B12" s="10" t="s">
        <v>26</v>
      </c>
      <c r="C12" s="13">
        <v>2008</v>
      </c>
      <c r="D12" s="13">
        <f t="shared" ref="D12:J12" si="1">C12+1</f>
        <v>2009</v>
      </c>
      <c r="E12" s="13">
        <f t="shared" si="1"/>
        <v>2010</v>
      </c>
      <c r="F12" s="13">
        <f t="shared" si="1"/>
        <v>2011</v>
      </c>
      <c r="G12" s="13">
        <f t="shared" si="1"/>
        <v>2012</v>
      </c>
      <c r="H12" s="13">
        <f t="shared" si="1"/>
        <v>2013</v>
      </c>
      <c r="I12" s="13">
        <f t="shared" si="1"/>
        <v>2014</v>
      </c>
      <c r="J12" s="13">
        <f t="shared" si="1"/>
        <v>2015</v>
      </c>
    </row>
    <row r="13" spans="1:16" x14ac:dyDescent="0.2">
      <c r="B13" s="8" t="s">
        <v>0</v>
      </c>
      <c r="C13" s="17">
        <v>95700</v>
      </c>
      <c r="D13" s="9">
        <f t="shared" ref="D13:J13" si="2">C13*(1+D5)</f>
        <v>100466.89785624211</v>
      </c>
      <c r="E13" s="9">
        <f t="shared" si="2"/>
        <v>101734.04791929381</v>
      </c>
      <c r="F13" s="9">
        <f t="shared" si="2"/>
        <v>104570.05044136191</v>
      </c>
      <c r="G13" s="9">
        <f t="shared" si="2"/>
        <v>108250.81967213113</v>
      </c>
      <c r="H13" s="9">
        <f t="shared" si="2"/>
        <v>110420.17477578105</v>
      </c>
      <c r="I13" s="9">
        <f t="shared" si="2"/>
        <v>112806.46538979594</v>
      </c>
      <c r="J13" s="9">
        <f t="shared" si="2"/>
        <v>115409.69151417585</v>
      </c>
    </row>
    <row r="14" spans="1:16" x14ac:dyDescent="0.2">
      <c r="B14" s="8" t="s">
        <v>1</v>
      </c>
      <c r="C14" s="17">
        <v>47850</v>
      </c>
      <c r="D14" s="9">
        <f t="shared" ref="D14:J14" si="3">C14*(1+D5)</f>
        <v>50233.448928121055</v>
      </c>
      <c r="E14" s="9">
        <f t="shared" si="3"/>
        <v>50867.023959646904</v>
      </c>
      <c r="F14" s="9">
        <f t="shared" si="3"/>
        <v>52285.025220680953</v>
      </c>
      <c r="G14" s="9">
        <f t="shared" si="3"/>
        <v>54125.409836065563</v>
      </c>
      <c r="H14" s="9">
        <f t="shared" si="3"/>
        <v>55210.087387890526</v>
      </c>
      <c r="I14" s="9">
        <f t="shared" si="3"/>
        <v>56403.232694897968</v>
      </c>
      <c r="J14" s="9">
        <f t="shared" si="3"/>
        <v>57704.845757087925</v>
      </c>
    </row>
    <row r="15" spans="1:16" x14ac:dyDescent="0.2">
      <c r="C15" s="9"/>
      <c r="D15" s="9"/>
      <c r="E15" s="9"/>
    </row>
    <row r="17" spans="2:9" x14ac:dyDescent="0.2">
      <c r="B17" s="10" t="s">
        <v>7</v>
      </c>
      <c r="C17" s="11"/>
    </row>
    <row r="18" spans="2:9" x14ac:dyDescent="0.2">
      <c r="B18" s="8" t="s">
        <v>0</v>
      </c>
      <c r="C18" s="34">
        <v>1.1299999999999999</v>
      </c>
    </row>
    <row r="19" spans="2:9" x14ac:dyDescent="0.2">
      <c r="B19" s="8" t="s">
        <v>2</v>
      </c>
      <c r="C19" s="34">
        <v>0.97</v>
      </c>
    </row>
    <row r="20" spans="2:9" x14ac:dyDescent="0.2">
      <c r="B20" s="8" t="s">
        <v>3</v>
      </c>
      <c r="C20" s="34">
        <v>0.92</v>
      </c>
    </row>
    <row r="22" spans="2:9" x14ac:dyDescent="0.2">
      <c r="B22" s="10" t="s">
        <v>31</v>
      </c>
      <c r="C22" s="13">
        <v>2016</v>
      </c>
      <c r="D22" s="13">
        <f>C22+1</f>
        <v>2017</v>
      </c>
      <c r="E22" s="13">
        <f>D22+1</f>
        <v>2018</v>
      </c>
      <c r="F22" s="13">
        <f>E22+1</f>
        <v>2019</v>
      </c>
      <c r="G22" s="13">
        <f>F22+1</f>
        <v>2020</v>
      </c>
    </row>
    <row r="23" spans="2:9" x14ac:dyDescent="0.2">
      <c r="B23" s="8" t="s">
        <v>2</v>
      </c>
      <c r="C23" s="15">
        <v>5788806.0607924731</v>
      </c>
      <c r="D23" s="15">
        <v>5861163.3289491972</v>
      </c>
      <c r="E23" s="15">
        <v>5920454.1290031355</v>
      </c>
      <c r="F23" s="15">
        <v>6000181.3130571404</v>
      </c>
      <c r="G23" s="15">
        <v>6081021.7236315459</v>
      </c>
    </row>
    <row r="24" spans="2:9" x14ac:dyDescent="0.2">
      <c r="B24" s="8" t="s">
        <v>32</v>
      </c>
      <c r="C24" s="15">
        <v>3185454.210102926</v>
      </c>
      <c r="D24" s="15">
        <v>3225270.8427661783</v>
      </c>
      <c r="E24" s="15">
        <v>3257897.2819090257</v>
      </c>
      <c r="F24" s="15">
        <v>3301769.4191748765</v>
      </c>
      <c r="G24" s="15">
        <v>3346254.1408094163</v>
      </c>
    </row>
    <row r="25" spans="2:9" x14ac:dyDescent="0.2">
      <c r="B25" s="8" t="s">
        <v>33</v>
      </c>
      <c r="C25" s="15">
        <v>2112173.3231744077</v>
      </c>
      <c r="D25" s="15">
        <v>2138574.4652982615</v>
      </c>
      <c r="E25" s="15">
        <v>2160208.0188960913</v>
      </c>
      <c r="F25" s="15">
        <v>2189298.2370727272</v>
      </c>
      <c r="G25" s="15">
        <v>2218794.6404513461</v>
      </c>
    </row>
    <row r="29" spans="2:9" x14ac:dyDescent="0.2">
      <c r="B29" s="10" t="s">
        <v>4</v>
      </c>
      <c r="C29" s="10"/>
      <c r="D29" s="12" t="s">
        <v>0</v>
      </c>
      <c r="E29" s="12" t="s">
        <v>2</v>
      </c>
      <c r="F29" s="12" t="s">
        <v>8</v>
      </c>
      <c r="G29" s="12" t="s">
        <v>9</v>
      </c>
    </row>
    <row r="30" spans="2:9" ht="33.75" customHeight="1" x14ac:dyDescent="0.2">
      <c r="B30" s="36" t="s">
        <v>17</v>
      </c>
      <c r="C30" s="36"/>
      <c r="D30" s="14">
        <v>0</v>
      </c>
      <c r="E30" s="15">
        <f>AVERAGE(C23:G23)</f>
        <v>5930325.3110866975</v>
      </c>
      <c r="F30" s="15">
        <f>AVERAGE(C24:G24)</f>
        <v>3263329.1789524844</v>
      </c>
      <c r="G30" s="15">
        <f>AVERAGE(C25:G25)</f>
        <v>2163809.7369785667</v>
      </c>
      <c r="I30" s="18"/>
    </row>
    <row r="31" spans="2:9" ht="29.25" customHeight="1" x14ac:dyDescent="0.2">
      <c r="B31" s="36" t="s">
        <v>18</v>
      </c>
      <c r="C31" s="36"/>
      <c r="D31" s="14">
        <v>0</v>
      </c>
      <c r="E31" s="15">
        <f>SUMPRODUCT('[1]X factors'!$G$60:$K$60,1/'[1]X factors'!$G$11:$K$11)*10^6/5</f>
        <v>611057182.37387872</v>
      </c>
      <c r="F31" s="15">
        <f>E31</f>
        <v>611057182.37387872</v>
      </c>
      <c r="G31" s="15">
        <f>F31</f>
        <v>611057182.37387872</v>
      </c>
      <c r="I31" s="18"/>
    </row>
    <row r="32" spans="2:9" ht="26.25" customHeight="1" x14ac:dyDescent="0.2">
      <c r="B32" s="36" t="s">
        <v>5</v>
      </c>
      <c r="C32" s="36"/>
      <c r="D32" s="14">
        <v>0</v>
      </c>
      <c r="E32" s="35">
        <v>1.0742980081235713</v>
      </c>
      <c r="F32" s="35">
        <v>1.3850760877617603</v>
      </c>
      <c r="G32" s="35">
        <v>2.4126579961671313</v>
      </c>
    </row>
    <row r="33" spans="2:7" ht="24" customHeight="1" x14ac:dyDescent="0.2">
      <c r="B33" s="36" t="s">
        <v>6</v>
      </c>
      <c r="C33" s="36"/>
      <c r="D33" s="14">
        <v>0</v>
      </c>
      <c r="E33" s="35">
        <v>85.3755145659334</v>
      </c>
      <c r="F33" s="35">
        <v>115.71550161436261</v>
      </c>
      <c r="G33" s="35">
        <v>278.20502543550316</v>
      </c>
    </row>
  </sheetData>
  <mergeCells count="4">
    <mergeCell ref="B30:C30"/>
    <mergeCell ref="B31:C31"/>
    <mergeCell ref="B32:C32"/>
    <mergeCell ref="B33:C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>
      <selection activeCell="D7" sqref="D7"/>
    </sheetView>
  </sheetViews>
  <sheetFormatPr defaultRowHeight="12.75" x14ac:dyDescent="0.2"/>
  <cols>
    <col min="1" max="1" width="9" style="8"/>
    <col min="2" max="2" width="18.5" style="8" bestFit="1" customWidth="1"/>
    <col min="3" max="3" width="9" style="8"/>
    <col min="4" max="6" width="13" style="8" bestFit="1" customWidth="1"/>
    <col min="7" max="7" width="12.375" style="8" customWidth="1"/>
    <col min="8" max="16384" width="9" style="8"/>
  </cols>
  <sheetData>
    <row r="1" spans="1:16" s="3" customFormat="1" ht="18" customHeight="1" x14ac:dyDescent="0.25">
      <c r="A1" s="1" t="s">
        <v>30</v>
      </c>
      <c r="B1" s="1"/>
      <c r="C1" s="2"/>
      <c r="D1" s="2"/>
      <c r="E1" s="2"/>
      <c r="F1" s="2"/>
      <c r="G1" s="2"/>
    </row>
    <row r="2" spans="1:16" s="7" customFormat="1" ht="15.75" x14ac:dyDescent="0.25">
      <c r="A2" s="4" t="s">
        <v>16</v>
      </c>
      <c r="B2" s="5"/>
      <c r="C2" s="5"/>
      <c r="D2" s="5"/>
      <c r="E2" s="5"/>
      <c r="F2" s="6"/>
      <c r="G2" s="5"/>
      <c r="H2" s="5"/>
      <c r="I2" s="5"/>
      <c r="J2" s="5"/>
      <c r="K2" s="5"/>
      <c r="L2" s="5"/>
      <c r="M2" s="5"/>
      <c r="N2" s="5"/>
      <c r="O2" s="5"/>
      <c r="P2" s="5"/>
    </row>
    <row r="4" spans="1:16" x14ac:dyDescent="0.2">
      <c r="B4" s="19" t="s">
        <v>28</v>
      </c>
    </row>
    <row r="5" spans="1:16" x14ac:dyDescent="0.2">
      <c r="B5" s="19"/>
    </row>
    <row r="6" spans="1:16" x14ac:dyDescent="0.2">
      <c r="B6" s="10" t="s">
        <v>24</v>
      </c>
      <c r="C6" s="12" t="s">
        <v>0</v>
      </c>
      <c r="D6" s="12" t="s">
        <v>2</v>
      </c>
      <c r="E6" s="12" t="s">
        <v>8</v>
      </c>
      <c r="F6" s="12" t="s">
        <v>9</v>
      </c>
    </row>
    <row r="7" spans="1:16" ht="12.75" customHeight="1" x14ac:dyDescent="0.2">
      <c r="B7" s="20" t="s">
        <v>22</v>
      </c>
      <c r="C7" s="21">
        <v>0</v>
      </c>
      <c r="D7" s="22">
        <f>Inputs!$J10/(1+Inputs!C19)</f>
        <v>20513.471300273333</v>
      </c>
      <c r="E7" s="22">
        <f>Inputs!$J10/(1+Inputs!C20)</f>
        <v>21047.676282051285</v>
      </c>
      <c r="F7" s="22">
        <f>Inputs!$J10/(1+Inputs!C20)</f>
        <v>21047.676282051285</v>
      </c>
    </row>
    <row r="8" spans="1:16" ht="12.75" customHeight="1" x14ac:dyDescent="0.2">
      <c r="B8" s="20" t="s">
        <v>23</v>
      </c>
      <c r="C8" s="21">
        <v>0</v>
      </c>
      <c r="D8" s="22">
        <f>Inputs!$J10*(1-(1/(1+Inputs!C19)))</f>
        <v>19898.067161265135</v>
      </c>
      <c r="E8" s="22">
        <f>Inputs!$J10*(1-(1/(1+Inputs!C20)))</f>
        <v>19363.86217948718</v>
      </c>
      <c r="F8" s="22">
        <f>Inputs!$J10*(1-(1/(1+Inputs!C20)))</f>
        <v>19363.86217948718</v>
      </c>
    </row>
    <row r="9" spans="1:16" x14ac:dyDescent="0.2">
      <c r="B9" s="23"/>
      <c r="C9" s="21"/>
      <c r="D9" s="22"/>
      <c r="E9" s="22"/>
      <c r="F9" s="22"/>
    </row>
    <row r="10" spans="1:16" ht="21" customHeight="1" x14ac:dyDescent="0.2">
      <c r="B10" s="24" t="s">
        <v>21</v>
      </c>
      <c r="C10" s="25" t="s">
        <v>0</v>
      </c>
      <c r="D10" s="25" t="s">
        <v>2</v>
      </c>
      <c r="E10" s="25" t="s">
        <v>8</v>
      </c>
      <c r="F10" s="25" t="s">
        <v>9</v>
      </c>
      <c r="G10" s="25" t="s">
        <v>13</v>
      </c>
    </row>
    <row r="11" spans="1:16" x14ac:dyDescent="0.2">
      <c r="B11" s="26" t="s">
        <v>10</v>
      </c>
      <c r="C11" s="27">
        <v>0</v>
      </c>
      <c r="D11" s="28">
        <f>(((D$7*Inputs!E$30)/Inputs!E$31)/(365.25*24*60))*(Inputs!E$33/Inputs!E$32)</f>
        <v>3.0080958427276795E-2</v>
      </c>
      <c r="E11" s="28">
        <f>(((E$7*Inputs!F$30)/Inputs!F$31)/(365.25*24*60))*(Inputs!F$33/Inputs!F$32)</f>
        <v>1.7854528284308984E-2</v>
      </c>
      <c r="F11" s="28">
        <f>(((F$7*Inputs!G$30)/Inputs!G$31)/(365.25*24*60))*(Inputs!G$33/Inputs!G$32)</f>
        <v>1.634021866195691E-2</v>
      </c>
      <c r="G11" s="29"/>
    </row>
    <row r="12" spans="1:16" x14ac:dyDescent="0.2">
      <c r="B12" s="26" t="s">
        <v>11</v>
      </c>
      <c r="C12" s="27">
        <v>0</v>
      </c>
      <c r="D12" s="28">
        <f>(((D$8*Inputs!E$30)/Inputs!E$31)/(365.25*24*60))</f>
        <v>3.6715955937269577E-4</v>
      </c>
      <c r="E12" s="28">
        <f>(((E$8*Inputs!F$30)/Inputs!F$31)/(365.25*24*60))</f>
        <v>1.9661574683308873E-4</v>
      </c>
      <c r="F12" s="28">
        <f>(((F$8*Inputs!G$30)/Inputs!G$31)/(365.25*24*60))</f>
        <v>1.3036964526432309E-4</v>
      </c>
      <c r="G12" s="29"/>
    </row>
    <row r="13" spans="1:16" x14ac:dyDescent="0.2">
      <c r="B13" s="26" t="s">
        <v>36</v>
      </c>
      <c r="C13" s="27">
        <v>0</v>
      </c>
      <c r="D13" s="28">
        <f>D11*0.08</f>
        <v>2.4064766741821435E-3</v>
      </c>
      <c r="E13" s="28">
        <f t="shared" ref="E13:F13" si="0">E11*0.08</f>
        <v>1.4283622627447189E-3</v>
      </c>
      <c r="F13" s="28">
        <f t="shared" si="0"/>
        <v>1.3072174929565528E-3</v>
      </c>
      <c r="G13" s="29"/>
    </row>
    <row r="14" spans="1:16" x14ac:dyDescent="0.2">
      <c r="B14" s="26" t="s">
        <v>12</v>
      </c>
      <c r="C14" s="27">
        <v>0</v>
      </c>
      <c r="D14" s="27">
        <v>0</v>
      </c>
      <c r="E14" s="27">
        <v>0</v>
      </c>
      <c r="F14" s="27">
        <v>0</v>
      </c>
      <c r="G14" s="28">
        <v>-4.0000000000000002E-4</v>
      </c>
    </row>
    <row r="17" spans="2:7" x14ac:dyDescent="0.2">
      <c r="B17" s="19" t="s">
        <v>27</v>
      </c>
    </row>
    <row r="18" spans="2:7" x14ac:dyDescent="0.2">
      <c r="B18" s="19"/>
    </row>
    <row r="19" spans="2:7" x14ac:dyDescent="0.2">
      <c r="B19" s="10" t="s">
        <v>24</v>
      </c>
      <c r="C19" s="12" t="s">
        <v>0</v>
      </c>
      <c r="D19" s="12" t="s">
        <v>2</v>
      </c>
      <c r="E19" s="12" t="s">
        <v>8</v>
      </c>
      <c r="F19" s="12" t="s">
        <v>9</v>
      </c>
    </row>
    <row r="20" spans="2:7" x14ac:dyDescent="0.2">
      <c r="B20" s="20" t="s">
        <v>22</v>
      </c>
      <c r="C20" s="21">
        <v>0</v>
      </c>
      <c r="D20" s="22">
        <f>Inputs!$J14/(1+Inputs!C19)</f>
        <v>29291.799876694378</v>
      </c>
      <c r="E20" s="22">
        <f>Inputs!$J14/(1+Inputs!C19)</f>
        <v>29291.799876694378</v>
      </c>
      <c r="F20" s="22">
        <f>Inputs!$J14/(1+Inputs!C19)</f>
        <v>29291.799876694378</v>
      </c>
    </row>
    <row r="21" spans="2:7" x14ac:dyDescent="0.2">
      <c r="B21" s="20" t="s">
        <v>23</v>
      </c>
      <c r="C21" s="21">
        <v>0</v>
      </c>
      <c r="D21" s="22">
        <f>Inputs!$J14*(1-(1/(1+Inputs!C19)))</f>
        <v>28413.045880393547</v>
      </c>
      <c r="E21" s="22">
        <f>Inputs!$J14*(1-(1/(1+Inputs!C20)))</f>
        <v>27650.238591937963</v>
      </c>
      <c r="F21" s="22">
        <f>Inputs!$J14*(1-(1/(1+Inputs!C20)))</f>
        <v>27650.238591937963</v>
      </c>
    </row>
    <row r="22" spans="2:7" x14ac:dyDescent="0.2">
      <c r="B22" s="23"/>
      <c r="C22" s="21"/>
      <c r="D22" s="22"/>
      <c r="E22" s="22"/>
      <c r="F22" s="22"/>
    </row>
    <row r="23" spans="2:7" x14ac:dyDescent="0.2">
      <c r="B23" s="24" t="s">
        <v>21</v>
      </c>
      <c r="C23" s="25" t="s">
        <v>0</v>
      </c>
      <c r="D23" s="25" t="s">
        <v>2</v>
      </c>
      <c r="E23" s="25" t="s">
        <v>8</v>
      </c>
      <c r="F23" s="25" t="s">
        <v>9</v>
      </c>
      <c r="G23" s="25" t="s">
        <v>13</v>
      </c>
    </row>
    <row r="24" spans="2:7" x14ac:dyDescent="0.2">
      <c r="B24" s="26" t="s">
        <v>10</v>
      </c>
      <c r="C24" s="27">
        <v>0</v>
      </c>
      <c r="D24" s="28">
        <f>(((D$20*Inputs!E$30)/Inputs!E$31)/(365.25*24*60))*(Inputs!E$33/Inputs!E$32)</f>
        <v>4.2953501211626464E-2</v>
      </c>
      <c r="E24" s="28">
        <f>(((E$20*Inputs!F$30)/Inputs!F$31)/(365.25*24*60))*(Inputs!F$33/Inputs!F$32)</f>
        <v>2.4847933918612505E-2</v>
      </c>
      <c r="F24" s="28">
        <f>(((F$20*Inputs!G$30)/Inputs!G$31)/(365.25*24*60))*(Inputs!G$33/Inputs!G$32)</f>
        <v>2.2740487290543853E-2</v>
      </c>
      <c r="G24" s="29"/>
    </row>
    <row r="25" spans="2:7" x14ac:dyDescent="0.2">
      <c r="B25" s="26" t="s">
        <v>11</v>
      </c>
      <c r="C25" s="27">
        <v>0</v>
      </c>
      <c r="D25" s="28">
        <f>(((D$21*Inputs!E$30)/Inputs!E$31)/(365.25*24*60))</f>
        <v>5.2427812818871809E-4</v>
      </c>
      <c r="E25" s="28">
        <f>(((E$21*Inputs!F$30)/Inputs!F$31)/(365.25*24*60))</f>
        <v>2.8075351190146459E-4</v>
      </c>
      <c r="F25" s="28">
        <f>(((F$21*Inputs!G$30)/Inputs!G$31)/(365.25*24*60))</f>
        <v>1.8615871995430176E-4</v>
      </c>
      <c r="G25" s="29"/>
    </row>
    <row r="26" spans="2:7" x14ac:dyDescent="0.2">
      <c r="B26" s="26" t="s">
        <v>36</v>
      </c>
      <c r="C26" s="27"/>
      <c r="D26" s="28">
        <f>D24*0.08</f>
        <v>3.436280096930117E-3</v>
      </c>
      <c r="E26" s="28">
        <f t="shared" ref="E26:F26" si="1">E24*0.08</f>
        <v>1.9878347134890005E-3</v>
      </c>
      <c r="F26" s="28">
        <f t="shared" si="1"/>
        <v>1.8192389832435082E-3</v>
      </c>
      <c r="G26" s="29"/>
    </row>
    <row r="27" spans="2:7" x14ac:dyDescent="0.2">
      <c r="B27" s="26" t="s">
        <v>12</v>
      </c>
      <c r="C27" s="27">
        <v>0</v>
      </c>
      <c r="D27" s="27">
        <v>0</v>
      </c>
      <c r="E27" s="27">
        <v>0</v>
      </c>
      <c r="F27" s="27">
        <v>0</v>
      </c>
      <c r="G27" s="28">
        <v>-4.0000000000000002E-4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workbookViewId="0">
      <selection activeCell="D7" sqref="D7"/>
    </sheetView>
  </sheetViews>
  <sheetFormatPr defaultRowHeight="12.75" x14ac:dyDescent="0.2"/>
  <cols>
    <col min="1" max="1" width="9" style="8"/>
    <col min="2" max="2" width="18.5" style="8" bestFit="1" customWidth="1"/>
    <col min="3" max="3" width="10.875" style="8" customWidth="1"/>
    <col min="4" max="4" width="10" style="8" customWidth="1"/>
    <col min="5" max="5" width="11" style="8" customWidth="1"/>
    <col min="6" max="6" width="10.125" style="8" bestFit="1" customWidth="1"/>
    <col min="7" max="7" width="9.5" style="8" customWidth="1"/>
    <col min="8" max="16384" width="9" style="8"/>
  </cols>
  <sheetData>
    <row r="1" spans="1:17" s="3" customFormat="1" ht="18" customHeight="1" x14ac:dyDescent="0.25">
      <c r="A1" s="1" t="s">
        <v>30</v>
      </c>
      <c r="B1" s="1"/>
      <c r="C1" s="2"/>
      <c r="D1" s="2"/>
      <c r="E1" s="2"/>
      <c r="F1" s="2"/>
      <c r="G1" s="2"/>
      <c r="H1" s="2"/>
    </row>
    <row r="2" spans="1:17" s="7" customFormat="1" ht="15.75" x14ac:dyDescent="0.25">
      <c r="A2" s="4" t="s">
        <v>15</v>
      </c>
      <c r="B2" s="5"/>
      <c r="C2" s="5"/>
      <c r="D2" s="5"/>
      <c r="E2" s="5"/>
      <c r="F2" s="5"/>
      <c r="G2" s="6"/>
      <c r="H2" s="5"/>
      <c r="I2" s="5"/>
      <c r="J2" s="5"/>
      <c r="K2" s="5"/>
      <c r="L2" s="5"/>
      <c r="M2" s="5"/>
      <c r="N2" s="5"/>
      <c r="O2" s="5"/>
      <c r="P2" s="5"/>
      <c r="Q2" s="5"/>
    </row>
    <row r="4" spans="1:17" x14ac:dyDescent="0.2">
      <c r="B4" s="19" t="s">
        <v>29</v>
      </c>
    </row>
    <row r="5" spans="1:17" x14ac:dyDescent="0.2">
      <c r="B5" s="19"/>
    </row>
    <row r="6" spans="1:17" ht="18.75" customHeight="1" x14ac:dyDescent="0.2">
      <c r="B6" s="24" t="s">
        <v>21</v>
      </c>
      <c r="C6" s="25" t="s">
        <v>0</v>
      </c>
      <c r="D6" s="25" t="s">
        <v>2</v>
      </c>
      <c r="E6" s="25" t="s">
        <v>8</v>
      </c>
      <c r="F6" s="25" t="s">
        <v>9</v>
      </c>
      <c r="G6" s="25" t="s">
        <v>13</v>
      </c>
    </row>
    <row r="7" spans="1:17" x14ac:dyDescent="0.2">
      <c r="B7" s="26" t="s">
        <v>10</v>
      </c>
      <c r="C7" s="27"/>
      <c r="D7" s="33">
        <f>Calculation!D11</f>
        <v>3.0080958427276795E-2</v>
      </c>
      <c r="E7" s="33">
        <f>Calculation!E11</f>
        <v>1.7854528284308984E-2</v>
      </c>
      <c r="F7" s="33">
        <f>Calculation!F11</f>
        <v>1.634021866195691E-2</v>
      </c>
      <c r="G7" s="32"/>
    </row>
    <row r="8" spans="1:17" x14ac:dyDescent="0.2">
      <c r="B8" s="26" t="s">
        <v>11</v>
      </c>
      <c r="C8" s="27"/>
      <c r="D8" s="33">
        <f>Calculation!D12</f>
        <v>3.6715955937269577E-4</v>
      </c>
      <c r="E8" s="33">
        <f>Calculation!E12</f>
        <v>1.9661574683308873E-4</v>
      </c>
      <c r="F8" s="33">
        <f>Calculation!F12</f>
        <v>1.3036964526432309E-4</v>
      </c>
      <c r="G8" s="32"/>
    </row>
    <row r="9" spans="1:17" x14ac:dyDescent="0.2">
      <c r="B9" s="26" t="s">
        <v>36</v>
      </c>
      <c r="C9" s="27"/>
      <c r="D9" s="33">
        <f>Calculation!D13</f>
        <v>2.4064766741821435E-3</v>
      </c>
      <c r="E9" s="33">
        <f>Calculation!E13</f>
        <v>1.4283622627447189E-3</v>
      </c>
      <c r="F9" s="33">
        <f>Calculation!F13</f>
        <v>1.3072174929565528E-3</v>
      </c>
      <c r="G9" s="32"/>
    </row>
    <row r="10" spans="1:17" x14ac:dyDescent="0.2">
      <c r="B10" s="26" t="s">
        <v>12</v>
      </c>
      <c r="C10" s="27"/>
      <c r="D10" s="32"/>
      <c r="E10" s="32"/>
      <c r="F10" s="32"/>
      <c r="G10" s="33">
        <f>Calculation!G14</f>
        <v>-4.0000000000000002E-4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Inputs</vt:lpstr>
      <vt:lpstr>Calculation</vt:lpstr>
      <vt:lpstr>Output</vt:lpstr>
    </vt:vector>
  </TitlesOfParts>
  <Company>CHED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Willcox</dc:creator>
  <cp:lastModifiedBy>Mark De Villiers</cp:lastModifiedBy>
  <cp:lastPrinted>2014-11-20T05:47:25Z</cp:lastPrinted>
  <dcterms:created xsi:type="dcterms:W3CDTF">2014-10-14T02:30:32Z</dcterms:created>
  <dcterms:modified xsi:type="dcterms:W3CDTF">2015-12-31T01:23:10Z</dcterms:modified>
</cp:coreProperties>
</file>