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2E52881F-1B1E-4563-A738-B583D46858F8}" xr6:coauthVersionLast="45" xr6:coauthVersionMax="45" xr10:uidLastSave="{00000000-0000-0000-0000-000000000000}"/>
  <bookViews>
    <workbookView xWindow="1710" yWindow="0" windowWidth="12705" windowHeight="16200" tabRatio="1000" activeTab="2" xr2:uid="{00000000-000D-0000-FFFF-FFFF00000000}"/>
  </bookViews>
  <sheets>
    <sheet name="Legend" sheetId="3" r:id="rId1"/>
    <sheet name="Menu" sheetId="5" r:id="rId2"/>
    <sheet name="Inflation" sheetId="11" r:id="rId3"/>
    <sheet name="Historical Expenditure-Volumes" sheetId="7" r:id="rId4"/>
    <sheet name="Historical Contributions" sheetId="25" r:id="rId5"/>
    <sheet name="ACIF Growth Figures" sheetId="8" r:id="rId6"/>
    <sheet name="Major Projects" sheetId="12" r:id="rId7"/>
    <sheet name="Function Code Mapping" sheetId="15" r:id="rId8"/>
    <sheet name="Growth Rates" sheetId="17" r:id="rId9"/>
    <sheet name="Unit Rates" sheetId="30" r:id="rId10"/>
    <sheet name="Forecast Expenditure-Volumes" sheetId="20" r:id="rId11"/>
    <sheet name="Forecast Contributions" sheetId="32" r:id="rId12"/>
    <sheet name="Contribution Impacts" sheetId="44" r:id="rId13"/>
    <sheet name="Forecast Contributions-AER" sheetId="42" r:id="rId14"/>
    <sheet name="Expenditure &amp; Volume Output" sheetId="21" r:id="rId15"/>
    <sheet name="Gross Capex" sheetId="40" r:id="rId16"/>
    <sheet name="Gross Capex_AER" sheetId="4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3" l="1"/>
  <c r="A1" i="40"/>
  <c r="A1" i="21"/>
  <c r="A1" i="42"/>
  <c r="A1" i="32"/>
  <c r="A1" i="20"/>
  <c r="A1" i="30"/>
  <c r="A1" i="17"/>
  <c r="A1" i="15"/>
  <c r="A1" i="12"/>
  <c r="A1" i="8"/>
  <c r="A1" i="25"/>
  <c r="A1" i="7"/>
  <c r="A1" i="11"/>
  <c r="E9" i="44" l="1"/>
  <c r="E17" i="44" l="1"/>
  <c r="D26" i="44" l="1"/>
  <c r="D25" i="44"/>
  <c r="D27" i="44" l="1"/>
  <c r="D19" i="44"/>
  <c r="D18" i="44"/>
  <c r="E26" i="44"/>
  <c r="E25" i="44"/>
  <c r="E27" i="44" l="1"/>
  <c r="D28" i="44" s="1"/>
  <c r="E19" i="44" s="1"/>
  <c r="E18" i="44"/>
  <c r="D20" i="44"/>
  <c r="D21" i="44" s="1"/>
  <c r="E20" i="44" l="1"/>
  <c r="E21" i="44" s="1"/>
  <c r="H4" i="44" s="1"/>
  <c r="A2" i="43"/>
  <c r="M103" i="42"/>
  <c r="L103" i="42"/>
  <c r="K103" i="42"/>
  <c r="J103" i="42"/>
  <c r="I103" i="42"/>
  <c r="M102" i="42"/>
  <c r="L102" i="42"/>
  <c r="K102" i="42"/>
  <c r="J102" i="42"/>
  <c r="I102" i="42"/>
  <c r="M101" i="42"/>
  <c r="L101" i="42"/>
  <c r="K101" i="42"/>
  <c r="J101" i="42"/>
  <c r="I101" i="42"/>
  <c r="M100" i="42"/>
  <c r="L100" i="42"/>
  <c r="K100" i="42"/>
  <c r="J100" i="42"/>
  <c r="I100" i="42"/>
  <c r="M99" i="42"/>
  <c r="L99" i="42"/>
  <c r="K99" i="42"/>
  <c r="J99" i="42"/>
  <c r="I99" i="42"/>
  <c r="M98" i="42"/>
  <c r="L98" i="42"/>
  <c r="K98" i="42"/>
  <c r="J98" i="42"/>
  <c r="I98" i="42"/>
  <c r="M97" i="42"/>
  <c r="L97" i="42"/>
  <c r="K97" i="42"/>
  <c r="J97" i="42"/>
  <c r="I97" i="42"/>
  <c r="M96" i="42"/>
  <c r="L96" i="42"/>
  <c r="K96" i="42"/>
  <c r="J96" i="42"/>
  <c r="I96" i="42"/>
  <c r="M95" i="42"/>
  <c r="L95" i="42"/>
  <c r="K95" i="42"/>
  <c r="J95" i="42"/>
  <c r="I95" i="42"/>
  <c r="M94" i="42"/>
  <c r="L94" i="42"/>
  <c r="K94" i="42"/>
  <c r="J94" i="42"/>
  <c r="I94" i="42"/>
  <c r="M93" i="42"/>
  <c r="L93" i="42"/>
  <c r="K93" i="42"/>
  <c r="J93" i="42"/>
  <c r="I93" i="42"/>
  <c r="M92" i="42"/>
  <c r="L92" i="42"/>
  <c r="K92" i="42"/>
  <c r="J92" i="42"/>
  <c r="I92" i="42"/>
  <c r="M91" i="42"/>
  <c r="L91" i="42"/>
  <c r="K91" i="42"/>
  <c r="J91" i="42"/>
  <c r="I91" i="42"/>
  <c r="M83" i="42"/>
  <c r="L83" i="42"/>
  <c r="K83" i="42"/>
  <c r="J83" i="42"/>
  <c r="I83" i="42"/>
  <c r="L62" i="42"/>
  <c r="I60" i="42"/>
  <c r="K59" i="42"/>
  <c r="I56" i="42"/>
  <c r="K55" i="42"/>
  <c r="L54" i="42"/>
  <c r="L50" i="42"/>
  <c r="M42" i="42"/>
  <c r="L42" i="42"/>
  <c r="K42" i="42"/>
  <c r="J42" i="42"/>
  <c r="I42" i="42"/>
  <c r="G34" i="42"/>
  <c r="H30" i="42"/>
  <c r="M21" i="42"/>
  <c r="L21" i="42"/>
  <c r="K21" i="42"/>
  <c r="J21" i="42"/>
  <c r="I21" i="42"/>
  <c r="H16" i="42"/>
  <c r="H8" i="42"/>
  <c r="A2" i="42"/>
  <c r="L104" i="42" l="1"/>
  <c r="I104" i="42"/>
  <c r="I105" i="42" s="1"/>
  <c r="K104" i="42"/>
  <c r="K105" i="42" s="1"/>
  <c r="I54" i="42"/>
  <c r="I58" i="42"/>
  <c r="G41" i="42"/>
  <c r="F104" i="42"/>
  <c r="I52" i="42"/>
  <c r="I62" i="42"/>
  <c r="H10" i="42"/>
  <c r="I50" i="42"/>
  <c r="M104" i="42"/>
  <c r="G9" i="42"/>
  <c r="H34" i="42"/>
  <c r="H41" i="42"/>
  <c r="L52" i="42"/>
  <c r="K57" i="42"/>
  <c r="J104" i="42"/>
  <c r="J105" i="42" s="1"/>
  <c r="H13" i="42"/>
  <c r="H20" i="42"/>
  <c r="H38" i="42"/>
  <c r="I61" i="42"/>
  <c r="G14" i="42"/>
  <c r="G50" i="42"/>
  <c r="G52" i="42"/>
  <c r="G54" i="42"/>
  <c r="G56" i="42"/>
  <c r="G58" i="42"/>
  <c r="G60" i="42"/>
  <c r="K56" i="42"/>
  <c r="K58" i="42"/>
  <c r="G8" i="42"/>
  <c r="G12" i="42"/>
  <c r="G40" i="42"/>
  <c r="L51" i="42"/>
  <c r="L53" i="42"/>
  <c r="H17" i="42"/>
  <c r="H19" i="42"/>
  <c r="H31" i="42"/>
  <c r="H35" i="42"/>
  <c r="H50" i="42"/>
  <c r="H52" i="42"/>
  <c r="H54" i="42"/>
  <c r="H56" i="42"/>
  <c r="H58" i="42"/>
  <c r="H60" i="42"/>
  <c r="H62" i="42"/>
  <c r="D83" i="42"/>
  <c r="E104" i="42"/>
  <c r="C104" i="42"/>
  <c r="D42" i="42"/>
  <c r="M62" i="42"/>
  <c r="E42" i="42"/>
  <c r="G35" i="42"/>
  <c r="F21" i="42"/>
  <c r="H14" i="42"/>
  <c r="G18" i="42"/>
  <c r="C42" i="42"/>
  <c r="H32" i="42"/>
  <c r="H36" i="42"/>
  <c r="H40" i="42"/>
  <c r="J51" i="42"/>
  <c r="M51" i="42"/>
  <c r="J53" i="42"/>
  <c r="M53" i="42"/>
  <c r="L55" i="42"/>
  <c r="M55" i="42"/>
  <c r="L57" i="42"/>
  <c r="M57" i="42"/>
  <c r="L59" i="42"/>
  <c r="M59" i="42"/>
  <c r="L61" i="42"/>
  <c r="M61" i="42"/>
  <c r="G62" i="42"/>
  <c r="C83" i="42"/>
  <c r="D104" i="42"/>
  <c r="G19" i="42"/>
  <c r="C21" i="42"/>
  <c r="H11" i="42"/>
  <c r="H15" i="42"/>
  <c r="G20" i="42"/>
  <c r="M105" i="42"/>
  <c r="F42" i="42"/>
  <c r="G39" i="42"/>
  <c r="J50" i="42"/>
  <c r="M50" i="42"/>
  <c r="G51" i="42"/>
  <c r="J52" i="42"/>
  <c r="M52" i="42"/>
  <c r="G53" i="42"/>
  <c r="J54" i="42"/>
  <c r="M54" i="42"/>
  <c r="G55" i="42"/>
  <c r="L56" i="42"/>
  <c r="M56" i="42"/>
  <c r="G57" i="42"/>
  <c r="L58" i="42"/>
  <c r="M58" i="42"/>
  <c r="G59" i="42"/>
  <c r="L60" i="42"/>
  <c r="M60" i="42"/>
  <c r="G61" i="42"/>
  <c r="F83" i="42"/>
  <c r="G36" i="42"/>
  <c r="D21" i="42"/>
  <c r="H51" i="42"/>
  <c r="H53" i="42"/>
  <c r="H55" i="42"/>
  <c r="H57" i="42"/>
  <c r="H59" i="42"/>
  <c r="H61" i="42"/>
  <c r="E83" i="42"/>
  <c r="G13" i="42"/>
  <c r="G29" i="42"/>
  <c r="G30" i="42"/>
  <c r="E21" i="42"/>
  <c r="H9" i="42"/>
  <c r="G15" i="42"/>
  <c r="H29" i="42"/>
  <c r="G33" i="42"/>
  <c r="H37" i="42"/>
  <c r="I51" i="42"/>
  <c r="I53" i="42"/>
  <c r="I55" i="42"/>
  <c r="I57" i="42"/>
  <c r="I59" i="42"/>
  <c r="H12" i="42"/>
  <c r="H18" i="42"/>
  <c r="H33" i="42"/>
  <c r="H39" i="42"/>
  <c r="G10" i="42"/>
  <c r="G16" i="42"/>
  <c r="G31" i="42"/>
  <c r="G37" i="42"/>
  <c r="J55" i="42"/>
  <c r="J56" i="42"/>
  <c r="J57" i="42"/>
  <c r="J58" i="42"/>
  <c r="J59" i="42"/>
  <c r="J60" i="42"/>
  <c r="J61" i="42"/>
  <c r="J62" i="42"/>
  <c r="G11" i="42"/>
  <c r="G17" i="42"/>
  <c r="G32" i="42"/>
  <c r="G38" i="42"/>
  <c r="K50" i="42"/>
  <c r="K51" i="42"/>
  <c r="K52" i="42"/>
  <c r="K53" i="42"/>
  <c r="K54" i="42"/>
  <c r="K60" i="42"/>
  <c r="K61" i="42"/>
  <c r="K62" i="42"/>
  <c r="L105" i="42"/>
  <c r="K23" i="40"/>
  <c r="K22" i="40"/>
  <c r="K17" i="40"/>
  <c r="K14" i="40"/>
  <c r="K13" i="40"/>
  <c r="K12" i="40"/>
  <c r="K11" i="40"/>
  <c r="I37" i="32"/>
  <c r="I34" i="32"/>
  <c r="I33" i="32"/>
  <c r="I32" i="32"/>
  <c r="I31" i="32"/>
  <c r="I19" i="32"/>
  <c r="I16" i="32"/>
  <c r="I13" i="32"/>
  <c r="I12" i="32"/>
  <c r="I11" i="32"/>
  <c r="I10" i="32"/>
  <c r="E105" i="42" l="1"/>
  <c r="F105" i="42"/>
  <c r="H21" i="42"/>
  <c r="H22" i="42" s="1"/>
  <c r="G42" i="42"/>
  <c r="G43" i="42" s="1"/>
  <c r="C105" i="42"/>
  <c r="H42" i="42"/>
  <c r="H43" i="42" s="1"/>
  <c r="G21" i="42"/>
  <c r="G22" i="42" s="1"/>
  <c r="D105" i="42"/>
  <c r="D33" i="7" l="1"/>
  <c r="E33" i="7"/>
  <c r="F33" i="7"/>
  <c r="E77" i="20" s="1"/>
  <c r="G33" i="7"/>
  <c r="D10" i="12"/>
  <c r="E10" i="12"/>
  <c r="G10" i="12"/>
  <c r="H10" i="12"/>
  <c r="I10" i="12"/>
  <c r="J10" i="12"/>
  <c r="F10" i="12"/>
  <c r="D29" i="7"/>
  <c r="E29" i="7"/>
  <c r="F29" i="7"/>
  <c r="G29" i="7"/>
  <c r="H29" i="7" s="1"/>
  <c r="D8" i="32"/>
  <c r="E8" i="32"/>
  <c r="F8" i="32"/>
  <c r="H8" i="32" s="1"/>
  <c r="D29" i="32"/>
  <c r="E29" i="32"/>
  <c r="F29" i="32"/>
  <c r="D30" i="7"/>
  <c r="E30" i="7"/>
  <c r="F30" i="7"/>
  <c r="G30" i="7"/>
  <c r="D9" i="32"/>
  <c r="E9" i="32"/>
  <c r="F9" i="32"/>
  <c r="D30" i="32"/>
  <c r="E30" i="32"/>
  <c r="F30" i="32"/>
  <c r="D31" i="7"/>
  <c r="E31" i="7"/>
  <c r="F31" i="7"/>
  <c r="G31" i="7"/>
  <c r="F53" i="20" s="1"/>
  <c r="D10" i="32"/>
  <c r="E10" i="32"/>
  <c r="F10" i="32"/>
  <c r="D31" i="32"/>
  <c r="G31" i="32" s="1"/>
  <c r="E31" i="32"/>
  <c r="F31" i="32"/>
  <c r="D32" i="7"/>
  <c r="E32" i="7"/>
  <c r="H32" i="7" s="1"/>
  <c r="F32" i="7"/>
  <c r="G32" i="7"/>
  <c r="D11" i="32"/>
  <c r="E11" i="32"/>
  <c r="F11" i="32"/>
  <c r="D32" i="32"/>
  <c r="E32" i="32"/>
  <c r="F32" i="32"/>
  <c r="G32" i="32" s="1"/>
  <c r="D12" i="32"/>
  <c r="E12" i="32"/>
  <c r="F12" i="32"/>
  <c r="D33" i="32"/>
  <c r="E33" i="32"/>
  <c r="F33" i="32"/>
  <c r="D34" i="7"/>
  <c r="E34" i="7"/>
  <c r="D78" i="20" s="1"/>
  <c r="F34" i="7"/>
  <c r="G34" i="7"/>
  <c r="D13" i="32"/>
  <c r="E13" i="32"/>
  <c r="H13" i="32" s="1"/>
  <c r="F13" i="32"/>
  <c r="D34" i="32"/>
  <c r="E34" i="32"/>
  <c r="F34" i="32"/>
  <c r="D35" i="7"/>
  <c r="E35" i="7"/>
  <c r="F35" i="7"/>
  <c r="G35" i="7"/>
  <c r="H35" i="7" s="1"/>
  <c r="D14" i="32"/>
  <c r="E14" i="32"/>
  <c r="F14" i="32"/>
  <c r="D35" i="32"/>
  <c r="G35" i="32" s="1"/>
  <c r="E35" i="32"/>
  <c r="F35" i="32"/>
  <c r="D36" i="7"/>
  <c r="E36" i="7"/>
  <c r="D58" i="20" s="1"/>
  <c r="F36" i="7"/>
  <c r="G36" i="7"/>
  <c r="D15" i="32"/>
  <c r="E15" i="32"/>
  <c r="G15" i="32" s="1"/>
  <c r="F15" i="32"/>
  <c r="D36" i="32"/>
  <c r="E36" i="32"/>
  <c r="F36" i="32"/>
  <c r="G36" i="32" s="1"/>
  <c r="D37" i="7"/>
  <c r="E37" i="7"/>
  <c r="F37" i="7"/>
  <c r="G37" i="7"/>
  <c r="F59" i="20" s="1"/>
  <c r="D16" i="32"/>
  <c r="E16" i="32"/>
  <c r="F16" i="32"/>
  <c r="D37" i="32"/>
  <c r="E37" i="32"/>
  <c r="F37" i="32"/>
  <c r="D40" i="7"/>
  <c r="E40" i="7"/>
  <c r="H40" i="7" s="1"/>
  <c r="F40" i="7"/>
  <c r="G40" i="7"/>
  <c r="D19" i="32"/>
  <c r="E19" i="32"/>
  <c r="F19" i="32"/>
  <c r="D40" i="32"/>
  <c r="E40" i="32"/>
  <c r="F40" i="32"/>
  <c r="D41" i="7"/>
  <c r="E41" i="7"/>
  <c r="F41" i="7"/>
  <c r="G41" i="7"/>
  <c r="H41" i="7" s="1"/>
  <c r="D20" i="32"/>
  <c r="E20" i="32"/>
  <c r="F20" i="32"/>
  <c r="D41" i="32"/>
  <c r="E41" i="32"/>
  <c r="F41" i="32"/>
  <c r="D38" i="32"/>
  <c r="E38" i="32"/>
  <c r="F38" i="32"/>
  <c r="D17" i="32"/>
  <c r="E17" i="32"/>
  <c r="F17" i="32"/>
  <c r="G17" i="32" s="1"/>
  <c r="D39" i="32"/>
  <c r="E39" i="32"/>
  <c r="F39" i="32"/>
  <c r="D18" i="32"/>
  <c r="E18" i="32"/>
  <c r="F18" i="32"/>
  <c r="B178" i="20"/>
  <c r="O179" i="20"/>
  <c r="D7" i="12"/>
  <c r="H14" i="21"/>
  <c r="C13" i="32"/>
  <c r="F8" i="21"/>
  <c r="D80" i="32"/>
  <c r="H10" i="21"/>
  <c r="H18" i="21"/>
  <c r="C15" i="32"/>
  <c r="F12" i="21"/>
  <c r="F20" i="21"/>
  <c r="D72" i="32"/>
  <c r="D76" i="32"/>
  <c r="E7" i="21"/>
  <c r="E9" i="21"/>
  <c r="E11" i="21"/>
  <c r="E13" i="21"/>
  <c r="E15" i="21"/>
  <c r="E17" i="21"/>
  <c r="E19" i="21"/>
  <c r="E21" i="21"/>
  <c r="C9" i="32"/>
  <c r="C17" i="32"/>
  <c r="D73" i="32"/>
  <c r="D77" i="32"/>
  <c r="D81" i="32"/>
  <c r="F7" i="21"/>
  <c r="F9" i="21"/>
  <c r="F11" i="21"/>
  <c r="F13" i="21"/>
  <c r="F15" i="21"/>
  <c r="F17" i="21"/>
  <c r="F19" i="21"/>
  <c r="F21" i="21"/>
  <c r="C11" i="32"/>
  <c r="D70" i="32"/>
  <c r="D74" i="32"/>
  <c r="D78" i="32"/>
  <c r="D82" i="32"/>
  <c r="E8" i="21"/>
  <c r="F10" i="21"/>
  <c r="E12" i="21"/>
  <c r="F14" i="21"/>
  <c r="E16" i="21"/>
  <c r="F18" i="21"/>
  <c r="E20" i="21"/>
  <c r="D71" i="32"/>
  <c r="D75" i="32"/>
  <c r="D79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H17" i="21"/>
  <c r="H21" i="21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0" i="32"/>
  <c r="C19" i="32"/>
  <c r="C18" i="32"/>
  <c r="H8" i="21"/>
  <c r="E10" i="21"/>
  <c r="H12" i="21"/>
  <c r="E14" i="21"/>
  <c r="H16" i="21"/>
  <c r="E18" i="21"/>
  <c r="H20" i="21"/>
  <c r="C71" i="32"/>
  <c r="C73" i="32"/>
  <c r="C75" i="32"/>
  <c r="C77" i="32"/>
  <c r="C79" i="32"/>
  <c r="C81" i="32"/>
  <c r="E81" i="32"/>
  <c r="E77" i="32"/>
  <c r="E73" i="32"/>
  <c r="G21" i="21"/>
  <c r="G17" i="21"/>
  <c r="G13" i="21"/>
  <c r="G9" i="21"/>
  <c r="H9" i="21"/>
  <c r="H13" i="21"/>
  <c r="H7" i="21"/>
  <c r="H11" i="21"/>
  <c r="H15" i="21"/>
  <c r="H19" i="21"/>
  <c r="C8" i="32"/>
  <c r="C10" i="32"/>
  <c r="C12" i="32"/>
  <c r="C14" i="32"/>
  <c r="C16" i="32"/>
  <c r="C70" i="32"/>
  <c r="C72" i="32"/>
  <c r="C74" i="32"/>
  <c r="C76" i="32"/>
  <c r="C78" i="32"/>
  <c r="C80" i="32"/>
  <c r="C82" i="32"/>
  <c r="C7" i="11"/>
  <c r="G10" i="21"/>
  <c r="G14" i="21"/>
  <c r="G18" i="21"/>
  <c r="E70" i="32"/>
  <c r="E74" i="32"/>
  <c r="E78" i="32"/>
  <c r="E82" i="32"/>
  <c r="G7" i="21"/>
  <c r="G11" i="21"/>
  <c r="G15" i="21"/>
  <c r="G19" i="21"/>
  <c r="E71" i="32"/>
  <c r="E75" i="32"/>
  <c r="E79" i="32"/>
  <c r="F16" i="21"/>
  <c r="G8" i="21"/>
  <c r="G12" i="21"/>
  <c r="G16" i="21"/>
  <c r="G20" i="21"/>
  <c r="E72" i="32"/>
  <c r="E76" i="32"/>
  <c r="E80" i="32"/>
  <c r="H91" i="40"/>
  <c r="G91" i="40"/>
  <c r="F91" i="40"/>
  <c r="H90" i="40"/>
  <c r="G90" i="40"/>
  <c r="F90" i="40"/>
  <c r="H89" i="40"/>
  <c r="G89" i="40"/>
  <c r="F89" i="40"/>
  <c r="H88" i="40"/>
  <c r="G88" i="40"/>
  <c r="F88" i="40"/>
  <c r="H87" i="40"/>
  <c r="G87" i="40"/>
  <c r="F87" i="40"/>
  <c r="H86" i="40"/>
  <c r="G86" i="40"/>
  <c r="F86" i="40"/>
  <c r="H85" i="40"/>
  <c r="G85" i="40"/>
  <c r="F85" i="40"/>
  <c r="H84" i="40"/>
  <c r="G84" i="40"/>
  <c r="F84" i="40"/>
  <c r="H83" i="40"/>
  <c r="G83" i="40"/>
  <c r="F83" i="40"/>
  <c r="H82" i="40"/>
  <c r="G82" i="40"/>
  <c r="F82" i="40"/>
  <c r="H81" i="40"/>
  <c r="G81" i="40"/>
  <c r="F81" i="40"/>
  <c r="H80" i="40"/>
  <c r="G80" i="40"/>
  <c r="F80" i="40"/>
  <c r="H79" i="40"/>
  <c r="G79" i="40"/>
  <c r="F79" i="40"/>
  <c r="H78" i="40"/>
  <c r="G78" i="40"/>
  <c r="F78" i="40"/>
  <c r="H77" i="40"/>
  <c r="G77" i="40"/>
  <c r="F77" i="40"/>
  <c r="H76" i="40"/>
  <c r="G76" i="40"/>
  <c r="F76" i="40"/>
  <c r="H75" i="40"/>
  <c r="G75" i="40"/>
  <c r="F75" i="40"/>
  <c r="H74" i="40"/>
  <c r="G74" i="40"/>
  <c r="F74" i="40"/>
  <c r="H73" i="40"/>
  <c r="G73" i="40"/>
  <c r="F73" i="40"/>
  <c r="H72" i="40"/>
  <c r="G72" i="40"/>
  <c r="F72" i="40"/>
  <c r="H71" i="40"/>
  <c r="G71" i="40"/>
  <c r="F71" i="40"/>
  <c r="H70" i="40"/>
  <c r="G70" i="40"/>
  <c r="F70" i="40"/>
  <c r="H69" i="40"/>
  <c r="G69" i="40"/>
  <c r="F69" i="40"/>
  <c r="H68" i="40"/>
  <c r="G68" i="40"/>
  <c r="F68" i="40"/>
  <c r="H67" i="40"/>
  <c r="G67" i="40"/>
  <c r="F67" i="40"/>
  <c r="H66" i="40"/>
  <c r="G66" i="40"/>
  <c r="F66" i="40"/>
  <c r="H65" i="40"/>
  <c r="G65" i="40"/>
  <c r="F65" i="40"/>
  <c r="H64" i="40"/>
  <c r="G64" i="40"/>
  <c r="F64" i="40"/>
  <c r="H63" i="40"/>
  <c r="G63" i="40"/>
  <c r="F63" i="40"/>
  <c r="H62" i="40"/>
  <c r="G62" i="40"/>
  <c r="F62" i="40"/>
  <c r="H61" i="40"/>
  <c r="G61" i="40"/>
  <c r="F61" i="40"/>
  <c r="H60" i="40"/>
  <c r="G60" i="40"/>
  <c r="F60" i="40"/>
  <c r="H59" i="40"/>
  <c r="G59" i="40"/>
  <c r="F59" i="40"/>
  <c r="H58" i="40"/>
  <c r="G58" i="40"/>
  <c r="F58" i="40"/>
  <c r="H57" i="40"/>
  <c r="G57" i="40"/>
  <c r="F57" i="40"/>
  <c r="H56" i="40"/>
  <c r="G56" i="40"/>
  <c r="F56" i="40"/>
  <c r="H55" i="40"/>
  <c r="G55" i="40"/>
  <c r="F55" i="40"/>
  <c r="H54" i="40"/>
  <c r="G54" i="40"/>
  <c r="F54" i="40"/>
  <c r="H53" i="40"/>
  <c r="G53" i="40"/>
  <c r="F53" i="40"/>
  <c r="H52" i="40"/>
  <c r="G52" i="40"/>
  <c r="F52" i="40"/>
  <c r="H51" i="40"/>
  <c r="G51" i="40"/>
  <c r="F51" i="40"/>
  <c r="H50" i="40"/>
  <c r="G50" i="40"/>
  <c r="F50" i="40"/>
  <c r="H49" i="40"/>
  <c r="G49" i="40"/>
  <c r="F49" i="40"/>
  <c r="H48" i="40"/>
  <c r="G48" i="40"/>
  <c r="F48" i="40"/>
  <c r="H47" i="40"/>
  <c r="G47" i="40"/>
  <c r="F47" i="40"/>
  <c r="H46" i="40"/>
  <c r="G46" i="40"/>
  <c r="F46" i="40"/>
  <c r="H45" i="40"/>
  <c r="G45" i="40"/>
  <c r="F45" i="40"/>
  <c r="H44" i="40"/>
  <c r="G44" i="40"/>
  <c r="F44" i="40"/>
  <c r="H43" i="40"/>
  <c r="G43" i="40"/>
  <c r="F43" i="40"/>
  <c r="H42" i="40"/>
  <c r="G42" i="40"/>
  <c r="F42" i="40"/>
  <c r="H41" i="40"/>
  <c r="G41" i="40"/>
  <c r="F41" i="40"/>
  <c r="H40" i="40"/>
  <c r="G40" i="40"/>
  <c r="F40" i="40"/>
  <c r="H39" i="40"/>
  <c r="G39" i="40"/>
  <c r="F39" i="40"/>
  <c r="H38" i="40"/>
  <c r="G38" i="40"/>
  <c r="F38" i="40"/>
  <c r="H37" i="40"/>
  <c r="G37" i="40"/>
  <c r="F37" i="40"/>
  <c r="H36" i="40"/>
  <c r="G36" i="40"/>
  <c r="F36" i="40"/>
  <c r="H35" i="40"/>
  <c r="G35" i="40"/>
  <c r="F35" i="40"/>
  <c r="H34" i="40"/>
  <c r="G34" i="40"/>
  <c r="F34" i="40"/>
  <c r="H33" i="40"/>
  <c r="G33" i="40"/>
  <c r="F33" i="40"/>
  <c r="H32" i="40"/>
  <c r="G32" i="40"/>
  <c r="F32" i="40"/>
  <c r="H31" i="40"/>
  <c r="G31" i="40"/>
  <c r="F31" i="40"/>
  <c r="H30" i="40"/>
  <c r="G30" i="40"/>
  <c r="F30" i="40"/>
  <c r="H29" i="40"/>
  <c r="G29" i="40"/>
  <c r="F29" i="40"/>
  <c r="H28" i="40"/>
  <c r="G28" i="40"/>
  <c r="F28" i="40"/>
  <c r="H27" i="40"/>
  <c r="G27" i="40"/>
  <c r="F27" i="40"/>
  <c r="H26" i="40"/>
  <c r="G26" i="40"/>
  <c r="F26" i="40"/>
  <c r="H25" i="40"/>
  <c r="G25" i="40"/>
  <c r="F25" i="40"/>
  <c r="H24" i="40"/>
  <c r="G24" i="40"/>
  <c r="F24" i="40"/>
  <c r="H23" i="40"/>
  <c r="G23" i="40"/>
  <c r="F23" i="40"/>
  <c r="H22" i="40"/>
  <c r="G22" i="40"/>
  <c r="F22" i="40"/>
  <c r="H21" i="40"/>
  <c r="G21" i="40"/>
  <c r="F21" i="40"/>
  <c r="H20" i="40"/>
  <c r="G20" i="40"/>
  <c r="F20" i="40"/>
  <c r="H19" i="40"/>
  <c r="G19" i="40"/>
  <c r="F19" i="40"/>
  <c r="H18" i="40"/>
  <c r="G18" i="40"/>
  <c r="F18" i="40"/>
  <c r="H17" i="40"/>
  <c r="G17" i="40"/>
  <c r="F17" i="40"/>
  <c r="H16" i="40"/>
  <c r="G16" i="40"/>
  <c r="F16" i="40"/>
  <c r="H15" i="40"/>
  <c r="G15" i="40"/>
  <c r="F15" i="40"/>
  <c r="H14" i="40"/>
  <c r="G14" i="40"/>
  <c r="F14" i="40"/>
  <c r="H13" i="40"/>
  <c r="G13" i="40"/>
  <c r="F13" i="40"/>
  <c r="H12" i="40"/>
  <c r="G12" i="40"/>
  <c r="F12" i="40"/>
  <c r="H11" i="40"/>
  <c r="G11" i="40"/>
  <c r="F11" i="40"/>
  <c r="H10" i="40"/>
  <c r="G10" i="40"/>
  <c r="F10" i="40"/>
  <c r="H9" i="40"/>
  <c r="G9" i="40"/>
  <c r="F9" i="40"/>
  <c r="H8" i="40"/>
  <c r="G8" i="40"/>
  <c r="F8" i="40"/>
  <c r="D75" i="7"/>
  <c r="F84" i="25"/>
  <c r="F22" i="25"/>
  <c r="H94" i="40" s="1"/>
  <c r="G66" i="7"/>
  <c r="G76" i="7" s="1"/>
  <c r="E66" i="7"/>
  <c r="F23" i="7"/>
  <c r="E93" i="25"/>
  <c r="C91" i="25"/>
  <c r="C91" i="32" s="1"/>
  <c r="C104" i="25"/>
  <c r="D104" i="25"/>
  <c r="E104" i="25"/>
  <c r="F104" i="25"/>
  <c r="C92" i="25"/>
  <c r="C92" i="32" s="1"/>
  <c r="D92" i="25"/>
  <c r="D92" i="32"/>
  <c r="E92" i="25"/>
  <c r="E92" i="32" s="1"/>
  <c r="F92" i="25"/>
  <c r="F92" i="32"/>
  <c r="C93" i="25"/>
  <c r="C93" i="32" s="1"/>
  <c r="D93" i="25"/>
  <c r="D93" i="32" s="1"/>
  <c r="F93" i="25"/>
  <c r="F93" i="32" s="1"/>
  <c r="C94" i="25"/>
  <c r="C94" i="32" s="1"/>
  <c r="D94" i="25"/>
  <c r="D94" i="32" s="1"/>
  <c r="E94" i="25"/>
  <c r="E94" i="32" s="1"/>
  <c r="F94" i="25"/>
  <c r="F94" i="32" s="1"/>
  <c r="C95" i="25"/>
  <c r="C95" i="32"/>
  <c r="D95" i="25"/>
  <c r="D95" i="32" s="1"/>
  <c r="E95" i="25"/>
  <c r="E95" i="32" s="1"/>
  <c r="F95" i="25"/>
  <c r="F95" i="32" s="1"/>
  <c r="C96" i="25"/>
  <c r="C96" i="32" s="1"/>
  <c r="D96" i="25"/>
  <c r="D96" i="32" s="1"/>
  <c r="E96" i="25"/>
  <c r="E96" i="32"/>
  <c r="F96" i="25"/>
  <c r="F96" i="32" s="1"/>
  <c r="C97" i="25"/>
  <c r="C97" i="32"/>
  <c r="D97" i="25"/>
  <c r="D97" i="32" s="1"/>
  <c r="E97" i="25"/>
  <c r="E97" i="32" s="1"/>
  <c r="F97" i="25"/>
  <c r="F97" i="32" s="1"/>
  <c r="C98" i="25"/>
  <c r="C98" i="32" s="1"/>
  <c r="D98" i="25"/>
  <c r="D98" i="32" s="1"/>
  <c r="E98" i="25"/>
  <c r="E98" i="32" s="1"/>
  <c r="F98" i="25"/>
  <c r="F98" i="32" s="1"/>
  <c r="C99" i="25"/>
  <c r="C99" i="32"/>
  <c r="D99" i="25"/>
  <c r="D99" i="32" s="1"/>
  <c r="E99" i="25"/>
  <c r="E99" i="32" s="1"/>
  <c r="F99" i="25"/>
  <c r="F99" i="32" s="1"/>
  <c r="C100" i="25"/>
  <c r="C100" i="32" s="1"/>
  <c r="D100" i="25"/>
  <c r="D100" i="32" s="1"/>
  <c r="E100" i="25"/>
  <c r="E100" i="32"/>
  <c r="F100" i="25"/>
  <c r="F100" i="32" s="1"/>
  <c r="C101" i="25"/>
  <c r="C101" i="32"/>
  <c r="D101" i="25"/>
  <c r="D101" i="32" s="1"/>
  <c r="E101" i="25"/>
  <c r="E101" i="32" s="1"/>
  <c r="F101" i="25"/>
  <c r="F101" i="32" s="1"/>
  <c r="C102" i="25"/>
  <c r="C102" i="32" s="1"/>
  <c r="D102" i="25"/>
  <c r="D102" i="32" s="1"/>
  <c r="E102" i="25"/>
  <c r="E102" i="32" s="1"/>
  <c r="F102" i="25"/>
  <c r="F102" i="32" s="1"/>
  <c r="C103" i="25"/>
  <c r="C103" i="32"/>
  <c r="D103" i="25"/>
  <c r="D103" i="32" s="1"/>
  <c r="E103" i="25"/>
  <c r="E103" i="32" s="1"/>
  <c r="F103" i="25"/>
  <c r="F103" i="32" s="1"/>
  <c r="D91" i="25"/>
  <c r="E91" i="25"/>
  <c r="E91" i="32" s="1"/>
  <c r="F91" i="25"/>
  <c r="F91" i="32"/>
  <c r="C115" i="20"/>
  <c r="M2" i="11"/>
  <c r="J6" i="5" s="1"/>
  <c r="C137" i="20"/>
  <c r="F48" i="8"/>
  <c r="D12" i="17" s="1"/>
  <c r="H84" i="7"/>
  <c r="G8" i="20" s="1"/>
  <c r="D6" i="30"/>
  <c r="O158" i="20"/>
  <c r="C93" i="20"/>
  <c r="C71" i="20"/>
  <c r="C49" i="20"/>
  <c r="C89" i="32"/>
  <c r="C68" i="32"/>
  <c r="C27" i="32"/>
  <c r="C6" i="32"/>
  <c r="E5" i="21"/>
  <c r="G29" i="32"/>
  <c r="H17" i="32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C9" i="17"/>
  <c r="B9" i="17"/>
  <c r="D18" i="17"/>
  <c r="E18" i="17"/>
  <c r="F18" i="17"/>
  <c r="G18" i="17"/>
  <c r="H18" i="17"/>
  <c r="I18" i="17"/>
  <c r="J18" i="17"/>
  <c r="K18" i="17"/>
  <c r="L18" i="17"/>
  <c r="M18" i="17"/>
  <c r="D19" i="17"/>
  <c r="E19" i="17"/>
  <c r="F19" i="17"/>
  <c r="G19" i="17"/>
  <c r="H19" i="17"/>
  <c r="I19" i="17"/>
  <c r="J19" i="17"/>
  <c r="K19" i="17"/>
  <c r="L19" i="17"/>
  <c r="M19" i="17"/>
  <c r="D21" i="17"/>
  <c r="E21" i="17"/>
  <c r="F21" i="17"/>
  <c r="G21" i="17"/>
  <c r="H21" i="17"/>
  <c r="I21" i="17"/>
  <c r="J21" i="17"/>
  <c r="K21" i="17"/>
  <c r="L21" i="17"/>
  <c r="M21" i="17"/>
  <c r="D22" i="17"/>
  <c r="E22" i="17"/>
  <c r="F22" i="17"/>
  <c r="G22" i="17"/>
  <c r="H22" i="17"/>
  <c r="I22" i="17"/>
  <c r="J22" i="17"/>
  <c r="K22" i="17"/>
  <c r="L22" i="17"/>
  <c r="M22" i="17"/>
  <c r="G18" i="20"/>
  <c r="G17" i="20"/>
  <c r="G60" i="20" s="1"/>
  <c r="A2" i="40"/>
  <c r="O45" i="8"/>
  <c r="M9" i="17" s="1"/>
  <c r="O46" i="8"/>
  <c r="M10" i="17"/>
  <c r="O47" i="8"/>
  <c r="M11" i="17" s="1"/>
  <c r="O48" i="8"/>
  <c r="M12" i="17"/>
  <c r="O49" i="8"/>
  <c r="M13" i="17" s="1"/>
  <c r="O50" i="8"/>
  <c r="M14" i="17" s="1"/>
  <c r="O51" i="8"/>
  <c r="M15" i="17" s="1"/>
  <c r="O52" i="8"/>
  <c r="M16" i="17" s="1"/>
  <c r="O53" i="8"/>
  <c r="M17" i="17" s="1"/>
  <c r="O56" i="8"/>
  <c r="M20" i="17"/>
  <c r="H97" i="7"/>
  <c r="G21" i="20"/>
  <c r="H21" i="20" s="1"/>
  <c r="H96" i="7"/>
  <c r="G20" i="20" s="1"/>
  <c r="H95" i="7"/>
  <c r="G19" i="20"/>
  <c r="S43" i="20" s="1"/>
  <c r="I41" i="21" s="1"/>
  <c r="H85" i="7"/>
  <c r="H86" i="7"/>
  <c r="G10" i="20" s="1"/>
  <c r="H87" i="7"/>
  <c r="G11" i="20"/>
  <c r="H11" i="20" s="1"/>
  <c r="I11" i="20" s="1"/>
  <c r="J11" i="20" s="1"/>
  <c r="H88" i="7"/>
  <c r="G12" i="20" s="1"/>
  <c r="H89" i="7"/>
  <c r="G13" i="20"/>
  <c r="H90" i="7"/>
  <c r="G14" i="20" s="1"/>
  <c r="H14" i="20" s="1"/>
  <c r="I14" i="20" s="1"/>
  <c r="J14" i="20" s="1"/>
  <c r="K14" i="20" s="1"/>
  <c r="L14" i="20" s="1"/>
  <c r="M14" i="20" s="1"/>
  <c r="H91" i="7"/>
  <c r="G15" i="20" s="1"/>
  <c r="H15" i="20" s="1"/>
  <c r="I15" i="20" s="1"/>
  <c r="J15" i="20" s="1"/>
  <c r="K15" i="20" s="1"/>
  <c r="L15" i="20" s="1"/>
  <c r="M15" i="20" s="1"/>
  <c r="H92" i="7"/>
  <c r="G16" i="20" s="1"/>
  <c r="G51" i="8"/>
  <c r="E15" i="17"/>
  <c r="F45" i="8"/>
  <c r="D9" i="17" s="1"/>
  <c r="G53" i="8"/>
  <c r="E17" i="17" s="1"/>
  <c r="H53" i="8"/>
  <c r="F17" i="17" s="1"/>
  <c r="I53" i="8"/>
  <c r="J53" i="8"/>
  <c r="H17" i="17" s="1"/>
  <c r="K53" i="8"/>
  <c r="I17" i="17"/>
  <c r="L53" i="8"/>
  <c r="J17" i="17" s="1"/>
  <c r="M53" i="8"/>
  <c r="K17" i="17"/>
  <c r="N53" i="8"/>
  <c r="L17" i="17" s="1"/>
  <c r="G52" i="8"/>
  <c r="E16" i="17"/>
  <c r="H52" i="8"/>
  <c r="F16" i="17" s="1"/>
  <c r="I52" i="8"/>
  <c r="G16" i="17"/>
  <c r="J52" i="8"/>
  <c r="H16" i="17" s="1"/>
  <c r="K52" i="8"/>
  <c r="I16" i="17"/>
  <c r="L52" i="8"/>
  <c r="J16" i="17" s="1"/>
  <c r="M52" i="8"/>
  <c r="K16" i="17"/>
  <c r="N52" i="8"/>
  <c r="L16" i="17" s="1"/>
  <c r="H51" i="8"/>
  <c r="F15" i="17"/>
  <c r="I51" i="8"/>
  <c r="G15" i="17" s="1"/>
  <c r="J51" i="8"/>
  <c r="H15" i="17"/>
  <c r="K51" i="8"/>
  <c r="I15" i="17" s="1"/>
  <c r="L51" i="8"/>
  <c r="J15" i="17"/>
  <c r="M51" i="8"/>
  <c r="K15" i="17" s="1"/>
  <c r="N51" i="8"/>
  <c r="L15" i="17"/>
  <c r="G50" i="8"/>
  <c r="E14" i="17" s="1"/>
  <c r="H50" i="8"/>
  <c r="F14" i="17"/>
  <c r="I50" i="8"/>
  <c r="G14" i="17" s="1"/>
  <c r="J50" i="8"/>
  <c r="H14" i="17"/>
  <c r="K50" i="8"/>
  <c r="I14" i="17" s="1"/>
  <c r="L50" i="8"/>
  <c r="J14" i="17"/>
  <c r="M50" i="8"/>
  <c r="K14" i="17" s="1"/>
  <c r="N50" i="8"/>
  <c r="L14" i="17"/>
  <c r="G49" i="8"/>
  <c r="E13" i="17" s="1"/>
  <c r="H49" i="8"/>
  <c r="F13" i="17"/>
  <c r="I49" i="8"/>
  <c r="G13" i="17" s="1"/>
  <c r="J49" i="8"/>
  <c r="H13" i="17"/>
  <c r="K49" i="8"/>
  <c r="I13" i="17" s="1"/>
  <c r="L49" i="8"/>
  <c r="J13" i="17"/>
  <c r="M49" i="8"/>
  <c r="K13" i="17" s="1"/>
  <c r="N49" i="8"/>
  <c r="L13" i="17"/>
  <c r="G48" i="8"/>
  <c r="E12" i="17" s="1"/>
  <c r="H48" i="8"/>
  <c r="F12" i="17"/>
  <c r="I48" i="8"/>
  <c r="G12" i="17" s="1"/>
  <c r="J48" i="8"/>
  <c r="H12" i="17"/>
  <c r="K48" i="8"/>
  <c r="I12" i="17" s="1"/>
  <c r="L48" i="8"/>
  <c r="J12" i="17" s="1"/>
  <c r="M48" i="8"/>
  <c r="K12" i="17" s="1"/>
  <c r="N48" i="8"/>
  <c r="L12" i="17" s="1"/>
  <c r="G47" i="8"/>
  <c r="E11" i="17"/>
  <c r="H47" i="8"/>
  <c r="F11" i="17" s="1"/>
  <c r="I47" i="8"/>
  <c r="G11" i="17" s="1"/>
  <c r="J47" i="8"/>
  <c r="H11" i="17" s="1"/>
  <c r="K47" i="8"/>
  <c r="I11" i="17" s="1"/>
  <c r="L47" i="8"/>
  <c r="J11" i="17" s="1"/>
  <c r="M47" i="8"/>
  <c r="K11" i="17"/>
  <c r="N47" i="8"/>
  <c r="L11" i="17" s="1"/>
  <c r="G46" i="8"/>
  <c r="E10" i="17"/>
  <c r="H46" i="8"/>
  <c r="F10" i="17" s="1"/>
  <c r="I46" i="8"/>
  <c r="J46" i="8"/>
  <c r="K46" i="8"/>
  <c r="I10" i="17"/>
  <c r="L46" i="8"/>
  <c r="J10" i="17" s="1"/>
  <c r="M46" i="8"/>
  <c r="K10" i="17"/>
  <c r="N46" i="8"/>
  <c r="L10" i="17" s="1"/>
  <c r="G45" i="8"/>
  <c r="E9" i="17" s="1"/>
  <c r="H45" i="8"/>
  <c r="F9" i="17" s="1"/>
  <c r="I45" i="8"/>
  <c r="J45" i="8"/>
  <c r="H9" i="17" s="1"/>
  <c r="K45" i="8"/>
  <c r="I9" i="17" s="1"/>
  <c r="L45" i="8"/>
  <c r="J9" i="17" s="1"/>
  <c r="M45" i="8"/>
  <c r="K9" i="17"/>
  <c r="N45" i="8"/>
  <c r="G10" i="17"/>
  <c r="J19" i="7"/>
  <c r="J18" i="7"/>
  <c r="G131" i="7"/>
  <c r="F131" i="7"/>
  <c r="E131" i="7"/>
  <c r="D131" i="7"/>
  <c r="D99" i="7" s="1"/>
  <c r="G75" i="7"/>
  <c r="F75" i="7"/>
  <c r="E75" i="7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8" i="30"/>
  <c r="F53" i="8"/>
  <c r="D17" i="17" s="1"/>
  <c r="G56" i="8"/>
  <c r="E20" i="17" s="1"/>
  <c r="H56" i="8"/>
  <c r="F20" i="17" s="1"/>
  <c r="I56" i="8"/>
  <c r="G20" i="17" s="1"/>
  <c r="J56" i="8"/>
  <c r="H20" i="17"/>
  <c r="K56" i="8"/>
  <c r="I20" i="17" s="1"/>
  <c r="L56" i="8"/>
  <c r="J20" i="17" s="1"/>
  <c r="M56" i="8"/>
  <c r="K20" i="17" s="1"/>
  <c r="N56" i="8"/>
  <c r="L20" i="17" s="1"/>
  <c r="F56" i="8"/>
  <c r="D20" i="17" s="1"/>
  <c r="F52" i="8"/>
  <c r="D16" i="17" s="1"/>
  <c r="C52" i="8"/>
  <c r="F50" i="8"/>
  <c r="D14" i="17" s="1"/>
  <c r="F47" i="8"/>
  <c r="D11" i="17" s="1"/>
  <c r="F122" i="7"/>
  <c r="F99" i="7" s="1"/>
  <c r="G122" i="7"/>
  <c r="G99" i="7"/>
  <c r="E122" i="7"/>
  <c r="E99" i="7" s="1"/>
  <c r="D122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84" i="7"/>
  <c r="D66" i="7"/>
  <c r="F66" i="7"/>
  <c r="F76" i="7" s="1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29" i="7"/>
  <c r="R39" i="15"/>
  <c r="S39" i="15"/>
  <c r="F17" i="20"/>
  <c r="F18" i="20"/>
  <c r="E9" i="20"/>
  <c r="E10" i="20"/>
  <c r="Q29" i="20" s="1"/>
  <c r="E11" i="20"/>
  <c r="E12" i="20"/>
  <c r="E13" i="20"/>
  <c r="E14" i="20"/>
  <c r="E15" i="20"/>
  <c r="E16" i="20"/>
  <c r="E17" i="20"/>
  <c r="E18" i="20"/>
  <c r="E19" i="20"/>
  <c r="Q43" i="20" s="1"/>
  <c r="G41" i="21" s="1"/>
  <c r="E20" i="20"/>
  <c r="E21" i="20"/>
  <c r="E8" i="20"/>
  <c r="B46" i="8"/>
  <c r="B47" i="8"/>
  <c r="B48" i="8"/>
  <c r="B49" i="8"/>
  <c r="B50" i="8"/>
  <c r="B51" i="8"/>
  <c r="B52" i="8"/>
  <c r="B53" i="8"/>
  <c r="B54" i="8"/>
  <c r="B55" i="8"/>
  <c r="B56" i="8"/>
  <c r="B57" i="8"/>
  <c r="B45" i="8"/>
  <c r="C9" i="20"/>
  <c r="D9" i="20"/>
  <c r="P42" i="20" s="1"/>
  <c r="F40" i="21" s="1"/>
  <c r="C10" i="20"/>
  <c r="D10" i="20"/>
  <c r="C11" i="20"/>
  <c r="D11" i="20"/>
  <c r="C12" i="20"/>
  <c r="D12" i="20"/>
  <c r="C13" i="20"/>
  <c r="D13" i="20"/>
  <c r="C14" i="20"/>
  <c r="D14" i="20"/>
  <c r="C15" i="20"/>
  <c r="D15" i="20"/>
  <c r="C16" i="20"/>
  <c r="D16" i="20"/>
  <c r="C17" i="20"/>
  <c r="D17" i="20"/>
  <c r="C18" i="20"/>
  <c r="D18" i="20"/>
  <c r="C19" i="20"/>
  <c r="O43" i="20" s="1"/>
  <c r="E41" i="21" s="1"/>
  <c r="D19" i="20"/>
  <c r="P43" i="20" s="1"/>
  <c r="F41" i="21" s="1"/>
  <c r="C20" i="20"/>
  <c r="D20" i="20"/>
  <c r="C21" i="20"/>
  <c r="D21" i="20"/>
  <c r="C8" i="20"/>
  <c r="D8" i="20"/>
  <c r="J10" i="7"/>
  <c r="J11" i="7"/>
  <c r="J12" i="7"/>
  <c r="E76" i="20" s="1"/>
  <c r="J13" i="7"/>
  <c r="J14" i="7"/>
  <c r="J15" i="7"/>
  <c r="J16" i="7"/>
  <c r="J17" i="7"/>
  <c r="D81" i="20" s="1"/>
  <c r="J20" i="7"/>
  <c r="J21" i="7"/>
  <c r="J22" i="7"/>
  <c r="J9" i="7"/>
  <c r="C49" i="8"/>
  <c r="F49" i="8"/>
  <c r="D13" i="17" s="1"/>
  <c r="C45" i="8"/>
  <c r="F46" i="8"/>
  <c r="D10" i="17" s="1"/>
  <c r="C46" i="8"/>
  <c r="C51" i="8"/>
  <c r="F51" i="8"/>
  <c r="D15" i="17" s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E84" i="25"/>
  <c r="D84" i="25"/>
  <c r="C84" i="25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C51" i="32"/>
  <c r="D51" i="32"/>
  <c r="K51" i="32" s="1"/>
  <c r="K71" i="32" s="1"/>
  <c r="E51" i="32"/>
  <c r="F51" i="32"/>
  <c r="C52" i="32"/>
  <c r="D52" i="32"/>
  <c r="E52" i="32"/>
  <c r="F52" i="32"/>
  <c r="C53" i="32"/>
  <c r="D53" i="32"/>
  <c r="E53" i="32"/>
  <c r="F53" i="32"/>
  <c r="C54" i="32"/>
  <c r="D54" i="32"/>
  <c r="E54" i="32"/>
  <c r="F54" i="32"/>
  <c r="C55" i="32"/>
  <c r="D55" i="32"/>
  <c r="E55" i="32"/>
  <c r="F55" i="32"/>
  <c r="C56" i="32"/>
  <c r="D56" i="32"/>
  <c r="E56" i="32"/>
  <c r="F56" i="32"/>
  <c r="C57" i="32"/>
  <c r="D57" i="32"/>
  <c r="J57" i="32" s="1"/>
  <c r="J77" i="32" s="1"/>
  <c r="E57" i="32"/>
  <c r="F57" i="32"/>
  <c r="C58" i="32"/>
  <c r="D58" i="32"/>
  <c r="E58" i="32"/>
  <c r="F58" i="32"/>
  <c r="C59" i="32"/>
  <c r="D59" i="32"/>
  <c r="M59" i="32" s="1"/>
  <c r="E59" i="32"/>
  <c r="F59" i="32"/>
  <c r="C60" i="32"/>
  <c r="D60" i="32"/>
  <c r="E60" i="32"/>
  <c r="F60" i="32"/>
  <c r="C61" i="32"/>
  <c r="D61" i="32"/>
  <c r="E61" i="32"/>
  <c r="F61" i="32"/>
  <c r="C62" i="32"/>
  <c r="D62" i="32"/>
  <c r="E62" i="32"/>
  <c r="F62" i="32"/>
  <c r="F50" i="32"/>
  <c r="C50" i="32"/>
  <c r="D50" i="32"/>
  <c r="E50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29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8" i="32"/>
  <c r="A2" i="32"/>
  <c r="I60" i="32"/>
  <c r="K60" i="32"/>
  <c r="I57" i="32"/>
  <c r="I77" i="32" s="1"/>
  <c r="J56" i="32"/>
  <c r="J76" i="32" s="1"/>
  <c r="K53" i="32"/>
  <c r="K73" i="32" s="1"/>
  <c r="L51" i="32"/>
  <c r="L71" i="32" s="1"/>
  <c r="G62" i="32"/>
  <c r="K62" i="32"/>
  <c r="K82" i="32" s="1"/>
  <c r="M62" i="32"/>
  <c r="M82" i="32" s="1"/>
  <c r="J62" i="32"/>
  <c r="J82" i="32" s="1"/>
  <c r="H62" i="32"/>
  <c r="L62" i="32"/>
  <c r="L82" i="32" s="1"/>
  <c r="I62" i="32"/>
  <c r="I82" i="32" s="1"/>
  <c r="L21" i="32"/>
  <c r="N94" i="40" s="1"/>
  <c r="K21" i="32"/>
  <c r="M94" i="40" s="1"/>
  <c r="I21" i="32"/>
  <c r="K94" i="40" s="1"/>
  <c r="I42" i="32"/>
  <c r="M21" i="32"/>
  <c r="O94" i="40" s="1"/>
  <c r="K42" i="32"/>
  <c r="J42" i="32"/>
  <c r="M42" i="32"/>
  <c r="L42" i="32"/>
  <c r="J21" i="32"/>
  <c r="L94" i="40" s="1"/>
  <c r="B10" i="11"/>
  <c r="P31" i="20"/>
  <c r="O37" i="20"/>
  <c r="E35" i="21" s="1"/>
  <c r="P33" i="20"/>
  <c r="F31" i="21" s="1"/>
  <c r="P34" i="20"/>
  <c r="F32" i="21" s="1"/>
  <c r="P30" i="20"/>
  <c r="F28" i="21" s="1"/>
  <c r="P35" i="20"/>
  <c r="F33" i="21" s="1"/>
  <c r="R27" i="15"/>
  <c r="S27" i="15"/>
  <c r="R28" i="15"/>
  <c r="S28" i="15" s="1"/>
  <c r="R29" i="15"/>
  <c r="S29" i="15"/>
  <c r="R30" i="15"/>
  <c r="S30" i="15" s="1"/>
  <c r="R31" i="15"/>
  <c r="S31" i="15"/>
  <c r="R32" i="15"/>
  <c r="S32" i="15" s="1"/>
  <c r="R33" i="15"/>
  <c r="S33" i="15" s="1"/>
  <c r="R34" i="15"/>
  <c r="S34" i="15" s="1"/>
  <c r="R35" i="15"/>
  <c r="S35" i="15"/>
  <c r="R36" i="15"/>
  <c r="S36" i="15" s="1"/>
  <c r="R37" i="15"/>
  <c r="S37" i="15"/>
  <c r="R38" i="15"/>
  <c r="S38" i="15" s="1"/>
  <c r="R26" i="15"/>
  <c r="S26" i="15"/>
  <c r="F29" i="2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8" i="30"/>
  <c r="A2" i="30"/>
  <c r="C22" i="20"/>
  <c r="D22" i="20"/>
  <c r="F43" i="25"/>
  <c r="E43" i="25"/>
  <c r="D43" i="25"/>
  <c r="C43" i="25"/>
  <c r="E22" i="25"/>
  <c r="D22" i="25"/>
  <c r="C22" i="25"/>
  <c r="F94" i="40"/>
  <c r="G94" i="40"/>
  <c r="D27" i="7"/>
  <c r="F98" i="7"/>
  <c r="E98" i="7"/>
  <c r="D98" i="7"/>
  <c r="D23" i="7"/>
  <c r="E23" i="7"/>
  <c r="G23" i="7"/>
  <c r="D76" i="7"/>
  <c r="B85" i="7"/>
  <c r="B9" i="20" s="1"/>
  <c r="B52" i="20" s="1"/>
  <c r="B74" i="20" s="1"/>
  <c r="B96" i="20" s="1"/>
  <c r="B86" i="7"/>
  <c r="B10" i="20" s="1"/>
  <c r="B87" i="7"/>
  <c r="B11" i="20" s="1"/>
  <c r="B54" i="20" s="1"/>
  <c r="B76" i="20" s="1"/>
  <c r="B98" i="20" s="1"/>
  <c r="B88" i="7"/>
  <c r="B12" i="20" s="1"/>
  <c r="B89" i="7"/>
  <c r="B90" i="7"/>
  <c r="B91" i="7"/>
  <c r="B15" i="20" s="1"/>
  <c r="B58" i="20" s="1"/>
  <c r="B80" i="20" s="1"/>
  <c r="B102" i="20" s="1"/>
  <c r="B92" i="7"/>
  <c r="B93" i="7"/>
  <c r="B94" i="7"/>
  <c r="B18" i="20" s="1"/>
  <c r="B61" i="20" s="1"/>
  <c r="B83" i="20" s="1"/>
  <c r="B105" i="20" s="1"/>
  <c r="B95" i="7"/>
  <c r="B19" i="20" s="1"/>
  <c r="B62" i="20" s="1"/>
  <c r="B84" i="20" s="1"/>
  <c r="B106" i="20" s="1"/>
  <c r="B96" i="7"/>
  <c r="B97" i="7"/>
  <c r="B21" i="20" s="1"/>
  <c r="B64" i="20" s="1"/>
  <c r="B86" i="20" s="1"/>
  <c r="B84" i="7"/>
  <c r="B20" i="20"/>
  <c r="B63" i="20" s="1"/>
  <c r="B85" i="20" s="1"/>
  <c r="B107" i="20" s="1"/>
  <c r="B16" i="20"/>
  <c r="B59" i="20"/>
  <c r="B81" i="20" s="1"/>
  <c r="B103" i="20" s="1"/>
  <c r="B55" i="20"/>
  <c r="B77" i="20" s="1"/>
  <c r="B99" i="20" s="1"/>
  <c r="B143" i="20" s="1"/>
  <c r="B8" i="20"/>
  <c r="B51" i="20" s="1"/>
  <c r="B73" i="20" s="1"/>
  <c r="B95" i="20" s="1"/>
  <c r="B139" i="20" s="1"/>
  <c r="B14" i="20"/>
  <c r="B57" i="20" s="1"/>
  <c r="B79" i="20"/>
  <c r="B101" i="20" s="1"/>
  <c r="B53" i="20"/>
  <c r="B75" i="20" s="1"/>
  <c r="B97" i="20" s="1"/>
  <c r="B17" i="20"/>
  <c r="B60" i="20"/>
  <c r="B82" i="20" s="1"/>
  <c r="B104" i="20" s="1"/>
  <c r="B126" i="20" s="1"/>
  <c r="B13" i="20"/>
  <c r="B56" i="20" s="1"/>
  <c r="B78" i="20" s="1"/>
  <c r="B100" i="20" s="1"/>
  <c r="B108" i="20"/>
  <c r="B147" i="20"/>
  <c r="B125" i="20"/>
  <c r="B117" i="20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29" i="7"/>
  <c r="D8" i="11"/>
  <c r="E8" i="11" s="1"/>
  <c r="A2" i="25"/>
  <c r="B157" i="20"/>
  <c r="H18" i="20"/>
  <c r="H13" i="20"/>
  <c r="I13" i="20" s="1"/>
  <c r="J13" i="20" s="1"/>
  <c r="K13" i="20" s="1"/>
  <c r="L13" i="20" s="1"/>
  <c r="M13" i="20" s="1"/>
  <c r="H10" i="20"/>
  <c r="H19" i="20"/>
  <c r="H20" i="20"/>
  <c r="I20" i="20" s="1"/>
  <c r="J20" i="20" s="1"/>
  <c r="K20" i="20" s="1"/>
  <c r="L20" i="20" s="1"/>
  <c r="M20" i="20" s="1"/>
  <c r="H16" i="20"/>
  <c r="H12" i="20"/>
  <c r="I12" i="20" s="1"/>
  <c r="J12" i="20" s="1"/>
  <c r="K12" i="20" s="1"/>
  <c r="L12" i="20" s="1"/>
  <c r="M12" i="20" s="1"/>
  <c r="A2" i="21"/>
  <c r="A2" i="20"/>
  <c r="A2" i="17"/>
  <c r="A2" i="15"/>
  <c r="A2" i="12"/>
  <c r="A2" i="11"/>
  <c r="A2" i="8"/>
  <c r="A2" i="7"/>
  <c r="A2" i="5"/>
  <c r="F21" i="20"/>
  <c r="F104" i="32"/>
  <c r="D38" i="7"/>
  <c r="C82" i="20" s="1"/>
  <c r="D39" i="7"/>
  <c r="D42" i="7"/>
  <c r="C64" i="20" s="1"/>
  <c r="E42" i="7"/>
  <c r="D64" i="20" s="1"/>
  <c r="E38" i="7"/>
  <c r="D82" i="20" s="1"/>
  <c r="F38" i="7"/>
  <c r="E60" i="20" s="1"/>
  <c r="E39" i="7"/>
  <c r="F39" i="7"/>
  <c r="E61" i="20" s="1"/>
  <c r="F42" i="7"/>
  <c r="E64" i="20" s="1"/>
  <c r="G38" i="7"/>
  <c r="G39" i="7"/>
  <c r="G42" i="7"/>
  <c r="F64" i="20" s="1"/>
  <c r="H37" i="7"/>
  <c r="H34" i="7"/>
  <c r="C85" i="20"/>
  <c r="C63" i="20"/>
  <c r="E86" i="20"/>
  <c r="D60" i="20"/>
  <c r="D104" i="20" s="1"/>
  <c r="D126" i="20" s="1"/>
  <c r="F63" i="20"/>
  <c r="F58" i="20"/>
  <c r="F80" i="20"/>
  <c r="F78" i="20"/>
  <c r="F56" i="20"/>
  <c r="F54" i="20"/>
  <c r="F76" i="20"/>
  <c r="E62" i="20"/>
  <c r="E84" i="20"/>
  <c r="D59" i="20"/>
  <c r="C80" i="20"/>
  <c r="C58" i="20"/>
  <c r="C102" i="20" s="1"/>
  <c r="C124" i="20" s="1"/>
  <c r="C146" i="20" s="1"/>
  <c r="C77" i="20"/>
  <c r="C55" i="20"/>
  <c r="E75" i="20"/>
  <c r="E53" i="20"/>
  <c r="C51" i="20"/>
  <c r="F57" i="20"/>
  <c r="F55" i="20"/>
  <c r="F77" i="20"/>
  <c r="D63" i="20"/>
  <c r="C62" i="20"/>
  <c r="C84" i="20"/>
  <c r="E80" i="20"/>
  <c r="E58" i="20"/>
  <c r="C57" i="20"/>
  <c r="C79" i="20"/>
  <c r="D76" i="20"/>
  <c r="C53" i="20"/>
  <c r="C75" i="20"/>
  <c r="E51" i="20"/>
  <c r="F19" i="20"/>
  <c r="R43" i="20" s="1"/>
  <c r="H41" i="21" s="1"/>
  <c r="F62" i="20"/>
  <c r="F84" i="20"/>
  <c r="E59" i="20"/>
  <c r="E81" i="20"/>
  <c r="E78" i="20"/>
  <c r="E56" i="20"/>
  <c r="E100" i="20" s="1"/>
  <c r="E122" i="20" s="1"/>
  <c r="E144" i="20" s="1"/>
  <c r="D77" i="20"/>
  <c r="D55" i="20"/>
  <c r="C54" i="20"/>
  <c r="C76" i="20"/>
  <c r="C98" i="20" s="1"/>
  <c r="C120" i="20" s="1"/>
  <c r="C142" i="20" s="1"/>
  <c r="E74" i="20"/>
  <c r="E52" i="20"/>
  <c r="D51" i="20"/>
  <c r="F86" i="20"/>
  <c r="F9" i="20"/>
  <c r="F74" i="20"/>
  <c r="F52" i="20"/>
  <c r="E63" i="20"/>
  <c r="C59" i="20"/>
  <c r="D57" i="20"/>
  <c r="D79" i="20"/>
  <c r="D101" i="20" s="1"/>
  <c r="D123" i="20" s="1"/>
  <c r="C78" i="20"/>
  <c r="C56" i="20"/>
  <c r="E54" i="20"/>
  <c r="C52" i="20"/>
  <c r="C74" i="20"/>
  <c r="F10" i="20"/>
  <c r="F16" i="20"/>
  <c r="F20" i="20"/>
  <c r="F8" i="20"/>
  <c r="R39" i="20" s="1"/>
  <c r="H37" i="21" s="1"/>
  <c r="F12" i="20"/>
  <c r="F14" i="20"/>
  <c r="F15" i="20"/>
  <c r="F13" i="20"/>
  <c r="C97" i="20"/>
  <c r="C119" i="20" s="1"/>
  <c r="F11" i="20"/>
  <c r="G98" i="7"/>
  <c r="G61" i="20"/>
  <c r="R29" i="20"/>
  <c r="H27" i="21"/>
  <c r="C73" i="20" l="1"/>
  <c r="E73" i="20"/>
  <c r="E95" i="20" s="1"/>
  <c r="E117" i="20" s="1"/>
  <c r="E139" i="20" s="1"/>
  <c r="H64" i="20"/>
  <c r="I21" i="20"/>
  <c r="I64" i="20" s="1"/>
  <c r="M50" i="32"/>
  <c r="M70" i="32" s="1"/>
  <c r="K50" i="32"/>
  <c r="K70" i="32" s="1"/>
  <c r="B119" i="20"/>
  <c r="B141" i="20"/>
  <c r="D61" i="20"/>
  <c r="D105" i="20" s="1"/>
  <c r="D127" i="20" s="1"/>
  <c r="D149" i="20" s="1"/>
  <c r="D83" i="20"/>
  <c r="I18" i="20"/>
  <c r="H61" i="20"/>
  <c r="L50" i="32"/>
  <c r="L70" i="32" s="1"/>
  <c r="I19" i="20"/>
  <c r="T43" i="20"/>
  <c r="J41" i="21" s="1"/>
  <c r="B130" i="20"/>
  <c r="B152" i="20"/>
  <c r="F22" i="20"/>
  <c r="R41" i="20"/>
  <c r="H39" i="21" s="1"/>
  <c r="R35" i="20"/>
  <c r="H33" i="21" s="1"/>
  <c r="R38" i="20"/>
  <c r="H36" i="21" s="1"/>
  <c r="R33" i="20"/>
  <c r="H31" i="21" s="1"/>
  <c r="R32" i="20"/>
  <c r="H30" i="21" s="1"/>
  <c r="R36" i="20"/>
  <c r="H34" i="21" s="1"/>
  <c r="C81" i="20"/>
  <c r="K11" i="20"/>
  <c r="L11" i="20" s="1"/>
  <c r="M11" i="20" s="1"/>
  <c r="H17" i="20"/>
  <c r="E55" i="20"/>
  <c r="R42" i="20"/>
  <c r="H40" i="21" s="1"/>
  <c r="C60" i="20"/>
  <c r="C104" i="20" s="1"/>
  <c r="C126" i="20" s="1"/>
  <c r="C148" i="20" s="1"/>
  <c r="E96" i="20"/>
  <c r="E118" i="20" s="1"/>
  <c r="E140" i="20" s="1"/>
  <c r="D80" i="20"/>
  <c r="D54" i="20"/>
  <c r="C101" i="20"/>
  <c r="C123" i="20" s="1"/>
  <c r="C145" i="20" s="1"/>
  <c r="F81" i="20"/>
  <c r="F103" i="20" s="1"/>
  <c r="F125" i="20" s="1"/>
  <c r="F147" i="20" s="1"/>
  <c r="D56" i="20"/>
  <c r="D100" i="20" s="1"/>
  <c r="D122" i="20" s="1"/>
  <c r="D144" i="20" s="1"/>
  <c r="H33" i="7"/>
  <c r="F51" i="20"/>
  <c r="B148" i="20"/>
  <c r="D2" i="15"/>
  <c r="D14" i="5" s="1"/>
  <c r="P36" i="20"/>
  <c r="F34" i="21" s="1"/>
  <c r="I54" i="32"/>
  <c r="I74" i="32" s="1"/>
  <c r="I95" i="32" s="1"/>
  <c r="K54" i="32"/>
  <c r="K74" i="32" s="1"/>
  <c r="E100" i="7"/>
  <c r="G9" i="17"/>
  <c r="G17" i="17"/>
  <c r="C141" i="20"/>
  <c r="C96" i="20"/>
  <c r="C118" i="20" s="1"/>
  <c r="C140" i="20" s="1"/>
  <c r="D145" i="20"/>
  <c r="D62" i="20"/>
  <c r="F79" i="20"/>
  <c r="F101" i="20" s="1"/>
  <c r="F123" i="20" s="1"/>
  <c r="F145" i="20" s="1"/>
  <c r="C99" i="20"/>
  <c r="C121" i="20" s="1"/>
  <c r="C143" i="20" s="1"/>
  <c r="E106" i="20"/>
  <c r="F100" i="20"/>
  <c r="F122" i="20" s="1"/>
  <c r="F144" i="20" s="1"/>
  <c r="D148" i="20"/>
  <c r="H36" i="7"/>
  <c r="E93" i="32"/>
  <c r="E105" i="25"/>
  <c r="G93" i="40" s="1"/>
  <c r="H19" i="32"/>
  <c r="H15" i="32"/>
  <c r="E57" i="20"/>
  <c r="E79" i="20"/>
  <c r="E101" i="20" s="1"/>
  <c r="E123" i="20" s="1"/>
  <c r="E145" i="20" s="1"/>
  <c r="H34" i="32"/>
  <c r="G13" i="32"/>
  <c r="H30" i="32"/>
  <c r="D21" i="32"/>
  <c r="D91" i="32"/>
  <c r="D105" i="25"/>
  <c r="F93" i="40" s="1"/>
  <c r="G100" i="7"/>
  <c r="I10" i="20"/>
  <c r="J10" i="20" s="1"/>
  <c r="K10" i="20" s="1"/>
  <c r="L10" i="20" s="1"/>
  <c r="M10" i="20" s="1"/>
  <c r="D84" i="20"/>
  <c r="F73" i="20"/>
  <c r="F95" i="20" s="1"/>
  <c r="F117" i="20" s="1"/>
  <c r="F139" i="20" s="1"/>
  <c r="E82" i="20"/>
  <c r="E104" i="20" s="1"/>
  <c r="E126" i="20" s="1"/>
  <c r="E148" i="20" s="1"/>
  <c r="E102" i="20"/>
  <c r="E124" i="20" s="1"/>
  <c r="E146" i="20" s="1"/>
  <c r="G64" i="20"/>
  <c r="I16" i="20"/>
  <c r="J16" i="20" s="1"/>
  <c r="K16" i="20" s="1"/>
  <c r="L16" i="20" s="1"/>
  <c r="M16" i="20" s="1"/>
  <c r="C105" i="25"/>
  <c r="G50" i="32"/>
  <c r="P37" i="20"/>
  <c r="F35" i="21" s="1"/>
  <c r="P32" i="20"/>
  <c r="F30" i="21" s="1"/>
  <c r="P39" i="20"/>
  <c r="F37" i="21" s="1"/>
  <c r="E22" i="20"/>
  <c r="Q37" i="20"/>
  <c r="G35" i="21" s="1"/>
  <c r="F105" i="25"/>
  <c r="H93" i="40" s="1"/>
  <c r="J50" i="32"/>
  <c r="J70" i="32" s="1"/>
  <c r="E104" i="32"/>
  <c r="H22" i="21"/>
  <c r="H23" i="21" s="1"/>
  <c r="B128" i="20"/>
  <c r="B150" i="20"/>
  <c r="B124" i="20"/>
  <c r="J67" i="40"/>
  <c r="I76" i="40"/>
  <c r="J86" i="40"/>
  <c r="M90" i="40"/>
  <c r="J50" i="40"/>
  <c r="I30" i="40"/>
  <c r="I40" i="40"/>
  <c r="J30" i="40"/>
  <c r="B146" i="20"/>
  <c r="J19" i="20"/>
  <c r="U43" i="20"/>
  <c r="K41" i="21" s="1"/>
  <c r="J18" i="20"/>
  <c r="I61" i="20"/>
  <c r="F60" i="20"/>
  <c r="F82" i="20"/>
  <c r="F104" i="20" s="1"/>
  <c r="F126" i="20" s="1"/>
  <c r="F148" i="20" s="1"/>
  <c r="H39" i="7"/>
  <c r="C61" i="20"/>
  <c r="C65" i="20" s="1"/>
  <c r="D43" i="7"/>
  <c r="B144" i="20"/>
  <c r="B122" i="20"/>
  <c r="B151" i="20"/>
  <c r="B129" i="20"/>
  <c r="B142" i="20"/>
  <c r="B120" i="20"/>
  <c r="R34" i="20"/>
  <c r="H32" i="21" s="1"/>
  <c r="J21" i="20"/>
  <c r="B121" i="20"/>
  <c r="J9" i="40"/>
  <c r="J24" i="40"/>
  <c r="J39" i="40"/>
  <c r="I61" i="40"/>
  <c r="J53" i="40"/>
  <c r="K91" i="40"/>
  <c r="J85" i="40"/>
  <c r="J80" i="40"/>
  <c r="K24" i="40"/>
  <c r="K28" i="40"/>
  <c r="K32" i="40"/>
  <c r="K36" i="40"/>
  <c r="K40" i="40"/>
  <c r="K44" i="40"/>
  <c r="K48" i="40"/>
  <c r="K52" i="40"/>
  <c r="K56" i="40"/>
  <c r="K60" i="40"/>
  <c r="K64" i="40"/>
  <c r="K68" i="40"/>
  <c r="K72" i="40"/>
  <c r="K77" i="40"/>
  <c r="L27" i="40"/>
  <c r="L31" i="40"/>
  <c r="L35" i="40"/>
  <c r="L39" i="40"/>
  <c r="L43" i="40"/>
  <c r="L47" i="40"/>
  <c r="L51" i="40"/>
  <c r="L55" i="40"/>
  <c r="L59" i="40"/>
  <c r="L63" i="40"/>
  <c r="L67" i="40"/>
  <c r="L71" i="40"/>
  <c r="L76" i="40"/>
  <c r="M24" i="40"/>
  <c r="M28" i="40"/>
  <c r="M32" i="40"/>
  <c r="M36" i="40"/>
  <c r="M40" i="40"/>
  <c r="M44" i="40"/>
  <c r="M48" i="40"/>
  <c r="M52" i="40"/>
  <c r="M56" i="40"/>
  <c r="M60" i="40"/>
  <c r="M64" i="40"/>
  <c r="M68" i="40"/>
  <c r="M72" i="40"/>
  <c r="M77" i="40"/>
  <c r="N25" i="40"/>
  <c r="N29" i="40"/>
  <c r="N33" i="40"/>
  <c r="N37" i="40"/>
  <c r="N41" i="40"/>
  <c r="N45" i="40"/>
  <c r="N49" i="40"/>
  <c r="N53" i="40"/>
  <c r="N57" i="40"/>
  <c r="N61" i="40"/>
  <c r="N65" i="40"/>
  <c r="N69" i="40"/>
  <c r="N74" i="40"/>
  <c r="N78" i="40"/>
  <c r="O26" i="40"/>
  <c r="O30" i="40"/>
  <c r="O34" i="40"/>
  <c r="O38" i="40"/>
  <c r="O42" i="40"/>
  <c r="O46" i="40"/>
  <c r="O50" i="40"/>
  <c r="O54" i="40"/>
  <c r="O58" i="40"/>
  <c r="O62" i="40"/>
  <c r="O66" i="40"/>
  <c r="O70" i="40"/>
  <c r="O75" i="40"/>
  <c r="O79" i="40"/>
  <c r="O88" i="40"/>
  <c r="K88" i="40"/>
  <c r="L87" i="40"/>
  <c r="M86" i="40"/>
  <c r="N85" i="40"/>
  <c r="O84" i="40"/>
  <c r="K84" i="40"/>
  <c r="L83" i="40"/>
  <c r="M82" i="40"/>
  <c r="N81" i="40"/>
  <c r="O80" i="40"/>
  <c r="K25" i="40"/>
  <c r="K29" i="40"/>
  <c r="K33" i="40"/>
  <c r="K37" i="40"/>
  <c r="K41" i="40"/>
  <c r="K45" i="40"/>
  <c r="K49" i="40"/>
  <c r="K53" i="40"/>
  <c r="K57" i="40"/>
  <c r="K61" i="40"/>
  <c r="K65" i="40"/>
  <c r="K69" i="40"/>
  <c r="K74" i="40"/>
  <c r="K78" i="40"/>
  <c r="L24" i="40"/>
  <c r="L28" i="40"/>
  <c r="L32" i="40"/>
  <c r="L36" i="40"/>
  <c r="L40" i="40"/>
  <c r="L44" i="40"/>
  <c r="L48" i="40"/>
  <c r="L52" i="40"/>
  <c r="L56" i="40"/>
  <c r="L60" i="40"/>
  <c r="L64" i="40"/>
  <c r="L68" i="40"/>
  <c r="L72" i="40"/>
  <c r="L77" i="40"/>
  <c r="M25" i="40"/>
  <c r="M29" i="40"/>
  <c r="M33" i="40"/>
  <c r="M37" i="40"/>
  <c r="M41" i="40"/>
  <c r="M45" i="40"/>
  <c r="M49" i="40"/>
  <c r="M53" i="40"/>
  <c r="M57" i="40"/>
  <c r="M61" i="40"/>
  <c r="M65" i="40"/>
  <c r="M69" i="40"/>
  <c r="M74" i="40"/>
  <c r="M78" i="40"/>
  <c r="N26" i="40"/>
  <c r="N30" i="40"/>
  <c r="N34" i="40"/>
  <c r="N38" i="40"/>
  <c r="N42" i="40"/>
  <c r="N46" i="40"/>
  <c r="N50" i="40"/>
  <c r="N54" i="40"/>
  <c r="N58" i="40"/>
  <c r="N62" i="40"/>
  <c r="N66" i="40"/>
  <c r="N70" i="40"/>
  <c r="N75" i="40"/>
  <c r="N79" i="40"/>
  <c r="O27" i="40"/>
  <c r="O31" i="40"/>
  <c r="O35" i="40"/>
  <c r="O39" i="40"/>
  <c r="O43" i="40"/>
  <c r="O47" i="40"/>
  <c r="O51" i="40"/>
  <c r="O55" i="40"/>
  <c r="O59" i="40"/>
  <c r="O63" i="40"/>
  <c r="O67" i="40"/>
  <c r="O71" i="40"/>
  <c r="O76" i="40"/>
  <c r="N88" i="40"/>
  <c r="O87" i="40"/>
  <c r="K87" i="40"/>
  <c r="L86" i="40"/>
  <c r="M85" i="40"/>
  <c r="N84" i="40"/>
  <c r="K26" i="40"/>
  <c r="K30" i="40"/>
  <c r="K34" i="40"/>
  <c r="K38" i="40"/>
  <c r="K42" i="40"/>
  <c r="K46" i="40"/>
  <c r="K50" i="40"/>
  <c r="K54" i="40"/>
  <c r="K58" i="40"/>
  <c r="K62" i="40"/>
  <c r="K66" i="40"/>
  <c r="K70" i="40"/>
  <c r="K75" i="40"/>
  <c r="K79" i="40"/>
  <c r="L25" i="40"/>
  <c r="L29" i="40"/>
  <c r="L33" i="40"/>
  <c r="L37" i="40"/>
  <c r="L41" i="40"/>
  <c r="L45" i="40"/>
  <c r="L49" i="40"/>
  <c r="L53" i="40"/>
  <c r="L57" i="40"/>
  <c r="L61" i="40"/>
  <c r="L65" i="40"/>
  <c r="L69" i="40"/>
  <c r="L74" i="40"/>
  <c r="L78" i="40"/>
  <c r="M26" i="40"/>
  <c r="M30" i="40"/>
  <c r="M34" i="40"/>
  <c r="M38" i="40"/>
  <c r="M42" i="40"/>
  <c r="M46" i="40"/>
  <c r="M50" i="40"/>
  <c r="M54" i="40"/>
  <c r="M58" i="40"/>
  <c r="M62" i="40"/>
  <c r="M66" i="40"/>
  <c r="M70" i="40"/>
  <c r="M75" i="40"/>
  <c r="M79" i="40"/>
  <c r="N27" i="40"/>
  <c r="N31" i="40"/>
  <c r="N35" i="40"/>
  <c r="N39" i="40"/>
  <c r="N43" i="40"/>
  <c r="N47" i="40"/>
  <c r="N51" i="40"/>
  <c r="N55" i="40"/>
  <c r="N59" i="40"/>
  <c r="N63" i="40"/>
  <c r="N67" i="40"/>
  <c r="N71" i="40"/>
  <c r="N76" i="40"/>
  <c r="O24" i="40"/>
  <c r="O28" i="40"/>
  <c r="O32" i="40"/>
  <c r="O36" i="40"/>
  <c r="O40" i="40"/>
  <c r="O44" i="40"/>
  <c r="O48" i="40"/>
  <c r="O52" i="40"/>
  <c r="O56" i="40"/>
  <c r="O60" i="40"/>
  <c r="O64" i="40"/>
  <c r="O68" i="40"/>
  <c r="O72" i="40"/>
  <c r="O77" i="40"/>
  <c r="M88" i="40"/>
  <c r="N87" i="40"/>
  <c r="O86" i="40"/>
  <c r="K86" i="40"/>
  <c r="L85" i="40"/>
  <c r="M84" i="40"/>
  <c r="N83" i="40"/>
  <c r="O82" i="40"/>
  <c r="K82" i="40"/>
  <c r="L81" i="40"/>
  <c r="K31" i="40"/>
  <c r="K47" i="40"/>
  <c r="K63" i="40"/>
  <c r="L34" i="40"/>
  <c r="L50" i="40"/>
  <c r="L66" i="40"/>
  <c r="M27" i="40"/>
  <c r="M43" i="40"/>
  <c r="M59" i="40"/>
  <c r="M76" i="40"/>
  <c r="N36" i="40"/>
  <c r="N52" i="40"/>
  <c r="N68" i="40"/>
  <c r="O29" i="40"/>
  <c r="O45" i="40"/>
  <c r="O61" i="40"/>
  <c r="O78" i="40"/>
  <c r="N86" i="40"/>
  <c r="O83" i="40"/>
  <c r="L82" i="40"/>
  <c r="N80" i="40"/>
  <c r="K35" i="40"/>
  <c r="K51" i="40"/>
  <c r="K67" i="40"/>
  <c r="L38" i="40"/>
  <c r="L54" i="40"/>
  <c r="L70" i="40"/>
  <c r="M31" i="40"/>
  <c r="M47" i="40"/>
  <c r="M63" i="40"/>
  <c r="N24" i="40"/>
  <c r="N40" i="40"/>
  <c r="N56" i="40"/>
  <c r="N72" i="40"/>
  <c r="O33" i="40"/>
  <c r="O49" i="40"/>
  <c r="O65" i="40"/>
  <c r="O85" i="40"/>
  <c r="M83" i="40"/>
  <c r="O81" i="40"/>
  <c r="M80" i="40"/>
  <c r="K39" i="40"/>
  <c r="K55" i="40"/>
  <c r="K71" i="40"/>
  <c r="L26" i="40"/>
  <c r="L42" i="40"/>
  <c r="L58" i="40"/>
  <c r="L75" i="40"/>
  <c r="M35" i="40"/>
  <c r="M51" i="40"/>
  <c r="M67" i="40"/>
  <c r="N28" i="40"/>
  <c r="N44" i="40"/>
  <c r="N60" i="40"/>
  <c r="N77" i="40"/>
  <c r="O37" i="40"/>
  <c r="O53" i="40"/>
  <c r="O69" i="40"/>
  <c r="L88" i="40"/>
  <c r="K85" i="40"/>
  <c r="K83" i="40"/>
  <c r="M81" i="40"/>
  <c r="L80" i="40"/>
  <c r="K27" i="40"/>
  <c r="K43" i="40"/>
  <c r="K59" i="40"/>
  <c r="K76" i="40"/>
  <c r="L30" i="40"/>
  <c r="L46" i="40"/>
  <c r="L62" i="40"/>
  <c r="L79" i="40"/>
  <c r="M39" i="40"/>
  <c r="M55" i="40"/>
  <c r="M71" i="40"/>
  <c r="N32" i="40"/>
  <c r="N48" i="40"/>
  <c r="N64" i="40"/>
  <c r="O25" i="40"/>
  <c r="O41" i="40"/>
  <c r="O57" i="40"/>
  <c r="O74" i="40"/>
  <c r="M87" i="40"/>
  <c r="L84" i="40"/>
  <c r="N82" i="40"/>
  <c r="K81" i="40"/>
  <c r="K80" i="40"/>
  <c r="M91" i="40"/>
  <c r="K89" i="40"/>
  <c r="I83" i="40"/>
  <c r="I75" i="40"/>
  <c r="I66" i="40"/>
  <c r="I58" i="40"/>
  <c r="I50" i="40"/>
  <c r="O90" i="40"/>
  <c r="I88" i="40"/>
  <c r="I80" i="40"/>
  <c r="I71" i="40"/>
  <c r="I63" i="40"/>
  <c r="I55" i="40"/>
  <c r="I47" i="40"/>
  <c r="J90" i="40"/>
  <c r="I85" i="40"/>
  <c r="I77" i="40"/>
  <c r="I68" i="40"/>
  <c r="I60" i="40"/>
  <c r="I52" i="40"/>
  <c r="J91" i="40"/>
  <c r="J87" i="40"/>
  <c r="J79" i="40"/>
  <c r="J70" i="40"/>
  <c r="J62" i="40"/>
  <c r="J54" i="40"/>
  <c r="J46" i="40"/>
  <c r="J38" i="40"/>
  <c r="J18" i="40"/>
  <c r="J43" i="40"/>
  <c r="J35" i="40"/>
  <c r="I91" i="40"/>
  <c r="I87" i="40"/>
  <c r="J76" i="40"/>
  <c r="J63" i="40"/>
  <c r="J88" i="40"/>
  <c r="J71" i="40"/>
  <c r="J59" i="40"/>
  <c r="J47" i="40"/>
  <c r="N89" i="40"/>
  <c r="J81" i="40"/>
  <c r="J68" i="40"/>
  <c r="I59" i="40"/>
  <c r="J48" i="40"/>
  <c r="M89" i="40"/>
  <c r="I81" i="40"/>
  <c r="J69" i="40"/>
  <c r="J57" i="40"/>
  <c r="I48" i="40"/>
  <c r="L89" i="40"/>
  <c r="I78" i="40"/>
  <c r="J66" i="40"/>
  <c r="I57" i="40"/>
  <c r="I45" i="40"/>
  <c r="J26" i="40"/>
  <c r="J28" i="40"/>
  <c r="I34" i="40"/>
  <c r="I26" i="40"/>
  <c r="J40" i="40"/>
  <c r="J32" i="40"/>
  <c r="I44" i="40"/>
  <c r="I36" i="40"/>
  <c r="I28" i="40"/>
  <c r="J34" i="40"/>
  <c r="I27" i="40"/>
  <c r="J84" i="40"/>
  <c r="I70" i="40"/>
  <c r="J55" i="40"/>
  <c r="I46" i="40"/>
  <c r="J89" i="40"/>
  <c r="J77" i="40"/>
  <c r="I67" i="40"/>
  <c r="J56" i="40"/>
  <c r="O91" i="40"/>
  <c r="I89" i="40"/>
  <c r="J78" i="40"/>
  <c r="J65" i="40"/>
  <c r="I56" i="40"/>
  <c r="N91" i="40"/>
  <c r="I86" i="40"/>
  <c r="J75" i="40"/>
  <c r="I65" i="40"/>
  <c r="I53" i="40"/>
  <c r="J42" i="40"/>
  <c r="I25" i="40"/>
  <c r="I42" i="40"/>
  <c r="J31" i="40"/>
  <c r="I18" i="40"/>
  <c r="I39" i="40"/>
  <c r="I31" i="40"/>
  <c r="J41" i="40"/>
  <c r="J33" i="40"/>
  <c r="J25" i="40"/>
  <c r="I33" i="40"/>
  <c r="I19" i="40"/>
  <c r="O89" i="40"/>
  <c r="I79" i="40"/>
  <c r="I62" i="40"/>
  <c r="J51" i="40"/>
  <c r="K90" i="40"/>
  <c r="I84" i="40"/>
  <c r="J72" i="40"/>
  <c r="J60" i="40"/>
  <c r="I51" i="40"/>
  <c r="N90" i="40"/>
  <c r="J82" i="40"/>
  <c r="I72" i="40"/>
  <c r="J61" i="40"/>
  <c r="J49" i="40"/>
  <c r="I90" i="40"/>
  <c r="I82" i="40"/>
  <c r="I69" i="40"/>
  <c r="J58" i="40"/>
  <c r="I49" i="40"/>
  <c r="I37" i="40"/>
  <c r="J19" i="40"/>
  <c r="I38" i="40"/>
  <c r="J27" i="40"/>
  <c r="I43" i="40"/>
  <c r="I35" i="40"/>
  <c r="J45" i="40"/>
  <c r="J37" i="40"/>
  <c r="J29" i="40"/>
  <c r="B149" i="20"/>
  <c r="B127" i="20"/>
  <c r="F85" i="20"/>
  <c r="F107" i="20" s="1"/>
  <c r="F129" i="20" s="1"/>
  <c r="F151" i="20" s="1"/>
  <c r="D85" i="20"/>
  <c r="D107" i="20" s="1"/>
  <c r="D129" i="20" s="1"/>
  <c r="D151" i="20" s="1"/>
  <c r="E85" i="20"/>
  <c r="E98" i="20"/>
  <c r="E120" i="20" s="1"/>
  <c r="E142" i="20" s="1"/>
  <c r="O42" i="20"/>
  <c r="E40" i="21" s="1"/>
  <c r="O38" i="20"/>
  <c r="E36" i="21" s="1"/>
  <c r="O34" i="20"/>
  <c r="E32" i="21" s="1"/>
  <c r="O30" i="20"/>
  <c r="E28" i="21" s="1"/>
  <c r="O41" i="20"/>
  <c r="E39" i="21" s="1"/>
  <c r="O36" i="20"/>
  <c r="E34" i="21" s="1"/>
  <c r="O31" i="20"/>
  <c r="E29" i="21" s="1"/>
  <c r="O40" i="20"/>
  <c r="E38" i="21" s="1"/>
  <c r="O35" i="20"/>
  <c r="E33" i="21" s="1"/>
  <c r="O39" i="20"/>
  <c r="E37" i="21" s="1"/>
  <c r="O33" i="20"/>
  <c r="E31" i="21" s="1"/>
  <c r="O29" i="20"/>
  <c r="O32" i="20"/>
  <c r="E30" i="21" s="1"/>
  <c r="E107" i="20"/>
  <c r="E129" i="20" s="1"/>
  <c r="E151" i="20" s="1"/>
  <c r="F99" i="20"/>
  <c r="F121" i="20" s="1"/>
  <c r="F143" i="20" s="1"/>
  <c r="I24" i="40"/>
  <c r="J36" i="40"/>
  <c r="I9" i="40"/>
  <c r="I74" i="40"/>
  <c r="I64" i="40"/>
  <c r="J52" i="40"/>
  <c r="L91" i="40"/>
  <c r="L90" i="40"/>
  <c r="B145" i="20"/>
  <c r="B123" i="20"/>
  <c r="R31" i="20"/>
  <c r="H29" i="21" s="1"/>
  <c r="F106" i="20"/>
  <c r="F128" i="20" s="1"/>
  <c r="R195" i="20" s="1"/>
  <c r="D7" i="11"/>
  <c r="I29" i="40"/>
  <c r="I32" i="40"/>
  <c r="J44" i="40"/>
  <c r="I41" i="40"/>
  <c r="J83" i="40"/>
  <c r="J74" i="40"/>
  <c r="J64" i="40"/>
  <c r="I54" i="40"/>
  <c r="B140" i="20"/>
  <c r="B118" i="20"/>
  <c r="G27" i="21"/>
  <c r="R37" i="20"/>
  <c r="H35" i="21" s="1"/>
  <c r="R40" i="20"/>
  <c r="H38" i="21" s="1"/>
  <c r="R30" i="20"/>
  <c r="H28" i="21" s="1"/>
  <c r="F96" i="20"/>
  <c r="D103" i="20"/>
  <c r="D125" i="20" s="1"/>
  <c r="D147" i="20" s="1"/>
  <c r="F102" i="20"/>
  <c r="F124" i="20" s="1"/>
  <c r="F146" i="20" s="1"/>
  <c r="H61" i="32"/>
  <c r="L61" i="32"/>
  <c r="L81" i="32" s="1"/>
  <c r="G61" i="32"/>
  <c r="K61" i="32"/>
  <c r="K81" i="32" s="1"/>
  <c r="J61" i="32"/>
  <c r="J81" i="32" s="1"/>
  <c r="M61" i="32"/>
  <c r="M81" i="32" s="1"/>
  <c r="G60" i="32"/>
  <c r="L60" i="32"/>
  <c r="M60" i="32"/>
  <c r="H60" i="32"/>
  <c r="J60" i="32"/>
  <c r="I59" i="32"/>
  <c r="H59" i="32"/>
  <c r="J59" i="32"/>
  <c r="L59" i="32"/>
  <c r="K59" i="32"/>
  <c r="G59" i="32"/>
  <c r="G58" i="32"/>
  <c r="L58" i="32"/>
  <c r="L78" i="32" s="1"/>
  <c r="L99" i="32" s="1"/>
  <c r="H58" i="32"/>
  <c r="I58" i="32"/>
  <c r="I78" i="32" s="1"/>
  <c r="I99" i="32" s="1"/>
  <c r="K58" i="32"/>
  <c r="K78" i="32" s="1"/>
  <c r="J58" i="32"/>
  <c r="J78" i="32" s="1"/>
  <c r="L57" i="32"/>
  <c r="L77" i="32" s="1"/>
  <c r="H57" i="32"/>
  <c r="M57" i="32"/>
  <c r="M77" i="32" s="1"/>
  <c r="M98" i="32" s="1"/>
  <c r="G57" i="32"/>
  <c r="K57" i="32"/>
  <c r="K77" i="32" s="1"/>
  <c r="K98" i="32" s="1"/>
  <c r="K56" i="32"/>
  <c r="K76" i="32" s="1"/>
  <c r="H56" i="32"/>
  <c r="I56" i="32"/>
  <c r="I76" i="32" s="1"/>
  <c r="G56" i="32"/>
  <c r="M56" i="32"/>
  <c r="M76" i="32" s="1"/>
  <c r="L56" i="32"/>
  <c r="L76" i="32" s="1"/>
  <c r="I55" i="32"/>
  <c r="I75" i="32" s="1"/>
  <c r="M55" i="32"/>
  <c r="M75" i="32" s="1"/>
  <c r="H55" i="32"/>
  <c r="J55" i="32"/>
  <c r="J75" i="32" s="1"/>
  <c r="L55" i="32"/>
  <c r="L75" i="32" s="1"/>
  <c r="G55" i="32"/>
  <c r="G54" i="32"/>
  <c r="H54" i="32"/>
  <c r="M54" i="32"/>
  <c r="M74" i="32" s="1"/>
  <c r="M95" i="32" s="1"/>
  <c r="J54" i="32"/>
  <c r="J74" i="32" s="1"/>
  <c r="L54" i="32"/>
  <c r="L74" i="32" s="1"/>
  <c r="L53" i="32"/>
  <c r="L73" i="32" s="1"/>
  <c r="L94" i="32" s="1"/>
  <c r="H53" i="32"/>
  <c r="J53" i="32"/>
  <c r="J73" i="32" s="1"/>
  <c r="M53" i="32"/>
  <c r="M73" i="32" s="1"/>
  <c r="I53" i="32"/>
  <c r="I73" i="32" s="1"/>
  <c r="G53" i="32"/>
  <c r="K52" i="32"/>
  <c r="K72" i="32" s="1"/>
  <c r="L52" i="32"/>
  <c r="L72" i="32" s="1"/>
  <c r="J52" i="32"/>
  <c r="J72" i="32" s="1"/>
  <c r="I52" i="32"/>
  <c r="I72" i="32" s="1"/>
  <c r="G52" i="32"/>
  <c r="M52" i="32"/>
  <c r="M72" i="32" s="1"/>
  <c r="G51" i="32"/>
  <c r="J51" i="32"/>
  <c r="J71" i="32" s="1"/>
  <c r="I51" i="32"/>
  <c r="I71" i="32" s="1"/>
  <c r="H51" i="32"/>
  <c r="M51" i="32"/>
  <c r="M71" i="32" s="1"/>
  <c r="Q32" i="20"/>
  <c r="G30" i="21" s="1"/>
  <c r="Q41" i="20"/>
  <c r="G39" i="21" s="1"/>
  <c r="Q33" i="20"/>
  <c r="G31" i="21" s="1"/>
  <c r="Q35" i="20"/>
  <c r="G33" i="21" s="1"/>
  <c r="Q34" i="20"/>
  <c r="G32" i="21" s="1"/>
  <c r="Q42" i="20"/>
  <c r="G40" i="21" s="1"/>
  <c r="Q36" i="20"/>
  <c r="G34" i="21" s="1"/>
  <c r="Q39" i="20"/>
  <c r="G37" i="21" s="1"/>
  <c r="Q38" i="20"/>
  <c r="G36" i="21" s="1"/>
  <c r="D100" i="7"/>
  <c r="C100" i="20"/>
  <c r="C122" i="20" s="1"/>
  <c r="C144" i="20" s="1"/>
  <c r="D102" i="20"/>
  <c r="D124" i="20" s="1"/>
  <c r="D146" i="20" s="1"/>
  <c r="F108" i="20"/>
  <c r="F152" i="20" s="1"/>
  <c r="H52" i="32"/>
  <c r="K55" i="32"/>
  <c r="K75" i="32" s="1"/>
  <c r="M58" i="32"/>
  <c r="M78" i="32" s="1"/>
  <c r="I61" i="32"/>
  <c r="I81" i="32" s="1"/>
  <c r="D104" i="32"/>
  <c r="C104" i="32"/>
  <c r="Q31" i="20"/>
  <c r="G29" i="21" s="1"/>
  <c r="Q40" i="20"/>
  <c r="G38" i="21" s="1"/>
  <c r="Q30" i="20"/>
  <c r="G28" i="21" s="1"/>
  <c r="F100" i="7"/>
  <c r="E76" i="7"/>
  <c r="K2" i="7" s="1"/>
  <c r="J7" i="5" s="1"/>
  <c r="H50" i="32"/>
  <c r="I50" i="32"/>
  <c r="I70" i="32" s="1"/>
  <c r="P41" i="20"/>
  <c r="F39" i="21" s="1"/>
  <c r="P38" i="20"/>
  <c r="F36" i="21" s="1"/>
  <c r="P29" i="20"/>
  <c r="P40" i="20"/>
  <c r="F38" i="21" s="1"/>
  <c r="L9" i="17"/>
  <c r="G9" i="20"/>
  <c r="H98" i="7"/>
  <c r="H10" i="17"/>
  <c r="H8" i="20"/>
  <c r="I9" i="12"/>
  <c r="I12" i="12" s="1"/>
  <c r="G19" i="32"/>
  <c r="H36" i="32"/>
  <c r="G34" i="32"/>
  <c r="H31" i="32"/>
  <c r="F75" i="20"/>
  <c r="F97" i="20" s="1"/>
  <c r="F119" i="20" s="1"/>
  <c r="F141" i="20" s="1"/>
  <c r="E42" i="32"/>
  <c r="D20" i="30"/>
  <c r="G14" i="32"/>
  <c r="D14" i="30"/>
  <c r="K57" i="20" s="1"/>
  <c r="E128" i="20"/>
  <c r="Q174" i="20"/>
  <c r="F8" i="11"/>
  <c r="E7" i="11"/>
  <c r="F130" i="20"/>
  <c r="D19" i="30"/>
  <c r="H16" i="32"/>
  <c r="E83" i="32"/>
  <c r="D83" i="32"/>
  <c r="G20" i="32"/>
  <c r="H37" i="32"/>
  <c r="D15" i="30"/>
  <c r="H32" i="32"/>
  <c r="D11" i="30"/>
  <c r="H29" i="32"/>
  <c r="D99" i="20"/>
  <c r="D121" i="20" s="1"/>
  <c r="D143" i="20" s="1"/>
  <c r="E108" i="20"/>
  <c r="E43" i="7"/>
  <c r="D106" i="20"/>
  <c r="C86" i="20"/>
  <c r="C108" i="20" s="1"/>
  <c r="E99" i="20"/>
  <c r="E121" i="20" s="1"/>
  <c r="E143" i="20" s="1"/>
  <c r="C106" i="20"/>
  <c r="C107" i="20"/>
  <c r="C129" i="20" s="1"/>
  <c r="C151" i="20" s="1"/>
  <c r="D86" i="20"/>
  <c r="D108" i="20" s="1"/>
  <c r="H42" i="7"/>
  <c r="G43" i="7"/>
  <c r="F98" i="20"/>
  <c r="F120" i="20" s="1"/>
  <c r="F142" i="20" s="1"/>
  <c r="H38" i="7"/>
  <c r="C42" i="32"/>
  <c r="F83" i="32"/>
  <c r="C21" i="32"/>
  <c r="E103" i="20"/>
  <c r="E125" i="20" s="1"/>
  <c r="E147" i="20" s="1"/>
  <c r="D98" i="20"/>
  <c r="D120" i="20" s="1"/>
  <c r="D142" i="20" s="1"/>
  <c r="C83" i="20"/>
  <c r="C87" i="20" s="1"/>
  <c r="D16" i="30"/>
  <c r="H35" i="32"/>
  <c r="D13" i="30"/>
  <c r="L56" i="20" s="1"/>
  <c r="G12" i="32"/>
  <c r="G30" i="32"/>
  <c r="D9" i="12"/>
  <c r="F118" i="20"/>
  <c r="E65" i="20"/>
  <c r="C95" i="20"/>
  <c r="C103" i="20"/>
  <c r="C125" i="20" s="1"/>
  <c r="C147" i="20" s="1"/>
  <c r="E97" i="20"/>
  <c r="L58" i="20"/>
  <c r="K63" i="20"/>
  <c r="M54" i="20"/>
  <c r="I54" i="20"/>
  <c r="K54" i="20"/>
  <c r="H54" i="20"/>
  <c r="H10" i="32"/>
  <c r="G10" i="32"/>
  <c r="D8" i="30"/>
  <c r="D73" i="20"/>
  <c r="F83" i="20"/>
  <c r="F87" i="20" s="1"/>
  <c r="F61" i="20"/>
  <c r="G37" i="32"/>
  <c r="F21" i="32"/>
  <c r="H18" i="32"/>
  <c r="G18" i="32"/>
  <c r="H38" i="32"/>
  <c r="G38" i="32"/>
  <c r="G40" i="32"/>
  <c r="H40" i="32"/>
  <c r="J57" i="20"/>
  <c r="L57" i="20"/>
  <c r="G11" i="32"/>
  <c r="H11" i="32"/>
  <c r="D9" i="30"/>
  <c r="D52" i="20"/>
  <c r="H30" i="7"/>
  <c r="D74" i="20"/>
  <c r="E21" i="32"/>
  <c r="G8" i="32"/>
  <c r="D12" i="12"/>
  <c r="M56" i="20"/>
  <c r="C83" i="32"/>
  <c r="G22" i="21"/>
  <c r="G23" i="21" s="1"/>
  <c r="E22" i="21"/>
  <c r="E23" i="21" s="1"/>
  <c r="F22" i="21"/>
  <c r="F23" i="21" s="1"/>
  <c r="M57" i="20"/>
  <c r="G41" i="32"/>
  <c r="H41" i="32"/>
  <c r="J58" i="20"/>
  <c r="K58" i="20"/>
  <c r="M58" i="20"/>
  <c r="H58" i="20"/>
  <c r="G33" i="32"/>
  <c r="H33" i="32"/>
  <c r="F42" i="32"/>
  <c r="J59" i="20"/>
  <c r="L59" i="20"/>
  <c r="G59" i="20"/>
  <c r="I56" i="20"/>
  <c r="D10" i="30"/>
  <c r="D53" i="20"/>
  <c r="D75" i="20"/>
  <c r="H31" i="7"/>
  <c r="G9" i="32"/>
  <c r="H9" i="32"/>
  <c r="F43" i="7"/>
  <c r="E83" i="20"/>
  <c r="E105" i="20" s="1"/>
  <c r="I57" i="20"/>
  <c r="E9" i="12"/>
  <c r="F9" i="12"/>
  <c r="M73" i="20" s="1"/>
  <c r="G9" i="12"/>
  <c r="H9" i="12"/>
  <c r="D12" i="30"/>
  <c r="J9" i="12"/>
  <c r="D42" i="32"/>
  <c r="H14" i="32"/>
  <c r="G16" i="32"/>
  <c r="H12" i="32"/>
  <c r="H20" i="32"/>
  <c r="H39" i="32"/>
  <c r="G39" i="32"/>
  <c r="K92" i="32"/>
  <c r="M102" i="32"/>
  <c r="M103" i="32"/>
  <c r="K103" i="32"/>
  <c r="K96" i="32"/>
  <c r="J102" i="32"/>
  <c r="K100" i="32"/>
  <c r="J100" i="32"/>
  <c r="K102" i="32"/>
  <c r="J101" i="32"/>
  <c r="L101" i="32"/>
  <c r="K101" i="32"/>
  <c r="I100" i="32"/>
  <c r="I101" i="32"/>
  <c r="G56" i="20" l="1"/>
  <c r="K56" i="20"/>
  <c r="F150" i="20"/>
  <c r="H56" i="20"/>
  <c r="J56" i="20"/>
  <c r="H42" i="21"/>
  <c r="F2" i="25"/>
  <c r="J8" i="5" s="1"/>
  <c r="I75" i="20"/>
  <c r="I97" i="20" s="1"/>
  <c r="I119" i="20" s="1"/>
  <c r="I141" i="20" s="1"/>
  <c r="D65" i="20"/>
  <c r="R174" i="20"/>
  <c r="I17" i="20"/>
  <c r="H60" i="20"/>
  <c r="I63" i="20"/>
  <c r="G63" i="20"/>
  <c r="H63" i="20"/>
  <c r="K21" i="20"/>
  <c r="J64" i="20"/>
  <c r="C105" i="20"/>
  <c r="C127" i="20" s="1"/>
  <c r="C149" i="20" s="1"/>
  <c r="J73" i="20"/>
  <c r="G42" i="32"/>
  <c r="J63" i="20"/>
  <c r="H73" i="20"/>
  <c r="H9" i="20"/>
  <c r="I9" i="20" s="1"/>
  <c r="J9" i="20" s="1"/>
  <c r="K9" i="20" s="1"/>
  <c r="L9" i="20" s="1"/>
  <c r="M9" i="20" s="1"/>
  <c r="S34" i="20"/>
  <c r="I32" i="21" s="1"/>
  <c r="S35" i="20"/>
  <c r="I33" i="21" s="1"/>
  <c r="S36" i="20"/>
  <c r="I34" i="21" s="1"/>
  <c r="G22" i="20"/>
  <c r="S39" i="20"/>
  <c r="I37" i="21" s="1"/>
  <c r="S30" i="20"/>
  <c r="I28" i="21" s="1"/>
  <c r="S38" i="20"/>
  <c r="I36" i="21" s="1"/>
  <c r="S33" i="20"/>
  <c r="I31" i="21" s="1"/>
  <c r="S41" i="20"/>
  <c r="I39" i="21" s="1"/>
  <c r="S31" i="20"/>
  <c r="I29" i="21" s="1"/>
  <c r="S40" i="20"/>
  <c r="I38" i="21" s="1"/>
  <c r="S32" i="20"/>
  <c r="I30" i="21" s="1"/>
  <c r="S42" i="20"/>
  <c r="I40" i="21" s="1"/>
  <c r="S37" i="20"/>
  <c r="I35" i="21" s="1"/>
  <c r="S29" i="20"/>
  <c r="K19" i="20"/>
  <c r="V43" i="20"/>
  <c r="L41" i="21" s="1"/>
  <c r="G57" i="20"/>
  <c r="H57" i="20"/>
  <c r="R44" i="20"/>
  <c r="H43" i="21" s="1"/>
  <c r="L77" i="20"/>
  <c r="M63" i="20"/>
  <c r="Q44" i="20"/>
  <c r="O44" i="20"/>
  <c r="E27" i="21"/>
  <c r="E42" i="21" s="1"/>
  <c r="E43" i="21" s="1"/>
  <c r="D105" i="32"/>
  <c r="K84" i="20"/>
  <c r="F105" i="20"/>
  <c r="F127" i="20" s="1"/>
  <c r="F149" i="20" s="1"/>
  <c r="L63" i="20"/>
  <c r="I8" i="20"/>
  <c r="T36" i="20"/>
  <c r="J34" i="21" s="1"/>
  <c r="T31" i="20"/>
  <c r="J29" i="21" s="1"/>
  <c r="T42" i="20"/>
  <c r="J40" i="21" s="1"/>
  <c r="T37" i="20"/>
  <c r="J35" i="21" s="1"/>
  <c r="T34" i="20"/>
  <c r="J32" i="21" s="1"/>
  <c r="T30" i="20"/>
  <c r="J28" i="21" s="1"/>
  <c r="T32" i="20"/>
  <c r="J30" i="21" s="1"/>
  <c r="H22" i="20"/>
  <c r="H23" i="20" s="1"/>
  <c r="T35" i="20"/>
  <c r="J33" i="21" s="1"/>
  <c r="T39" i="20"/>
  <c r="J37" i="21" s="1"/>
  <c r="T38" i="20"/>
  <c r="J36" i="21" s="1"/>
  <c r="T29" i="20"/>
  <c r="T41" i="20"/>
  <c r="J39" i="21" s="1"/>
  <c r="T40" i="20"/>
  <c r="J38" i="21" s="1"/>
  <c r="T33" i="20"/>
  <c r="J31" i="21" s="1"/>
  <c r="P44" i="20"/>
  <c r="F27" i="21"/>
  <c r="F42" i="21" s="1"/>
  <c r="G42" i="21"/>
  <c r="G43" i="21" s="1"/>
  <c r="K18" i="20"/>
  <c r="J61" i="20"/>
  <c r="C130" i="20"/>
  <c r="C152" i="20"/>
  <c r="D130" i="20"/>
  <c r="D152" i="20"/>
  <c r="K59" i="20"/>
  <c r="H59" i="20"/>
  <c r="I59" i="20"/>
  <c r="H43" i="7"/>
  <c r="P174" i="20"/>
  <c r="D128" i="20"/>
  <c r="G54" i="20"/>
  <c r="J54" i="20"/>
  <c r="G8" i="11"/>
  <c r="F7" i="11"/>
  <c r="M81" i="20"/>
  <c r="I83" i="20"/>
  <c r="I105" i="20" s="1"/>
  <c r="I127" i="20" s="1"/>
  <c r="I149" i="20" s="1"/>
  <c r="I79" i="20"/>
  <c r="I101" i="20" s="1"/>
  <c r="I123" i="20" s="1"/>
  <c r="I145" i="20" s="1"/>
  <c r="M59" i="20"/>
  <c r="L73" i="20"/>
  <c r="K75" i="20"/>
  <c r="L54" i="20"/>
  <c r="E87" i="20"/>
  <c r="E152" i="20"/>
  <c r="E130" i="20"/>
  <c r="I58" i="20"/>
  <c r="G58" i="20"/>
  <c r="H62" i="20"/>
  <c r="G62" i="20"/>
  <c r="I62" i="20"/>
  <c r="J62" i="20"/>
  <c r="Q195" i="20"/>
  <c r="E150" i="20"/>
  <c r="M76" i="20"/>
  <c r="M98" i="20" s="1"/>
  <c r="M120" i="20" s="1"/>
  <c r="M142" i="20" s="1"/>
  <c r="L82" i="20"/>
  <c r="H82" i="20"/>
  <c r="O174" i="20"/>
  <c r="C128" i="20"/>
  <c r="E127" i="20"/>
  <c r="E149" i="20" s="1"/>
  <c r="Q163" i="20"/>
  <c r="Q170" i="20"/>
  <c r="Q162" i="20"/>
  <c r="M77" i="20"/>
  <c r="J12" i="12"/>
  <c r="M53" i="20"/>
  <c r="I53" i="20"/>
  <c r="J53" i="20"/>
  <c r="L53" i="20"/>
  <c r="H53" i="20"/>
  <c r="K53" i="20"/>
  <c r="G53" i="20"/>
  <c r="H79" i="20"/>
  <c r="H101" i="20" s="1"/>
  <c r="M84" i="20"/>
  <c r="J79" i="20"/>
  <c r="J101" i="20" s="1"/>
  <c r="J123" i="20" s="1"/>
  <c r="J145" i="20" s="1"/>
  <c r="G78" i="20"/>
  <c r="G100" i="20" s="1"/>
  <c r="L79" i="20"/>
  <c r="L101" i="20" s="1"/>
  <c r="L123" i="20" s="1"/>
  <c r="L145" i="20" s="1"/>
  <c r="G74" i="20"/>
  <c r="M79" i="20"/>
  <c r="M101" i="20" s="1"/>
  <c r="M123" i="20" s="1"/>
  <c r="M145" i="20" s="1"/>
  <c r="I81" i="20"/>
  <c r="L85" i="20"/>
  <c r="I74" i="20"/>
  <c r="K81" i="20"/>
  <c r="K103" i="20" s="1"/>
  <c r="K125" i="20" s="1"/>
  <c r="K147" i="20" s="1"/>
  <c r="G21" i="32"/>
  <c r="Q161" i="20"/>
  <c r="Q164" i="20"/>
  <c r="Q173" i="20"/>
  <c r="Q166" i="20"/>
  <c r="E119" i="20"/>
  <c r="E109" i="20"/>
  <c r="Q169" i="20"/>
  <c r="Q168" i="20"/>
  <c r="Q165" i="20"/>
  <c r="Q172" i="20"/>
  <c r="Q167" i="20"/>
  <c r="R173" i="20"/>
  <c r="F140" i="20"/>
  <c r="F153" i="20" s="1"/>
  <c r="R193" i="20"/>
  <c r="R186" i="20"/>
  <c r="R183" i="20"/>
  <c r="R182" i="20"/>
  <c r="R185" i="20"/>
  <c r="R191" i="20"/>
  <c r="R188" i="20"/>
  <c r="R192" i="20"/>
  <c r="R181" i="20"/>
  <c r="R187" i="20"/>
  <c r="R194" i="20"/>
  <c r="K77" i="20"/>
  <c r="H12" i="12"/>
  <c r="J78" i="20"/>
  <c r="J100" i="20" s="1"/>
  <c r="J122" i="20" s="1"/>
  <c r="J144" i="20" s="1"/>
  <c r="G86" i="20"/>
  <c r="G108" i="20" s="1"/>
  <c r="L81" i="20"/>
  <c r="L103" i="20" s="1"/>
  <c r="L125" i="20" s="1"/>
  <c r="L147" i="20" s="1"/>
  <c r="I78" i="20"/>
  <c r="I100" i="20" s="1"/>
  <c r="I122" i="20" s="1"/>
  <c r="I144" i="20" s="1"/>
  <c r="K83" i="20"/>
  <c r="K78" i="20"/>
  <c r="H81" i="20"/>
  <c r="H103" i="20" s="1"/>
  <c r="L78" i="20"/>
  <c r="L100" i="20" s="1"/>
  <c r="L122" i="20" s="1"/>
  <c r="L144" i="20" s="1"/>
  <c r="L83" i="20"/>
  <c r="K76" i="20"/>
  <c r="K98" i="20" s="1"/>
  <c r="K120" i="20" s="1"/>
  <c r="K142" i="20" s="1"/>
  <c r="K86" i="20"/>
  <c r="J80" i="20"/>
  <c r="J102" i="20" s="1"/>
  <c r="J124" i="20" s="1"/>
  <c r="J146" i="20" s="1"/>
  <c r="O165" i="20"/>
  <c r="C117" i="20"/>
  <c r="O166" i="20"/>
  <c r="O161" i="20"/>
  <c r="F65" i="20"/>
  <c r="R189" i="20"/>
  <c r="R171" i="20"/>
  <c r="R170" i="20"/>
  <c r="R166" i="20"/>
  <c r="H21" i="32"/>
  <c r="R161" i="20"/>
  <c r="J77" i="20"/>
  <c r="G12" i="12"/>
  <c r="I85" i="20"/>
  <c r="I107" i="20" s="1"/>
  <c r="I129" i="20" s="1"/>
  <c r="I151" i="20" s="1"/>
  <c r="C105" i="32"/>
  <c r="L75" i="20"/>
  <c r="G77" i="20"/>
  <c r="M82" i="20"/>
  <c r="J85" i="20"/>
  <c r="J107" i="20" s="1"/>
  <c r="J129" i="20" s="1"/>
  <c r="J151" i="20" s="1"/>
  <c r="I82" i="20"/>
  <c r="K85" i="20"/>
  <c r="K107" i="20" s="1"/>
  <c r="K129" i="20" s="1"/>
  <c r="K151" i="20" s="1"/>
  <c r="L86" i="20"/>
  <c r="J81" i="20"/>
  <c r="J103" i="20" s="1"/>
  <c r="J125" i="20" s="1"/>
  <c r="J147" i="20" s="1"/>
  <c r="M85" i="20"/>
  <c r="M107" i="20" s="1"/>
  <c r="M129" i="20" s="1"/>
  <c r="M151" i="20" s="1"/>
  <c r="J74" i="20"/>
  <c r="R184" i="20"/>
  <c r="R164" i="20"/>
  <c r="R168" i="20"/>
  <c r="R162" i="20"/>
  <c r="E105" i="32"/>
  <c r="R165" i="20"/>
  <c r="I77" i="20"/>
  <c r="F12" i="12"/>
  <c r="M75" i="20"/>
  <c r="K73" i="20"/>
  <c r="J83" i="20"/>
  <c r="K80" i="20"/>
  <c r="K102" i="20" s="1"/>
  <c r="K124" i="20" s="1"/>
  <c r="K146" i="20" s="1"/>
  <c r="G82" i="20"/>
  <c r="G104" i="20" s="1"/>
  <c r="M80" i="20"/>
  <c r="M102" i="20" s="1"/>
  <c r="M124" i="20" s="1"/>
  <c r="M146" i="20" s="1"/>
  <c r="I84" i="20"/>
  <c r="K82" i="20"/>
  <c r="J84" i="20"/>
  <c r="J106" i="20" s="1"/>
  <c r="I86" i="20"/>
  <c r="I108" i="20" s="1"/>
  <c r="J75" i="20"/>
  <c r="J97" i="20" s="1"/>
  <c r="J119" i="20" s="1"/>
  <c r="J141" i="20" s="1"/>
  <c r="L84" i="20"/>
  <c r="D96" i="20"/>
  <c r="D118" i="20" s="1"/>
  <c r="D140" i="20" s="1"/>
  <c r="D87" i="20"/>
  <c r="D95" i="20"/>
  <c r="R190" i="20"/>
  <c r="R169" i="20"/>
  <c r="R160" i="20"/>
  <c r="F109" i="20"/>
  <c r="K55" i="20"/>
  <c r="L55" i="20"/>
  <c r="M55" i="20"/>
  <c r="G55" i="20"/>
  <c r="J55" i="20"/>
  <c r="I55" i="20"/>
  <c r="H55" i="20"/>
  <c r="R167" i="20"/>
  <c r="L80" i="20"/>
  <c r="L102" i="20" s="1"/>
  <c r="L124" i="20" s="1"/>
  <c r="L146" i="20" s="1"/>
  <c r="H75" i="20"/>
  <c r="H83" i="20"/>
  <c r="H105" i="20" s="1"/>
  <c r="H80" i="20"/>
  <c r="H102" i="20" s="1"/>
  <c r="G76" i="20"/>
  <c r="G98" i="20" s="1"/>
  <c r="H86" i="20"/>
  <c r="H108" i="20" s="1"/>
  <c r="H78" i="20"/>
  <c r="H100" i="20" s="1"/>
  <c r="K79" i="20"/>
  <c r="K101" i="20" s="1"/>
  <c r="K123" i="20" s="1"/>
  <c r="K145" i="20" s="1"/>
  <c r="G84" i="20"/>
  <c r="G73" i="20"/>
  <c r="H84" i="20"/>
  <c r="H85" i="20"/>
  <c r="H107" i="20" s="1"/>
  <c r="M83" i="20"/>
  <c r="E12" i="12"/>
  <c r="G80" i="20"/>
  <c r="G102" i="20" s="1"/>
  <c r="G85" i="20"/>
  <c r="G107" i="20" s="1"/>
  <c r="G79" i="20"/>
  <c r="G101" i="20" s="1"/>
  <c r="H74" i="20"/>
  <c r="J82" i="20"/>
  <c r="H76" i="20"/>
  <c r="H98" i="20" s="1"/>
  <c r="G83" i="20"/>
  <c r="G105" i="20" s="1"/>
  <c r="H77" i="20"/>
  <c r="D97" i="20"/>
  <c r="D119" i="20" s="1"/>
  <c r="D141" i="20" s="1"/>
  <c r="H42" i="32"/>
  <c r="G81" i="20"/>
  <c r="G103" i="20" s="1"/>
  <c r="J86" i="20"/>
  <c r="J108" i="20" s="1"/>
  <c r="K74" i="20"/>
  <c r="G75" i="20"/>
  <c r="G97" i="20" s="1"/>
  <c r="M74" i="20"/>
  <c r="I76" i="20"/>
  <c r="I98" i="20" s="1"/>
  <c r="I120" i="20" s="1"/>
  <c r="I142" i="20" s="1"/>
  <c r="M86" i="20"/>
  <c r="J76" i="20"/>
  <c r="M78" i="20"/>
  <c r="M100" i="20" s="1"/>
  <c r="M122" i="20" s="1"/>
  <c r="M144" i="20" s="1"/>
  <c r="I80" i="20"/>
  <c r="I102" i="20" s="1"/>
  <c r="I124" i="20" s="1"/>
  <c r="I146" i="20" s="1"/>
  <c r="L76" i="20"/>
  <c r="I73" i="20"/>
  <c r="I52" i="20"/>
  <c r="J52" i="20"/>
  <c r="K52" i="20"/>
  <c r="M52" i="20"/>
  <c r="G52" i="20"/>
  <c r="L52" i="20"/>
  <c r="H52" i="20"/>
  <c r="F105" i="32"/>
  <c r="I51" i="20"/>
  <c r="H51" i="20"/>
  <c r="D22" i="30"/>
  <c r="G51" i="20"/>
  <c r="Q160" i="20"/>
  <c r="F131" i="20"/>
  <c r="L74" i="20"/>
  <c r="Q171" i="20"/>
  <c r="R172" i="20"/>
  <c r="R163" i="20"/>
  <c r="I102" i="32"/>
  <c r="I94" i="32"/>
  <c r="J91" i="32"/>
  <c r="J96" i="32"/>
  <c r="K97" i="32"/>
  <c r="L95" i="32"/>
  <c r="M92" i="32"/>
  <c r="J99" i="32"/>
  <c r="I93" i="32"/>
  <c r="L103" i="32"/>
  <c r="J93" i="32"/>
  <c r="J103" i="32"/>
  <c r="L98" i="32"/>
  <c r="I98" i="32"/>
  <c r="L96" i="32"/>
  <c r="M99" i="32"/>
  <c r="J97" i="32"/>
  <c r="K94" i="32"/>
  <c r="M93" i="32"/>
  <c r="I96" i="32"/>
  <c r="J98" i="32"/>
  <c r="L97" i="32"/>
  <c r="I103" i="32"/>
  <c r="I97" i="32"/>
  <c r="L102" i="32"/>
  <c r="J94" i="32"/>
  <c r="I92" i="32"/>
  <c r="K91" i="32"/>
  <c r="L93" i="32"/>
  <c r="M96" i="32"/>
  <c r="J95" i="32"/>
  <c r="K95" i="32"/>
  <c r="M97" i="32"/>
  <c r="M94" i="32"/>
  <c r="K99" i="32"/>
  <c r="L92" i="32"/>
  <c r="L91" i="32"/>
  <c r="L83" i="32"/>
  <c r="J92" i="32"/>
  <c r="J83" i="32"/>
  <c r="G106" i="20" l="1"/>
  <c r="I21" i="21" s="1"/>
  <c r="O173" i="20"/>
  <c r="O160" i="20"/>
  <c r="O167" i="20"/>
  <c r="O169" i="20"/>
  <c r="K100" i="20"/>
  <c r="K122" i="20" s="1"/>
  <c r="K144" i="20" s="1"/>
  <c r="G65" i="20"/>
  <c r="G66" i="20" s="1"/>
  <c r="J98" i="20"/>
  <c r="J120" i="20" s="1"/>
  <c r="J142" i="20" s="1"/>
  <c r="J105" i="20"/>
  <c r="J127" i="20" s="1"/>
  <c r="J149" i="20" s="1"/>
  <c r="O171" i="20"/>
  <c r="O162" i="20"/>
  <c r="C109" i="20"/>
  <c r="O164" i="20"/>
  <c r="H97" i="20"/>
  <c r="H72" i="32" s="1"/>
  <c r="H93" i="32" s="1"/>
  <c r="O168" i="20"/>
  <c r="O172" i="20"/>
  <c r="O163" i="20"/>
  <c r="O170" i="20"/>
  <c r="L107" i="20"/>
  <c r="L129" i="20" s="1"/>
  <c r="L151" i="20" s="1"/>
  <c r="H104" i="20"/>
  <c r="H79" i="32" s="1"/>
  <c r="H100" i="32" s="1"/>
  <c r="I60" i="20"/>
  <c r="I104" i="20" s="1"/>
  <c r="I126" i="20" s="1"/>
  <c r="I148" i="20" s="1"/>
  <c r="J17" i="20"/>
  <c r="H95" i="20"/>
  <c r="H70" i="32" s="1"/>
  <c r="L99" i="20"/>
  <c r="L121" i="20" s="1"/>
  <c r="L143" i="20" s="1"/>
  <c r="J96" i="20"/>
  <c r="J118" i="20" s="1"/>
  <c r="J140" i="20" s="1"/>
  <c r="G99" i="20"/>
  <c r="I13" i="40" s="1"/>
  <c r="G23" i="20"/>
  <c r="S44" i="20"/>
  <c r="I27" i="21"/>
  <c r="L21" i="20"/>
  <c r="K64" i="20"/>
  <c r="M103" i="20"/>
  <c r="M125" i="20" s="1"/>
  <c r="M147" i="20" s="1"/>
  <c r="J27" i="21"/>
  <c r="T44" i="20"/>
  <c r="J8" i="20"/>
  <c r="U31" i="20"/>
  <c r="K29" i="21" s="1"/>
  <c r="U36" i="20"/>
  <c r="K34" i="21" s="1"/>
  <c r="U34" i="20"/>
  <c r="K32" i="21" s="1"/>
  <c r="U40" i="20"/>
  <c r="K38" i="21" s="1"/>
  <c r="U30" i="20"/>
  <c r="K28" i="21" s="1"/>
  <c r="U35" i="20"/>
  <c r="K33" i="21" s="1"/>
  <c r="U33" i="20"/>
  <c r="K31" i="21" s="1"/>
  <c r="U29" i="20"/>
  <c r="U38" i="20"/>
  <c r="K36" i="21" s="1"/>
  <c r="U39" i="20"/>
  <c r="K37" i="21" s="1"/>
  <c r="I22" i="20"/>
  <c r="I23" i="20" s="1"/>
  <c r="U32" i="20"/>
  <c r="K30" i="21" s="1"/>
  <c r="U42" i="20"/>
  <c r="K40" i="21" s="1"/>
  <c r="U37" i="20"/>
  <c r="K35" i="21" s="1"/>
  <c r="U41" i="20"/>
  <c r="K39" i="21" s="1"/>
  <c r="W43" i="20"/>
  <c r="M41" i="21" s="1"/>
  <c r="L19" i="20"/>
  <c r="K62" i="20"/>
  <c r="K106" i="20" s="1"/>
  <c r="W174" i="20" s="1"/>
  <c r="K108" i="20"/>
  <c r="M73" i="40" s="1"/>
  <c r="L18" i="20"/>
  <c r="K61" i="20"/>
  <c r="K105" i="20" s="1"/>
  <c r="K127" i="20" s="1"/>
  <c r="K149" i="20" s="1"/>
  <c r="F43" i="21"/>
  <c r="K97" i="20"/>
  <c r="K119" i="20" s="1"/>
  <c r="K141" i="20" s="1"/>
  <c r="O195" i="20"/>
  <c r="C150" i="20"/>
  <c r="P195" i="20"/>
  <c r="D150" i="20"/>
  <c r="Q175" i="20"/>
  <c r="Q176" i="20" s="1"/>
  <c r="H96" i="20"/>
  <c r="H71" i="32" s="1"/>
  <c r="H92" i="32" s="1"/>
  <c r="I106" i="20"/>
  <c r="U174" i="20" s="1"/>
  <c r="M97" i="20"/>
  <c r="M119" i="20" s="1"/>
  <c r="M141" i="20" s="1"/>
  <c r="L97" i="20"/>
  <c r="L119" i="20" s="1"/>
  <c r="L141" i="20" s="1"/>
  <c r="I103" i="20"/>
  <c r="I125" i="20" s="1"/>
  <c r="I147" i="20" s="1"/>
  <c r="H8" i="11"/>
  <c r="G7" i="11"/>
  <c r="L98" i="20"/>
  <c r="L120" i="20" s="1"/>
  <c r="L142" i="20" s="1"/>
  <c r="M96" i="20"/>
  <c r="M118" i="20" s="1"/>
  <c r="M140" i="20" s="1"/>
  <c r="H106" i="20"/>
  <c r="H128" i="20" s="1"/>
  <c r="I87" i="20"/>
  <c r="I88" i="20" s="1"/>
  <c r="H82" i="32"/>
  <c r="H103" i="32" s="1"/>
  <c r="J23" i="40"/>
  <c r="H129" i="20"/>
  <c r="I73" i="40"/>
  <c r="G152" i="20"/>
  <c r="G130" i="20"/>
  <c r="G78" i="32"/>
  <c r="G99" i="32" s="1"/>
  <c r="G125" i="20"/>
  <c r="I17" i="40"/>
  <c r="M101" i="32"/>
  <c r="H75" i="32"/>
  <c r="H96" i="32" s="1"/>
  <c r="J14" i="40"/>
  <c r="H122" i="20"/>
  <c r="I152" i="20"/>
  <c r="K73" i="40"/>
  <c r="I130" i="20"/>
  <c r="I94" i="40"/>
  <c r="G96" i="20"/>
  <c r="J87" i="20"/>
  <c r="J88" i="20" s="1"/>
  <c r="I65" i="20"/>
  <c r="I66" i="20" s="1"/>
  <c r="I95" i="20"/>
  <c r="G76" i="32"/>
  <c r="G97" i="32" s="1"/>
  <c r="I15" i="40"/>
  <c r="G123" i="20"/>
  <c r="G73" i="32"/>
  <c r="G94" i="32" s="1"/>
  <c r="I12" i="40"/>
  <c r="G120" i="20"/>
  <c r="K87" i="20"/>
  <c r="K88" i="20" s="1"/>
  <c r="M100" i="32"/>
  <c r="J99" i="20"/>
  <c r="J121" i="20" s="1"/>
  <c r="J143" i="20" s="1"/>
  <c r="H78" i="32"/>
  <c r="H99" i="32" s="1"/>
  <c r="J17" i="40"/>
  <c r="H125" i="20"/>
  <c r="R196" i="20"/>
  <c r="R197" i="20" s="1"/>
  <c r="I96" i="20"/>
  <c r="I118" i="20" s="1"/>
  <c r="I140" i="20" s="1"/>
  <c r="G75" i="32"/>
  <c r="G96" i="32" s="1"/>
  <c r="I14" i="40"/>
  <c r="G122" i="20"/>
  <c r="M99" i="20"/>
  <c r="M121" i="20" s="1"/>
  <c r="M143" i="20" s="1"/>
  <c r="J73" i="40"/>
  <c r="H130" i="20"/>
  <c r="H152" i="20"/>
  <c r="P161" i="20"/>
  <c r="P170" i="20"/>
  <c r="P167" i="20"/>
  <c r="P173" i="20"/>
  <c r="P162" i="20"/>
  <c r="P160" i="20"/>
  <c r="P171" i="20"/>
  <c r="P168" i="20"/>
  <c r="P165" i="20"/>
  <c r="D117" i="20"/>
  <c r="P164" i="20"/>
  <c r="P163" i="20"/>
  <c r="P166" i="20"/>
  <c r="P169" i="20"/>
  <c r="P172" i="20"/>
  <c r="D109" i="20"/>
  <c r="G72" i="32"/>
  <c r="G93" i="32" s="1"/>
  <c r="G119" i="20"/>
  <c r="I11" i="40"/>
  <c r="H99" i="20"/>
  <c r="G82" i="32"/>
  <c r="G103" i="32" s="1"/>
  <c r="G129" i="20"/>
  <c r="I23" i="40"/>
  <c r="G95" i="20"/>
  <c r="G87" i="20"/>
  <c r="G88" i="20" s="1"/>
  <c r="H77" i="32"/>
  <c r="H98" i="32" s="1"/>
  <c r="H124" i="20"/>
  <c r="J16" i="40"/>
  <c r="L87" i="20"/>
  <c r="L88" i="20" s="1"/>
  <c r="R175" i="20"/>
  <c r="R176" i="20" s="1"/>
  <c r="H87" i="20"/>
  <c r="H88" i="20" s="1"/>
  <c r="O183" i="20"/>
  <c r="O185" i="20"/>
  <c r="O189" i="20"/>
  <c r="C131" i="20"/>
  <c r="O182" i="20"/>
  <c r="O193" i="20"/>
  <c r="O192" i="20"/>
  <c r="O194" i="20"/>
  <c r="O188" i="20"/>
  <c r="O187" i="20"/>
  <c r="O190" i="20"/>
  <c r="O184" i="20"/>
  <c r="C139" i="20"/>
  <c r="C153" i="20" s="1"/>
  <c r="O191" i="20"/>
  <c r="O181" i="20"/>
  <c r="O186" i="20"/>
  <c r="K96" i="20"/>
  <c r="K118" i="20" s="1"/>
  <c r="K140" i="20" s="1"/>
  <c r="G80" i="32"/>
  <c r="G101" i="32" s="1"/>
  <c r="I21" i="40"/>
  <c r="G127" i="20"/>
  <c r="G77" i="32"/>
  <c r="G98" i="32" s="1"/>
  <c r="I16" i="40"/>
  <c r="G124" i="20"/>
  <c r="H80" i="32"/>
  <c r="H101" i="32" s="1"/>
  <c r="H127" i="20"/>
  <c r="J21" i="40"/>
  <c r="J94" i="40"/>
  <c r="K99" i="20"/>
  <c r="K121" i="20" s="1"/>
  <c r="K143" i="20" s="1"/>
  <c r="J128" i="20"/>
  <c r="L21" i="21"/>
  <c r="V174" i="20"/>
  <c r="E141" i="20"/>
  <c r="E153" i="20" s="1"/>
  <c r="Q192" i="20"/>
  <c r="Q181" i="20"/>
  <c r="Q194" i="20"/>
  <c r="Q184" i="20"/>
  <c r="Q190" i="20"/>
  <c r="Q187" i="20"/>
  <c r="Q191" i="20"/>
  <c r="Q193" i="20"/>
  <c r="Q186" i="20"/>
  <c r="E131" i="20"/>
  <c r="Q182" i="20"/>
  <c r="Q185" i="20"/>
  <c r="Q189" i="20"/>
  <c r="Q188" i="20"/>
  <c r="Q183" i="20"/>
  <c r="L96" i="20"/>
  <c r="L118" i="20" s="1"/>
  <c r="L140" i="20" s="1"/>
  <c r="H65" i="20"/>
  <c r="H66" i="20" s="1"/>
  <c r="J152" i="20"/>
  <c r="L73" i="40"/>
  <c r="J130" i="20"/>
  <c r="H73" i="32"/>
  <c r="H94" i="32" s="1"/>
  <c r="H120" i="20"/>
  <c r="J12" i="40"/>
  <c r="G79" i="32"/>
  <c r="G100" i="32" s="1"/>
  <c r="G126" i="20"/>
  <c r="I20" i="40"/>
  <c r="I99" i="20"/>
  <c r="I121" i="20" s="1"/>
  <c r="I143" i="20" s="1"/>
  <c r="O175" i="20"/>
  <c r="H76" i="32"/>
  <c r="H97" i="32" s="1"/>
  <c r="J15" i="40"/>
  <c r="H123" i="20"/>
  <c r="M87" i="20"/>
  <c r="M88" i="20" s="1"/>
  <c r="K93" i="32"/>
  <c r="K83" i="32"/>
  <c r="I91" i="32"/>
  <c r="I83" i="32"/>
  <c r="M91" i="32"/>
  <c r="M83" i="32"/>
  <c r="J104" i="32"/>
  <c r="G81" i="32" l="1"/>
  <c r="G102" i="32" s="1"/>
  <c r="J11" i="40"/>
  <c r="I22" i="40"/>
  <c r="S174" i="20"/>
  <c r="G128" i="20"/>
  <c r="J20" i="40"/>
  <c r="H126" i="20"/>
  <c r="H148" i="20" s="1"/>
  <c r="H119" i="20"/>
  <c r="H141" i="20" s="1"/>
  <c r="J60" i="20"/>
  <c r="J104" i="20" s="1"/>
  <c r="J126" i="20" s="1"/>
  <c r="J148" i="20" s="1"/>
  <c r="K17" i="20"/>
  <c r="K128" i="20"/>
  <c r="K150" i="20" s="1"/>
  <c r="K130" i="20"/>
  <c r="K152" i="20"/>
  <c r="J8" i="40"/>
  <c r="H117" i="20"/>
  <c r="H139" i="20" s="1"/>
  <c r="G121" i="20"/>
  <c r="M21" i="21"/>
  <c r="G74" i="32"/>
  <c r="G95" i="32" s="1"/>
  <c r="U44" i="20"/>
  <c r="K27" i="21"/>
  <c r="K8" i="20"/>
  <c r="V41" i="20"/>
  <c r="L39" i="21" s="1"/>
  <c r="V33" i="20"/>
  <c r="L31" i="21" s="1"/>
  <c r="V35" i="20"/>
  <c r="L33" i="21" s="1"/>
  <c r="V34" i="20"/>
  <c r="L32" i="21" s="1"/>
  <c r="V37" i="20"/>
  <c r="L35" i="21" s="1"/>
  <c r="V39" i="20"/>
  <c r="L37" i="21" s="1"/>
  <c r="V30" i="20"/>
  <c r="L28" i="21" s="1"/>
  <c r="V40" i="20"/>
  <c r="L38" i="21" s="1"/>
  <c r="J22" i="20"/>
  <c r="V42" i="20"/>
  <c r="L40" i="21" s="1"/>
  <c r="V31" i="20"/>
  <c r="L29" i="21" s="1"/>
  <c r="V36" i="20"/>
  <c r="L34" i="21" s="1"/>
  <c r="V29" i="20"/>
  <c r="V38" i="20"/>
  <c r="L36" i="21" s="1"/>
  <c r="V32" i="20"/>
  <c r="L30" i="21" s="1"/>
  <c r="J51" i="20"/>
  <c r="T45" i="20"/>
  <c r="L64" i="20"/>
  <c r="L108" i="20" s="1"/>
  <c r="M21" i="20"/>
  <c r="M64" i="20" s="1"/>
  <c r="M108" i="20" s="1"/>
  <c r="L61" i="20"/>
  <c r="L105" i="20" s="1"/>
  <c r="L127" i="20" s="1"/>
  <c r="L149" i="20" s="1"/>
  <c r="M18" i="20"/>
  <c r="M61" i="20" s="1"/>
  <c r="M105" i="20" s="1"/>
  <c r="M127" i="20" s="1"/>
  <c r="M149" i="20" s="1"/>
  <c r="J42" i="21"/>
  <c r="J43" i="21" s="1"/>
  <c r="I42" i="21"/>
  <c r="I43" i="21" s="1"/>
  <c r="X43" i="20"/>
  <c r="N41" i="21" s="1"/>
  <c r="M19" i="20"/>
  <c r="L62" i="20"/>
  <c r="L106" i="20" s="1"/>
  <c r="S45" i="20"/>
  <c r="J21" i="21"/>
  <c r="J10" i="40"/>
  <c r="I128" i="20"/>
  <c r="T174" i="20"/>
  <c r="H118" i="20"/>
  <c r="H140" i="20" s="1"/>
  <c r="J22" i="40"/>
  <c r="H81" i="32"/>
  <c r="H102" i="32" s="1"/>
  <c r="T168" i="20"/>
  <c r="J15" i="21" s="1"/>
  <c r="K21" i="21"/>
  <c r="H142" i="20"/>
  <c r="H7" i="11"/>
  <c r="I8" i="11"/>
  <c r="T161" i="20"/>
  <c r="J8" i="21" s="1"/>
  <c r="G151" i="20"/>
  <c r="G142" i="20"/>
  <c r="H151" i="20"/>
  <c r="G149" i="20"/>
  <c r="H146" i="20"/>
  <c r="T169" i="20"/>
  <c r="J16" i="21" s="1"/>
  <c r="H147" i="20"/>
  <c r="T171" i="20"/>
  <c r="J18" i="21" s="1"/>
  <c r="H145" i="20"/>
  <c r="G146" i="20"/>
  <c r="G141" i="20"/>
  <c r="G144" i="20"/>
  <c r="T173" i="20"/>
  <c r="J20" i="21" s="1"/>
  <c r="G148" i="20"/>
  <c r="H149" i="20"/>
  <c r="H144" i="20"/>
  <c r="G147" i="20"/>
  <c r="T170" i="20"/>
  <c r="J17" i="21" s="1"/>
  <c r="H109" i="20"/>
  <c r="H110" i="20" s="1"/>
  <c r="T163" i="20"/>
  <c r="J10" i="21" s="1"/>
  <c r="U160" i="20"/>
  <c r="U161" i="20"/>
  <c r="K8" i="21" s="1"/>
  <c r="U169" i="20"/>
  <c r="K16" i="21" s="1"/>
  <c r="U167" i="20"/>
  <c r="K14" i="21" s="1"/>
  <c r="U173" i="20"/>
  <c r="K20" i="21" s="1"/>
  <c r="U171" i="20"/>
  <c r="K18" i="21" s="1"/>
  <c r="I117" i="20"/>
  <c r="U164" i="20"/>
  <c r="K11" i="21" s="1"/>
  <c r="U168" i="20"/>
  <c r="K15" i="21" s="1"/>
  <c r="U172" i="20"/>
  <c r="K19" i="21" s="1"/>
  <c r="I109" i="20"/>
  <c r="I110" i="20" s="1"/>
  <c r="U163" i="20"/>
  <c r="K10" i="21" s="1"/>
  <c r="U165" i="20"/>
  <c r="K12" i="21" s="1"/>
  <c r="U162" i="20"/>
  <c r="K9" i="21" s="1"/>
  <c r="U166" i="20"/>
  <c r="K13" i="21" s="1"/>
  <c r="U170" i="20"/>
  <c r="K17" i="21" s="1"/>
  <c r="T172" i="20"/>
  <c r="J19" i="21" s="1"/>
  <c r="T166" i="20"/>
  <c r="J13" i="21" s="1"/>
  <c r="T164" i="20"/>
  <c r="J11" i="21" s="1"/>
  <c r="O196" i="20"/>
  <c r="P175" i="20"/>
  <c r="T195" i="20"/>
  <c r="T162" i="20"/>
  <c r="J9" i="21" s="1"/>
  <c r="J150" i="20"/>
  <c r="V195" i="20"/>
  <c r="T167" i="20"/>
  <c r="J14" i="21" s="1"/>
  <c r="T165" i="20"/>
  <c r="J12" i="21" s="1"/>
  <c r="G70" i="32"/>
  <c r="S170" i="20"/>
  <c r="I17" i="21" s="1"/>
  <c r="S169" i="20"/>
  <c r="I16" i="21" s="1"/>
  <c r="S161" i="20"/>
  <c r="I8" i="21" s="1"/>
  <c r="G109" i="20"/>
  <c r="G110" i="20" s="1"/>
  <c r="S163" i="20"/>
  <c r="I10" i="21" s="1"/>
  <c r="S162" i="20"/>
  <c r="I9" i="21" s="1"/>
  <c r="S171" i="20"/>
  <c r="I18" i="21" s="1"/>
  <c r="G117" i="20"/>
  <c r="S164" i="20"/>
  <c r="I11" i="21" s="1"/>
  <c r="S173" i="20"/>
  <c r="I20" i="21" s="1"/>
  <c r="S167" i="20"/>
  <c r="I14" i="21" s="1"/>
  <c r="S160" i="20"/>
  <c r="S165" i="20"/>
  <c r="I12" i="21" s="1"/>
  <c r="S166" i="20"/>
  <c r="I13" i="21" s="1"/>
  <c r="I8" i="40"/>
  <c r="S168" i="20"/>
  <c r="I15" i="21" s="1"/>
  <c r="S172" i="20"/>
  <c r="I19" i="21" s="1"/>
  <c r="Q196" i="20"/>
  <c r="Q197" i="20" s="1"/>
  <c r="H74" i="32"/>
  <c r="H95" i="32" s="1"/>
  <c r="J13" i="40"/>
  <c r="H121" i="20"/>
  <c r="P187" i="20"/>
  <c r="P189" i="20"/>
  <c r="D139" i="20"/>
  <c r="D153" i="20" s="1"/>
  <c r="P194" i="20"/>
  <c r="P183" i="20"/>
  <c r="P185" i="20"/>
  <c r="P190" i="20"/>
  <c r="P192" i="20"/>
  <c r="P181" i="20"/>
  <c r="D131" i="20"/>
  <c r="P186" i="20"/>
  <c r="P188" i="20"/>
  <c r="P184" i="20"/>
  <c r="P191" i="20"/>
  <c r="P193" i="20"/>
  <c r="P182" i="20"/>
  <c r="G145" i="20"/>
  <c r="G71" i="32"/>
  <c r="G92" i="32" s="1"/>
  <c r="G118" i="20"/>
  <c r="I10" i="40"/>
  <c r="T160" i="20"/>
  <c r="H91" i="32"/>
  <c r="L93" i="40"/>
  <c r="J105" i="32"/>
  <c r="M104" i="32"/>
  <c r="M105" i="32" s="1"/>
  <c r="K104" i="32"/>
  <c r="I104" i="32"/>
  <c r="G150" i="20" l="1"/>
  <c r="S195" i="20"/>
  <c r="L17" i="20"/>
  <c r="K60" i="20"/>
  <c r="K104" i="20" s="1"/>
  <c r="K126" i="20" s="1"/>
  <c r="K148" i="20" s="1"/>
  <c r="W195" i="20"/>
  <c r="G143" i="20"/>
  <c r="Y43" i="20"/>
  <c r="O41" i="21" s="1"/>
  <c r="M62" i="20"/>
  <c r="M106" i="20" s="1"/>
  <c r="K42" i="21"/>
  <c r="K43" i="21" s="1"/>
  <c r="M152" i="20"/>
  <c r="M130" i="20"/>
  <c r="O73" i="40"/>
  <c r="V44" i="20"/>
  <c r="L27" i="21"/>
  <c r="J23" i="20"/>
  <c r="L100" i="32"/>
  <c r="U45" i="20"/>
  <c r="X174" i="20"/>
  <c r="L128" i="20"/>
  <c r="N21" i="21"/>
  <c r="L152" i="20"/>
  <c r="L130" i="20"/>
  <c r="N73" i="40"/>
  <c r="J65" i="20"/>
  <c r="J66" i="20" s="1"/>
  <c r="J95" i="20"/>
  <c r="W37" i="20"/>
  <c r="M35" i="21" s="1"/>
  <c r="W32" i="20"/>
  <c r="M30" i="21" s="1"/>
  <c r="W40" i="20"/>
  <c r="M38" i="21" s="1"/>
  <c r="L8" i="20"/>
  <c r="W38" i="20"/>
  <c r="M36" i="21" s="1"/>
  <c r="W34" i="20"/>
  <c r="M32" i="21" s="1"/>
  <c r="W39" i="20"/>
  <c r="M37" i="21" s="1"/>
  <c r="W30" i="20"/>
  <c r="M28" i="21" s="1"/>
  <c r="W29" i="20"/>
  <c r="W41" i="20"/>
  <c r="M39" i="21" s="1"/>
  <c r="W36" i="20"/>
  <c r="M34" i="21" s="1"/>
  <c r="W31" i="20"/>
  <c r="M29" i="21" s="1"/>
  <c r="W42" i="20"/>
  <c r="M40" i="21" s="1"/>
  <c r="K22" i="20"/>
  <c r="K23" i="20" s="1"/>
  <c r="W35" i="20"/>
  <c r="M33" i="21" s="1"/>
  <c r="W33" i="20"/>
  <c r="M31" i="21" s="1"/>
  <c r="K51" i="20"/>
  <c r="I150" i="20"/>
  <c r="U195" i="20"/>
  <c r="T189" i="20"/>
  <c r="H150" i="20"/>
  <c r="T191" i="20"/>
  <c r="T182" i="20"/>
  <c r="T193" i="20"/>
  <c r="T190" i="20"/>
  <c r="H131" i="20"/>
  <c r="H132" i="20" s="1"/>
  <c r="J8" i="11"/>
  <c r="I7" i="11"/>
  <c r="T187" i="20"/>
  <c r="T183" i="20"/>
  <c r="T184" i="20"/>
  <c r="T188" i="20"/>
  <c r="G140" i="20"/>
  <c r="T186" i="20"/>
  <c r="H83" i="32"/>
  <c r="T192" i="20"/>
  <c r="T194" i="20"/>
  <c r="T185" i="20"/>
  <c r="T181" i="20"/>
  <c r="P196" i="20"/>
  <c r="S192" i="20"/>
  <c r="S184" i="20"/>
  <c r="S183" i="20"/>
  <c r="G131" i="20"/>
  <c r="G139" i="20"/>
  <c r="S185" i="20"/>
  <c r="S188" i="20"/>
  <c r="S187" i="20"/>
  <c r="S193" i="20"/>
  <c r="S191" i="20"/>
  <c r="S181" i="20"/>
  <c r="S194" i="20"/>
  <c r="S182" i="20"/>
  <c r="S186" i="20"/>
  <c r="S190" i="20"/>
  <c r="S189" i="20"/>
  <c r="J7" i="21"/>
  <c r="J22" i="21" s="1"/>
  <c r="T175" i="20"/>
  <c r="T176" i="20" s="1"/>
  <c r="I7" i="21"/>
  <c r="I22" i="21" s="1"/>
  <c r="S175" i="20"/>
  <c r="S176" i="20" s="1"/>
  <c r="G91" i="32"/>
  <c r="G83" i="32"/>
  <c r="H104" i="32"/>
  <c r="H143" i="20"/>
  <c r="U189" i="20"/>
  <c r="U187" i="20"/>
  <c r="U185" i="20"/>
  <c r="U194" i="20"/>
  <c r="U181" i="20"/>
  <c r="U183" i="20"/>
  <c r="U192" i="20"/>
  <c r="U186" i="20"/>
  <c r="U191" i="20"/>
  <c r="U188" i="20"/>
  <c r="U190" i="20"/>
  <c r="U182" i="20"/>
  <c r="U184" i="20"/>
  <c r="I139" i="20"/>
  <c r="U193" i="20"/>
  <c r="I131" i="20"/>
  <c r="I132" i="20" s="1"/>
  <c r="U175" i="20"/>
  <c r="U176" i="20" s="1"/>
  <c r="K7" i="21"/>
  <c r="K22" i="21" s="1"/>
  <c r="K93" i="40"/>
  <c r="M93" i="40"/>
  <c r="K105" i="32"/>
  <c r="I105" i="32"/>
  <c r="O93" i="40"/>
  <c r="M17" i="20" l="1"/>
  <c r="M60" i="20" s="1"/>
  <c r="M104" i="20" s="1"/>
  <c r="M126" i="20" s="1"/>
  <c r="M148" i="20" s="1"/>
  <c r="L60" i="20"/>
  <c r="L104" i="20" s="1"/>
  <c r="L126" i="20" s="1"/>
  <c r="L148" i="20" s="1"/>
  <c r="H153" i="20"/>
  <c r="H154" i="20" s="1"/>
  <c r="L104" i="32"/>
  <c r="V45" i="20"/>
  <c r="X195" i="20"/>
  <c r="L150" i="20"/>
  <c r="K95" i="20"/>
  <c r="K65" i="20"/>
  <c r="K66" i="20" s="1"/>
  <c r="W44" i="20"/>
  <c r="M27" i="21"/>
  <c r="Y174" i="20"/>
  <c r="M128" i="20"/>
  <c r="O21" i="21"/>
  <c r="M8" i="20"/>
  <c r="X40" i="20"/>
  <c r="N38" i="21" s="1"/>
  <c r="X34" i="20"/>
  <c r="N32" i="21" s="1"/>
  <c r="X32" i="20"/>
  <c r="N30" i="21" s="1"/>
  <c r="X36" i="20"/>
  <c r="N34" i="21" s="1"/>
  <c r="X42" i="20"/>
  <c r="N40" i="21" s="1"/>
  <c r="X39" i="20"/>
  <c r="N37" i="21" s="1"/>
  <c r="X38" i="20"/>
  <c r="N36" i="21" s="1"/>
  <c r="X29" i="20"/>
  <c r="X33" i="20"/>
  <c r="N31" i="21" s="1"/>
  <c r="X41" i="20"/>
  <c r="N39" i="21" s="1"/>
  <c r="X31" i="20"/>
  <c r="N29" i="21" s="1"/>
  <c r="L22" i="20"/>
  <c r="L23" i="20" s="1"/>
  <c r="X30" i="20"/>
  <c r="N28" i="21" s="1"/>
  <c r="X35" i="20"/>
  <c r="N33" i="21" s="1"/>
  <c r="X37" i="20"/>
  <c r="N35" i="21" s="1"/>
  <c r="L51" i="20"/>
  <c r="V168" i="20"/>
  <c r="L15" i="21" s="1"/>
  <c r="V161" i="20"/>
  <c r="L8" i="21" s="1"/>
  <c r="V173" i="20"/>
  <c r="L20" i="21" s="1"/>
  <c r="V163" i="20"/>
  <c r="L10" i="21" s="1"/>
  <c r="J109" i="20"/>
  <c r="V170" i="20"/>
  <c r="L17" i="21" s="1"/>
  <c r="V169" i="20"/>
  <c r="L16" i="21" s="1"/>
  <c r="V160" i="20"/>
  <c r="V167" i="20"/>
  <c r="L14" i="21" s="1"/>
  <c r="V165" i="20"/>
  <c r="L12" i="21" s="1"/>
  <c r="J117" i="20"/>
  <c r="V162" i="20"/>
  <c r="L9" i="21" s="1"/>
  <c r="V164" i="20"/>
  <c r="L11" i="21" s="1"/>
  <c r="V172" i="20"/>
  <c r="L19" i="21" s="1"/>
  <c r="V171" i="20"/>
  <c r="L18" i="21" s="1"/>
  <c r="V166" i="20"/>
  <c r="L13" i="21" s="1"/>
  <c r="L42" i="21"/>
  <c r="L43" i="21" s="1"/>
  <c r="I153" i="20"/>
  <c r="I154" i="20" s="1"/>
  <c r="K8" i="11"/>
  <c r="J7" i="11"/>
  <c r="G153" i="20"/>
  <c r="T196" i="20"/>
  <c r="T197" i="20" s="1"/>
  <c r="U196" i="20"/>
  <c r="U197" i="20" s="1"/>
  <c r="H105" i="32"/>
  <c r="J93" i="40"/>
  <c r="G132" i="20"/>
  <c r="G104" i="32"/>
  <c r="I23" i="21"/>
  <c r="J23" i="21"/>
  <c r="K23" i="21"/>
  <c r="S196" i="20"/>
  <c r="S197" i="20" s="1"/>
  <c r="W169" i="20" l="1"/>
  <c r="M16" i="21" s="1"/>
  <c r="W170" i="20"/>
  <c r="M17" i="21" s="1"/>
  <c r="W171" i="20"/>
  <c r="M18" i="21" s="1"/>
  <c r="W173" i="20"/>
  <c r="M20" i="21" s="1"/>
  <c r="W160" i="20"/>
  <c r="W163" i="20"/>
  <c r="M10" i="21" s="1"/>
  <c r="W161" i="20"/>
  <c r="M8" i="21" s="1"/>
  <c r="W164" i="20"/>
  <c r="M11" i="21" s="1"/>
  <c r="K117" i="20"/>
  <c r="W165" i="20"/>
  <c r="M12" i="21" s="1"/>
  <c r="W172" i="20"/>
  <c r="M19" i="21" s="1"/>
  <c r="W168" i="20"/>
  <c r="M15" i="21" s="1"/>
  <c r="W167" i="20"/>
  <c r="M14" i="21" s="1"/>
  <c r="W166" i="20"/>
  <c r="M13" i="21" s="1"/>
  <c r="K109" i="20"/>
  <c r="K110" i="20" s="1"/>
  <c r="W162" i="20"/>
  <c r="M9" i="21" s="1"/>
  <c r="J110" i="20"/>
  <c r="M42" i="21"/>
  <c r="M43" i="21" s="1"/>
  <c r="Y195" i="20"/>
  <c r="M150" i="20"/>
  <c r="L7" i="21"/>
  <c r="L22" i="21" s="1"/>
  <c r="V175" i="20"/>
  <c r="V176" i="20" s="1"/>
  <c r="L65" i="20"/>
  <c r="L66" i="20" s="1"/>
  <c r="L95" i="20"/>
  <c r="X44" i="20"/>
  <c r="N27" i="21"/>
  <c r="Y35" i="20"/>
  <c r="O33" i="21" s="1"/>
  <c r="Y34" i="20"/>
  <c r="O32" i="21" s="1"/>
  <c r="Y41" i="20"/>
  <c r="O39" i="21" s="1"/>
  <c r="Y38" i="20"/>
  <c r="O36" i="21" s="1"/>
  <c r="Y37" i="20"/>
  <c r="O35" i="21" s="1"/>
  <c r="Y39" i="20"/>
  <c r="O37" i="21" s="1"/>
  <c r="Y33" i="20"/>
  <c r="O31" i="21" s="1"/>
  <c r="Y29" i="20"/>
  <c r="M22" i="20"/>
  <c r="M23" i="20" s="1"/>
  <c r="Y40" i="20"/>
  <c r="O38" i="21" s="1"/>
  <c r="Y36" i="20"/>
  <c r="O34" i="21" s="1"/>
  <c r="Y42" i="20"/>
  <c r="O40" i="21" s="1"/>
  <c r="Y32" i="20"/>
  <c r="O30" i="21" s="1"/>
  <c r="Y30" i="20"/>
  <c r="O28" i="21" s="1"/>
  <c r="Y31" i="20"/>
  <c r="O29" i="21" s="1"/>
  <c r="M51" i="20"/>
  <c r="W45" i="20"/>
  <c r="L105" i="32"/>
  <c r="N93" i="40"/>
  <c r="V192" i="20"/>
  <c r="V193" i="20"/>
  <c r="V181" i="20"/>
  <c r="V189" i="20"/>
  <c r="V191" i="20"/>
  <c r="V184" i="20"/>
  <c r="J131" i="20"/>
  <c r="V182" i="20"/>
  <c r="V187" i="20"/>
  <c r="V185" i="20"/>
  <c r="V188" i="20"/>
  <c r="V186" i="20"/>
  <c r="J139" i="20"/>
  <c r="J153" i="20" s="1"/>
  <c r="V194" i="20"/>
  <c r="V183" i="20"/>
  <c r="V190" i="20"/>
  <c r="K7" i="11"/>
  <c r="L8" i="11"/>
  <c r="G154" i="20"/>
  <c r="G105" i="32"/>
  <c r="I93" i="40"/>
  <c r="L23" i="21" l="1"/>
  <c r="X171" i="20"/>
  <c r="N18" i="21" s="1"/>
  <c r="X172" i="20"/>
  <c r="N19" i="21" s="1"/>
  <c r="X168" i="20"/>
  <c r="N15" i="21" s="1"/>
  <c r="X164" i="20"/>
  <c r="N11" i="21" s="1"/>
  <c r="X163" i="20"/>
  <c r="N10" i="21" s="1"/>
  <c r="X167" i="20"/>
  <c r="N14" i="21" s="1"/>
  <c r="X166" i="20"/>
  <c r="N13" i="21" s="1"/>
  <c r="X170" i="20"/>
  <c r="N17" i="21" s="1"/>
  <c r="X162" i="20"/>
  <c r="N9" i="21" s="1"/>
  <c r="X173" i="20"/>
  <c r="N20" i="21" s="1"/>
  <c r="X161" i="20"/>
  <c r="N8" i="21" s="1"/>
  <c r="L117" i="20"/>
  <c r="X169" i="20"/>
  <c r="N16" i="21" s="1"/>
  <c r="L109" i="20"/>
  <c r="X160" i="20"/>
  <c r="X165" i="20"/>
  <c r="N12" i="21" s="1"/>
  <c r="J132" i="20"/>
  <c r="J154" i="20"/>
  <c r="V196" i="20"/>
  <c r="M65" i="20"/>
  <c r="M66" i="20" s="1"/>
  <c r="M95" i="20"/>
  <c r="Y44" i="20"/>
  <c r="O27" i="21"/>
  <c r="N42" i="21"/>
  <c r="N43" i="21" s="1"/>
  <c r="N2" i="20"/>
  <c r="D17" i="5" s="1"/>
  <c r="W190" i="20"/>
  <c r="W186" i="20"/>
  <c r="W184" i="20"/>
  <c r="W182" i="20"/>
  <c r="W193" i="20"/>
  <c r="W185" i="20"/>
  <c r="W187" i="20"/>
  <c r="W192" i="20"/>
  <c r="K139" i="20"/>
  <c r="K153" i="20" s="1"/>
  <c r="W183" i="20"/>
  <c r="W191" i="20"/>
  <c r="W194" i="20"/>
  <c r="W188" i="20"/>
  <c r="W189" i="20"/>
  <c r="W181" i="20"/>
  <c r="K131" i="20"/>
  <c r="X45" i="20"/>
  <c r="M7" i="21"/>
  <c r="M22" i="21" s="1"/>
  <c r="W175" i="20"/>
  <c r="W176" i="20" s="1"/>
  <c r="M8" i="11"/>
  <c r="M7" i="11" s="1"/>
  <c r="L7" i="11"/>
  <c r="L110" i="20" l="1"/>
  <c r="O42" i="21"/>
  <c r="O43" i="21" s="1"/>
  <c r="K132" i="20"/>
  <c r="K154" i="20"/>
  <c r="Y45" i="20"/>
  <c r="V197" i="20"/>
  <c r="N7" i="21"/>
  <c r="N22" i="21" s="1"/>
  <c r="X175" i="20"/>
  <c r="X176" i="20" s="1"/>
  <c r="X182" i="20"/>
  <c r="X192" i="20"/>
  <c r="X183" i="20"/>
  <c r="L139" i="20"/>
  <c r="L153" i="20" s="1"/>
  <c r="X194" i="20"/>
  <c r="X186" i="20"/>
  <c r="X184" i="20"/>
  <c r="X188" i="20"/>
  <c r="X185" i="20"/>
  <c r="X191" i="20"/>
  <c r="L131" i="20"/>
  <c r="X181" i="20"/>
  <c r="X190" i="20"/>
  <c r="X189" i="20"/>
  <c r="X193" i="20"/>
  <c r="X187" i="20"/>
  <c r="M23" i="21"/>
  <c r="W196" i="20"/>
  <c r="M109" i="20"/>
  <c r="Y168" i="20"/>
  <c r="O15" i="21" s="1"/>
  <c r="Y163" i="20"/>
  <c r="O10" i="21" s="1"/>
  <c r="Y170" i="20"/>
  <c r="O17" i="21" s="1"/>
  <c r="Y160" i="20"/>
  <c r="Y171" i="20"/>
  <c r="O18" i="21" s="1"/>
  <c r="Y169" i="20"/>
  <c r="O16" i="21" s="1"/>
  <c r="Y172" i="20"/>
  <c r="O19" i="21" s="1"/>
  <c r="Y161" i="20"/>
  <c r="O8" i="21" s="1"/>
  <c r="Y173" i="20"/>
  <c r="O20" i="21" s="1"/>
  <c r="Y167" i="20"/>
  <c r="O14" i="21" s="1"/>
  <c r="Y165" i="20"/>
  <c r="O12" i="21" s="1"/>
  <c r="Y166" i="20"/>
  <c r="O13" i="21" s="1"/>
  <c r="M117" i="20"/>
  <c r="Y164" i="20"/>
  <c r="O11" i="21" s="1"/>
  <c r="Y162" i="20"/>
  <c r="O9" i="21" s="1"/>
  <c r="G97" i="42"/>
  <c r="H96" i="42"/>
  <c r="H101" i="42"/>
  <c r="G100" i="42"/>
  <c r="G93" i="42"/>
  <c r="G96" i="42"/>
  <c r="H102" i="42"/>
  <c r="H95" i="42"/>
  <c r="G102" i="42"/>
  <c r="G99" i="42"/>
  <c r="H97" i="42"/>
  <c r="H100" i="42"/>
  <c r="G95" i="42"/>
  <c r="H98" i="42"/>
  <c r="H94" i="42"/>
  <c r="G92" i="42"/>
  <c r="H92" i="42"/>
  <c r="H103" i="42"/>
  <c r="G94" i="42"/>
  <c r="G101" i="42"/>
  <c r="H99" i="42"/>
  <c r="G103" i="42"/>
  <c r="G98" i="42"/>
  <c r="H93" i="42"/>
  <c r="M110" i="20" l="1"/>
  <c r="N23" i="21"/>
  <c r="Y181" i="20"/>
  <c r="Y182" i="20"/>
  <c r="Y194" i="20"/>
  <c r="Y193" i="20"/>
  <c r="Y183" i="20"/>
  <c r="Y184" i="20"/>
  <c r="Y190" i="20"/>
  <c r="Y185" i="20"/>
  <c r="M139" i="20"/>
  <c r="M153" i="20" s="1"/>
  <c r="Y187" i="20"/>
  <c r="Y191" i="20"/>
  <c r="Y189" i="20"/>
  <c r="Y192" i="20"/>
  <c r="M131" i="20"/>
  <c r="Y188" i="20"/>
  <c r="Y186" i="20"/>
  <c r="W197" i="20"/>
  <c r="L132" i="20"/>
  <c r="L154" i="20"/>
  <c r="O7" i="21"/>
  <c r="O22" i="21" s="1"/>
  <c r="Y175" i="20"/>
  <c r="Y176" i="20" s="1"/>
  <c r="X196" i="20"/>
  <c r="G91" i="42"/>
  <c r="G104" i="42" s="1"/>
  <c r="G83" i="42"/>
  <c r="H83" i="42"/>
  <c r="H91" i="42"/>
  <c r="H104" i="42" s="1"/>
  <c r="O23" i="21" l="1"/>
  <c r="O2" i="21" s="1"/>
  <c r="G15" i="5" s="1"/>
  <c r="M132" i="20"/>
  <c r="M154" i="20"/>
  <c r="X197" i="20"/>
  <c r="Y196" i="20"/>
  <c r="H105" i="42"/>
  <c r="G105" i="42"/>
  <c r="G17" i="5" l="1"/>
  <c r="Y197" i="20"/>
</calcChain>
</file>

<file path=xl/sharedStrings.xml><?xml version="1.0" encoding="utf-8"?>
<sst xmlns="http://schemas.openxmlformats.org/spreadsheetml/2006/main" count="1296" uniqueCount="387">
  <si>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</si>
  <si>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</si>
  <si>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</si>
  <si>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</si>
  <si>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</si>
  <si>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</si>
  <si>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</si>
  <si>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</si>
  <si>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</si>
  <si>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</si>
  <si>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</si>
  <si>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</si>
  <si>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</si>
  <si>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</si>
  <si>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</si>
  <si>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</si>
  <si>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</si>
  <si>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</si>
  <si>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</si>
  <si>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</si>
  <si>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</si>
  <si>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</si>
  <si>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</si>
  <si>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</si>
  <si>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</si>
  <si>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</si>
  <si>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</si>
  <si>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</si>
  <si>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</si>
  <si>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</si>
  <si>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</si>
  <si>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</si>
  <si>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CONNECTION SUBCATEGORY</t>
  </si>
  <si>
    <t>CONNECTION CLASSIFICATION</t>
  </si>
  <si>
    <t>COMMERCIAL/INDUSTRIAL</t>
  </si>
  <si>
    <t>Function Code</t>
  </si>
  <si>
    <t>Total</t>
  </si>
  <si>
    <t>Control</t>
  </si>
  <si>
    <t>Legend</t>
  </si>
  <si>
    <t>Menu</t>
  </si>
  <si>
    <t>User Inputs</t>
  </si>
  <si>
    <t>Base Inputs</t>
  </si>
  <si>
    <t>Calculations</t>
  </si>
  <si>
    <t>Outputs/Export</t>
  </si>
  <si>
    <t>RESIDENTIAL</t>
  </si>
  <si>
    <t>SIMPLE CONNECTION LV ($000'S)</t>
  </si>
  <si>
    <t>R1</t>
  </si>
  <si>
    <t>COMPLEX CONNECTION LV ($000'S)</t>
  </si>
  <si>
    <t>R2</t>
  </si>
  <si>
    <t>COMPLEX CONNECTION HV ($000'S)</t>
  </si>
  <si>
    <t>R3</t>
  </si>
  <si>
    <t>CI1</t>
  </si>
  <si>
    <t>COMPLEX CONNECTION HV (CUSTOMER CONNECTED AT LV, MINOR HV WORKS) ($000'S)</t>
  </si>
  <si>
    <t>CI2</t>
  </si>
  <si>
    <t>COMPLEX CONNECTION HV (CUSTOMER CONNECTED AT LV, UPSTREAM ASSET WORKS) ($000'S)</t>
  </si>
  <si>
    <t>CI3</t>
  </si>
  <si>
    <t>COMPLEX CONNECTION HV (CUSTOMER CONNECTED AT HV) ($000'S)</t>
  </si>
  <si>
    <t>CI4</t>
  </si>
  <si>
    <t>COMPLEX CONNECTION SUB-TRANSMISSION ($000'S)</t>
  </si>
  <si>
    <t>CI5</t>
  </si>
  <si>
    <t>SUBDIVISION</t>
  </si>
  <si>
    <t>S1</t>
  </si>
  <si>
    <t>COMPLEX CONNECTION HV (NO UPSTREAM ASSET WORKS) ($000'S)</t>
  </si>
  <si>
    <t>S2</t>
  </si>
  <si>
    <t>COMPLEX CONNECTION HV (WITH UPSTREAM ASSET WORKS) ($000'S)</t>
  </si>
  <si>
    <t>S3</t>
  </si>
  <si>
    <t>EMBEDDED GENERATION</t>
  </si>
  <si>
    <t>EG1</t>
  </si>
  <si>
    <t>COMPLEX CONNECTION HV (SMALL CAPACITY) ($000'S)</t>
  </si>
  <si>
    <t>EG2</t>
  </si>
  <si>
    <t>COMPLEX CONNECTION HV (LARGE CAPACITY) ($000'S)</t>
  </si>
  <si>
    <t>EG3</t>
  </si>
  <si>
    <t>Allocation of RIN categories expenditure to FC</t>
  </si>
  <si>
    <t>Function Code Titles</t>
  </si>
  <si>
    <t>Capex</t>
  </si>
  <si>
    <t>Description</t>
  </si>
  <si>
    <t>High Voltage Connections</t>
  </si>
  <si>
    <t>Low Density Subdivisions</t>
  </si>
  <si>
    <t>New Connections - Miscellaneous Materials</t>
  </si>
  <si>
    <t>New Connections - Miscellaneous Labour</t>
  </si>
  <si>
    <t>Co-Generation Connections</t>
  </si>
  <si>
    <t>CODE</t>
  </si>
  <si>
    <t>Sheet Check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</si>
  <si>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</si>
  <si>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</si>
  <si>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</si>
  <si>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</si>
  <si>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</si>
  <si>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</si>
  <si>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</si>
  <si>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</si>
  <si>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</si>
  <si>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</si>
  <si>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</si>
  <si>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</si>
  <si>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</si>
  <si>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</si>
  <si>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</si>
  <si>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</si>
  <si>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</si>
  <si>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</si>
  <si>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</si>
  <si>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</si>
  <si>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</si>
  <si>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</si>
  <si>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</si>
  <si>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</si>
  <si>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</si>
  <si>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</si>
  <si>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</si>
  <si>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</si>
  <si>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</si>
  <si>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</si>
  <si>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</si>
  <si>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</si>
  <si>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</si>
  <si>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</si>
  <si>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</si>
  <si>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</si>
  <si>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</si>
  <si>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</si>
  <si>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</si>
  <si>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</si>
  <si>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</si>
  <si>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</si>
  <si>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</si>
  <si>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</si>
  <si>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</si>
  <si>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</si>
  <si>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</si>
  <si>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</si>
  <si>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</si>
  <si>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</si>
  <si>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</si>
  <si>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</si>
  <si>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</si>
  <si>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</si>
  <si>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</si>
  <si>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</si>
  <si>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</si>
  <si>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</si>
  <si>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</si>
  <si>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</si>
  <si>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</si>
  <si>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</si>
  <si>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</si>
  <si>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</si>
  <si>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</si>
  <si>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</si>
  <si>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</si>
  <si>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</si>
  <si>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</si>
  <si>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</si>
  <si>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</si>
  <si>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</si>
  <si>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</si>
  <si>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</si>
  <si>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</si>
  <si>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</si>
  <si>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</si>
  <si>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</si>
  <si>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</si>
  <si>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</si>
  <si>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</si>
  <si>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</si>
  <si>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</si>
  <si>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$'000 nom</t>
  </si>
  <si>
    <t>Actual</t>
  </si>
  <si>
    <t>Forecast</t>
  </si>
  <si>
    <t>Inflation</t>
  </si>
  <si>
    <t>Major Projects</t>
  </si>
  <si>
    <t>Base Year</t>
  </si>
  <si>
    <t>Growth Rate</t>
  </si>
  <si>
    <t>$ Nominal</t>
  </si>
  <si>
    <t>Function Code Mapping</t>
  </si>
  <si>
    <t>Growth Indices by Industry Type</t>
  </si>
  <si>
    <t>COMMERCIAL / INDUSTRIAL</t>
  </si>
  <si>
    <t>Based on Function Code Mapping</t>
  </si>
  <si>
    <t>Totals</t>
  </si>
  <si>
    <t>Header 1A</t>
  </si>
  <si>
    <t>User_Input_Actual</t>
  </si>
  <si>
    <t>A user driven input for actual figures</t>
  </si>
  <si>
    <t>User_Input_Forecast</t>
  </si>
  <si>
    <t>A user driven input for forcast figures</t>
  </si>
  <si>
    <t>LV Supplies to 63kVA</t>
  </si>
  <si>
    <t>Medium Density Subdivisions</t>
  </si>
  <si>
    <t>LV Supplies &gt; 63kVA up to 200kVA</t>
  </si>
  <si>
    <t>LV Supplies &gt; 200kVA up to 500kVA</t>
  </si>
  <si>
    <t>Business Subdivisions</t>
  </si>
  <si>
    <t>Underground Service Pits</t>
  </si>
  <si>
    <t>LV Supplies &gt; 500kVA</t>
  </si>
  <si>
    <t>0's</t>
  </si>
  <si>
    <t>Historical/Forecast Gifted Assets by Function Code</t>
  </si>
  <si>
    <t>Historical/Forecast Rebates by Function Code</t>
  </si>
  <si>
    <t>%</t>
  </si>
  <si>
    <t>Historical Expenditure by Function Code</t>
  </si>
  <si>
    <t>Unit Rates</t>
  </si>
  <si>
    <t>Historical Volumes by Function Code</t>
  </si>
  <si>
    <t>SIMPLE CONNECTION LV</t>
  </si>
  <si>
    <t>COMPLEX CONNECTION LV</t>
  </si>
  <si>
    <t>COMPLEX CONNECTION HV</t>
  </si>
  <si>
    <t>COMPLEX CONNECTION HV (CUSTOMER CONNECTED AT LV, MINOR HV WORKS)</t>
  </si>
  <si>
    <t>COMPLEX CONNECTION HV (CUSTOMER CONNECTED AT LV, UPSTREAM ASSET WORKS)</t>
  </si>
  <si>
    <t>COMPLEX CONNECTION HV (CUSTOMER CONNECTED AT HV)</t>
  </si>
  <si>
    <t>COMPLEX CONNECTION SUB-TRANSMISSION</t>
  </si>
  <si>
    <t>COMPLEX CONNECTION HV (NO UPSTREAM ASSET WORKS)</t>
  </si>
  <si>
    <t>COMPLEX CONNECTION HV (WITH UPSTREAM ASSET WORKS)</t>
  </si>
  <si>
    <t>COMPLEX CONNECTION HV (SMALL CAPACITY)</t>
  </si>
  <si>
    <t>COMPLEX CONNECTION HV (LARGE CAPACITY)</t>
  </si>
  <si>
    <t xml:space="preserve">COMPLEX CONNECTION HV (NO UPSTREAM ASSET WORKS) </t>
  </si>
  <si>
    <t xml:space="preserve">SIMPLE CONNECTION LV </t>
  </si>
  <si>
    <t xml:space="preserve">COMPLEX CONNECTION HV (SMALL CAPACITY) </t>
  </si>
  <si>
    <t xml:space="preserve">COMPLEX CONNECTION HV (LARGE CAPACITY) </t>
  </si>
  <si>
    <t xml:space="preserve">Volumes </t>
  </si>
  <si>
    <t>Growth Rates</t>
  </si>
  <si>
    <t>AER Code</t>
  </si>
  <si>
    <t>Averaging Flag</t>
  </si>
  <si>
    <t>Customer Contributions</t>
  </si>
  <si>
    <t>Historical/Forecast Cash Contribution Ratios by Function Code</t>
  </si>
  <si>
    <t>Historical Gifted Assets by Function Code</t>
  </si>
  <si>
    <t>Historical Rebates by Function Code</t>
  </si>
  <si>
    <t>Historical Contribution Ratios by Function Code</t>
  </si>
  <si>
    <t>Historical Cash Contributions by Function Code</t>
  </si>
  <si>
    <t>Historical Contributions by Function Code</t>
  </si>
  <si>
    <t>Contributions = Cash Contributions - rebates + gifted assets</t>
  </si>
  <si>
    <t>Historical Contributions</t>
  </si>
  <si>
    <t>Historical/Forecast Cash Contributions by Function Code</t>
  </si>
  <si>
    <t>All</t>
  </si>
  <si>
    <t>Gifted Assets</t>
  </si>
  <si>
    <t>Average Unit Rates by Function Code</t>
  </si>
  <si>
    <t>RIN Total</t>
  </si>
  <si>
    <t>Check</t>
  </si>
  <si>
    <t>Source:Australian Construction Industry Forecast report</t>
  </si>
  <si>
    <t>Growth Indices by Industry Type applied to Function Codes</t>
  </si>
  <si>
    <t>Type</t>
  </si>
  <si>
    <t>Sector</t>
  </si>
  <si>
    <t>Region</t>
  </si>
  <si>
    <t>Residential</t>
  </si>
  <si>
    <t>New Houses</t>
  </si>
  <si>
    <t>Melbourne</t>
  </si>
  <si>
    <t>New Other Residential</t>
  </si>
  <si>
    <t>Alterations and Additions (large)</t>
  </si>
  <si>
    <t>Other (mainly small alterations and additions)</t>
  </si>
  <si>
    <t>Non-residential</t>
  </si>
  <si>
    <t>Retail/Wholesale trade</t>
  </si>
  <si>
    <t>Offices</t>
  </si>
  <si>
    <t>Other commercial</t>
  </si>
  <si>
    <t>Industrial</t>
  </si>
  <si>
    <t>Health and aged care</t>
  </si>
  <si>
    <t>Entertainment and recreation</t>
  </si>
  <si>
    <t>Accommodation</t>
  </si>
  <si>
    <t>Miscellaneous</t>
  </si>
  <si>
    <t>Engineering</t>
  </si>
  <si>
    <t>Roads</t>
  </si>
  <si>
    <t>VIC</t>
  </si>
  <si>
    <t>Bridges, railways, harbours</t>
  </si>
  <si>
    <t>Electricity, pipelines</t>
  </si>
  <si>
    <t>Water and sewerage</t>
  </si>
  <si>
    <t>Telecommunications</t>
  </si>
  <si>
    <t>Heavy industry incl. mining</t>
  </si>
  <si>
    <t>Recreation and other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</si>
  <si>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</si>
  <si>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</si>
  <si>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</si>
  <si>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</si>
  <si>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</si>
  <si>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</si>
  <si>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</si>
  <si>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</si>
  <si>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</si>
  <si>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</si>
  <si>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Direct Capex by Function Code (incl Gifted Assets)</t>
  </si>
  <si>
    <t>Type / Sector / Region</t>
  </si>
  <si>
    <t>Expenditure (excl Gifted Assets)</t>
  </si>
  <si>
    <t>Bottom Up Build Flag</t>
  </si>
  <si>
    <t>Forecast Expenditure by Function Code (Bottom Up Build)</t>
  </si>
  <si>
    <t>Forecast Expenditure by Function Code (Total)</t>
  </si>
  <si>
    <t>Macro_Paste</t>
  </si>
  <si>
    <t>A value produced by a macro</t>
  </si>
  <si>
    <t>Assumptions</t>
  </si>
  <si>
    <t>Government Assisted SWER</t>
  </si>
  <si>
    <t>Source: Major Projects</t>
  </si>
  <si>
    <t>Source: Summation of High Volume and Bottom Up Build</t>
  </si>
  <si>
    <t>Uses the current year industry figure divided by the previous year industry figure.</t>
  </si>
  <si>
    <t>LV supplies to 63kVA</t>
  </si>
  <si>
    <t>Medium Density Developments</t>
  </si>
  <si>
    <t>LV supplies &gt;63kVA to 200kVA</t>
  </si>
  <si>
    <t>LV supplies &gt;200kVA to 500kVA</t>
  </si>
  <si>
    <t>HV connection</t>
  </si>
  <si>
    <t>Business subdivisions</t>
  </si>
  <si>
    <t>Underground service pits</t>
  </si>
  <si>
    <t>LV supplies &gt;500kVA</t>
  </si>
  <si>
    <t xml:space="preserve">Co-generation projects </t>
  </si>
  <si>
    <t>Rural subdivisions</t>
  </si>
  <si>
    <t>SWER &amp; 1Ø Backbone Augmentation</t>
  </si>
  <si>
    <t xml:space="preserve"> </t>
  </si>
  <si>
    <t>Historical Volumes by AER Category (CAT RIN Table 2.5.2)</t>
  </si>
  <si>
    <t>Retail/Wholesale trade/Offices/Other Commercial - rest of VIC</t>
  </si>
  <si>
    <t>Other Commerical/Industrial/Miscellaneous - rest of VIC</t>
  </si>
  <si>
    <t>Industrial/Health and Aged Care/Miscellaneous/Roads - rest of VIC</t>
  </si>
  <si>
    <t>Offices/Other Commercial/Industrial/Health and Aged Care/Miscellaneous - rest of VIC</t>
  </si>
  <si>
    <t>No longer in use</t>
  </si>
  <si>
    <t>Historical Expenditure by AER Category (CAT RIN Table 2.5.2 Connections)</t>
  </si>
  <si>
    <t>Historical Expenditure by AER Category (CAT RIN Table 4.4.1 Quoted Services)</t>
  </si>
  <si>
    <t>SERVICE</t>
  </si>
  <si>
    <t>SERVICE SUBCATEGORY</t>
  </si>
  <si>
    <t xml:space="preserve">Quoted Services </t>
  </si>
  <si>
    <t>Recoverable Works - Connections</t>
  </si>
  <si>
    <t>Historical Volumes by AER Category (CAT RIN Table 4.4.1 Quoted Services)</t>
  </si>
  <si>
    <t>End of Sheet</t>
  </si>
  <si>
    <t>Expenditure &amp; Volume Output</t>
  </si>
  <si>
    <t>Reset RIN 2.5 Connections</t>
  </si>
  <si>
    <t>Retail/Wholesale trade/Offices/Other Commercial/Miscellaneous - rest of VIC</t>
  </si>
  <si>
    <t>Powercor</t>
  </si>
  <si>
    <t>2025-26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</si>
  <si>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</si>
  <si>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</si>
  <si>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</si>
  <si>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</si>
  <si>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</si>
  <si>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</si>
  <si>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</si>
  <si>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</si>
  <si>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2015/16</t>
  </si>
  <si>
    <t>2016/17</t>
  </si>
  <si>
    <t>2017/18</t>
  </si>
  <si>
    <t>2018/19</t>
  </si>
  <si>
    <t>Quoted Services</t>
  </si>
  <si>
    <t>Average 2015/16 - 2018/19</t>
  </si>
  <si>
    <t>2015/16-2018/19 Average</t>
  </si>
  <si>
    <t>Historical Expenditure-Volumes</t>
  </si>
  <si>
    <t>ACIF Growth Figures</t>
  </si>
  <si>
    <t>Forecast Expenditure-Volumes</t>
  </si>
  <si>
    <t>Forecast Volumes Using Growth Rate by AER Category</t>
  </si>
  <si>
    <t>Forecast Expenditure by Function Code (High Volume)</t>
  </si>
  <si>
    <t>Historical/Forecast Net Contributions by Function Code</t>
  </si>
  <si>
    <t>Forecast Volumes - Growth Rate by Function Code</t>
  </si>
  <si>
    <t>Source: Growth Rates</t>
  </si>
  <si>
    <t>Source: Forecast Volumes x Unit Rate</t>
  </si>
  <si>
    <t>ACIF Rates</t>
  </si>
  <si>
    <t>Major Projects &lt; $2.5m</t>
  </si>
  <si>
    <t>Historical average</t>
  </si>
  <si>
    <t>Forecast Expenditure by Function Code (Net)</t>
  </si>
  <si>
    <t>Inflation Rates and Conversion factor to June 2021</t>
  </si>
  <si>
    <t>Notes</t>
  </si>
  <si>
    <t>Historical expenditure excludes gifted assets</t>
  </si>
  <si>
    <t>Forecast Expenditure by Function Code (Gross)</t>
  </si>
  <si>
    <t>Financial year</t>
  </si>
  <si>
    <t>Check 1</t>
  </si>
  <si>
    <t>Calendar year</t>
  </si>
  <si>
    <t>HIA Factor</t>
  </si>
  <si>
    <t>AER draft decision</t>
  </si>
  <si>
    <t>RRP change</t>
  </si>
  <si>
    <t>AER adjustments</t>
  </si>
  <si>
    <t>AER Draft decision</t>
  </si>
  <si>
    <t>Forecast Contributions-AER</t>
  </si>
  <si>
    <t>Forecast Contributions</t>
  </si>
  <si>
    <t>IMPACT OF PRICE REDUCTION AND WACC ON AVERAGE CUSTOMER CONTRIBUTION RATE</t>
  </si>
  <si>
    <t>CHANGE IN CONTRIBUTION RATE</t>
  </si>
  <si>
    <t>2016-20</t>
  </si>
  <si>
    <t>2021-26</t>
  </si>
  <si>
    <t>Proportion residential connnection demand</t>
  </si>
  <si>
    <t>Based on 2016-19 CAT RINs</t>
  </si>
  <si>
    <t>ICSN as a proportion of ICCS</t>
  </si>
  <si>
    <t>Estimate based on recent history</t>
  </si>
  <si>
    <t>Average contribution rate</t>
  </si>
  <si>
    <t>2016/17-2018/19 average contribution rate excl gifted assets, generators and recoverable works</t>
  </si>
  <si>
    <t>Real pre-tax WACC</t>
  </si>
  <si>
    <t>Real pre-tax WACC based on draft decision PTRM with 1.95% inflation forecast and X factors of 0% pa</t>
  </si>
  <si>
    <t>1 July 2021 price reduction (Po)</t>
  </si>
  <si>
    <t>Po based on draft decision PTRM with 1.95% inflation forecast and X factors of 0% pa</t>
  </si>
  <si>
    <t>Impact based on $1,000 of ICCS</t>
  </si>
  <si>
    <t>Incremental Cost Customer Specific (ICCS)</t>
  </si>
  <si>
    <t>Incremental Cost Shared Network (ICSN)</t>
  </si>
  <si>
    <t>Incremental Revenue (IR)</t>
  </si>
  <si>
    <t>Customer Contribution (CC)</t>
  </si>
  <si>
    <t>Impact of Po and WACC on $1 pa of 2020 incremental revenue</t>
  </si>
  <si>
    <t>NPV residential (30 years)</t>
  </si>
  <si>
    <t>NPV business (15 years)</t>
  </si>
  <si>
    <t>Weighted average incremental revenue</t>
  </si>
  <si>
    <t>Change in incremental revenue</t>
  </si>
  <si>
    <t>$ 2021</t>
  </si>
  <si>
    <t>Check!</t>
  </si>
  <si>
    <t>Contribution Impacts</t>
  </si>
  <si>
    <t>Direct Capex</t>
  </si>
  <si>
    <t>Gross Capex_AER</t>
  </si>
  <si>
    <t>Powercor -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</si>
</sst>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#,##0_);[Red]\(&quot;$&quot;#,##0\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-* #,##0_-;* \(#,##0\)_-;_-* &quot;-&quot;??_-;_-@_-"/>
    <numFmt numFmtId="169" formatCode="_(* #,##0.00%_);_(* \(#,##0.00%\);_(* &quot;-&quot;??_);_(@_)"/>
    <numFmt numFmtId="170" formatCode="_(* #,##0.00\x_);_(* \(#,##0.00\x\);_(* &quot;-&quot;??_);_(@_)"/>
    <numFmt numFmtId="171" formatCode="#,##0_);\(#,##0\);\-\-_)"/>
    <numFmt numFmtId="172" formatCode="_(* #,##0%_);_(* \(#,##0%\);_(* &quot;-&quot;??_);_(@_)"/>
    <numFmt numFmtId="173" formatCode="_-* #,##0_-;\-* #,##0_-;_-* &quot;-&quot;??_-;_-@_-"/>
    <numFmt numFmtId="174" formatCode="_(* #,##0.000000_);_(* \(#,##0.000000\);_(* &quot;-&quot;??_);_(@_)"/>
    <numFmt numFmtId="175" formatCode="0_ ;\-0\ "/>
    <numFmt numFmtId="176" formatCode="_(* #,##0.0_);_(* \(#,##0.0\);_(* &quot;-&quot;??_);_(@_)"/>
    <numFmt numFmtId="177" formatCode="_-* #,##0.0000000_-;\-* #,##0.0000000_-;_-* &quot;-&quot;??_-;_-@_-"/>
    <numFmt numFmtId="178" formatCode="_(* #,##0.000_);_(* \(#,##0.000\);_(* &quot;-&quot;??_);_(@_)"/>
    <numFmt numFmtId="179" formatCode="0.000"/>
    <numFmt numFmtId="180" formatCode="_-* #,##0.0_-;\-* #,##0.0_-;_-* &quot;-&quot;??_-;_-@_-"/>
    <numFmt numFmtId="181" formatCode="[$-409]mmm\-yy;&quot;nm&quot;;&quot;nm&quot;"/>
    <numFmt numFmtId="182" formatCode="0.0"/>
    <numFmt numFmtId="183" formatCode="&quot;$&quot;#,##0"/>
  </numFmts>
  <fonts count="42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0"/>
      <color rgb="FF9E100A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color indexed="9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color rgb="FF00B05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FEDAD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AA6D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12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E100A"/>
      </left>
      <right style="thin">
        <color rgb="FF9E100A"/>
      </right>
      <top style="thin">
        <color rgb="FF9E100A"/>
      </top>
      <bottom style="thin">
        <color rgb="FF9E100A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" borderId="2" applyNumberFormat="0" applyFont="0" applyAlignment="0"/>
    <xf numFmtId="168" fontId="9" fillId="4" borderId="2" applyAlignment="0"/>
    <xf numFmtId="0" fontId="10" fillId="0" borderId="0" applyNumberFormat="0" applyBorder="0"/>
    <xf numFmtId="0" fontId="11" fillId="0" borderId="0" applyNumberFormat="0"/>
    <xf numFmtId="0" fontId="12" fillId="0" borderId="3" applyNumberFormat="0" applyAlignment="0"/>
    <xf numFmtId="0" fontId="13" fillId="5" borderId="4" applyNumberFormat="0" applyAlignment="0"/>
    <xf numFmtId="0" fontId="8" fillId="0" borderId="5" applyNumberFormat="0" applyFont="0" applyFill="0" applyAlignment="0"/>
    <xf numFmtId="0" fontId="8" fillId="0" borderId="6" applyNumberFormat="0" applyFont="0" applyFill="0" applyAlignment="0"/>
    <xf numFmtId="0" fontId="12" fillId="6" borderId="3" applyNumberFormat="0" applyAlignment="0"/>
    <xf numFmtId="0" fontId="8" fillId="0" borderId="7" applyNumberFormat="0" applyFont="0" applyFill="0" applyAlignment="0"/>
    <xf numFmtId="0" fontId="12" fillId="7" borderId="1" applyNumberFormat="0" applyAlignment="0"/>
    <xf numFmtId="0" fontId="7" fillId="8" borderId="3" applyNumberFormat="0" applyProtection="0"/>
    <xf numFmtId="0" fontId="15" fillId="9" borderId="8" applyNumberFormat="0" applyAlignment="0"/>
    <xf numFmtId="170" fontId="12" fillId="0" borderId="0" applyFont="0" applyFill="0" applyBorder="0" applyAlignment="0" applyProtection="0"/>
    <xf numFmtId="0" fontId="16" fillId="10" borderId="3" applyNumberFormat="0">
      <alignment horizontal="centerContinuous" vertical="center" wrapText="1"/>
    </xf>
    <xf numFmtId="0" fontId="25" fillId="0" borderId="0" applyNumberFormat="0"/>
    <xf numFmtId="0" fontId="14" fillId="0" borderId="0"/>
    <xf numFmtId="0" fontId="12" fillId="0" borderId="0"/>
    <xf numFmtId="167" fontId="8" fillId="0" borderId="0" applyFont="0" applyFill="0" applyBorder="0" applyAlignment="0" applyProtection="0"/>
    <xf numFmtId="171" fontId="19" fillId="17" borderId="0"/>
    <xf numFmtId="0" fontId="6" fillId="0" borderId="0"/>
    <xf numFmtId="171" fontId="29" fillId="17" borderId="0"/>
    <xf numFmtId="0" fontId="30" fillId="0" borderId="0" applyNumberFormat="0" applyFill="0" applyBorder="0" applyAlignment="0" applyProtection="0"/>
    <xf numFmtId="0" fontId="17" fillId="9" borderId="9" applyNumberFormat="0" applyAlignment="0"/>
    <xf numFmtId="0" fontId="21" fillId="0" borderId="0"/>
    <xf numFmtId="165" fontId="7" fillId="2" borderId="1" applyAlignment="0">
      <alignment horizontal="right"/>
      <protection locked="0"/>
    </xf>
    <xf numFmtId="0" fontId="7" fillId="18" borderId="1" applyNumberFormat="0" applyAlignment="0">
      <alignment horizontal="right"/>
      <protection locked="0"/>
    </xf>
    <xf numFmtId="0" fontId="4" fillId="0" borderId="0"/>
    <xf numFmtId="0" fontId="17" fillId="9" borderId="9" applyNumberFormat="0" applyAlignment="0"/>
    <xf numFmtId="165" fontId="7" fillId="2" borderId="1" applyAlignment="0">
      <alignment horizontal="right"/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71" fontId="12" fillId="0" borderId="0" applyFill="0" applyBorder="0">
      <alignment vertical="center"/>
    </xf>
    <xf numFmtId="181" fontId="12" fillId="0" borderId="0" applyFill="0" applyBorder="0">
      <alignment vertical="center"/>
    </xf>
    <xf numFmtId="4" fontId="35" fillId="20" borderId="26" applyNumberFormat="0" applyProtection="0">
      <alignment horizontal="left" vertical="center" indent="1"/>
    </xf>
    <xf numFmtId="4" fontId="35" fillId="0" borderId="26" applyNumberFormat="0" applyProtection="0">
      <alignment horizontal="right" vertical="center"/>
    </xf>
    <xf numFmtId="4" fontId="35" fillId="19" borderId="26" applyNumberFormat="0" applyProtection="0">
      <alignment horizontal="left" vertical="center" indent="1"/>
    </xf>
    <xf numFmtId="4" fontId="35" fillId="21" borderId="26" applyNumberFormat="0" applyProtection="0">
      <alignment vertical="center"/>
    </xf>
    <xf numFmtId="4" fontId="35" fillId="20" borderId="26" applyNumberFormat="0" applyProtection="0">
      <alignment horizontal="left" vertical="center" indent="1"/>
    </xf>
    <xf numFmtId="4" fontId="35" fillId="0" borderId="26" applyNumberFormat="0" applyProtection="0">
      <alignment horizontal="right" vertical="center"/>
    </xf>
    <xf numFmtId="4" fontId="35" fillId="19" borderId="26" applyNumberFormat="0" applyProtection="0">
      <alignment horizontal="left" vertical="center" indent="1"/>
    </xf>
    <xf numFmtId="4" fontId="35" fillId="21" borderId="26" applyNumberFormat="0" applyProtection="0">
      <alignment vertical="center"/>
    </xf>
    <xf numFmtId="0" fontId="36" fillId="22" borderId="0" applyNumberFormat="0">
      <alignment vertical="center"/>
    </xf>
    <xf numFmtId="4" fontId="35" fillId="0" borderId="26" applyNumberFormat="0" applyProtection="0">
      <alignment horizontal="right" vertical="center"/>
    </xf>
    <xf numFmtId="4" fontId="35" fillId="20" borderId="26" applyNumberFormat="0" applyProtection="0">
      <alignment horizontal="left" vertical="center" inden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37" fillId="23" borderId="25">
      <alignment horizontal="center" vertical="center" wrapText="1"/>
    </xf>
    <xf numFmtId="0" fontId="38" fillId="0" borderId="0"/>
    <xf numFmtId="9" fontId="38" fillId="0" borderId="0" applyFont="0" applyFill="0" applyBorder="0" applyAlignment="0" applyProtection="0"/>
    <xf numFmtId="171" fontId="19" fillId="14" borderId="0"/>
  </cellStyleXfs>
  <cellXfs count="288">
    <xf numFmtId="0" fontId="0" fillId="0" borderId="0" xfId="0"/>
    <xf numFmtId="165" fontId="7" fillId="2" borderId="1" xfId="29" applyAlignment="1">
      <protection locked="0"/>
    </xf>
    <xf numFmtId="0" fontId="16" fillId="10" borderId="3" xfId="18">
      <alignment horizontal="centerContinuous" vertical="center" wrapText="1"/>
    </xf>
    <xf numFmtId="0" fontId="0" fillId="11" borderId="0" xfId="0" applyFill="1"/>
    <xf numFmtId="0" fontId="18" fillId="11" borderId="0" xfId="20" applyFont="1" applyFill="1"/>
    <xf numFmtId="0" fontId="14" fillId="11" borderId="0" xfId="20" applyFill="1"/>
    <xf numFmtId="0" fontId="10" fillId="11" borderId="10" xfId="20" applyFont="1" applyFill="1" applyBorder="1"/>
    <xf numFmtId="0" fontId="14" fillId="11" borderId="10" xfId="20" applyFill="1" applyBorder="1"/>
    <xf numFmtId="0" fontId="20" fillId="0" borderId="0" xfId="20" applyFont="1"/>
    <xf numFmtId="0" fontId="21" fillId="0" borderId="0" xfId="20" applyFont="1"/>
    <xf numFmtId="0" fontId="22" fillId="0" borderId="0" xfId="7" applyFont="1"/>
    <xf numFmtId="0" fontId="23" fillId="11" borderId="0" xfId="19" applyFont="1" applyFill="1"/>
    <xf numFmtId="0" fontId="14" fillId="0" borderId="0" xfId="20"/>
    <xf numFmtId="0" fontId="14" fillId="3" borderId="2" xfId="20" applyFill="1" applyBorder="1"/>
    <xf numFmtId="0" fontId="24" fillId="11" borderId="0" xfId="20" applyFont="1" applyFill="1"/>
    <xf numFmtId="0" fontId="12" fillId="11" borderId="3" xfId="8" applyFont="1" applyFill="1"/>
    <xf numFmtId="0" fontId="15" fillId="9" borderId="8" xfId="16"/>
    <xf numFmtId="0" fontId="14" fillId="0" borderId="6" xfId="11" applyFont="1"/>
    <xf numFmtId="0" fontId="14" fillId="0" borderId="7" xfId="13" applyFont="1"/>
    <xf numFmtId="0" fontId="25" fillId="0" borderId="0" xfId="19" applyFont="1"/>
    <xf numFmtId="0" fontId="12" fillId="6" borderId="3" xfId="12"/>
    <xf numFmtId="168" fontId="9" fillId="4" borderId="2" xfId="5"/>
    <xf numFmtId="167" fontId="26" fillId="0" borderId="0" xfId="22" applyFont="1"/>
    <xf numFmtId="0" fontId="7" fillId="8" borderId="3" xfId="15"/>
    <xf numFmtId="0" fontId="16" fillId="10" borderId="3" xfId="18" applyBorder="1">
      <alignment horizontal="centerContinuous" vertical="center" wrapText="1"/>
    </xf>
    <xf numFmtId="0" fontId="16" fillId="10" borderId="3" xfId="18" applyAlignment="1">
      <alignment horizontal="center" vertical="center" wrapText="1"/>
    </xf>
    <xf numFmtId="171" fontId="19" fillId="17" borderId="0" xfId="23"/>
    <xf numFmtId="0" fontId="6" fillId="0" borderId="0" xfId="24"/>
    <xf numFmtId="171" fontId="29" fillId="17" borderId="0" xfId="25"/>
    <xf numFmtId="0" fontId="6" fillId="11" borderId="0" xfId="24" applyFill="1"/>
    <xf numFmtId="0" fontId="31" fillId="9" borderId="3" xfId="26" applyFont="1" applyFill="1" applyBorder="1" applyAlignment="1">
      <alignment horizontal="center" vertical="center"/>
    </xf>
    <xf numFmtId="0" fontId="12" fillId="11" borderId="0" xfId="24" applyFont="1" applyFill="1"/>
    <xf numFmtId="0" fontId="14" fillId="11" borderId="0" xfId="24" applyFont="1" applyFill="1"/>
    <xf numFmtId="0" fontId="0" fillId="11" borderId="3" xfId="0" applyFill="1" applyBorder="1"/>
    <xf numFmtId="0" fontId="20" fillId="11" borderId="0" xfId="28" applyFont="1" applyFill="1"/>
    <xf numFmtId="0" fontId="16" fillId="10" borderId="3" xfId="18" applyAlignment="1">
      <alignment horizontal="left" vertical="center" wrapText="1"/>
    </xf>
    <xf numFmtId="0" fontId="0" fillId="11" borderId="3" xfId="0" applyFill="1" applyBorder="1" applyAlignment="1">
      <alignment horizontal="center"/>
    </xf>
    <xf numFmtId="172" fontId="7" fillId="8" borderId="3" xfId="15" applyNumberFormat="1"/>
    <xf numFmtId="171" fontId="29" fillId="17" borderId="0" xfId="25" applyAlignment="1">
      <alignment horizontal="right"/>
    </xf>
    <xf numFmtId="0" fontId="32" fillId="11" borderId="0" xfId="24" applyFont="1" applyFill="1"/>
    <xf numFmtId="171" fontId="32" fillId="8" borderId="3" xfId="15" applyNumberFormat="1" applyFont="1" applyAlignment="1">
      <alignment horizontal="center"/>
    </xf>
    <xf numFmtId="0" fontId="12" fillId="11" borderId="3" xfId="0" applyFont="1" applyFill="1" applyBorder="1"/>
    <xf numFmtId="0" fontId="12" fillId="11" borderId="3" xfId="0" applyFont="1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6" xfId="0" applyFill="1" applyBorder="1"/>
    <xf numFmtId="0" fontId="12" fillId="11" borderId="0" xfId="26" applyFont="1" applyFill="1" applyBorder="1" applyAlignment="1">
      <alignment horizontal="center"/>
    </xf>
    <xf numFmtId="0" fontId="0" fillId="11" borderId="0" xfId="24" applyFont="1" applyFill="1"/>
    <xf numFmtId="0" fontId="21" fillId="0" borderId="0" xfId="28" applyAlignment="1">
      <alignment horizontal="left"/>
    </xf>
    <xf numFmtId="0" fontId="12" fillId="11" borderId="0" xfId="21" applyFill="1"/>
    <xf numFmtId="0" fontId="25" fillId="0" borderId="0" xfId="19"/>
    <xf numFmtId="0" fontId="12" fillId="9" borderId="9" xfId="27" applyFont="1"/>
    <xf numFmtId="0" fontId="25" fillId="11" borderId="0" xfId="19" applyFill="1"/>
    <xf numFmtId="167" fontId="7" fillId="2" borderId="1" xfId="2" applyNumberFormat="1" applyFont="1" applyFill="1" applyBorder="1" applyAlignment="1" applyProtection="1">
      <protection locked="0"/>
    </xf>
    <xf numFmtId="167" fontId="12" fillId="0" borderId="3" xfId="8" applyNumberFormat="1" applyAlignment="1"/>
    <xf numFmtId="169" fontId="12" fillId="0" borderId="3" xfId="8" applyNumberFormat="1" applyAlignment="1"/>
    <xf numFmtId="0" fontId="12" fillId="0" borderId="15" xfId="0" applyFont="1" applyBorder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167" fontId="12" fillId="6" borderId="3" xfId="12" applyNumberFormat="1"/>
    <xf numFmtId="0" fontId="17" fillId="9" borderId="9" xfId="27"/>
    <xf numFmtId="0" fontId="0" fillId="0" borderId="0" xfId="0"/>
    <xf numFmtId="0" fontId="5" fillId="11" borderId="0" xfId="24" applyFont="1" applyFill="1"/>
    <xf numFmtId="0" fontId="0" fillId="11" borderId="0" xfId="20" applyFont="1" applyFill="1"/>
    <xf numFmtId="0" fontId="7" fillId="2" borderId="1" xfId="29" applyNumberFormat="1">
      <alignment horizontal="right"/>
      <protection locked="0"/>
    </xf>
    <xf numFmtId="0" fontId="7" fillId="18" borderId="1" xfId="30" applyNumberFormat="1">
      <alignment horizontal="right"/>
      <protection locked="0"/>
    </xf>
    <xf numFmtId="167" fontId="7" fillId="2" borderId="1" xfId="29" applyNumberFormat="1" applyAlignment="1">
      <protection locked="0"/>
    </xf>
    <xf numFmtId="172" fontId="7" fillId="2" borderId="1" xfId="29" applyNumberFormat="1" applyAlignment="1">
      <protection locked="0"/>
    </xf>
    <xf numFmtId="0" fontId="12" fillId="9" borderId="9" xfId="27" applyFont="1" applyAlignment="1">
      <alignment horizontal="center"/>
    </xf>
    <xf numFmtId="0" fontId="12" fillId="9" borderId="3" xfId="27" applyFont="1" applyBorder="1"/>
    <xf numFmtId="0" fontId="12" fillId="9" borderId="3" xfId="27" applyFont="1" applyBorder="1" applyAlignment="1">
      <alignment horizontal="center"/>
    </xf>
    <xf numFmtId="165" fontId="7" fillId="2" borderId="1" xfId="29" applyAlignment="1">
      <alignment horizontal="center"/>
      <protection locked="0"/>
    </xf>
    <xf numFmtId="0" fontId="12" fillId="6" borderId="3" xfId="12" applyAlignment="1">
      <alignment horizontal="center"/>
    </xf>
    <xf numFmtId="167" fontId="12" fillId="6" borderId="3" xfId="12" applyNumberFormat="1" applyAlignment="1"/>
    <xf numFmtId="167" fontId="0" fillId="11" borderId="0" xfId="0" applyNumberFormat="1" applyFill="1"/>
    <xf numFmtId="173" fontId="0" fillId="11" borderId="0" xfId="0" applyNumberFormat="1" applyFill="1"/>
    <xf numFmtId="0" fontId="33" fillId="11" borderId="0" xfId="24" applyFont="1" applyFill="1"/>
    <xf numFmtId="0" fontId="16" fillId="10" borderId="3" xfId="18" applyAlignment="1">
      <alignment horizontal="center" vertical="center" wrapText="1"/>
    </xf>
    <xf numFmtId="0" fontId="16" fillId="10" borderId="3" xfId="18" applyAlignment="1">
      <alignment horizontal="center" vertical="center" wrapText="1"/>
    </xf>
    <xf numFmtId="0" fontId="16" fillId="10" borderId="3" xfId="18" applyAlignment="1">
      <alignment horizontal="center" vertical="center" wrapText="1"/>
    </xf>
    <xf numFmtId="0" fontId="16" fillId="10" borderId="3" xfId="18" applyBorder="1" applyAlignment="1">
      <alignment horizontal="center" vertical="center" wrapText="1"/>
    </xf>
    <xf numFmtId="0" fontId="16" fillId="10" borderId="11" xfId="18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2" fillId="11" borderId="3" xfId="0" applyFont="1" applyFill="1" applyBorder="1" applyAlignment="1">
      <alignment horizontal="left"/>
    </xf>
    <xf numFmtId="0" fontId="16" fillId="10" borderId="3" xfId="18" applyBorder="1" applyAlignment="1">
      <alignment horizontal="left" vertical="center" wrapText="1"/>
    </xf>
    <xf numFmtId="0" fontId="21" fillId="11" borderId="0" xfId="0" applyFont="1" applyFill="1"/>
    <xf numFmtId="0" fontId="12" fillId="0" borderId="17" xfId="0" applyFont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172" fontId="7" fillId="2" borderId="1" xfId="29" applyNumberFormat="1" applyFont="1" applyAlignment="1">
      <protection locked="0"/>
    </xf>
    <xf numFmtId="0" fontId="34" fillId="11" borderId="0" xfId="24" applyFont="1" applyFill="1"/>
    <xf numFmtId="165" fontId="7" fillId="2" borderId="1" xfId="29" applyAlignment="1">
      <alignment horizontal="center"/>
      <protection locked="0"/>
    </xf>
    <xf numFmtId="167" fontId="15" fillId="9" borderId="8" xfId="16" applyNumberFormat="1"/>
    <xf numFmtId="165" fontId="7" fillId="2" borderId="1" xfId="29" applyAlignment="1">
      <alignment horizontal="left"/>
      <protection locked="0"/>
    </xf>
    <xf numFmtId="174" fontId="0" fillId="11" borderId="0" xfId="0" applyNumberFormat="1" applyFill="1"/>
    <xf numFmtId="1" fontId="0" fillId="11" borderId="0" xfId="0" applyNumberFormat="1" applyFill="1" applyAlignment="1">
      <alignment horizontal="center"/>
    </xf>
    <xf numFmtId="0" fontId="12" fillId="9" borderId="9" xfId="27" applyFont="1" applyAlignment="1">
      <alignment horizontal="left"/>
    </xf>
    <xf numFmtId="0" fontId="32" fillId="11" borderId="0" xfId="24" applyFont="1" applyFill="1" applyAlignment="1">
      <alignment horizontal="center"/>
    </xf>
    <xf numFmtId="0" fontId="30" fillId="11" borderId="0" xfId="26" applyFill="1" applyAlignment="1">
      <alignment vertical="top"/>
    </xf>
    <xf numFmtId="169" fontId="0" fillId="11" borderId="0" xfId="1" applyFont="1" applyFill="1"/>
    <xf numFmtId="169" fontId="0" fillId="11" borderId="0" xfId="0" applyNumberFormat="1" applyFill="1"/>
    <xf numFmtId="169" fontId="12" fillId="3" borderId="18" xfId="4" applyNumberFormat="1" applyFont="1" applyBorder="1" applyAlignment="1"/>
    <xf numFmtId="169" fontId="12" fillId="11" borderId="11" xfId="8" applyNumberFormat="1" applyFill="1" applyBorder="1" applyAlignment="1"/>
    <xf numFmtId="169" fontId="12" fillId="11" borderId="12" xfId="8" applyNumberFormat="1" applyFill="1" applyBorder="1" applyAlignment="1"/>
    <xf numFmtId="169" fontId="12" fillId="3" borderId="11" xfId="4" applyNumberFormat="1" applyFont="1" applyBorder="1" applyAlignment="1"/>
    <xf numFmtId="169" fontId="12" fillId="3" borderId="12" xfId="4" applyNumberFormat="1" applyFont="1" applyBorder="1" applyAlignment="1"/>
    <xf numFmtId="169" fontId="12" fillId="3" borderId="3" xfId="4" applyNumberFormat="1" applyFont="1" applyBorder="1" applyAlignment="1"/>
    <xf numFmtId="0" fontId="25" fillId="0" borderId="0" xfId="19" applyAlignment="1">
      <alignment vertical="top"/>
    </xf>
    <xf numFmtId="0" fontId="0" fillId="11" borderId="0" xfId="0" applyFill="1" applyAlignment="1">
      <alignment vertical="top"/>
    </xf>
    <xf numFmtId="169" fontId="12" fillId="3" borderId="21" xfId="4" applyNumberFormat="1" applyFont="1" applyBorder="1" applyAlignment="1"/>
    <xf numFmtId="169" fontId="12" fillId="3" borderId="22" xfId="4" applyNumberFormat="1" applyFont="1" applyBorder="1" applyAlignment="1"/>
    <xf numFmtId="0" fontId="16" fillId="10" borderId="3" xfId="18" applyAlignment="1">
      <alignment horizontal="center" vertical="center" wrapText="1"/>
    </xf>
    <xf numFmtId="0" fontId="15" fillId="9" borderId="8" xfId="16" applyAlignment="1">
      <alignment horizontal="center"/>
    </xf>
    <xf numFmtId="1" fontId="0" fillId="11" borderId="0" xfId="0" applyNumberFormat="1" applyFill="1"/>
    <xf numFmtId="0" fontId="16" fillId="10" borderId="3" xfId="18" applyAlignment="1">
      <alignment horizontal="center" vertical="center" wrapText="1"/>
    </xf>
    <xf numFmtId="167" fontId="0" fillId="11" borderId="0" xfId="0" applyNumberFormat="1" applyFill="1" applyAlignment="1">
      <alignment horizontal="left" indent="2"/>
    </xf>
    <xf numFmtId="0" fontId="12" fillId="7" borderId="1" xfId="14"/>
    <xf numFmtId="0" fontId="21" fillId="11" borderId="0" xfId="28" applyFill="1"/>
    <xf numFmtId="169" fontId="12" fillId="0" borderId="3" xfId="8" applyNumberFormat="1" applyBorder="1" applyAlignment="1"/>
    <xf numFmtId="169" fontId="12" fillId="3" borderId="24" xfId="4" applyNumberFormat="1" applyFont="1" applyBorder="1" applyAlignment="1"/>
    <xf numFmtId="166" fontId="0" fillId="11" borderId="0" xfId="0" applyNumberFormat="1" applyFill="1"/>
    <xf numFmtId="175" fontId="7" fillId="2" borderId="1" xfId="29" applyNumberFormat="1" applyAlignment="1">
      <alignment horizontal="center"/>
      <protection locked="0"/>
    </xf>
    <xf numFmtId="0" fontId="12" fillId="6" borderId="3" xfId="12" applyAlignment="1">
      <alignment horizontal="right"/>
    </xf>
    <xf numFmtId="0" fontId="25" fillId="11" borderId="0" xfId="19" applyFill="1" applyAlignment="1">
      <alignment vertical="top"/>
    </xf>
    <xf numFmtId="0" fontId="7" fillId="8" borderId="3" xfId="15" applyAlignment="1">
      <alignment horizontal="right"/>
    </xf>
    <xf numFmtId="0" fontId="12" fillId="0" borderId="3" xfId="8" applyAlignment="1">
      <alignment horizontal="right"/>
    </xf>
    <xf numFmtId="167" fontId="0" fillId="11" borderId="0" xfId="2" applyNumberFormat="1" applyFont="1" applyFill="1"/>
    <xf numFmtId="167" fontId="12" fillId="3" borderId="3" xfId="4" applyNumberFormat="1" applyFont="1" applyBorder="1"/>
    <xf numFmtId="0" fontId="30" fillId="11" borderId="0" xfId="26" applyFill="1" applyAlignment="1">
      <alignment vertical="center"/>
    </xf>
    <xf numFmtId="167" fontId="0" fillId="11" borderId="0" xfId="0" applyNumberFormat="1" applyFill="1" applyAlignment="1">
      <alignment vertical="top"/>
    </xf>
    <xf numFmtId="166" fontId="0" fillId="11" borderId="0" xfId="0" applyNumberFormat="1" applyFill="1" applyAlignment="1">
      <alignment vertical="top"/>
    </xf>
    <xf numFmtId="0" fontId="0" fillId="0" borderId="0" xfId="0"/>
    <xf numFmtId="177" fontId="0" fillId="11" borderId="0" xfId="0" applyNumberFormat="1" applyFill="1"/>
    <xf numFmtId="178" fontId="0" fillId="11" borderId="0" xfId="0" applyNumberFormat="1" applyFill="1"/>
    <xf numFmtId="166" fontId="0" fillId="11" borderId="0" xfId="2" applyFont="1" applyFill="1" applyAlignment="1">
      <alignment vertical="top"/>
    </xf>
    <xf numFmtId="0" fontId="21" fillId="11" borderId="0" xfId="0" applyFont="1" applyFill="1" applyAlignment="1">
      <alignment horizontal="center"/>
    </xf>
    <xf numFmtId="0" fontId="16" fillId="10" borderId="3" xfId="18" applyBorder="1" applyAlignment="1">
      <alignment horizontal="center" vertical="center" wrapText="1"/>
    </xf>
    <xf numFmtId="0" fontId="16" fillId="10" borderId="3" xfId="18" applyAlignment="1">
      <alignment horizontal="center" vertical="center" wrapText="1"/>
    </xf>
    <xf numFmtId="0" fontId="0" fillId="11" borderId="3" xfId="0" applyFill="1" applyBorder="1" applyAlignment="1">
      <alignment horizontal="center" vertical="top" wrapText="1"/>
    </xf>
    <xf numFmtId="0" fontId="12" fillId="11" borderId="3" xfId="0" applyFont="1" applyFill="1" applyBorder="1" applyAlignment="1">
      <alignment horizontal="left"/>
    </xf>
    <xf numFmtId="0" fontId="12" fillId="11" borderId="0" xfId="21" applyFont="1" applyFill="1"/>
    <xf numFmtId="0" fontId="0" fillId="11" borderId="3" xfId="0" applyFill="1" applyBorder="1" applyAlignment="1">
      <alignment horizontal="left"/>
    </xf>
    <xf numFmtId="0" fontId="16" fillId="10" borderId="3" xfId="18">
      <alignment horizontal="centerContinuous" vertical="center" wrapText="1"/>
    </xf>
    <xf numFmtId="0" fontId="0" fillId="11" borderId="0" xfId="0" applyFill="1"/>
    <xf numFmtId="0" fontId="16" fillId="10" borderId="3" xfId="18" applyAlignment="1">
      <alignment horizontal="center" vertical="center" wrapText="1"/>
    </xf>
    <xf numFmtId="0" fontId="20" fillId="11" borderId="0" xfId="28" applyFont="1" applyFill="1"/>
    <xf numFmtId="0" fontId="25" fillId="0" borderId="0" xfId="19"/>
    <xf numFmtId="0" fontId="0" fillId="11" borderId="0" xfId="0" applyFill="1"/>
    <xf numFmtId="0" fontId="0" fillId="0" borderId="0" xfId="0"/>
    <xf numFmtId="0" fontId="31" fillId="9" borderId="3" xfId="26" applyFont="1" applyFill="1" applyBorder="1" applyAlignment="1">
      <alignment horizontal="center" vertical="center"/>
    </xf>
    <xf numFmtId="0" fontId="25" fillId="0" borderId="0" xfId="19"/>
    <xf numFmtId="0" fontId="0" fillId="0" borderId="0" xfId="0" applyFill="1"/>
    <xf numFmtId="0" fontId="21" fillId="0" borderId="0" xfId="28"/>
    <xf numFmtId="180" fontId="0" fillId="11" borderId="0" xfId="0" applyNumberFormat="1" applyFill="1"/>
    <xf numFmtId="176" fontId="0" fillId="11" borderId="0" xfId="2" applyNumberFormat="1" applyFont="1" applyFill="1"/>
    <xf numFmtId="0" fontId="12" fillId="11" borderId="0" xfId="0" applyFont="1" applyFill="1" applyAlignment="1">
      <alignment vertical="top"/>
    </xf>
    <xf numFmtId="176" fontId="0" fillId="11" borderId="0" xfId="0" applyNumberFormat="1" applyFill="1"/>
    <xf numFmtId="182" fontId="0" fillId="11" borderId="0" xfId="0" applyNumberFormat="1" applyFill="1"/>
    <xf numFmtId="173" fontId="12" fillId="0" borderId="3" xfId="8" applyNumberFormat="1" applyFill="1" applyAlignment="1"/>
    <xf numFmtId="167" fontId="12" fillId="0" borderId="3" xfId="8" applyNumberFormat="1" applyFill="1" applyAlignment="1"/>
    <xf numFmtId="167" fontId="15" fillId="24" borderId="8" xfId="16" applyNumberFormat="1" applyFill="1"/>
    <xf numFmtId="167" fontId="0" fillId="25" borderId="3" xfId="0" applyNumberFormat="1" applyFill="1" applyBorder="1"/>
    <xf numFmtId="167" fontId="7" fillId="2" borderId="1" xfId="29" applyNumberFormat="1" applyFill="1" applyAlignment="1">
      <protection locked="0"/>
    </xf>
    <xf numFmtId="172" fontId="7" fillId="2" borderId="1" xfId="29" applyNumberFormat="1" applyFill="1" applyAlignment="1">
      <protection locked="0"/>
    </xf>
    <xf numFmtId="167" fontId="12" fillId="26" borderId="3" xfId="12" applyNumberFormat="1" applyFill="1" applyAlignment="1"/>
    <xf numFmtId="172" fontId="7" fillId="2" borderId="1" xfId="29" applyNumberFormat="1" applyFont="1" applyFill="1" applyAlignment="1">
      <protection locked="0"/>
    </xf>
    <xf numFmtId="167" fontId="12" fillId="0" borderId="3" xfId="8" applyNumberFormat="1" applyFill="1"/>
    <xf numFmtId="167" fontId="15" fillId="24" borderId="8" xfId="16" applyNumberFormat="1" applyFill="1" applyAlignment="1"/>
    <xf numFmtId="0" fontId="7" fillId="2" borderId="1" xfId="29" applyNumberFormat="1" applyFill="1" applyAlignment="1">
      <alignment horizontal="center"/>
      <protection locked="0"/>
    </xf>
    <xf numFmtId="167" fontId="12" fillId="26" borderId="3" xfId="12" applyNumberFormat="1" applyFill="1" applyBorder="1"/>
    <xf numFmtId="167" fontId="7" fillId="28" borderId="3" xfId="15" applyNumberFormat="1" applyFill="1"/>
    <xf numFmtId="173" fontId="15" fillId="24" borderId="8" xfId="16" applyNumberFormat="1" applyFill="1"/>
    <xf numFmtId="166" fontId="15" fillId="24" borderId="8" xfId="16" applyNumberFormat="1" applyFill="1"/>
    <xf numFmtId="171" fontId="32" fillId="28" borderId="3" xfId="15" applyNumberFormat="1" applyFont="1" applyFill="1" applyAlignment="1">
      <alignment horizontal="center"/>
    </xf>
    <xf numFmtId="171" fontId="29" fillId="17" borderId="0" xfId="25" applyFill="1"/>
    <xf numFmtId="166" fontId="12" fillId="0" borderId="3" xfId="8" applyNumberFormat="1" applyFill="1"/>
    <xf numFmtId="172" fontId="7" fillId="28" borderId="3" xfId="15" applyNumberFormat="1" applyFill="1"/>
    <xf numFmtId="169" fontId="7" fillId="28" borderId="3" xfId="15" applyNumberFormat="1" applyFill="1"/>
    <xf numFmtId="167" fontId="12" fillId="0" borderId="3" xfId="8" applyNumberFormat="1" applyFill="1" applyAlignment="1">
      <alignment horizontal="center"/>
    </xf>
    <xf numFmtId="0" fontId="12" fillId="24" borderId="9" xfId="27" applyFont="1" applyFill="1" applyAlignment="1">
      <alignment horizontal="left"/>
    </xf>
    <xf numFmtId="0" fontId="12" fillId="24" borderId="9" xfId="27" applyFont="1" applyFill="1" applyAlignment="1">
      <alignment horizontal="center"/>
    </xf>
    <xf numFmtId="0" fontId="12" fillId="0" borderId="3" xfId="8" applyNumberFormat="1" applyFill="1" applyAlignment="1">
      <alignment horizontal="center"/>
    </xf>
    <xf numFmtId="0" fontId="7" fillId="2" borderId="23" xfId="29" applyNumberFormat="1" applyFill="1" applyBorder="1" applyAlignment="1">
      <alignment horizontal="center"/>
      <protection locked="0"/>
    </xf>
    <xf numFmtId="167" fontId="12" fillId="26" borderId="3" xfId="12" applyNumberFormat="1" applyFill="1"/>
    <xf numFmtId="167" fontId="0" fillId="27" borderId="3" xfId="0" applyNumberFormat="1" applyFill="1" applyBorder="1"/>
    <xf numFmtId="0" fontId="20" fillId="30" borderId="0" xfId="28" applyFont="1" applyFill="1"/>
    <xf numFmtId="167" fontId="15" fillId="24" borderId="8" xfId="16" applyNumberFormat="1" applyFill="1" applyAlignment="1">
      <alignment vertical="center"/>
    </xf>
    <xf numFmtId="173" fontId="15" fillId="24" borderId="8" xfId="16" applyNumberFormat="1" applyFill="1" applyAlignment="1"/>
    <xf numFmtId="167" fontId="12" fillId="3" borderId="3" xfId="4" applyNumberFormat="1" applyFont="1" applyFill="1" applyBorder="1" applyAlignment="1"/>
    <xf numFmtId="0" fontId="15" fillId="24" borderId="8" xfId="16" applyFill="1" applyAlignment="1">
      <alignment horizontal="center"/>
    </xf>
    <xf numFmtId="0" fontId="16" fillId="29" borderId="3" xfId="18" applyFill="1" applyBorder="1" applyAlignment="1">
      <alignment horizontal="center" vertical="center" wrapText="1"/>
    </xf>
    <xf numFmtId="169" fontId="12" fillId="0" borderId="3" xfId="8" applyNumberFormat="1" applyFill="1" applyAlignment="1"/>
    <xf numFmtId="169" fontId="12" fillId="0" borderId="3" xfId="8" applyNumberFormat="1" applyFill="1" applyBorder="1" applyAlignment="1"/>
    <xf numFmtId="169" fontId="12" fillId="0" borderId="3" xfId="1" applyFont="1" applyFill="1" applyBorder="1" applyAlignment="1"/>
    <xf numFmtId="169" fontId="15" fillId="24" borderId="8" xfId="16" applyNumberFormat="1" applyFill="1" applyAlignment="1"/>
    <xf numFmtId="167" fontId="15" fillId="0" borderId="8" xfId="16" applyNumberFormat="1" applyFill="1" applyAlignment="1"/>
    <xf numFmtId="10" fontId="7" fillId="0" borderId="1" xfId="29" applyNumberFormat="1" applyFill="1" applyAlignment="1">
      <alignment horizontal="center"/>
      <protection locked="0"/>
    </xf>
    <xf numFmtId="0" fontId="0" fillId="11" borderId="0" xfId="0" applyFill="1" applyAlignment="1">
      <alignment horizontal="center"/>
    </xf>
    <xf numFmtId="0" fontId="0" fillId="31" borderId="3" xfId="0" applyFill="1" applyBorder="1" applyAlignment="1">
      <alignment horizontal="center"/>
    </xf>
    <xf numFmtId="173" fontId="12" fillId="31" borderId="3" xfId="8" applyNumberFormat="1" applyFill="1"/>
    <xf numFmtId="173" fontId="12" fillId="32" borderId="3" xfId="8" applyNumberFormat="1" applyFill="1"/>
    <xf numFmtId="173" fontId="12" fillId="31" borderId="3" xfId="8" applyNumberFormat="1" applyFill="1" applyAlignment="1"/>
    <xf numFmtId="173" fontId="12" fillId="33" borderId="3" xfId="8" applyNumberFormat="1" applyFill="1" applyAlignment="1"/>
    <xf numFmtId="166" fontId="12" fillId="33" borderId="3" xfId="8" applyNumberFormat="1" applyFill="1" applyAlignment="1"/>
    <xf numFmtId="167" fontId="12" fillId="33" borderId="3" xfId="8" applyNumberFormat="1" applyFill="1" applyAlignment="1"/>
    <xf numFmtId="167" fontId="15" fillId="31" borderId="8" xfId="16" applyNumberFormat="1" applyFill="1"/>
    <xf numFmtId="167" fontId="15" fillId="33" borderId="8" xfId="16" applyNumberFormat="1" applyFill="1"/>
    <xf numFmtId="3" fontId="12" fillId="34" borderId="3" xfId="21" applyNumberFormat="1" applyFill="1" applyBorder="1" applyAlignment="1">
      <alignment wrapText="1"/>
    </xf>
    <xf numFmtId="0" fontId="39" fillId="0" borderId="0" xfId="60" applyFont="1"/>
    <xf numFmtId="0" fontId="38" fillId="0" borderId="0" xfId="60"/>
    <xf numFmtId="0" fontId="39" fillId="0" borderId="29" xfId="60" applyFont="1" applyBorder="1"/>
    <xf numFmtId="0" fontId="38" fillId="0" borderId="30" xfId="60" applyBorder="1"/>
    <xf numFmtId="0" fontId="38" fillId="0" borderId="31" xfId="60" applyBorder="1"/>
    <xf numFmtId="0" fontId="38" fillId="0" borderId="32" xfId="60" applyBorder="1" applyAlignment="1">
      <alignment horizontal="center"/>
    </xf>
    <xf numFmtId="0" fontId="39" fillId="0" borderId="0" xfId="60" applyFont="1" applyBorder="1"/>
    <xf numFmtId="0" fontId="38" fillId="0" borderId="0" xfId="60" applyBorder="1"/>
    <xf numFmtId="0" fontId="38" fillId="0" borderId="33" xfId="60" applyBorder="1"/>
    <xf numFmtId="0" fontId="38" fillId="0" borderId="34" xfId="60" applyBorder="1"/>
    <xf numFmtId="0" fontId="38" fillId="0" borderId="14" xfId="60" applyBorder="1"/>
    <xf numFmtId="0" fontId="38" fillId="0" borderId="35" xfId="60" applyBorder="1"/>
    <xf numFmtId="0" fontId="39" fillId="0" borderId="0" xfId="60" applyFont="1" applyAlignment="1">
      <alignment horizontal="center"/>
    </xf>
    <xf numFmtId="0" fontId="38" fillId="0" borderId="0" xfId="60" applyFill="1"/>
    <xf numFmtId="0" fontId="39" fillId="35" borderId="0" xfId="60" applyFont="1" applyFill="1"/>
    <xf numFmtId="0" fontId="41" fillId="35" borderId="0" xfId="60" applyFont="1" applyFill="1"/>
    <xf numFmtId="0" fontId="38" fillId="35" borderId="0" xfId="60" applyFill="1"/>
    <xf numFmtId="183" fontId="40" fillId="0" borderId="0" xfId="60" applyNumberFormat="1" applyFont="1"/>
    <xf numFmtId="183" fontId="38" fillId="0" borderId="0" xfId="60" applyNumberFormat="1"/>
    <xf numFmtId="9" fontId="38" fillId="0" borderId="0" xfId="60" applyNumberFormat="1" applyAlignment="1">
      <alignment horizontal="right"/>
    </xf>
    <xf numFmtId="9" fontId="0" fillId="0" borderId="0" xfId="61" applyFont="1" applyAlignment="1">
      <alignment horizontal="center"/>
    </xf>
    <xf numFmtId="3" fontId="38" fillId="0" borderId="0" xfId="60" applyNumberFormat="1"/>
    <xf numFmtId="0" fontId="41" fillId="0" borderId="0" xfId="60" applyFont="1"/>
    <xf numFmtId="9" fontId="0" fillId="0" borderId="0" xfId="61" applyFont="1"/>
    <xf numFmtId="0" fontId="39" fillId="0" borderId="0" xfId="60" applyFont="1" applyFill="1" applyBorder="1"/>
    <xf numFmtId="9" fontId="39" fillId="0" borderId="0" xfId="60" applyNumberFormat="1" applyFont="1" applyFill="1" applyBorder="1" applyAlignment="1">
      <alignment horizontal="center"/>
    </xf>
    <xf numFmtId="173" fontId="12" fillId="0" borderId="3" xfId="8" applyNumberFormat="1" applyFill="1"/>
    <xf numFmtId="0" fontId="39" fillId="0" borderId="0" xfId="60" applyFont="1" applyFill="1" applyBorder="1" applyAlignment="1">
      <alignment horizontal="center"/>
    </xf>
    <xf numFmtId="9" fontId="40" fillId="16" borderId="0" xfId="60" applyNumberFormat="1" applyFont="1" applyFill="1" applyBorder="1"/>
    <xf numFmtId="9" fontId="38" fillId="0" borderId="0" xfId="60" applyNumberFormat="1" applyBorder="1"/>
    <xf numFmtId="0" fontId="38" fillId="0" borderId="0" xfId="60" applyFill="1" applyBorder="1"/>
    <xf numFmtId="10" fontId="40" fillId="16" borderId="0" xfId="60" applyNumberFormat="1" applyFont="1" applyFill="1" applyBorder="1"/>
    <xf numFmtId="171" fontId="12" fillId="31" borderId="0" xfId="62" applyFont="1" applyFill="1"/>
    <xf numFmtId="171" fontId="12" fillId="32" borderId="0" xfId="62" applyFont="1" applyFill="1"/>
    <xf numFmtId="179" fontId="7" fillId="31" borderId="1" xfId="29" applyNumberFormat="1" applyFill="1" applyAlignment="1">
      <alignment horizontal="center"/>
      <protection locked="0"/>
    </xf>
    <xf numFmtId="0" fontId="12" fillId="11" borderId="3" xfId="26" applyFont="1" applyFill="1" applyBorder="1" applyAlignment="1">
      <alignment horizontal="center"/>
    </xf>
    <xf numFmtId="0" fontId="14" fillId="11" borderId="0" xfId="24" applyFont="1" applyFill="1" applyBorder="1" applyAlignment="1">
      <alignment horizontal="left"/>
    </xf>
    <xf numFmtId="0" fontId="27" fillId="0" borderId="3" xfId="0" applyFont="1" applyFill="1" applyBorder="1" applyAlignment="1">
      <alignment horizontal="center"/>
    </xf>
    <xf numFmtId="0" fontId="12" fillId="11" borderId="3" xfId="24" applyFont="1" applyFill="1" applyBorder="1" applyAlignment="1">
      <alignment horizontal="center"/>
    </xf>
    <xf numFmtId="0" fontId="12" fillId="11" borderId="0" xfId="24" applyFont="1" applyFill="1" applyAlignment="1">
      <alignment horizontal="center"/>
    </xf>
    <xf numFmtId="0" fontId="27" fillId="15" borderId="3" xfId="24" applyFont="1" applyFill="1" applyBorder="1" applyAlignment="1">
      <alignment horizontal="center"/>
    </xf>
    <xf numFmtId="0" fontId="27" fillId="12" borderId="3" xfId="24" applyFont="1" applyFill="1" applyBorder="1" applyAlignment="1">
      <alignment horizontal="center"/>
    </xf>
    <xf numFmtId="0" fontId="27" fillId="16" borderId="3" xfId="24" applyFont="1" applyFill="1" applyBorder="1" applyAlignment="1">
      <alignment horizontal="center"/>
    </xf>
    <xf numFmtId="0" fontId="0" fillId="11" borderId="3" xfId="24" applyFont="1" applyFill="1" applyBorder="1" applyAlignment="1">
      <alignment horizontal="center"/>
    </xf>
    <xf numFmtId="0" fontId="14" fillId="11" borderId="3" xfId="24" applyFont="1" applyFill="1" applyBorder="1" applyAlignment="1">
      <alignment horizontal="center"/>
    </xf>
    <xf numFmtId="0" fontId="14" fillId="11" borderId="0" xfId="24" applyFont="1" applyFill="1" applyBorder="1" applyAlignment="1">
      <alignment horizontal="center"/>
    </xf>
    <xf numFmtId="0" fontId="27" fillId="14" borderId="11" xfId="24" applyFont="1" applyFill="1" applyBorder="1" applyAlignment="1">
      <alignment horizontal="center"/>
    </xf>
    <xf numFmtId="0" fontId="27" fillId="14" borderId="12" xfId="24" applyFont="1" applyFill="1" applyBorder="1" applyAlignment="1">
      <alignment horizontal="center"/>
    </xf>
    <xf numFmtId="0" fontId="28" fillId="13" borderId="14" xfId="24" applyFont="1" applyFill="1" applyBorder="1" applyAlignment="1">
      <alignment horizontal="center"/>
    </xf>
    <xf numFmtId="0" fontId="16" fillId="10" borderId="3" xfId="18" applyBorder="1" applyAlignment="1">
      <alignment horizontal="center" vertical="center" wrapText="1"/>
    </xf>
    <xf numFmtId="164" fontId="16" fillId="29" borderId="3" xfId="18" applyNumberFormat="1" applyFill="1" applyBorder="1" applyAlignment="1">
      <alignment horizontal="center" vertical="center" wrapText="1"/>
    </xf>
    <xf numFmtId="164" fontId="16" fillId="10" borderId="3" xfId="18" applyNumberFormat="1" applyBorder="1" applyAlignment="1">
      <alignment horizontal="center" vertical="center" wrapText="1"/>
    </xf>
    <xf numFmtId="0" fontId="0" fillId="11" borderId="3" xfId="0" applyFill="1" applyBorder="1" applyAlignment="1">
      <alignment horizontal="left" vertical="top" wrapText="1"/>
    </xf>
    <xf numFmtId="165" fontId="7" fillId="2" borderId="3" xfId="33" applyBorder="1" applyAlignment="1">
      <alignment horizontal="left"/>
      <protection locked="0"/>
    </xf>
    <xf numFmtId="0" fontId="16" fillId="10" borderId="11" xfId="18" applyBorder="1" applyAlignment="1">
      <alignment horizontal="center" vertical="center" wrapText="1"/>
    </xf>
    <xf numFmtId="0" fontId="16" fillId="10" borderId="7" xfId="18" applyBorder="1" applyAlignment="1">
      <alignment horizontal="center" vertical="center" wrapText="1"/>
    </xf>
    <xf numFmtId="0" fontId="16" fillId="10" borderId="12" xfId="18" applyBorder="1" applyAlignment="1">
      <alignment horizontal="center" vertical="center" wrapText="1"/>
    </xf>
    <xf numFmtId="0" fontId="16" fillId="10" borderId="20" xfId="18" applyBorder="1" applyAlignment="1">
      <alignment horizontal="center" vertical="center" wrapText="1"/>
    </xf>
    <xf numFmtId="0" fontId="16" fillId="10" borderId="19" xfId="18" applyBorder="1" applyAlignment="1">
      <alignment horizontal="center" vertical="center" wrapText="1"/>
    </xf>
    <xf numFmtId="165" fontId="7" fillId="2" borderId="3" xfId="29" applyBorder="1" applyAlignment="1">
      <alignment horizontal="left"/>
      <protection locked="0"/>
    </xf>
    <xf numFmtId="0" fontId="12" fillId="9" borderId="3" xfId="27" applyFont="1" applyBorder="1" applyAlignment="1">
      <alignment horizontal="left" vertical="top"/>
    </xf>
    <xf numFmtId="0" fontId="12" fillId="11" borderId="3" xfId="0" applyFont="1" applyFill="1" applyBorder="1" applyAlignment="1">
      <alignment horizontal="left" vertical="top"/>
    </xf>
    <xf numFmtId="0" fontId="12" fillId="0" borderId="3" xfId="0" applyFont="1" applyBorder="1" applyAlignment="1">
      <alignment horizontal="left"/>
    </xf>
    <xf numFmtId="0" fontId="0" fillId="11" borderId="11" xfId="0" applyFill="1" applyBorder="1" applyAlignment="1">
      <alignment horizontal="center" vertical="top" wrapText="1"/>
    </xf>
    <xf numFmtId="0" fontId="0" fillId="11" borderId="12" xfId="0" applyFill="1" applyBorder="1" applyAlignment="1">
      <alignment horizontal="center" vertical="top" wrapText="1"/>
    </xf>
    <xf numFmtId="0" fontId="12" fillId="11" borderId="3" xfId="0" applyFont="1" applyFill="1" applyBorder="1" applyAlignment="1">
      <alignment horizontal="left"/>
    </xf>
    <xf numFmtId="164" fontId="16" fillId="29" borderId="11" xfId="18" applyNumberFormat="1" applyFill="1" applyBorder="1" applyAlignment="1">
      <alignment horizontal="center" vertical="center" wrapText="1"/>
    </xf>
    <xf numFmtId="164" fontId="16" fillId="10" borderId="7" xfId="18" applyNumberFormat="1" applyBorder="1" applyAlignment="1">
      <alignment horizontal="center" vertical="center" wrapText="1"/>
    </xf>
    <xf numFmtId="164" fontId="16" fillId="10" borderId="12" xfId="18" applyNumberFormat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top" wrapText="1"/>
    </xf>
    <xf numFmtId="0" fontId="0" fillId="11" borderId="3" xfId="0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6" fillId="10" borderId="3" xfId="18" applyBorder="1" applyAlignment="1">
      <alignment horizontal="left" vertical="center" wrapText="1"/>
    </xf>
    <xf numFmtId="164" fontId="16" fillId="10" borderId="11" xfId="18" applyNumberFormat="1" applyBorder="1" applyAlignment="1">
      <alignment horizontal="center" vertical="center" wrapText="1"/>
    </xf>
    <xf numFmtId="0" fontId="16" fillId="29" borderId="7" xfId="18" applyFill="1" applyBorder="1" applyAlignment="1">
      <alignment horizontal="center" vertical="center" wrapText="1"/>
    </xf>
    <xf numFmtId="0" fontId="39" fillId="0" borderId="0" xfId="60" applyNumberFormat="1" applyFont="1" applyFill="1" applyBorder="1" applyAlignment="1">
      <alignment horizontal="center"/>
    </xf>
    <xf numFmtId="0" fontId="16" fillId="29" borderId="27" xfId="18" applyFill="1" applyBorder="1" applyAlignment="1">
      <alignment horizontal="center" vertical="center" wrapText="1"/>
    </xf>
    <xf numFmtId="0" fontId="16" fillId="10" borderId="27" xfId="18" applyBorder="1" applyAlignment="1">
      <alignment horizontal="center" vertical="center" wrapText="1"/>
    </xf>
    <xf numFmtId="0" fontId="16" fillId="10" borderId="13" xfId="18" applyBorder="1" applyAlignment="1">
      <alignment horizontal="center" vertical="center" wrapText="1"/>
    </xf>
    <xf numFmtId="0" fontId="16" fillId="10" borderId="16" xfId="18" applyBorder="1" applyAlignment="1">
      <alignment horizontal="center" vertical="center" wrapText="1"/>
    </xf>
    <xf numFmtId="0" fontId="16" fillId="10" borderId="28" xfId="18" applyBorder="1" applyAlignment="1">
      <alignment horizontal="center" vertical="center" wrapText="1"/>
    </xf>
  </cellXfs>
  <cellStyles count="63">
    <cellStyle name="Base_Input" xfId="27" xr:uid="{00000000-0005-0000-0000-000000000000}"/>
    <cellStyle name="Check_Cell" xfId="15" xr:uid="{00000000-0005-0000-0000-000001000000}"/>
    <cellStyle name="Comma" xfId="2" builtinId="3" customBuiltin="1"/>
    <cellStyle name="Comma [0]" xfId="3" builtinId="6" customBuiltin="1"/>
    <cellStyle name="Comma [0] 2" xfId="22" xr:uid="{00000000-0005-0000-0000-000004000000}"/>
    <cellStyle name="Comma 2" xfId="41" xr:uid="{00000000-0005-0000-0000-000005000000}"/>
    <cellStyle name="Comma 3" xfId="56" xr:uid="{00000000-0005-0000-0000-000006000000}"/>
    <cellStyle name="Comma 4" xfId="57" xr:uid="{00000000-0005-0000-0000-000007000000}"/>
    <cellStyle name="Comma 5" xfId="58" xr:uid="{00000000-0005-0000-0000-000008000000}"/>
    <cellStyle name="dms_Blue_HDR 2" xfId="59" xr:uid="{00000000-0005-0000-0000-000009000000}"/>
    <cellStyle name="Empty_Cell" xfId="4" xr:uid="{00000000-0005-0000-0000-00000A000000}"/>
    <cellStyle name="Flag" xfId="5" xr:uid="{00000000-0005-0000-0000-00000B000000}"/>
    <cellStyle name="Header1" xfId="62" xr:uid="{3D8F97B2-1729-47F8-9714-DCC15011B9CD}"/>
    <cellStyle name="Header1 2" xfId="23" xr:uid="{00000000-0005-0000-0000-00000C000000}"/>
    <cellStyle name="Header1A" xfId="25" xr:uid="{00000000-0005-0000-0000-00000D000000}"/>
    <cellStyle name="Header2" xfId="6" xr:uid="{00000000-0005-0000-0000-00000E000000}"/>
    <cellStyle name="Header3" xfId="7" xr:uid="{00000000-0005-0000-0000-00000F000000}"/>
    <cellStyle name="Header4" xfId="28" xr:uid="{00000000-0005-0000-0000-000010000000}"/>
    <cellStyle name="Hyperlink" xfId="26" builtinId="8"/>
    <cellStyle name="Insheet" xfId="8" xr:uid="{00000000-0005-0000-0000-000012000000}"/>
    <cellStyle name="Interface" xfId="9" xr:uid="{00000000-0005-0000-0000-000013000000}"/>
    <cellStyle name="K_BannerGrp1" xfId="53" xr:uid="{00000000-0005-0000-0000-000014000000}"/>
    <cellStyle name="K_DateShort" xfId="44" xr:uid="{00000000-0005-0000-0000-000015000000}"/>
    <cellStyle name="K_Number" xfId="43" xr:uid="{00000000-0005-0000-0000-000016000000}"/>
    <cellStyle name="Line_ClosingBal" xfId="10" xr:uid="{00000000-0005-0000-0000-000017000000}"/>
    <cellStyle name="Line_SubTotal" xfId="11" xr:uid="{00000000-0005-0000-0000-000018000000}"/>
    <cellStyle name="Line_Summary" xfId="12" xr:uid="{00000000-0005-0000-0000-000019000000}"/>
    <cellStyle name="Line_Total" xfId="13" xr:uid="{00000000-0005-0000-0000-00001A000000}"/>
    <cellStyle name="Macro_Paste" xfId="14" xr:uid="{00000000-0005-0000-0000-00001B000000}"/>
    <cellStyle name="Normal" xfId="0" builtinId="0" customBuiltin="1"/>
    <cellStyle name="Normal 10" xfId="21" xr:uid="{00000000-0005-0000-0000-00001D000000}"/>
    <cellStyle name="Normal 2" xfId="24" xr:uid="{00000000-0005-0000-0000-00001E000000}"/>
    <cellStyle name="Normal 2 2" xfId="31" xr:uid="{00000000-0005-0000-0000-00001F000000}"/>
    <cellStyle name="Normal 2 2 2" xfId="34" xr:uid="{00000000-0005-0000-0000-000020000000}"/>
    <cellStyle name="Normal 2 2 2 2" xfId="39" xr:uid="{00000000-0005-0000-0000-000021000000}"/>
    <cellStyle name="Normal 2 2 3" xfId="37" xr:uid="{00000000-0005-0000-0000-000022000000}"/>
    <cellStyle name="Normal 2 3" xfId="35" xr:uid="{00000000-0005-0000-0000-000023000000}"/>
    <cellStyle name="Normal 2 3 2" xfId="38" xr:uid="{00000000-0005-0000-0000-000024000000}"/>
    <cellStyle name="Normal 2 4" xfId="36" xr:uid="{00000000-0005-0000-0000-000025000000}"/>
    <cellStyle name="Normal 256" xfId="20" xr:uid="{00000000-0005-0000-0000-000026000000}"/>
    <cellStyle name="Normal 3" xfId="40" xr:uid="{00000000-0005-0000-0000-000027000000}"/>
    <cellStyle name="Normal 4" xfId="60" xr:uid="{00000000-0005-0000-0000-000028000000}"/>
    <cellStyle name="Normal 42" xfId="42" xr:uid="{00000000-0005-0000-0000-000029000000}"/>
    <cellStyle name="Offsheet" xfId="16" xr:uid="{00000000-0005-0000-0000-00002A000000}"/>
    <cellStyle name="Percent" xfId="1" builtinId="5" customBuiltin="1"/>
    <cellStyle name="Percent 2" xfId="61" xr:uid="{00000000-0005-0000-0000-00002C000000}"/>
    <cellStyle name="Ratio" xfId="17" xr:uid="{00000000-0005-0000-0000-00002D000000}"/>
    <cellStyle name="SAPBEXaggData 14" xfId="52" xr:uid="{00000000-0005-0000-0000-00002E000000}"/>
    <cellStyle name="SAPBEXaggData 3" xfId="48" xr:uid="{00000000-0005-0000-0000-00002F000000}"/>
    <cellStyle name="SAPBEXaggItem 14" xfId="51" xr:uid="{00000000-0005-0000-0000-000030000000}"/>
    <cellStyle name="SAPBEXaggItem 3" xfId="47" xr:uid="{00000000-0005-0000-0000-000031000000}"/>
    <cellStyle name="SAPBEXstdData 13" xfId="50" xr:uid="{00000000-0005-0000-0000-000032000000}"/>
    <cellStyle name="SAPBEXstdData 3" xfId="46" xr:uid="{00000000-0005-0000-0000-000033000000}"/>
    <cellStyle name="SAPBEXstdData 9" xfId="54" xr:uid="{00000000-0005-0000-0000-000034000000}"/>
    <cellStyle name="SAPBEXstdItem 13" xfId="49" xr:uid="{00000000-0005-0000-0000-000035000000}"/>
    <cellStyle name="SAPBEXstdItem 3" xfId="45" xr:uid="{00000000-0005-0000-0000-000036000000}"/>
    <cellStyle name="SAPBEXstdItem 9" xfId="55" xr:uid="{00000000-0005-0000-0000-000037000000}"/>
    <cellStyle name="Table_Heading" xfId="18" xr:uid="{00000000-0005-0000-0000-000038000000}"/>
    <cellStyle name="Technical_Input" xfId="32" xr:uid="{00000000-0005-0000-0000-000039000000}"/>
    <cellStyle name="Unit" xfId="19" xr:uid="{00000000-0005-0000-0000-00003A000000}"/>
    <cellStyle name="User_Input_Actual" xfId="29" xr:uid="{00000000-0005-0000-0000-00003B000000}"/>
    <cellStyle name="User_Input_Actual 2" xfId="33" xr:uid="{00000000-0005-0000-0000-00003C000000}"/>
    <cellStyle name="User_Input_Forecast" xfId="30" xr:uid="{00000000-0005-0000-0000-00003D000000}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99"/>
      <color rgb="FFDB3F32"/>
      <color rgb="FF797A7E"/>
      <color rgb="FFD83F32"/>
      <color rgb="FFFFFFCC"/>
      <color rgb="FFFF7C80"/>
      <color rgb="FFFF3300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104775</xdr:rowOff>
    </xdr:from>
    <xdr:to>
      <xdr:col>5</xdr:col>
      <xdr:colOff>228601</xdr:colOff>
      <xdr:row>2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104775"/>
          <a:ext cx="1114426" cy="400051"/>
        </a:xfrm>
        <a:prstGeom prst="rect">
          <a:avLst/>
        </a:prstGeom>
      </xdr:spPr>
    </xdr:pic>
    <xdr:clientData/>
  </xdr:twoCellAnchor>
  <xdr:twoCellAnchor>
    <xdr:from>
      <xdr:col>5</xdr:col>
      <xdr:colOff>257175</xdr:colOff>
      <xdr:row>1</xdr:row>
      <xdr:rowOff>0</xdr:rowOff>
    </xdr:from>
    <xdr:to>
      <xdr:col>6</xdr:col>
      <xdr:colOff>486778</xdr:colOff>
      <xdr:row>2</xdr:row>
      <xdr:rowOff>73392</xdr:rowOff>
    </xdr:to>
    <xdr:pic>
      <xdr:nvPicPr>
        <xdr:cNvPr id="3" name="Picture 2" descr="cid:image003.png@01D36205.0B9159F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61925"/>
          <a:ext cx="839203" cy="36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50"/>
  <sheetViews>
    <sheetView workbookViewId="0"/>
  </sheetViews>
  <sheetFormatPr defaultColWidth="0" defaultRowHeight="12.75" zeroHeight="1" x14ac:dyDescent="0.2"/>
  <cols>
    <col min="1" max="1" width="5.7109375" customWidth="1"/>
    <col min="2" max="3" width="9.140625" customWidth="1"/>
    <col min="4" max="4" width="13.140625" customWidth="1"/>
    <col min="5" max="14" width="9.140625" customWidth="1"/>
    <col min="15" max="16384" width="9.140625" hidden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3.25" x14ac:dyDescent="0.35">
      <c r="A2" s="3"/>
      <c r="B2" s="4" t="s">
        <v>1</v>
      </c>
      <c r="C2" s="5"/>
      <c r="D2" s="5"/>
      <c r="E2" s="5"/>
      <c r="F2" s="5"/>
      <c r="G2" s="3"/>
      <c r="H2" s="30" t="s">
        <v>39</v>
      </c>
      <c r="I2" s="3"/>
      <c r="J2" s="3"/>
      <c r="K2" s="3"/>
      <c r="L2" s="3"/>
      <c r="M2" s="3"/>
      <c r="N2" s="3"/>
    </row>
    <row r="3" spans="1:14" x14ac:dyDescent="0.2">
      <c r="A3" s="3"/>
      <c r="B3" s="5"/>
      <c r="C3" s="5"/>
      <c r="D3" s="5"/>
      <c r="E3" s="5"/>
      <c r="F3" s="5"/>
      <c r="G3" s="3"/>
      <c r="H3" s="3"/>
      <c r="I3" s="3"/>
      <c r="J3" s="3"/>
      <c r="K3" s="3"/>
      <c r="L3" s="3"/>
      <c r="M3" s="3"/>
      <c r="N3" s="3"/>
    </row>
    <row r="4" spans="1:14" x14ac:dyDescent="0.2">
      <c r="A4" s="3"/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3"/>
      <c r="N4" s="3"/>
    </row>
    <row r="5" spans="1:14" x14ac:dyDescent="0.2">
      <c r="A5" s="3"/>
      <c r="B5" s="5"/>
      <c r="C5" s="5"/>
      <c r="D5" s="5"/>
      <c r="E5" s="5"/>
      <c r="F5" s="5"/>
      <c r="G5" s="3"/>
      <c r="H5" s="3"/>
      <c r="I5" s="3"/>
      <c r="J5" s="3"/>
      <c r="K5" s="3"/>
      <c r="L5" s="3"/>
      <c r="M5" s="3"/>
      <c r="N5" s="3"/>
    </row>
    <row r="6" spans="1:14" ht="15.75" thickBot="1" x14ac:dyDescent="0.3">
      <c r="A6" s="3"/>
      <c r="B6" s="6" t="s">
        <v>2</v>
      </c>
      <c r="C6" s="7"/>
      <c r="D6" s="6" t="s">
        <v>3</v>
      </c>
      <c r="E6" s="7"/>
      <c r="F6" s="6" t="s">
        <v>0</v>
      </c>
      <c r="G6" s="3"/>
      <c r="H6" s="3"/>
      <c r="I6" s="3"/>
      <c r="J6" s="3"/>
      <c r="K6" s="3"/>
      <c r="L6" s="3"/>
      <c r="M6" s="3"/>
      <c r="N6" s="3"/>
    </row>
    <row r="7" spans="1:14" x14ac:dyDescent="0.2">
      <c r="A7" s="3"/>
      <c r="B7" s="5"/>
      <c r="C7" s="5"/>
      <c r="D7" s="5"/>
      <c r="E7" s="5"/>
      <c r="F7" s="5"/>
      <c r="G7" s="3"/>
      <c r="H7" s="3"/>
      <c r="I7" s="3"/>
      <c r="J7" s="3"/>
      <c r="K7" s="3"/>
      <c r="L7" s="3"/>
      <c r="M7" s="3"/>
      <c r="N7" s="3"/>
    </row>
    <row r="8" spans="1:14" ht="18" x14ac:dyDescent="0.25">
      <c r="A8" s="3"/>
      <c r="B8" s="5" t="s">
        <v>4</v>
      </c>
      <c r="C8" s="5"/>
      <c r="D8" s="26" t="s">
        <v>4</v>
      </c>
      <c r="E8" s="5"/>
      <c r="F8" s="5"/>
      <c r="G8" s="3"/>
      <c r="H8" s="3"/>
      <c r="I8" s="3"/>
      <c r="J8" s="3"/>
      <c r="K8" s="3"/>
      <c r="L8" s="3"/>
      <c r="M8" s="3"/>
      <c r="N8" s="3"/>
    </row>
    <row r="9" spans="1:14" x14ac:dyDescent="0.2">
      <c r="A9" s="3"/>
      <c r="B9" s="5"/>
      <c r="C9" s="5"/>
      <c r="D9" s="5"/>
      <c r="E9" s="5"/>
      <c r="F9" s="5"/>
      <c r="G9" s="3"/>
      <c r="H9" s="3"/>
      <c r="I9" s="3"/>
      <c r="J9" s="3"/>
      <c r="K9" s="3"/>
      <c r="L9" s="3"/>
      <c r="M9" s="3"/>
      <c r="N9" s="3"/>
    </row>
    <row r="10" spans="1:14" ht="15.75" x14ac:dyDescent="0.25">
      <c r="A10" s="3"/>
      <c r="B10" s="5" t="s">
        <v>179</v>
      </c>
      <c r="C10" s="5"/>
      <c r="D10" s="28" t="s">
        <v>179</v>
      </c>
      <c r="E10" s="5"/>
      <c r="F10" s="5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3"/>
      <c r="B11" s="5"/>
      <c r="C11" s="5"/>
      <c r="D11" s="5"/>
      <c r="E11" s="5"/>
      <c r="F11" s="5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3"/>
      <c r="B12" s="5" t="s">
        <v>5</v>
      </c>
      <c r="C12" s="5"/>
      <c r="D12" s="8" t="s">
        <v>5</v>
      </c>
      <c r="E12" s="5"/>
      <c r="F12" s="5"/>
      <c r="G12" s="3"/>
      <c r="H12" s="3"/>
      <c r="I12" s="3"/>
      <c r="J12" s="3"/>
      <c r="K12" s="3"/>
      <c r="L12" s="3"/>
      <c r="M12" s="3"/>
      <c r="N12" s="3"/>
    </row>
    <row r="13" spans="1:14" x14ac:dyDescent="0.2">
      <c r="A13" s="3"/>
      <c r="B13" s="5"/>
      <c r="C13" s="5"/>
      <c r="D13" s="5"/>
      <c r="E13" s="5"/>
      <c r="F13" s="5"/>
      <c r="G13" s="3"/>
      <c r="H13" s="3"/>
      <c r="I13" s="3"/>
      <c r="J13" s="3"/>
      <c r="K13" s="3"/>
      <c r="L13" s="3"/>
      <c r="M13" s="3"/>
      <c r="N13" s="3"/>
    </row>
    <row r="14" spans="1:14" x14ac:dyDescent="0.2">
      <c r="A14" s="3"/>
      <c r="B14" s="5" t="s">
        <v>6</v>
      </c>
      <c r="C14" s="5"/>
      <c r="D14" s="9" t="s">
        <v>6</v>
      </c>
      <c r="E14" s="5"/>
      <c r="F14" s="5"/>
      <c r="G14" s="3"/>
      <c r="H14" s="3"/>
      <c r="I14" s="3"/>
      <c r="J14" s="3"/>
      <c r="K14" s="3"/>
      <c r="L14" s="3"/>
      <c r="M14" s="3"/>
      <c r="N14" s="3"/>
    </row>
    <row r="15" spans="1:14" x14ac:dyDescent="0.2">
      <c r="A15" s="3"/>
      <c r="B15" s="5"/>
      <c r="C15" s="5"/>
      <c r="D15" s="5"/>
      <c r="E15" s="5"/>
      <c r="F15" s="5"/>
      <c r="G15" s="3"/>
      <c r="H15" s="3"/>
      <c r="I15" s="3"/>
      <c r="J15" s="3"/>
      <c r="K15" s="3"/>
      <c r="L15" s="3"/>
      <c r="M15" s="3"/>
      <c r="N15" s="3"/>
    </row>
    <row r="16" spans="1:14" x14ac:dyDescent="0.2">
      <c r="A16" s="3"/>
      <c r="B16" s="5" t="s">
        <v>7</v>
      </c>
      <c r="C16" s="5"/>
      <c r="D16" s="10" t="s">
        <v>7</v>
      </c>
      <c r="E16" s="5"/>
      <c r="F16" s="5"/>
      <c r="G16" s="3"/>
      <c r="H16" s="3"/>
      <c r="I16" s="3"/>
      <c r="J16" s="3"/>
      <c r="K16" s="3"/>
      <c r="L16" s="3"/>
      <c r="M16" s="3"/>
      <c r="N16" s="3"/>
    </row>
    <row r="17" spans="1:14" x14ac:dyDescent="0.2">
      <c r="A17" s="3"/>
      <c r="B17" s="5"/>
      <c r="C17" s="5"/>
      <c r="D17" s="5"/>
      <c r="E17" s="5"/>
      <c r="F17" s="5"/>
      <c r="G17" s="3"/>
      <c r="H17" s="3"/>
      <c r="I17" s="3"/>
      <c r="J17" s="3"/>
      <c r="K17" s="3"/>
      <c r="L17" s="3"/>
      <c r="M17" s="3"/>
      <c r="N17" s="3"/>
    </row>
    <row r="18" spans="1:14" ht="14.25" x14ac:dyDescent="0.2">
      <c r="A18" s="3"/>
      <c r="B18" s="62" t="s">
        <v>180</v>
      </c>
      <c r="C18" s="5"/>
      <c r="D18" s="63">
        <v>100</v>
      </c>
      <c r="E18" s="5"/>
      <c r="F18" s="11" t="s">
        <v>181</v>
      </c>
      <c r="G18" s="3"/>
      <c r="H18" s="3"/>
      <c r="I18" s="3"/>
      <c r="J18" s="3"/>
      <c r="K18" s="3"/>
      <c r="L18" s="3"/>
      <c r="M18" s="3"/>
      <c r="N18" s="3"/>
    </row>
    <row r="19" spans="1:14" s="60" customFormat="1" ht="14.25" x14ac:dyDescent="0.2">
      <c r="A19" s="3"/>
      <c r="B19" s="62"/>
      <c r="C19" s="5"/>
      <c r="D19" s="12"/>
      <c r="E19" s="5"/>
      <c r="F19" s="11"/>
      <c r="G19" s="3"/>
      <c r="H19" s="3"/>
      <c r="I19" s="3"/>
      <c r="J19" s="3"/>
      <c r="K19" s="3"/>
      <c r="L19" s="3"/>
      <c r="M19" s="3"/>
      <c r="N19" s="3"/>
    </row>
    <row r="20" spans="1:14" s="60" customFormat="1" ht="14.25" x14ac:dyDescent="0.2">
      <c r="A20" s="3"/>
      <c r="B20" s="62" t="s">
        <v>182</v>
      </c>
      <c r="C20" s="5"/>
      <c r="D20" s="64">
        <v>100</v>
      </c>
      <c r="E20" s="5"/>
      <c r="F20" s="11" t="s">
        <v>183</v>
      </c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3"/>
      <c r="B21" s="5"/>
      <c r="C21" s="5"/>
      <c r="D21" s="5"/>
      <c r="E21" s="5"/>
      <c r="F21" s="5"/>
      <c r="G21" s="3"/>
      <c r="H21" s="3"/>
      <c r="I21" s="3"/>
      <c r="J21" s="3"/>
      <c r="K21" s="3"/>
      <c r="L21" s="3"/>
      <c r="M21" s="3"/>
      <c r="N21" s="3"/>
    </row>
    <row r="22" spans="1:14" ht="14.25" x14ac:dyDescent="0.2">
      <c r="A22" s="3"/>
      <c r="B22" s="5" t="s">
        <v>8</v>
      </c>
      <c r="C22" s="5"/>
      <c r="D22" s="59">
        <v>100</v>
      </c>
      <c r="E22" s="5"/>
      <c r="F22" s="11" t="s">
        <v>9</v>
      </c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3"/>
      <c r="B23" s="5"/>
      <c r="C23" s="5"/>
      <c r="D23" s="5"/>
      <c r="E23" s="5"/>
      <c r="F23" s="5"/>
      <c r="G23" s="3"/>
      <c r="H23" s="3"/>
      <c r="I23" s="3"/>
      <c r="J23" s="3"/>
      <c r="K23" s="3"/>
      <c r="L23" s="3"/>
      <c r="M23" s="3"/>
      <c r="N23" s="3"/>
    </row>
    <row r="24" spans="1:14" ht="14.25" x14ac:dyDescent="0.2">
      <c r="A24" s="3"/>
      <c r="B24" s="5" t="s">
        <v>10</v>
      </c>
      <c r="C24" s="5"/>
      <c r="D24" s="13"/>
      <c r="E24" s="5"/>
      <c r="F24" s="11" t="s">
        <v>11</v>
      </c>
      <c r="G24" s="3"/>
      <c r="H24" s="3"/>
      <c r="I24" s="3"/>
      <c r="J24" s="3"/>
      <c r="K24" s="3"/>
      <c r="L24" s="3"/>
      <c r="M24" s="3"/>
      <c r="N24" s="3"/>
    </row>
    <row r="25" spans="1:14" ht="14.25" x14ac:dyDescent="0.2">
      <c r="A25" s="3"/>
      <c r="B25" s="5"/>
      <c r="C25" s="5"/>
      <c r="D25" s="12"/>
      <c r="E25" s="5"/>
      <c r="F25" s="14"/>
      <c r="G25" s="3"/>
      <c r="H25" s="3"/>
      <c r="I25" s="3"/>
      <c r="J25" s="3"/>
      <c r="K25" s="3"/>
      <c r="L25" s="3"/>
      <c r="M25" s="3"/>
      <c r="N25" s="3"/>
    </row>
    <row r="26" spans="1:14" ht="14.25" x14ac:dyDescent="0.2">
      <c r="A26" s="3"/>
      <c r="B26" s="5" t="s">
        <v>12</v>
      </c>
      <c r="C26" s="5"/>
      <c r="D26" s="15">
        <v>100</v>
      </c>
      <c r="E26" s="5"/>
      <c r="F26" s="11" t="s">
        <v>13</v>
      </c>
      <c r="G26" s="3"/>
      <c r="H26" s="3"/>
      <c r="I26" s="3"/>
      <c r="J26" s="3"/>
      <c r="K26" s="3"/>
      <c r="L26" s="3"/>
      <c r="M26" s="3"/>
      <c r="N26" s="3"/>
    </row>
    <row r="27" spans="1:14" ht="14.25" x14ac:dyDescent="0.2">
      <c r="A27" s="3"/>
      <c r="B27" s="5"/>
      <c r="C27" s="5"/>
      <c r="D27" s="12"/>
      <c r="E27" s="5"/>
      <c r="F27" s="14"/>
      <c r="G27" s="3"/>
      <c r="H27" s="3"/>
      <c r="I27" s="3"/>
      <c r="J27" s="3"/>
      <c r="K27" s="3"/>
      <c r="L27" s="3"/>
      <c r="M27" s="3"/>
      <c r="N27" s="3"/>
    </row>
    <row r="28" spans="1:14" ht="14.25" x14ac:dyDescent="0.2">
      <c r="A28" s="3"/>
      <c r="B28" s="5" t="s">
        <v>14</v>
      </c>
      <c r="C28" s="5"/>
      <c r="D28" s="16">
        <v>100</v>
      </c>
      <c r="E28" s="5"/>
      <c r="F28" s="11" t="s">
        <v>15</v>
      </c>
      <c r="G28" s="3"/>
      <c r="H28" s="3"/>
      <c r="I28" s="3"/>
      <c r="J28" s="3"/>
      <c r="K28" s="3"/>
      <c r="L28" s="3"/>
      <c r="M28" s="3"/>
      <c r="N28" s="3"/>
    </row>
    <row r="29" spans="1:14" ht="14.25" x14ac:dyDescent="0.2">
      <c r="A29" s="3"/>
      <c r="B29" s="5"/>
      <c r="C29" s="5"/>
      <c r="D29" s="12"/>
      <c r="E29" s="5"/>
      <c r="F29" s="14"/>
      <c r="G29" s="3"/>
      <c r="H29" s="3"/>
      <c r="I29" s="3"/>
      <c r="J29" s="3"/>
      <c r="K29" s="3"/>
      <c r="L29" s="3"/>
      <c r="M29" s="3"/>
      <c r="N29" s="3"/>
    </row>
    <row r="30" spans="1:14" ht="14.25" x14ac:dyDescent="0.2">
      <c r="A30" s="3"/>
      <c r="B30" s="5" t="s">
        <v>16</v>
      </c>
      <c r="C30" s="5"/>
      <c r="D30" s="17">
        <v>100</v>
      </c>
      <c r="E30" s="5"/>
      <c r="F30" s="11" t="s">
        <v>17</v>
      </c>
      <c r="G30" s="3"/>
      <c r="H30" s="3"/>
      <c r="I30" s="3"/>
      <c r="J30" s="3"/>
      <c r="K30" s="3"/>
      <c r="L30" s="3"/>
      <c r="M30" s="3"/>
      <c r="N30" s="3"/>
    </row>
    <row r="31" spans="1:14" ht="14.25" x14ac:dyDescent="0.2">
      <c r="A31" s="3"/>
      <c r="B31" s="5"/>
      <c r="C31" s="5"/>
      <c r="D31" s="5"/>
      <c r="E31" s="5"/>
      <c r="F31" s="14"/>
      <c r="G31" s="3"/>
      <c r="H31" s="3"/>
      <c r="I31" s="3"/>
      <c r="J31" s="3"/>
      <c r="K31" s="3"/>
      <c r="L31" s="3"/>
      <c r="M31" s="3"/>
      <c r="N31" s="3"/>
    </row>
    <row r="32" spans="1:14" ht="14.25" x14ac:dyDescent="0.2">
      <c r="A32" s="3"/>
      <c r="B32" s="5" t="s">
        <v>18</v>
      </c>
      <c r="C32" s="5"/>
      <c r="D32" s="18">
        <v>100</v>
      </c>
      <c r="E32" s="5"/>
      <c r="F32" s="11" t="s">
        <v>19</v>
      </c>
      <c r="G32" s="3"/>
      <c r="H32" s="3"/>
      <c r="I32" s="3"/>
      <c r="J32" s="3"/>
      <c r="K32" s="3"/>
      <c r="L32" s="3"/>
      <c r="M32" s="3"/>
      <c r="N32" s="3"/>
    </row>
    <row r="33" spans="1:14" ht="14.25" x14ac:dyDescent="0.2">
      <c r="A33" s="3"/>
      <c r="B33" s="5"/>
      <c r="C33" s="5"/>
      <c r="D33" s="5"/>
      <c r="E33" s="5"/>
      <c r="F33" s="14"/>
      <c r="G33" s="3"/>
      <c r="H33" s="3"/>
      <c r="I33" s="3"/>
      <c r="J33" s="3"/>
      <c r="K33" s="3"/>
      <c r="L33" s="3"/>
      <c r="M33" s="3"/>
      <c r="N33" s="3"/>
    </row>
    <row r="34" spans="1:14" ht="14.25" x14ac:dyDescent="0.2">
      <c r="A34" s="3"/>
      <c r="B34" s="5" t="s">
        <v>20</v>
      </c>
      <c r="C34" s="5"/>
      <c r="D34" s="19" t="s">
        <v>21</v>
      </c>
      <c r="E34" s="5"/>
      <c r="F34" s="11" t="s">
        <v>22</v>
      </c>
      <c r="G34" s="3"/>
      <c r="H34" s="3"/>
      <c r="I34" s="3"/>
      <c r="J34" s="3"/>
      <c r="K34" s="3"/>
      <c r="L34" s="3"/>
      <c r="M34" s="3"/>
      <c r="N34" s="3"/>
    </row>
    <row r="35" spans="1:14" ht="14.25" x14ac:dyDescent="0.2">
      <c r="A35" s="3"/>
      <c r="B35" s="5"/>
      <c r="C35" s="5"/>
      <c r="D35" s="5"/>
      <c r="E35" s="5"/>
      <c r="F35" s="14"/>
      <c r="G35" s="3"/>
      <c r="H35" s="3"/>
      <c r="I35" s="3"/>
      <c r="J35" s="3"/>
      <c r="K35" s="3"/>
      <c r="L35" s="3"/>
      <c r="M35" s="3"/>
      <c r="N35" s="3"/>
    </row>
    <row r="36" spans="1:14" ht="14.25" x14ac:dyDescent="0.2">
      <c r="A36" s="3"/>
      <c r="B36" s="5" t="s">
        <v>23</v>
      </c>
      <c r="C36" s="5"/>
      <c r="D36" s="20">
        <v>100</v>
      </c>
      <c r="E36" s="5"/>
      <c r="F36" s="11" t="s">
        <v>24</v>
      </c>
      <c r="G36" s="3"/>
      <c r="H36" s="3"/>
      <c r="I36" s="3"/>
      <c r="J36" s="3"/>
      <c r="K36" s="3"/>
      <c r="L36" s="3"/>
      <c r="M36" s="3"/>
      <c r="N36" s="3"/>
    </row>
    <row r="37" spans="1:14" ht="14.25" x14ac:dyDescent="0.2">
      <c r="A37" s="3"/>
      <c r="B37" s="5"/>
      <c r="C37" s="5"/>
      <c r="D37" s="12"/>
      <c r="E37" s="5"/>
      <c r="F37" s="14"/>
      <c r="G37" s="3"/>
      <c r="H37" s="3"/>
      <c r="I37" s="3"/>
      <c r="J37" s="3"/>
      <c r="K37" s="3"/>
      <c r="L37" s="3"/>
      <c r="M37" s="3"/>
      <c r="N37" s="3"/>
    </row>
    <row r="38" spans="1:14" ht="14.25" x14ac:dyDescent="0.2">
      <c r="A38" s="3"/>
      <c r="B38" s="5" t="s">
        <v>25</v>
      </c>
      <c r="C38" s="5"/>
      <c r="D38" s="2" t="s">
        <v>26</v>
      </c>
      <c r="E38" s="5"/>
      <c r="F38" s="11" t="s">
        <v>27</v>
      </c>
      <c r="G38" s="3"/>
      <c r="H38" s="3"/>
      <c r="I38" s="3"/>
      <c r="J38" s="3"/>
      <c r="K38" s="3"/>
      <c r="L38" s="3"/>
      <c r="M38" s="3"/>
      <c r="N38" s="3"/>
    </row>
    <row r="39" spans="1:14" ht="14.25" x14ac:dyDescent="0.2">
      <c r="A39" s="3"/>
      <c r="B39" s="5"/>
      <c r="C39" s="5"/>
      <c r="D39" s="12"/>
      <c r="E39" s="5"/>
      <c r="F39" s="14"/>
      <c r="G39" s="3"/>
      <c r="H39" s="3"/>
      <c r="I39" s="3"/>
      <c r="J39" s="3"/>
      <c r="K39" s="3"/>
      <c r="L39" s="3"/>
      <c r="M39" s="3"/>
      <c r="N39" s="3"/>
    </row>
    <row r="40" spans="1:14" ht="14.25" x14ac:dyDescent="0.2">
      <c r="A40" s="3"/>
      <c r="B40" s="5" t="s">
        <v>28</v>
      </c>
      <c r="C40" s="5"/>
      <c r="D40" s="21">
        <v>1</v>
      </c>
      <c r="E40" s="5"/>
      <c r="F40" s="11" t="s">
        <v>29</v>
      </c>
      <c r="G40" s="3"/>
      <c r="H40" s="3"/>
      <c r="I40" s="3"/>
      <c r="J40" s="3"/>
      <c r="K40" s="3"/>
      <c r="L40" s="3"/>
      <c r="M40" s="3"/>
      <c r="N40" s="3"/>
    </row>
    <row r="41" spans="1:14" ht="14.25" x14ac:dyDescent="0.2">
      <c r="A41" s="3"/>
      <c r="B41" s="5"/>
      <c r="C41" s="5"/>
      <c r="D41" s="22"/>
      <c r="E41" s="5"/>
      <c r="F41" s="11"/>
      <c r="G41" s="3"/>
      <c r="H41" s="3"/>
      <c r="I41" s="3"/>
      <c r="J41" s="3"/>
      <c r="K41" s="3"/>
      <c r="L41" s="3"/>
      <c r="M41" s="3"/>
      <c r="N41" s="3"/>
    </row>
    <row r="42" spans="1:14" ht="14.25" x14ac:dyDescent="0.2">
      <c r="A42" s="3"/>
      <c r="B42" s="5" t="s">
        <v>30</v>
      </c>
      <c r="C42" s="5"/>
      <c r="D42" s="23">
        <v>100</v>
      </c>
      <c r="E42" s="5"/>
      <c r="F42" s="11" t="s">
        <v>31</v>
      </c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4.25" x14ac:dyDescent="0.2">
      <c r="A44" s="3"/>
      <c r="B44" s="3" t="s">
        <v>277</v>
      </c>
      <c r="C44" s="3"/>
      <c r="D44" s="115">
        <v>100</v>
      </c>
      <c r="E44" s="3"/>
      <c r="F44" s="11" t="s">
        <v>278</v>
      </c>
      <c r="G44" s="3"/>
      <c r="H44" s="3"/>
      <c r="I44" s="3"/>
      <c r="J44" s="3"/>
      <c r="K44" s="3"/>
      <c r="L44" s="3"/>
      <c r="M44" s="3"/>
      <c r="N44" s="3"/>
    </row>
    <row r="45" spans="1:1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4.25" x14ac:dyDescent="0.2">
      <c r="A46" s="3"/>
      <c r="B46" s="3"/>
      <c r="C46" s="3"/>
      <c r="D46" s="198">
        <v>100</v>
      </c>
      <c r="E46" s="146"/>
      <c r="F46" s="11" t="s">
        <v>351</v>
      </c>
      <c r="G46" s="3"/>
      <c r="H46" s="3"/>
      <c r="I46" s="3"/>
      <c r="J46" s="3"/>
      <c r="K46" s="3"/>
      <c r="L46" s="3"/>
      <c r="M46" s="3"/>
      <c r="N46" s="3"/>
    </row>
    <row r="47" spans="1:14" x14ac:dyDescent="0.2">
      <c r="A47" s="3"/>
      <c r="B47" s="3"/>
      <c r="C47" s="3"/>
      <c r="D47" s="147"/>
      <c r="E47" s="146"/>
      <c r="F47" s="146"/>
      <c r="G47" s="3"/>
      <c r="H47" s="3"/>
      <c r="I47" s="3"/>
      <c r="J47" s="3"/>
      <c r="K47" s="3"/>
      <c r="L47" s="3"/>
      <c r="M47" s="3"/>
      <c r="N47" s="3"/>
    </row>
    <row r="48" spans="1:14" ht="14.25" x14ac:dyDescent="0.2">
      <c r="A48" s="3"/>
      <c r="B48" s="3"/>
      <c r="C48" s="3"/>
      <c r="D48" s="199">
        <v>100</v>
      </c>
      <c r="E48" s="146"/>
      <c r="F48" s="11" t="s">
        <v>352</v>
      </c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3"/>
      <c r="B49" s="3"/>
      <c r="C49" s="3"/>
      <c r="D49" s="146"/>
      <c r="E49" s="146"/>
      <c r="F49" s="146"/>
      <c r="G49" s="3"/>
      <c r="H49" s="3"/>
      <c r="I49" s="3"/>
      <c r="J49" s="3"/>
      <c r="K49" s="3"/>
      <c r="L49" s="3"/>
      <c r="M49" s="3"/>
      <c r="N49" s="3"/>
    </row>
    <row r="50" spans="1:14" ht="14.25" x14ac:dyDescent="0.2">
      <c r="A50" s="3"/>
      <c r="B50" s="3"/>
      <c r="C50" s="3"/>
      <c r="D50" s="206">
        <v>100</v>
      </c>
      <c r="E50" s="146"/>
      <c r="F50" s="11" t="s">
        <v>353</v>
      </c>
      <c r="G50" s="3"/>
      <c r="H50" s="3"/>
      <c r="I50" s="3"/>
      <c r="J50" s="3"/>
      <c r="K50" s="3"/>
      <c r="L50" s="3"/>
      <c r="M50" s="3"/>
      <c r="N50" s="3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0000"/>
  </sheetPr>
  <dimension ref="A1:T95"/>
  <sheetViews>
    <sheetView workbookViewId="0"/>
  </sheetViews>
  <sheetFormatPr defaultColWidth="0" defaultRowHeight="12.75" zeroHeight="1" x14ac:dyDescent="0.2"/>
  <cols>
    <col min="1" max="1" width="3.7109375" style="60" customWidth="1"/>
    <col min="2" max="2" width="14.85546875" style="130" customWidth="1"/>
    <col min="3" max="3" width="33.140625" style="130" customWidth="1"/>
    <col min="4" max="4" width="14.85546875" style="130" bestFit="1" customWidth="1"/>
    <col min="5" max="5" width="3.7109375" style="130" customWidth="1"/>
    <col min="6" max="6" width="3.7109375" style="60" hidden="1" customWidth="1"/>
    <col min="7" max="20" width="0" style="60" hidden="1" customWidth="1"/>
    <col min="21" max="16384" width="9.140625" style="60" hidden="1"/>
  </cols>
  <sheetData>
    <row r="1" spans="1:6" ht="18" x14ac:dyDescent="0.25">
      <c r="A1" s="26" t="str">
        <f>Menu!A1</f>
        <v>Powercor - Connections</v>
      </c>
      <c r="B1" s="26"/>
      <c r="C1" s="26"/>
      <c r="D1" s="30" t="s">
        <v>39</v>
      </c>
      <c r="E1" s="26"/>
      <c r="F1" s="26"/>
    </row>
    <row r="2" spans="1:6" ht="15.75" x14ac:dyDescent="0.25">
      <c r="A2" s="173" t="str">
        <f ca="1">RIGHT(CELL("filename", $A$1), LEN(CELL("filename", $A$1)) - SEARCH("]", CELL("filename", $A$1)))</f>
        <v>Unit Rates</v>
      </c>
      <c r="B2" s="28"/>
      <c r="C2" s="28"/>
      <c r="D2" s="28"/>
      <c r="E2" s="28"/>
      <c r="F2" s="28"/>
    </row>
    <row r="3" spans="1:6" x14ac:dyDescent="0.2">
      <c r="A3" s="3"/>
      <c r="B3" s="3"/>
      <c r="C3" s="3"/>
      <c r="D3" s="3"/>
      <c r="E3" s="3"/>
      <c r="F3" s="3"/>
    </row>
    <row r="4" spans="1:6" x14ac:dyDescent="0.2">
      <c r="A4" s="3"/>
      <c r="B4" s="34" t="s">
        <v>229</v>
      </c>
      <c r="C4" s="3"/>
      <c r="D4" s="3"/>
      <c r="E4" s="3"/>
      <c r="F4" s="3"/>
    </row>
    <row r="5" spans="1:6" x14ac:dyDescent="0.2">
      <c r="A5" s="3"/>
      <c r="B5" s="49"/>
      <c r="C5" s="3"/>
      <c r="D5" s="3"/>
      <c r="E5" s="3"/>
      <c r="F5" s="3"/>
    </row>
    <row r="6" spans="1:6" ht="12.75" customHeight="1" x14ac:dyDescent="0.2">
      <c r="A6" s="3"/>
      <c r="B6" s="3"/>
      <c r="D6" s="189" t="str">
        <f>"$ "&amp; Inflation!C4</f>
        <v>$ 2021</v>
      </c>
      <c r="E6" s="3"/>
      <c r="F6" s="3"/>
    </row>
    <row r="7" spans="1:6" ht="25.5" x14ac:dyDescent="0.2">
      <c r="A7" s="3"/>
      <c r="B7" s="136" t="s">
        <v>35</v>
      </c>
      <c r="C7" s="136" t="s">
        <v>75</v>
      </c>
      <c r="D7" s="135" t="s">
        <v>329</v>
      </c>
      <c r="E7" s="3"/>
      <c r="F7" s="3"/>
    </row>
    <row r="8" spans="1:6" x14ac:dyDescent="0.2">
      <c r="A8" s="3"/>
      <c r="B8" s="188">
        <f>IF('Historical Expenditure-Volumes'!B9=0," ",'Historical Expenditure-Volumes'!B9)</f>
        <v>102</v>
      </c>
      <c r="C8" s="178" t="str">
        <f>IF('Historical Expenditure-Volumes'!C9=0," ",'Historical Expenditure-Volumes'!C9)</f>
        <v>LV supplies to 63kVA</v>
      </c>
      <c r="D8" s="166">
        <f>SUM('Historical Expenditure-Volumes'!D29:G29)/SUM('Historical Expenditure-Volumes'!D84:G84)</f>
        <v>25256.769922589447</v>
      </c>
      <c r="E8" s="73"/>
      <c r="F8" s="3"/>
    </row>
    <row r="9" spans="1:6" x14ac:dyDescent="0.2">
      <c r="A9" s="3"/>
      <c r="B9" s="188">
        <f>IF('Historical Expenditure-Volumes'!B10=0," ",'Historical Expenditure-Volumes'!B10)</f>
        <v>104</v>
      </c>
      <c r="C9" s="178" t="str">
        <f>IF('Historical Expenditure-Volumes'!C10=0," ",'Historical Expenditure-Volumes'!C10)</f>
        <v>Medium Density Developments</v>
      </c>
      <c r="D9" s="166">
        <f>SUM('Historical Expenditure-Volumes'!D30:G30)/SUM('Historical Expenditure-Volumes'!D85:G85)</f>
        <v>34178.969377048415</v>
      </c>
      <c r="E9" s="73"/>
      <c r="F9" s="3"/>
    </row>
    <row r="10" spans="1:6" x14ac:dyDescent="0.2">
      <c r="A10" s="3"/>
      <c r="B10" s="188">
        <f>IF('Historical Expenditure-Volumes'!B11=0," ",'Historical Expenditure-Volumes'!B11)</f>
        <v>105</v>
      </c>
      <c r="C10" s="178" t="str">
        <f>IF('Historical Expenditure-Volumes'!C11=0," ",'Historical Expenditure-Volumes'!C11)</f>
        <v>LV supplies &gt;63kVA to 200kVA</v>
      </c>
      <c r="D10" s="166">
        <f>SUM('Historical Expenditure-Volumes'!D31:G31)/SUM('Historical Expenditure-Volumes'!D86:G86)</f>
        <v>40212.34624381391</v>
      </c>
      <c r="E10" s="73"/>
      <c r="F10" s="3"/>
    </row>
    <row r="11" spans="1:6" x14ac:dyDescent="0.2">
      <c r="A11" s="3"/>
      <c r="B11" s="188">
        <f>IF('Historical Expenditure-Volumes'!B12=0," ",'Historical Expenditure-Volumes'!B12)</f>
        <v>106</v>
      </c>
      <c r="C11" s="178" t="str">
        <f>IF('Historical Expenditure-Volumes'!C12=0," ",'Historical Expenditure-Volumes'!C12)</f>
        <v>LV supplies &gt;200kVA to 500kVA</v>
      </c>
      <c r="D11" s="166">
        <f>SUM('Historical Expenditure-Volumes'!D32:G32)/SUM('Historical Expenditure-Volumes'!D87:G87)</f>
        <v>93208.664493667515</v>
      </c>
      <c r="E11" s="73"/>
      <c r="F11" s="3"/>
    </row>
    <row r="12" spans="1:6" x14ac:dyDescent="0.2">
      <c r="A12" s="3"/>
      <c r="B12" s="188">
        <f>IF('Historical Expenditure-Volumes'!B13=0," ",'Historical Expenditure-Volumes'!B13)</f>
        <v>107</v>
      </c>
      <c r="C12" s="178" t="str">
        <f>IF('Historical Expenditure-Volumes'!C13=0," ",'Historical Expenditure-Volumes'!C13)</f>
        <v>HV connection</v>
      </c>
      <c r="D12" s="166">
        <f>SUM('Historical Expenditure-Volumes'!D33:G33)/SUM('Historical Expenditure-Volumes'!D88:G88)</f>
        <v>539690.64118578623</v>
      </c>
      <c r="E12" s="73"/>
      <c r="F12" s="3"/>
    </row>
    <row r="13" spans="1:6" x14ac:dyDescent="0.2">
      <c r="A13" s="3"/>
      <c r="B13" s="188">
        <f>IF('Historical Expenditure-Volumes'!B14=0," ",'Historical Expenditure-Volumes'!B14)</f>
        <v>108</v>
      </c>
      <c r="C13" s="178" t="str">
        <f>IF('Historical Expenditure-Volumes'!C14=0," ",'Historical Expenditure-Volumes'!C14)</f>
        <v>Business subdivisions</v>
      </c>
      <c r="D13" s="166">
        <f>SUM('Historical Expenditure-Volumes'!D34:G34)/SUM('Historical Expenditure-Volumes'!D89:G89)</f>
        <v>45494.982649453799</v>
      </c>
      <c r="E13" s="73"/>
      <c r="F13" s="3"/>
    </row>
    <row r="14" spans="1:6" x14ac:dyDescent="0.2">
      <c r="A14" s="3"/>
      <c r="B14" s="188">
        <f>IF('Historical Expenditure-Volumes'!B15=0," ",'Historical Expenditure-Volumes'!B15)</f>
        <v>109</v>
      </c>
      <c r="C14" s="178" t="str">
        <f>IF('Historical Expenditure-Volumes'!C15=0," ",'Historical Expenditure-Volumes'!C15)</f>
        <v>Underground service pits</v>
      </c>
      <c r="D14" s="166">
        <f>SUM('Historical Expenditure-Volumes'!D35:G35)/SUM('Historical Expenditure-Volumes'!D90:G90)</f>
        <v>5769.5343025594493</v>
      </c>
      <c r="E14" s="73"/>
      <c r="F14" s="3"/>
    </row>
    <row r="15" spans="1:6" x14ac:dyDescent="0.2">
      <c r="A15" s="3"/>
      <c r="B15" s="188">
        <f>IF('Historical Expenditure-Volumes'!B16=0," ",'Historical Expenditure-Volumes'!B16)</f>
        <v>110</v>
      </c>
      <c r="C15" s="178" t="str">
        <f>IF('Historical Expenditure-Volumes'!C16=0," ",'Historical Expenditure-Volumes'!C16)</f>
        <v>Rural subdivisions</v>
      </c>
      <c r="D15" s="166">
        <f>SUM('Historical Expenditure-Volumes'!D36:G36)/SUM('Historical Expenditure-Volumes'!D91:G91)</f>
        <v>37000.345431604212</v>
      </c>
      <c r="E15" s="73"/>
      <c r="F15" s="3"/>
    </row>
    <row r="16" spans="1:6" x14ac:dyDescent="0.2">
      <c r="A16" s="3"/>
      <c r="B16" s="188">
        <f>IF('Historical Expenditure-Volumes'!B17=0," ",'Historical Expenditure-Volumes'!B17)</f>
        <v>111</v>
      </c>
      <c r="C16" s="178" t="str">
        <f>IF('Historical Expenditure-Volumes'!C17=0," ",'Historical Expenditure-Volumes'!C17)</f>
        <v>LV supplies &gt;500kVA</v>
      </c>
      <c r="D16" s="166">
        <f>SUM('Historical Expenditure-Volumes'!D37:G37)/SUM('Historical Expenditure-Volumes'!D92:G92)</f>
        <v>134016.6399825968</v>
      </c>
      <c r="E16" s="73"/>
      <c r="F16" s="3"/>
    </row>
    <row r="17" spans="1:6" x14ac:dyDescent="0.2">
      <c r="A17" s="3"/>
      <c r="B17" s="188">
        <f>IF('Historical Expenditure-Volumes'!B18=0," ",'Historical Expenditure-Volumes'!B18)</f>
        <v>114</v>
      </c>
      <c r="C17" s="178" t="str">
        <f>IF('Historical Expenditure-Volumes'!C18=0," ",'Historical Expenditure-Volumes'!C18)</f>
        <v>New Conn. Service/Materials</v>
      </c>
      <c r="D17" s="187">
        <v>0</v>
      </c>
      <c r="E17" s="73"/>
      <c r="F17" s="3"/>
    </row>
    <row r="18" spans="1:6" x14ac:dyDescent="0.2">
      <c r="A18" s="3"/>
      <c r="B18" s="188">
        <f>IF('Historical Expenditure-Volumes'!B19=0," ",'Historical Expenditure-Volumes'!B19)</f>
        <v>115</v>
      </c>
      <c r="C18" s="178" t="str">
        <f>IF('Historical Expenditure-Volumes'!C19=0," ",'Historical Expenditure-Volumes'!C19)</f>
        <v>New Conn. Servicing Labour</v>
      </c>
      <c r="D18" s="187">
        <v>0</v>
      </c>
      <c r="E18" s="73"/>
      <c r="F18" s="3"/>
    </row>
    <row r="19" spans="1:6" x14ac:dyDescent="0.2">
      <c r="A19" s="3"/>
      <c r="B19" s="188">
        <f>IF('Historical Expenditure-Volumes'!B20=0," ",'Historical Expenditure-Volumes'!B20)</f>
        <v>116</v>
      </c>
      <c r="C19" s="178" t="str">
        <f>IF('Historical Expenditure-Volumes'!C20=0," ",'Historical Expenditure-Volumes'!C20)</f>
        <v>Recoverable Works</v>
      </c>
      <c r="D19" s="166">
        <f>SUM('Historical Expenditure-Volumes'!D40:G40)/SUM('Historical Expenditure-Volumes'!D95:G95)</f>
        <v>78250.953103951935</v>
      </c>
      <c r="E19" s="73"/>
      <c r="F19" s="3"/>
    </row>
    <row r="20" spans="1:6" x14ac:dyDescent="0.2">
      <c r="A20" s="3"/>
      <c r="B20" s="188">
        <f>IF('Historical Expenditure-Volumes'!B21=0," ",'Historical Expenditure-Volumes'!B21)</f>
        <v>118</v>
      </c>
      <c r="C20" s="178" t="str">
        <f>IF('Historical Expenditure-Volumes'!C21=0," ",'Historical Expenditure-Volumes'!C21)</f>
        <v xml:space="preserve">Co-generation projects </v>
      </c>
      <c r="D20" s="166">
        <f>SUM('Historical Expenditure-Volumes'!D41:G41)/SUM('Historical Expenditure-Volumes'!D96:G96)</f>
        <v>417973.85907971434</v>
      </c>
      <c r="E20" s="73"/>
      <c r="F20" s="3"/>
    </row>
    <row r="21" spans="1:6" x14ac:dyDescent="0.2">
      <c r="A21" s="3"/>
      <c r="B21" s="188">
        <f>IF('Historical Expenditure-Volumes'!B22=0," ",'Historical Expenditure-Volumes'!B22)</f>
        <v>171</v>
      </c>
      <c r="C21" s="178" t="str">
        <f>IF('Historical Expenditure-Volumes'!C22=0," ",'Historical Expenditure-Volumes'!C22)</f>
        <v>SWER &amp; 1Ø Backbone Augmentation</v>
      </c>
      <c r="D21" s="187">
        <v>0</v>
      </c>
      <c r="E21" s="73"/>
      <c r="F21" s="3"/>
    </row>
    <row r="22" spans="1:6" x14ac:dyDescent="0.2">
      <c r="A22" s="3"/>
      <c r="C22" s="71" t="s">
        <v>36</v>
      </c>
      <c r="D22" s="182">
        <f t="shared" ref="D22" si="0">SUM(D8:D21)</f>
        <v>1451053.7057727859</v>
      </c>
      <c r="E22" s="73"/>
      <c r="F22" s="3"/>
    </row>
    <row r="23" spans="1:6" x14ac:dyDescent="0.2">
      <c r="A23" s="3"/>
      <c r="B23" s="146"/>
      <c r="C23" s="146"/>
      <c r="D23" s="146"/>
      <c r="E23" s="73"/>
      <c r="F23" s="3"/>
    </row>
    <row r="24" spans="1:6" x14ac:dyDescent="0.2">
      <c r="A24" s="3"/>
      <c r="B24" s="146"/>
      <c r="C24" s="146"/>
      <c r="D24" s="146"/>
      <c r="E24" s="73"/>
      <c r="F24" s="3"/>
    </row>
    <row r="25" spans="1:6" x14ac:dyDescent="0.2">
      <c r="A25" s="3"/>
      <c r="B25" s="146"/>
      <c r="C25" s="146"/>
      <c r="D25" s="146"/>
      <c r="E25" s="73"/>
      <c r="F25" s="3"/>
    </row>
    <row r="26" spans="1:6" x14ac:dyDescent="0.2">
      <c r="A26" s="3"/>
      <c r="B26" s="146"/>
      <c r="C26" s="146"/>
      <c r="D26" s="146"/>
      <c r="E26" s="73"/>
      <c r="F26" s="3"/>
    </row>
    <row r="27" spans="1:6" ht="12.75" customHeight="1" x14ac:dyDescent="0.2">
      <c r="A27" s="3"/>
      <c r="B27" s="3"/>
      <c r="C27" s="3"/>
      <c r="D27" s="73"/>
      <c r="E27" s="7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ht="15.75" x14ac:dyDescent="0.25">
      <c r="A29" s="28"/>
      <c r="B29" s="28" t="s">
        <v>309</v>
      </c>
      <c r="C29" s="28"/>
      <c r="D29" s="28"/>
      <c r="E29" s="28"/>
      <c r="F29" s="28"/>
    </row>
    <row r="30" spans="1:6" x14ac:dyDescent="0.2">
      <c r="A30" s="3"/>
      <c r="B30" s="3"/>
      <c r="C30" s="3"/>
      <c r="D30" s="3"/>
      <c r="E30" s="3"/>
      <c r="F30" s="3"/>
    </row>
    <row r="31" spans="1:6" ht="12.75" hidden="1" customHeight="1" x14ac:dyDescent="0.2">
      <c r="A31" s="3"/>
      <c r="B31" s="3"/>
      <c r="C31" s="3"/>
      <c r="D31" s="3"/>
      <c r="E31" s="3"/>
      <c r="F31" s="3"/>
    </row>
    <row r="32" spans="1:6" ht="12.75" hidden="1" customHeight="1" x14ac:dyDescent="0.2">
      <c r="A32" s="3"/>
      <c r="B32" s="3"/>
      <c r="C32" s="3"/>
      <c r="D32" s="3"/>
      <c r="E32" s="3"/>
      <c r="F32" s="3"/>
    </row>
    <row r="33" spans="1:6" ht="12.75" hidden="1" customHeight="1" x14ac:dyDescent="0.2">
      <c r="A33" s="3"/>
      <c r="B33" s="3"/>
      <c r="C33" s="3"/>
      <c r="D33" s="3"/>
      <c r="E33" s="3"/>
      <c r="F33" s="3"/>
    </row>
    <row r="34" spans="1:6" ht="12.75" hidden="1" customHeight="1" x14ac:dyDescent="0.2">
      <c r="A34" s="3"/>
      <c r="B34" s="3"/>
      <c r="C34" s="3"/>
      <c r="D34" s="3"/>
      <c r="E34" s="3"/>
      <c r="F34" s="3"/>
    </row>
    <row r="35" spans="1:6" ht="12.75" hidden="1" customHeight="1" x14ac:dyDescent="0.2">
      <c r="A35" s="3"/>
      <c r="B35" s="3"/>
      <c r="C35" s="3"/>
      <c r="D35" s="3"/>
      <c r="E35" s="3"/>
      <c r="F35" s="3"/>
    </row>
    <row r="36" spans="1:6" ht="12.75" hidden="1" customHeight="1" x14ac:dyDescent="0.2">
      <c r="A36" s="3"/>
      <c r="B36" s="3"/>
      <c r="C36" s="3"/>
      <c r="D36" s="3"/>
      <c r="E36" s="3"/>
      <c r="F36" s="3"/>
    </row>
    <row r="37" spans="1:6" ht="12.75" hidden="1" customHeight="1" x14ac:dyDescent="0.2">
      <c r="A37" s="3"/>
      <c r="B37" s="3"/>
      <c r="C37" s="3"/>
      <c r="D37" s="3"/>
      <c r="E37" s="3"/>
      <c r="F37" s="3"/>
    </row>
    <row r="38" spans="1:6" ht="12.75" hidden="1" customHeight="1" x14ac:dyDescent="0.2">
      <c r="A38" s="3"/>
      <c r="B38" s="3"/>
      <c r="C38" s="3"/>
      <c r="D38" s="3"/>
      <c r="E38" s="3"/>
      <c r="F38" s="3"/>
    </row>
    <row r="39" spans="1:6" ht="12.75" hidden="1" customHeight="1" x14ac:dyDescent="0.2">
      <c r="A39" s="3"/>
      <c r="B39" s="3"/>
      <c r="C39" s="3"/>
      <c r="D39" s="3"/>
      <c r="E39" s="3"/>
      <c r="F39" s="3"/>
    </row>
    <row r="40" spans="1:6" ht="12.75" hidden="1" customHeight="1" x14ac:dyDescent="0.2">
      <c r="A40" s="3"/>
      <c r="B40" s="3"/>
      <c r="C40" s="3"/>
      <c r="D40" s="3"/>
      <c r="E40" s="3"/>
      <c r="F40" s="3"/>
    </row>
    <row r="41" spans="1:6" ht="12.75" hidden="1" customHeight="1" x14ac:dyDescent="0.2">
      <c r="A41" s="3"/>
      <c r="B41" s="3"/>
      <c r="C41" s="3"/>
      <c r="D41" s="3"/>
      <c r="E41" s="3"/>
      <c r="F41" s="3"/>
    </row>
    <row r="42" spans="1:6" ht="12.75" hidden="1" customHeight="1" x14ac:dyDescent="0.2">
      <c r="A42" s="3"/>
      <c r="B42" s="3"/>
      <c r="C42" s="3"/>
      <c r="D42" s="3"/>
      <c r="E42" s="3"/>
      <c r="F42" s="3"/>
    </row>
    <row r="43" spans="1:6" ht="12.75" hidden="1" customHeight="1" x14ac:dyDescent="0.2">
      <c r="A43" s="3"/>
      <c r="B43" s="3"/>
      <c r="C43" s="3"/>
      <c r="D43" s="3"/>
      <c r="E43" s="3"/>
      <c r="F43" s="3"/>
    </row>
    <row r="44" spans="1:6" ht="12.75" hidden="1" customHeight="1" x14ac:dyDescent="0.2">
      <c r="A44" s="3"/>
      <c r="B44" s="3"/>
      <c r="C44" s="3"/>
      <c r="D44" s="3"/>
      <c r="E44" s="3"/>
      <c r="F44" s="3"/>
    </row>
    <row r="45" spans="1:6" ht="12.75" hidden="1" customHeight="1" x14ac:dyDescent="0.2">
      <c r="A45" s="3"/>
      <c r="B45" s="3"/>
      <c r="C45" s="3"/>
      <c r="D45" s="3"/>
      <c r="E45" s="3"/>
      <c r="F45" s="3"/>
    </row>
    <row r="46" spans="1:6" ht="12.75" hidden="1" customHeight="1" x14ac:dyDescent="0.2">
      <c r="A46" s="3"/>
      <c r="B46" s="3"/>
      <c r="C46" s="3"/>
      <c r="D46" s="3"/>
      <c r="E46" s="3"/>
      <c r="F46" s="3"/>
    </row>
    <row r="47" spans="1:6" ht="12.75" hidden="1" customHeight="1" x14ac:dyDescent="0.2">
      <c r="A47" s="3"/>
      <c r="B47" s="3"/>
      <c r="C47" s="3"/>
      <c r="D47" s="3"/>
      <c r="E47" s="3"/>
      <c r="F47" s="3"/>
    </row>
    <row r="48" spans="1:6" ht="12.75" hidden="1" customHeight="1" x14ac:dyDescent="0.2">
      <c r="A48" s="3"/>
      <c r="B48" s="3"/>
      <c r="C48" s="3"/>
      <c r="D48" s="3"/>
      <c r="E48" s="3"/>
      <c r="F48" s="3"/>
    </row>
    <row r="49" spans="1:6" ht="12.75" hidden="1" customHeight="1" x14ac:dyDescent="0.2">
      <c r="A49" s="3"/>
      <c r="B49" s="3"/>
      <c r="C49" s="3"/>
      <c r="D49" s="3"/>
      <c r="E49" s="3"/>
      <c r="F49" s="3"/>
    </row>
    <row r="50" spans="1:6" ht="12.75" hidden="1" customHeight="1" x14ac:dyDescent="0.2">
      <c r="A50" s="3"/>
      <c r="B50" s="3"/>
      <c r="C50" s="3"/>
      <c r="D50" s="3"/>
      <c r="E50" s="3"/>
      <c r="F50" s="3"/>
    </row>
    <row r="51" spans="1:6" ht="12.75" hidden="1" customHeight="1" x14ac:dyDescent="0.2">
      <c r="A51" s="3"/>
      <c r="B51" s="3"/>
      <c r="C51" s="3"/>
      <c r="D51" s="3"/>
      <c r="E51" s="3"/>
      <c r="F51" s="3"/>
    </row>
    <row r="52" spans="1:6" ht="12.75" hidden="1" customHeight="1" x14ac:dyDescent="0.2">
      <c r="A52" s="3"/>
      <c r="B52" s="3"/>
      <c r="C52" s="3"/>
      <c r="D52" s="3"/>
      <c r="E52" s="3"/>
      <c r="F52" s="3"/>
    </row>
    <row r="53" spans="1:6" ht="12.75" hidden="1" customHeight="1" x14ac:dyDescent="0.2">
      <c r="A53" s="3"/>
      <c r="B53" s="3"/>
      <c r="C53" s="3"/>
      <c r="D53" s="3"/>
      <c r="E53" s="3"/>
      <c r="F53" s="3"/>
    </row>
    <row r="54" spans="1:6" ht="12.75" hidden="1" customHeight="1" x14ac:dyDescent="0.2">
      <c r="A54" s="3"/>
      <c r="B54" s="3"/>
      <c r="C54" s="3"/>
      <c r="D54" s="3"/>
      <c r="E54" s="3"/>
      <c r="F54" s="3"/>
    </row>
    <row r="55" spans="1:6" ht="12.75" hidden="1" customHeight="1" x14ac:dyDescent="0.2">
      <c r="A55" s="3"/>
      <c r="B55" s="3"/>
      <c r="C55" s="3"/>
      <c r="D55" s="3"/>
      <c r="E55" s="3"/>
      <c r="F55" s="3"/>
    </row>
    <row r="56" spans="1:6" ht="12.75" hidden="1" customHeight="1" x14ac:dyDescent="0.2">
      <c r="A56" s="3"/>
      <c r="B56" s="3"/>
      <c r="C56" s="3"/>
      <c r="D56" s="3"/>
      <c r="E56" s="3"/>
      <c r="F56" s="3"/>
    </row>
    <row r="57" spans="1:6" ht="12.75" hidden="1" customHeight="1" x14ac:dyDescent="0.2">
      <c r="A57" s="3"/>
      <c r="B57" s="3"/>
      <c r="C57" s="3"/>
      <c r="D57" s="3"/>
      <c r="E57" s="3"/>
      <c r="F57" s="3"/>
    </row>
    <row r="58" spans="1:6" ht="12.75" hidden="1" customHeight="1" x14ac:dyDescent="0.2">
      <c r="A58" s="3"/>
      <c r="B58" s="3"/>
      <c r="C58" s="3"/>
      <c r="D58" s="3"/>
      <c r="E58" s="3"/>
      <c r="F58" s="3"/>
    </row>
    <row r="59" spans="1:6" ht="12.75" hidden="1" customHeight="1" x14ac:dyDescent="0.2">
      <c r="A59" s="3"/>
      <c r="B59" s="3"/>
      <c r="C59" s="3"/>
      <c r="D59" s="3"/>
      <c r="E59" s="3"/>
      <c r="F59" s="3"/>
    </row>
    <row r="60" spans="1:6" ht="12.75" hidden="1" customHeight="1" x14ac:dyDescent="0.2">
      <c r="A60" s="3"/>
      <c r="B60" s="3"/>
      <c r="C60" s="3"/>
      <c r="D60" s="3"/>
      <c r="E60" s="3"/>
      <c r="F60" s="3"/>
    </row>
    <row r="61" spans="1:6" ht="12.75" hidden="1" customHeight="1" x14ac:dyDescent="0.2">
      <c r="A61" s="3"/>
      <c r="B61" s="3"/>
      <c r="C61" s="3"/>
      <c r="D61" s="3"/>
      <c r="E61" s="3"/>
      <c r="F61" s="3"/>
    </row>
    <row r="62" spans="1:6" ht="12.75" hidden="1" customHeight="1" x14ac:dyDescent="0.2">
      <c r="A62" s="3"/>
      <c r="B62" s="3"/>
      <c r="C62" s="3"/>
      <c r="D62" s="3"/>
      <c r="E62" s="3"/>
      <c r="F62" s="3"/>
    </row>
    <row r="63" spans="1:6" ht="12.75" hidden="1" customHeight="1" x14ac:dyDescent="0.2">
      <c r="A63" s="3"/>
      <c r="B63" s="3"/>
      <c r="C63" s="3"/>
      <c r="D63" s="3"/>
      <c r="E63" s="3"/>
      <c r="F63" s="3"/>
    </row>
    <row r="64" spans="1:6" ht="12.75" hidden="1" customHeight="1" x14ac:dyDescent="0.2">
      <c r="A64" s="3"/>
      <c r="B64" s="3"/>
      <c r="C64" s="3"/>
      <c r="D64" s="3"/>
      <c r="E64" s="3"/>
      <c r="F64" s="3"/>
    </row>
    <row r="65" spans="1:6" ht="12.75" hidden="1" customHeight="1" x14ac:dyDescent="0.2">
      <c r="A65" s="3"/>
      <c r="B65" s="3"/>
      <c r="C65" s="3"/>
      <c r="D65" s="3"/>
      <c r="E65" s="3"/>
      <c r="F65" s="3"/>
    </row>
    <row r="66" spans="1:6" ht="12.75" hidden="1" customHeight="1" x14ac:dyDescent="0.2">
      <c r="A66" s="3"/>
      <c r="B66" s="3"/>
      <c r="C66" s="3"/>
      <c r="D66" s="3"/>
      <c r="E66" s="3"/>
      <c r="F66" s="3"/>
    </row>
    <row r="67" spans="1:6" ht="12.75" hidden="1" customHeight="1" x14ac:dyDescent="0.2">
      <c r="A67" s="3"/>
      <c r="B67" s="3"/>
      <c r="C67" s="3"/>
      <c r="D67" s="3"/>
      <c r="E67" s="3"/>
      <c r="F67" s="3"/>
    </row>
    <row r="68" spans="1:6" ht="12.75" hidden="1" customHeight="1" x14ac:dyDescent="0.2">
      <c r="A68" s="3"/>
      <c r="B68" s="3"/>
      <c r="C68" s="3"/>
      <c r="D68" s="3"/>
      <c r="E68" s="3"/>
      <c r="F68" s="3"/>
    </row>
    <row r="69" spans="1:6" ht="12.75" hidden="1" customHeight="1" x14ac:dyDescent="0.2">
      <c r="A69" s="3"/>
      <c r="B69" s="3"/>
      <c r="C69" s="3"/>
      <c r="D69" s="3"/>
      <c r="E69" s="3"/>
      <c r="F69" s="3"/>
    </row>
    <row r="70" spans="1:6" ht="12.75" hidden="1" customHeight="1" x14ac:dyDescent="0.2">
      <c r="A70" s="3"/>
      <c r="B70" s="3"/>
      <c r="C70" s="3"/>
      <c r="D70" s="3"/>
      <c r="E70" s="3"/>
      <c r="F70" s="3"/>
    </row>
    <row r="71" spans="1:6" ht="12.75" hidden="1" customHeight="1" x14ac:dyDescent="0.2">
      <c r="A71" s="3"/>
      <c r="B71" s="3"/>
      <c r="C71" s="3"/>
      <c r="D71" s="3"/>
      <c r="E71" s="3"/>
      <c r="F71" s="3"/>
    </row>
    <row r="72" spans="1:6" ht="12.75" hidden="1" customHeight="1" x14ac:dyDescent="0.2">
      <c r="A72" s="3"/>
      <c r="B72" s="3"/>
      <c r="C72" s="3"/>
      <c r="D72" s="3"/>
      <c r="E72" s="3"/>
      <c r="F72" s="3"/>
    </row>
    <row r="73" spans="1:6" ht="12.75" hidden="1" customHeight="1" x14ac:dyDescent="0.2">
      <c r="A73" s="3"/>
      <c r="B73" s="3"/>
      <c r="C73" s="3"/>
      <c r="D73" s="3"/>
      <c r="E73" s="3"/>
      <c r="F73" s="3"/>
    </row>
    <row r="74" spans="1:6" ht="12.75" hidden="1" customHeight="1" x14ac:dyDescent="0.2">
      <c r="A74" s="3"/>
      <c r="B74" s="3"/>
      <c r="C74" s="3"/>
      <c r="D74" s="3"/>
      <c r="E74" s="3"/>
      <c r="F74" s="3"/>
    </row>
    <row r="75" spans="1:6" ht="12.75" hidden="1" customHeight="1" x14ac:dyDescent="0.2">
      <c r="A75" s="3"/>
      <c r="B75" s="3"/>
      <c r="C75" s="3"/>
      <c r="D75" s="3"/>
      <c r="E75" s="3"/>
      <c r="F75" s="3"/>
    </row>
    <row r="76" spans="1:6" ht="12.75" hidden="1" customHeight="1" x14ac:dyDescent="0.2">
      <c r="A76" s="3"/>
      <c r="B76" s="3"/>
      <c r="C76" s="3"/>
      <c r="D76" s="3"/>
      <c r="E76" s="3"/>
      <c r="F76" s="3"/>
    </row>
    <row r="77" spans="1:6" ht="12.75" hidden="1" customHeight="1" x14ac:dyDescent="0.2">
      <c r="A77" s="3"/>
      <c r="B77" s="3"/>
      <c r="C77" s="3"/>
      <c r="D77" s="3"/>
      <c r="E77" s="3"/>
      <c r="F77" s="3"/>
    </row>
    <row r="78" spans="1:6" ht="12.75" hidden="1" customHeight="1" x14ac:dyDescent="0.2">
      <c r="A78" s="3"/>
      <c r="B78" s="3"/>
      <c r="C78" s="3"/>
      <c r="D78" s="3"/>
      <c r="E78" s="3"/>
      <c r="F78" s="3"/>
    </row>
    <row r="79" spans="1:6" ht="12.75" hidden="1" customHeight="1" x14ac:dyDescent="0.2">
      <c r="A79" s="3"/>
      <c r="B79" s="3"/>
      <c r="C79" s="3"/>
      <c r="D79" s="3"/>
      <c r="E79" s="3"/>
      <c r="F79" s="3"/>
    </row>
    <row r="80" spans="1:6" ht="12.75" hidden="1" customHeight="1" x14ac:dyDescent="0.2">
      <c r="A80" s="3"/>
      <c r="B80" s="3"/>
      <c r="C80" s="3"/>
      <c r="D80" s="3"/>
      <c r="E80" s="3"/>
      <c r="F80" s="3"/>
    </row>
    <row r="81" spans="1:6" ht="12.75" hidden="1" customHeight="1" x14ac:dyDescent="0.2">
      <c r="A81" s="3"/>
      <c r="B81" s="3"/>
      <c r="C81" s="3"/>
      <c r="D81" s="3"/>
      <c r="E81" s="3"/>
      <c r="F81" s="3"/>
    </row>
    <row r="82" spans="1:6" ht="12.75" hidden="1" customHeight="1" x14ac:dyDescent="0.2">
      <c r="A82" s="3"/>
      <c r="B82" s="3"/>
      <c r="C82" s="3"/>
      <c r="D82" s="3"/>
      <c r="E82" s="3"/>
      <c r="F82" s="3"/>
    </row>
    <row r="83" spans="1:6" ht="12.75" hidden="1" customHeight="1" x14ac:dyDescent="0.2">
      <c r="A83" s="3"/>
      <c r="B83" s="3"/>
      <c r="C83" s="3"/>
      <c r="D83" s="3"/>
      <c r="E83" s="3"/>
      <c r="F83" s="3"/>
    </row>
    <row r="84" spans="1:6" ht="12.75" hidden="1" customHeight="1" x14ac:dyDescent="0.2">
      <c r="A84" s="3"/>
      <c r="B84" s="3"/>
      <c r="C84" s="3"/>
      <c r="D84" s="3"/>
      <c r="E84" s="3"/>
      <c r="F84" s="3"/>
    </row>
    <row r="85" spans="1:6" ht="12.75" hidden="1" customHeight="1" x14ac:dyDescent="0.2">
      <c r="A85" s="3"/>
      <c r="B85" s="3"/>
      <c r="C85" s="3"/>
      <c r="D85" s="3"/>
      <c r="E85" s="3"/>
      <c r="F85" s="3"/>
    </row>
    <row r="86" spans="1:6" ht="12.75" hidden="1" customHeight="1" x14ac:dyDescent="0.2">
      <c r="A86" s="3"/>
      <c r="B86" s="3"/>
      <c r="C86" s="3"/>
      <c r="D86" s="3"/>
      <c r="E86" s="3"/>
      <c r="F86" s="3"/>
    </row>
    <row r="87" spans="1:6" ht="12.75" hidden="1" customHeight="1" x14ac:dyDescent="0.2">
      <c r="A87" s="3"/>
      <c r="B87" s="3"/>
      <c r="C87" s="3"/>
      <c r="D87" s="3"/>
      <c r="E87" s="3"/>
      <c r="F87" s="3"/>
    </row>
    <row r="88" spans="1:6" ht="12.75" hidden="1" customHeight="1" x14ac:dyDescent="0.2">
      <c r="A88" s="3"/>
      <c r="B88" s="3"/>
      <c r="C88" s="3"/>
      <c r="D88" s="3"/>
      <c r="E88" s="3"/>
      <c r="F88" s="3"/>
    </row>
    <row r="89" spans="1:6" ht="12.75" hidden="1" customHeight="1" x14ac:dyDescent="0.2">
      <c r="A89" s="3"/>
      <c r="B89" s="3"/>
      <c r="C89" s="3"/>
      <c r="D89" s="3"/>
      <c r="E89" s="3"/>
      <c r="F89" s="3"/>
    </row>
    <row r="90" spans="1:6" ht="12.75" hidden="1" customHeight="1" x14ac:dyDescent="0.2">
      <c r="A90" s="3"/>
      <c r="B90" s="3"/>
      <c r="C90" s="3"/>
      <c r="D90" s="3"/>
      <c r="E90" s="3"/>
      <c r="F90" s="3"/>
    </row>
    <row r="91" spans="1:6" ht="12.75" hidden="1" customHeight="1" x14ac:dyDescent="0.2">
      <c r="A91" s="3"/>
      <c r="B91" s="3"/>
      <c r="C91" s="3"/>
      <c r="D91" s="3"/>
      <c r="E91" s="3"/>
      <c r="F91" s="3"/>
    </row>
    <row r="92" spans="1:6" ht="12.75" hidden="1" customHeight="1" x14ac:dyDescent="0.2">
      <c r="A92" s="3"/>
      <c r="B92" s="3"/>
      <c r="C92" s="3"/>
      <c r="D92" s="3"/>
      <c r="E92" s="3"/>
      <c r="F92" s="3"/>
    </row>
    <row r="93" spans="1:6" ht="12.75" hidden="1" customHeight="1" x14ac:dyDescent="0.2">
      <c r="A93" s="3"/>
      <c r="B93" s="3"/>
      <c r="C93" s="3"/>
      <c r="D93" s="3"/>
      <c r="E93" s="3"/>
      <c r="F93" s="3"/>
    </row>
    <row r="94" spans="1:6" ht="12.75" hidden="1" customHeight="1" x14ac:dyDescent="0.2">
      <c r="A94" s="3"/>
      <c r="B94" s="3"/>
      <c r="C94" s="3"/>
      <c r="D94" s="3"/>
      <c r="E94" s="3"/>
      <c r="F94" s="3"/>
    </row>
    <row r="95" spans="1:6" ht="12.75" hidden="1" customHeight="1" x14ac:dyDescent="0.2">
      <c r="D95" s="3"/>
    </row>
  </sheetData>
  <hyperlinks>
    <hyperlink ref="D1" location="Menu!A1" display="Menu" xr:uid="{00000000-0004-0000-0900-000000000000}"/>
  </hyperlinks>
  <pageMargins left="0.7" right="0.7" top="0.75" bottom="0.75" header="0.3" footer="0.3"/>
  <pageSetup paperSize="9" orientation="portrait" r:id="rId1"/>
  <ignoredErrors>
    <ignoredError sqref="D8:D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FF0000"/>
    <pageSetUpPr fitToPage="1"/>
  </sheetPr>
  <dimension ref="A1:AB234"/>
  <sheetViews>
    <sheetView zoomScale="85" zoomScaleNormal="85"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12.28515625" customWidth="1"/>
    <col min="4" max="4" width="12.5703125" bestFit="1" customWidth="1"/>
    <col min="5" max="19" width="12.28515625" customWidth="1"/>
    <col min="20" max="20" width="12.28515625" bestFit="1" customWidth="1"/>
    <col min="21" max="25" width="12.28515625" customWidth="1"/>
    <col min="26" max="26" width="3.7109375" customWidth="1"/>
    <col min="27" max="27" width="9.140625" hidden="1" customWidth="1"/>
    <col min="28" max="16384" width="9.140625" hidden="1"/>
  </cols>
  <sheetData>
    <row r="1" spans="1:27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0" t="s">
        <v>39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173" t="str">
        <f ca="1">RIGHT(CELL("filename", $A$1), LEN(CELL("filename", $A$1)) - SEARCH("]", CELL("filename", $A$1)))</f>
        <v>Forecast Expenditure-Volumes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8" t="s">
        <v>82</v>
      </c>
      <c r="N2" s="172" t="str">
        <f>IF(ROUND(SUM(C22:M22),0)=ROUND(SUM(O44:Y44),0),"OK","Check!")</f>
        <v>OK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">
      <c r="A4" s="3"/>
      <c r="B4" s="144" t="s">
        <v>336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">
      <c r="A5" s="3"/>
      <c r="B5" s="145" t="s">
        <v>337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">
      <c r="A6" s="3"/>
      <c r="B6" s="3"/>
      <c r="C6" s="280" t="s">
        <v>191</v>
      </c>
      <c r="D6" s="274"/>
      <c r="E6" s="274"/>
      <c r="F6" s="274"/>
      <c r="G6" s="274"/>
      <c r="H6" s="274"/>
      <c r="I6" s="274"/>
      <c r="J6" s="274"/>
      <c r="K6" s="274"/>
      <c r="L6" s="274"/>
      <c r="M6" s="275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5.5" x14ac:dyDescent="0.2">
      <c r="A7" s="3"/>
      <c r="B7" s="2" t="s">
        <v>35</v>
      </c>
      <c r="C7" s="2" t="s">
        <v>323</v>
      </c>
      <c r="D7" s="2" t="s">
        <v>324</v>
      </c>
      <c r="E7" s="2" t="s">
        <v>325</v>
      </c>
      <c r="F7" s="2" t="s">
        <v>326</v>
      </c>
      <c r="G7" s="136" t="s">
        <v>315</v>
      </c>
      <c r="H7" s="136" t="s">
        <v>316</v>
      </c>
      <c r="I7" s="136" t="s">
        <v>317</v>
      </c>
      <c r="J7" s="136" t="s">
        <v>318</v>
      </c>
      <c r="K7" s="136" t="s">
        <v>319</v>
      </c>
      <c r="L7" s="136" t="s">
        <v>320</v>
      </c>
      <c r="M7" s="136" t="s">
        <v>321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">
      <c r="A8" s="3"/>
      <c r="B8" s="179">
        <f>'Historical Expenditure-Volumes'!B84</f>
        <v>102</v>
      </c>
      <c r="C8" s="166">
        <f>'Historical Expenditure-Volumes'!D84</f>
        <v>339.5</v>
      </c>
      <c r="D8" s="166">
        <f>'Historical Expenditure-Volumes'!E84</f>
        <v>324</v>
      </c>
      <c r="E8" s="166">
        <f>'Historical Expenditure-Volumes'!F84</f>
        <v>440.5</v>
      </c>
      <c r="F8" s="166">
        <f>'Historical Expenditure-Volumes'!G84</f>
        <v>539.96272941526104</v>
      </c>
      <c r="G8" s="158">
        <f>'Historical Expenditure-Volumes'!$H84</f>
        <v>410.99068235381526</v>
      </c>
      <c r="H8" s="158">
        <f>G8*(1+'Growth Rates'!H9)</f>
        <v>411.58784442233906</v>
      </c>
      <c r="I8" s="158">
        <f>H8*(1+'Growth Rates'!I9)</f>
        <v>426.35092432793181</v>
      </c>
      <c r="J8" s="158">
        <f>I8*(1+'Growth Rates'!J9)</f>
        <v>439.33650477158756</v>
      </c>
      <c r="K8" s="158">
        <f>J8*(1+'Growth Rates'!K9)</f>
        <v>441.32542305469588</v>
      </c>
      <c r="L8" s="158">
        <f>K8*(1+'Growth Rates'!L9)</f>
        <v>446.82427106897723</v>
      </c>
      <c r="M8" s="158">
        <f>L8*(1+'Growth Rates'!M9)</f>
        <v>455.05222290794734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3"/>
      <c r="B9" s="179">
        <f>'Historical Expenditure-Volumes'!B85</f>
        <v>104</v>
      </c>
      <c r="C9" s="166">
        <f>'Historical Expenditure-Volumes'!D85</f>
        <v>309</v>
      </c>
      <c r="D9" s="166">
        <f>'Historical Expenditure-Volumes'!E85</f>
        <v>336.5</v>
      </c>
      <c r="E9" s="166">
        <f>'Historical Expenditure-Volumes'!F85</f>
        <v>456</v>
      </c>
      <c r="F9" s="166">
        <f>'Historical Expenditure-Volumes'!G85</f>
        <v>539.55066445542013</v>
      </c>
      <c r="G9" s="158">
        <f>'Historical Expenditure-Volumes'!$H85</f>
        <v>410.26266611385506</v>
      </c>
      <c r="H9" s="158">
        <f>G9*(1+'Growth Rates'!H10)</f>
        <v>410.85877038787783</v>
      </c>
      <c r="I9" s="158">
        <f>H9*(1+'Growth Rates'!I10)</f>
        <v>425.59569942829393</v>
      </c>
      <c r="J9" s="158">
        <f>I9*(1+'Growth Rates'!J10)</f>
        <v>438.55827761458909</v>
      </c>
      <c r="K9" s="158">
        <f>J9*(1+'Growth Rates'!K10)</f>
        <v>440.54367278909126</v>
      </c>
      <c r="L9" s="158">
        <f>K9*(1+'Growth Rates'!L10)</f>
        <v>446.03278031331445</v>
      </c>
      <c r="M9" s="158">
        <f>L9*(1+'Growth Rates'!M10)</f>
        <v>454.24615741174284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3"/>
      <c r="B10" s="179">
        <f>'Historical Expenditure-Volumes'!B86</f>
        <v>105</v>
      </c>
      <c r="C10" s="166">
        <f>'Historical Expenditure-Volumes'!D86</f>
        <v>147</v>
      </c>
      <c r="D10" s="166">
        <f>'Historical Expenditure-Volumes'!E86</f>
        <v>169.5</v>
      </c>
      <c r="E10" s="166">
        <f>'Historical Expenditure-Volumes'!F86</f>
        <v>185.5</v>
      </c>
      <c r="F10" s="166">
        <f>'Historical Expenditure-Volumes'!G86</f>
        <v>219.12750763401363</v>
      </c>
      <c r="G10" s="158">
        <f>'Historical Expenditure-Volumes'!$H86</f>
        <v>180.28187690850342</v>
      </c>
      <c r="H10" s="158">
        <f>G10*(1+'Growth Rates'!H11)</f>
        <v>175.0960196471419</v>
      </c>
      <c r="I10" s="158">
        <f>H10*(1+'Growth Rates'!I11)</f>
        <v>175.93229278746196</v>
      </c>
      <c r="J10" s="158">
        <f>I10*(1+'Growth Rates'!J11)</f>
        <v>159.12243277141741</v>
      </c>
      <c r="K10" s="158">
        <f>J10*(1+'Growth Rates'!K11)</f>
        <v>160.37967817419852</v>
      </c>
      <c r="L10" s="158">
        <f>K10*(1+'Growth Rates'!L11)</f>
        <v>169.72602999691489</v>
      </c>
      <c r="M10" s="158">
        <f>L10*(1+'Growth Rates'!M11)</f>
        <v>171.3022461754953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3"/>
      <c r="B11" s="179">
        <f>'Historical Expenditure-Volumes'!B87</f>
        <v>106</v>
      </c>
      <c r="C11" s="166">
        <f>'Historical Expenditure-Volumes'!D87</f>
        <v>67.5</v>
      </c>
      <c r="D11" s="166">
        <f>'Historical Expenditure-Volumes'!E87</f>
        <v>82.5</v>
      </c>
      <c r="E11" s="166">
        <f>'Historical Expenditure-Volumes'!F87</f>
        <v>96</v>
      </c>
      <c r="F11" s="166">
        <f>'Historical Expenditure-Volumes'!G87</f>
        <v>111.31931661320543</v>
      </c>
      <c r="G11" s="158">
        <f>'Historical Expenditure-Volumes'!$H87</f>
        <v>89.329829153301361</v>
      </c>
      <c r="H11" s="158">
        <f>G11*(1+'Growth Rates'!H12)</f>
        <v>84.711158988110228</v>
      </c>
      <c r="I11" s="158">
        <f>H11*(1+'Growth Rates'!I12)</f>
        <v>84.898013523525591</v>
      </c>
      <c r="J11" s="158">
        <f>I11*(1+'Growth Rates'!J12)</f>
        <v>78.828405959660515</v>
      </c>
      <c r="K11" s="158">
        <f>J11*(1+'Growth Rates'!K12)</f>
        <v>79.859695575478781</v>
      </c>
      <c r="L11" s="158">
        <f>K11*(1+'Growth Rates'!L12)</f>
        <v>83.188476028288562</v>
      </c>
      <c r="M11" s="158">
        <f>L11*(1+'Growth Rates'!M12)</f>
        <v>82.486431318854031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3"/>
      <c r="B12" s="179">
        <f>'Historical Expenditure-Volumes'!B88</f>
        <v>107</v>
      </c>
      <c r="C12" s="166">
        <f>'Historical Expenditure-Volumes'!D88</f>
        <v>8</v>
      </c>
      <c r="D12" s="166">
        <f>'Historical Expenditure-Volumes'!E88</f>
        <v>9.5</v>
      </c>
      <c r="E12" s="166">
        <f>'Historical Expenditure-Volumes'!F88</f>
        <v>5</v>
      </c>
      <c r="F12" s="166">
        <f>'Historical Expenditure-Volumes'!G88</f>
        <v>2.7980161761974549</v>
      </c>
      <c r="G12" s="158">
        <f>'Historical Expenditure-Volumes'!$H88</f>
        <v>6.3245040440493634</v>
      </c>
      <c r="H12" s="158">
        <f>G12*(1+'Growth Rates'!H13)</f>
        <v>6.0132719223344564</v>
      </c>
      <c r="I12" s="158">
        <f>H12*(1+'Growth Rates'!I13)</f>
        <v>6.3840057174578879</v>
      </c>
      <c r="J12" s="158">
        <f>I12*(1+'Growth Rates'!J13)</f>
        <v>6.8312595300942496</v>
      </c>
      <c r="K12" s="158">
        <f>J12*(1+'Growth Rates'!K13)</f>
        <v>7.0975828159578249</v>
      </c>
      <c r="L12" s="158">
        <f>K12*(1+'Growth Rates'!L13)</f>
        <v>7.0472910032712388</v>
      </c>
      <c r="M12" s="158">
        <f>L12*(1+'Growth Rates'!M13)</f>
        <v>6.9959834197265263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3"/>
      <c r="B13" s="179">
        <f>'Historical Expenditure-Volumes'!B89</f>
        <v>108</v>
      </c>
      <c r="C13" s="166">
        <f>'Historical Expenditure-Volumes'!D89</f>
        <v>23</v>
      </c>
      <c r="D13" s="166">
        <f>'Historical Expenditure-Volumes'!E89</f>
        <v>25.5</v>
      </c>
      <c r="E13" s="166">
        <f>'Historical Expenditure-Volumes'!F89</f>
        <v>36.5</v>
      </c>
      <c r="F13" s="166">
        <f>'Historical Expenditure-Volumes'!G89</f>
        <v>42.022511657707156</v>
      </c>
      <c r="G13" s="158">
        <f>'Historical Expenditure-Volumes'!$H89</f>
        <v>31.755627914426789</v>
      </c>
      <c r="H13" s="158">
        <f>G13*(1+'Growth Rates'!H14)</f>
        <v>30.06273275873399</v>
      </c>
      <c r="I13" s="158">
        <f>H13*(1+'Growth Rates'!I14)</f>
        <v>31.158769283345698</v>
      </c>
      <c r="J13" s="158">
        <f>I13*(1+'Growth Rates'!J14)</f>
        <v>32.306837342475511</v>
      </c>
      <c r="K13" s="158">
        <f>J13*(1+'Growth Rates'!K14)</f>
        <v>32.987977720535639</v>
      </c>
      <c r="L13" s="158">
        <f>K13*(1+'Growth Rates'!L14)</f>
        <v>32.831762445779745</v>
      </c>
      <c r="M13" s="158">
        <f>L13*(1+'Growth Rates'!M14)</f>
        <v>32.844075722270851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3"/>
      <c r="B14" s="179">
        <f>'Historical Expenditure-Volumes'!B90</f>
        <v>109</v>
      </c>
      <c r="C14" s="166">
        <f>'Historical Expenditure-Volumes'!D90</f>
        <v>2166</v>
      </c>
      <c r="D14" s="166">
        <f>'Historical Expenditure-Volumes'!E90</f>
        <v>1942</v>
      </c>
      <c r="E14" s="166">
        <f>'Historical Expenditure-Volumes'!F90</f>
        <v>1998.5</v>
      </c>
      <c r="F14" s="166">
        <f>'Historical Expenditure-Volumes'!G90</f>
        <v>2274.2703567907411</v>
      </c>
      <c r="G14" s="158">
        <f>'Historical Expenditure-Volumes'!$H90</f>
        <v>2095.1925891976853</v>
      </c>
      <c r="H14" s="158">
        <f>G14*(1+'Growth Rates'!H15)</f>
        <v>2098.2368663412822</v>
      </c>
      <c r="I14" s="158">
        <f>H14*(1+'Growth Rates'!I15)</f>
        <v>2173.4976859656617</v>
      </c>
      <c r="J14" s="158">
        <f>I14*(1+'Growth Rates'!J15)</f>
        <v>2239.696977288173</v>
      </c>
      <c r="K14" s="158">
        <f>J14*(1+'Growth Rates'!K15)</f>
        <v>2249.8362992392749</v>
      </c>
      <c r="L14" s="158">
        <f>K14*(1+'Growth Rates'!L15)</f>
        <v>2277.8689192068691</v>
      </c>
      <c r="M14" s="158">
        <f>L14*(1+'Growth Rates'!M15)</f>
        <v>2319.8142587424372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3"/>
      <c r="B15" s="179">
        <f>'Historical Expenditure-Volumes'!B91</f>
        <v>110</v>
      </c>
      <c r="C15" s="166">
        <f>'Historical Expenditure-Volumes'!D91</f>
        <v>46</v>
      </c>
      <c r="D15" s="166">
        <f>'Historical Expenditure-Volumes'!E91</f>
        <v>51.5</v>
      </c>
      <c r="E15" s="166">
        <f>'Historical Expenditure-Volumes'!F91</f>
        <v>60</v>
      </c>
      <c r="F15" s="166">
        <f>'Historical Expenditure-Volumes'!G91</f>
        <v>66.099402781792804</v>
      </c>
      <c r="G15" s="158">
        <f>'Historical Expenditure-Volumes'!$H91</f>
        <v>55.899850695448201</v>
      </c>
      <c r="H15" s="158">
        <f>G15*(1+'Growth Rates'!H16)</f>
        <v>55.981072172977292</v>
      </c>
      <c r="I15" s="158">
        <f>H15*(1+'Growth Rates'!I16)</f>
        <v>57.98903487860661</v>
      </c>
      <c r="J15" s="158">
        <f>I15*(1+'Growth Rates'!J16)</f>
        <v>59.755235522954017</v>
      </c>
      <c r="K15" s="158">
        <f>J15*(1+'Growth Rates'!K16)</f>
        <v>60.025753176625514</v>
      </c>
      <c r="L15" s="158">
        <f>K15*(1+'Growth Rates'!L16)</f>
        <v>60.773664981425675</v>
      </c>
      <c r="M15" s="158">
        <f>L15*(1+'Growth Rates'!M16)</f>
        <v>61.892768890773702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3"/>
      <c r="B16" s="179">
        <f>'Historical Expenditure-Volumes'!B92</f>
        <v>111</v>
      </c>
      <c r="C16" s="166">
        <f>'Historical Expenditure-Volumes'!D92</f>
        <v>65</v>
      </c>
      <c r="D16" s="166">
        <f>'Historical Expenditure-Volumes'!E92</f>
        <v>67.5</v>
      </c>
      <c r="E16" s="166">
        <f>'Historical Expenditure-Volumes'!F92</f>
        <v>75.5</v>
      </c>
      <c r="F16" s="166">
        <f>'Historical Expenditure-Volumes'!G92</f>
        <v>51.076311419427029</v>
      </c>
      <c r="G16" s="158">
        <f>'Historical Expenditure-Volumes'!$H92</f>
        <v>64.769077854856761</v>
      </c>
      <c r="H16" s="158">
        <f>G16*(1+'Growth Rates'!H17)</f>
        <v>63.93150795410719</v>
      </c>
      <c r="I16" s="158">
        <f>H16*(1+'Growth Rates'!I17)</f>
        <v>66.170745414531027</v>
      </c>
      <c r="J16" s="158">
        <f>I16*(1+'Growth Rates'!J17)</f>
        <v>64.748489869139348</v>
      </c>
      <c r="K16" s="158">
        <f>J16*(1+'Growth Rates'!K17)</f>
        <v>65.33170330888143</v>
      </c>
      <c r="L16" s="158">
        <f>K16*(1+'Growth Rates'!L17)</f>
        <v>66.711126685385608</v>
      </c>
      <c r="M16" s="158">
        <f>L16*(1+'Growth Rates'!M17)</f>
        <v>66.64618664011131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3"/>
      <c r="B17" s="179">
        <f>'Historical Expenditure-Volumes'!B93</f>
        <v>114</v>
      </c>
      <c r="C17" s="166">
        <f>'Historical Expenditure-Volumes'!D93</f>
        <v>911.5</v>
      </c>
      <c r="D17" s="166">
        <f>'Historical Expenditure-Volumes'!E93</f>
        <v>0</v>
      </c>
      <c r="E17" s="166">
        <f>'Historical Expenditure-Volumes'!F93</f>
        <v>0</v>
      </c>
      <c r="F17" s="166">
        <f>'Historical Expenditure-Volumes'!G93</f>
        <v>0</v>
      </c>
      <c r="G17" s="158">
        <f>'Historical Expenditure-Volumes'!$H93</f>
        <v>0</v>
      </c>
      <c r="H17" s="158">
        <f>G17*(1+'Growth Rates'!H18)</f>
        <v>0</v>
      </c>
      <c r="I17" s="158">
        <f>H17*(1+'Growth Rates'!I18)</f>
        <v>0</v>
      </c>
      <c r="J17" s="158">
        <f>I17*(1+'Growth Rates'!J18)</f>
        <v>0</v>
      </c>
      <c r="K17" s="158">
        <f>J17*(1+'Growth Rates'!K18)</f>
        <v>0</v>
      </c>
      <c r="L17" s="158">
        <f>K17*(1+'Growth Rates'!L18)</f>
        <v>0</v>
      </c>
      <c r="M17" s="158">
        <f>L17*(1+'Growth Rates'!M18)</f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3"/>
      <c r="B18" s="179">
        <f>'Historical Expenditure-Volumes'!B94</f>
        <v>115</v>
      </c>
      <c r="C18" s="166">
        <f>'Historical Expenditure-Volumes'!D94</f>
        <v>6511.5</v>
      </c>
      <c r="D18" s="166">
        <f>'Historical Expenditure-Volumes'!E94</f>
        <v>0</v>
      </c>
      <c r="E18" s="166">
        <f>'Historical Expenditure-Volumes'!F94</f>
        <v>0</v>
      </c>
      <c r="F18" s="166">
        <f>'Historical Expenditure-Volumes'!G94</f>
        <v>0</v>
      </c>
      <c r="G18" s="158">
        <f>'Historical Expenditure-Volumes'!$H94</f>
        <v>0</v>
      </c>
      <c r="H18" s="158">
        <f>G18*(1+'Growth Rates'!H19)</f>
        <v>0</v>
      </c>
      <c r="I18" s="158">
        <f>H18*(1+'Growth Rates'!I19)</f>
        <v>0</v>
      </c>
      <c r="J18" s="158">
        <f>I18*(1+'Growth Rates'!J19)</f>
        <v>0</v>
      </c>
      <c r="K18" s="158">
        <f>J18*(1+'Growth Rates'!K19)</f>
        <v>0</v>
      </c>
      <c r="L18" s="158">
        <f>K18*(1+'Growth Rates'!L19)</f>
        <v>0</v>
      </c>
      <c r="M18" s="158">
        <f>L18*(1+'Growth Rates'!M19)</f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3"/>
      <c r="B19" s="179">
        <f>'Historical Expenditure-Volumes'!B95</f>
        <v>116</v>
      </c>
      <c r="C19" s="166">
        <f>'Historical Expenditure-Volumes'!D95</f>
        <v>325.5</v>
      </c>
      <c r="D19" s="166">
        <f>'Historical Expenditure-Volumes'!E95</f>
        <v>305.5</v>
      </c>
      <c r="E19" s="166">
        <f>'Historical Expenditure-Volumes'!F95</f>
        <v>399.5</v>
      </c>
      <c r="F19" s="166">
        <f>'Historical Expenditure-Volumes'!G95</f>
        <v>535.34601849635692</v>
      </c>
      <c r="G19" s="158">
        <f>'Historical Expenditure-Volumes'!$H95</f>
        <v>391.46150462408923</v>
      </c>
      <c r="H19" s="158">
        <f>G19*(1+'Growth Rates'!H20)</f>
        <v>387.5445265022899</v>
      </c>
      <c r="I19" s="158">
        <f>H19*(1+'Growth Rates'!I20)</f>
        <v>380.54692456186899</v>
      </c>
      <c r="J19" s="158">
        <f>I19*(1+'Growth Rates'!J20)</f>
        <v>325.68654932308516</v>
      </c>
      <c r="K19" s="158">
        <f>J19*(1+'Growth Rates'!K20)</f>
        <v>297.97116299919037</v>
      </c>
      <c r="L19" s="158">
        <f>K19*(1+'Growth Rates'!L20)</f>
        <v>283.77063815277825</v>
      </c>
      <c r="M19" s="158">
        <f>L19*(1+'Growth Rates'!M20)</f>
        <v>284.16541775020477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3"/>
      <c r="B20" s="179">
        <f>'Historical Expenditure-Volumes'!B96</f>
        <v>118</v>
      </c>
      <c r="C20" s="166">
        <f>'Historical Expenditure-Volumes'!D96</f>
        <v>35.5</v>
      </c>
      <c r="D20" s="166">
        <f>'Historical Expenditure-Volumes'!E96</f>
        <v>48.5</v>
      </c>
      <c r="E20" s="166">
        <f>'Historical Expenditure-Volumes'!F96</f>
        <v>39</v>
      </c>
      <c r="F20" s="166">
        <f>'Historical Expenditure-Volumes'!G96</f>
        <v>11.402567573295791</v>
      </c>
      <c r="G20" s="158">
        <f>'Historical Expenditure-Volumes'!$H96</f>
        <v>33.600641893323946</v>
      </c>
      <c r="H20" s="158">
        <f>G20*(1+'Growth Rates'!H21)</f>
        <v>33.600641893323946</v>
      </c>
      <c r="I20" s="158">
        <f>H20*(1+'Growth Rates'!I21)</f>
        <v>33.600641893323946</v>
      </c>
      <c r="J20" s="158">
        <f>I20*(1+'Growth Rates'!J21)</f>
        <v>33.600641893323946</v>
      </c>
      <c r="K20" s="158">
        <f>J20*(1+'Growth Rates'!K21)</f>
        <v>33.600641893323946</v>
      </c>
      <c r="L20" s="158">
        <f>K20*(1+'Growth Rates'!L21)</f>
        <v>33.600641893323946</v>
      </c>
      <c r="M20" s="158">
        <f>L20*(1+'Growth Rates'!M21)</f>
        <v>33.600641893323946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3"/>
      <c r="B21" s="179">
        <f>'Historical Expenditure-Volumes'!B97</f>
        <v>171</v>
      </c>
      <c r="C21" s="166">
        <f>'Historical Expenditure-Volumes'!D97</f>
        <v>0</v>
      </c>
      <c r="D21" s="166">
        <f>'Historical Expenditure-Volumes'!E97</f>
        <v>0</v>
      </c>
      <c r="E21" s="166">
        <f>'Historical Expenditure-Volumes'!F97</f>
        <v>0</v>
      </c>
      <c r="F21" s="166">
        <f>'Historical Expenditure-Volumes'!G97</f>
        <v>0</v>
      </c>
      <c r="G21" s="158">
        <f>'Historical Expenditure-Volumes'!$H97</f>
        <v>0</v>
      </c>
      <c r="H21" s="158">
        <f>G21*(1+'Growth Rates'!H22)</f>
        <v>0</v>
      </c>
      <c r="I21" s="158">
        <f>H21*(1+'Growth Rates'!I22)</f>
        <v>0</v>
      </c>
      <c r="J21" s="158">
        <f>I21*(1+'Growth Rates'!J22)</f>
        <v>0</v>
      </c>
      <c r="K21" s="158">
        <f>J21*(1+'Growth Rates'!K22)</f>
        <v>0</v>
      </c>
      <c r="L21" s="158">
        <f>K21*(1+'Growth Rates'!L22)</f>
        <v>0</v>
      </c>
      <c r="M21" s="158">
        <f>L21*(1+'Growth Rates'!M22)</f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3"/>
      <c r="B22" s="71" t="s">
        <v>36</v>
      </c>
      <c r="C22" s="182">
        <f t="shared" ref="C22:M22" si="0">SUM(C8:C21)</f>
        <v>10955</v>
      </c>
      <c r="D22" s="182">
        <f t="shared" si="0"/>
        <v>3362.5</v>
      </c>
      <c r="E22" s="182">
        <f t="shared" si="0"/>
        <v>3792</v>
      </c>
      <c r="F22" s="182">
        <f t="shared" si="0"/>
        <v>4392.9754030134191</v>
      </c>
      <c r="G22" s="182">
        <f t="shared" si="0"/>
        <v>3769.8688507533543</v>
      </c>
      <c r="H22" s="182">
        <f t="shared" si="0"/>
        <v>3757.6244129905176</v>
      </c>
      <c r="I22" s="182">
        <f t="shared" si="0"/>
        <v>3862.12473778201</v>
      </c>
      <c r="J22" s="182">
        <f t="shared" si="0"/>
        <v>3878.4716118864999</v>
      </c>
      <c r="K22" s="182">
        <f t="shared" si="0"/>
        <v>3868.959590747254</v>
      </c>
      <c r="L22" s="182">
        <f t="shared" si="0"/>
        <v>3908.3756017763285</v>
      </c>
      <c r="M22" s="182">
        <f t="shared" si="0"/>
        <v>3969.046390872888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3"/>
      <c r="B23" s="3" t="s">
        <v>231</v>
      </c>
      <c r="C23" s="3"/>
      <c r="D23" s="3"/>
      <c r="E23" s="3"/>
      <c r="F23" s="3"/>
      <c r="G23" s="183">
        <f>G22-'Historical Expenditure-Volumes'!H98</f>
        <v>0</v>
      </c>
      <c r="H23" s="183">
        <f>SUMPRODUCT(G8:G21,1+'Growth Rates'!H9:H22)-H22</f>
        <v>0</v>
      </c>
      <c r="I23" s="183">
        <f>SUMPRODUCT(H8:H21,1+'Growth Rates'!I9:I22)-I22</f>
        <v>0</v>
      </c>
      <c r="J23" s="183">
        <f>SUMPRODUCT(I8:I21,1+'Growth Rates'!J9:J22)-J22</f>
        <v>0</v>
      </c>
      <c r="K23" s="183">
        <f>SUMPRODUCT(J8:J21,1+'Growth Rates'!K9:K22)-K22</f>
        <v>0</v>
      </c>
      <c r="L23" s="183">
        <f>SUMPRODUCT(K8:K21,1+'Growth Rates'!L9:L22)-L22</f>
        <v>0</v>
      </c>
      <c r="M23" s="183">
        <f>SUMPRODUCT(L8:L21,1+'Growth Rates'!M9:M22)-M22</f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3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60" customFormat="1" x14ac:dyDescent="0.2">
      <c r="A25" s="3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60" customFormat="1" x14ac:dyDescent="0.2">
      <c r="A26" s="3"/>
      <c r="B26" s="34" t="s">
        <v>333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60" customFormat="1" x14ac:dyDescent="0.2">
      <c r="A27" s="3"/>
      <c r="B27" s="49" t="s">
        <v>177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58" t="s">
        <v>191</v>
      </c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3"/>
      <c r="AA27" s="3"/>
    </row>
    <row r="28" spans="1:27" s="60" customFormat="1" ht="12.75" customHeight="1" x14ac:dyDescent="0.2">
      <c r="A28" s="3"/>
      <c r="B28" s="261" t="s">
        <v>32</v>
      </c>
      <c r="C28" s="263"/>
      <c r="D28" s="279" t="s">
        <v>33</v>
      </c>
      <c r="E28" s="279"/>
      <c r="F28" s="279"/>
      <c r="G28" s="279"/>
      <c r="H28" s="279"/>
      <c r="I28" s="279"/>
      <c r="J28" s="279"/>
      <c r="K28" s="279"/>
      <c r="L28" s="279"/>
      <c r="M28" s="279"/>
      <c r="N28" s="77" t="s">
        <v>81</v>
      </c>
      <c r="O28" s="141" t="s">
        <v>323</v>
      </c>
      <c r="P28" s="141" t="s">
        <v>324</v>
      </c>
      <c r="Q28" s="141" t="s">
        <v>325</v>
      </c>
      <c r="R28" s="141" t="s">
        <v>326</v>
      </c>
      <c r="S28" s="143" t="s">
        <v>315</v>
      </c>
      <c r="T28" s="143" t="s">
        <v>316</v>
      </c>
      <c r="U28" s="143" t="s">
        <v>317</v>
      </c>
      <c r="V28" s="143" t="s">
        <v>318</v>
      </c>
      <c r="W28" s="143" t="s">
        <v>319</v>
      </c>
      <c r="X28" s="143" t="s">
        <v>320</v>
      </c>
      <c r="Y28" s="143" t="s">
        <v>321</v>
      </c>
      <c r="Z28" s="3"/>
      <c r="AA28" s="3"/>
    </row>
    <row r="29" spans="1:27" s="60" customFormat="1" x14ac:dyDescent="0.2">
      <c r="A29" s="3"/>
      <c r="B29" s="278" t="s">
        <v>44</v>
      </c>
      <c r="C29" s="278"/>
      <c r="D29" s="269" t="s">
        <v>45</v>
      </c>
      <c r="E29" s="269"/>
      <c r="F29" s="269"/>
      <c r="G29" s="269"/>
      <c r="H29" s="269"/>
      <c r="I29" s="269"/>
      <c r="J29" s="269"/>
      <c r="K29" s="269"/>
      <c r="L29" s="269"/>
      <c r="M29" s="269"/>
      <c r="N29" s="55" t="s">
        <v>46</v>
      </c>
      <c r="O29" s="165">
        <f>SUMPRODUCT(C8:C21,'Function Code Mapping'!$D$26:$D$39)</f>
        <v>6511.5</v>
      </c>
      <c r="P29" s="174">
        <f>SUMPRODUCT(D8:D21,'Function Code Mapping'!$D$26:$D$39)</f>
        <v>0</v>
      </c>
      <c r="Q29" s="174">
        <f>SUMPRODUCT(E8:E21,'Function Code Mapping'!$D$26:$D$39)</f>
        <v>0</v>
      </c>
      <c r="R29" s="174">
        <f>SUMPRODUCT(F8:F21,'Function Code Mapping'!$D$26:$D$39)</f>
        <v>0</v>
      </c>
      <c r="S29" s="174">
        <f>SUMPRODUCT(G8:G21,'Function Code Mapping'!$D$26:$D$39)</f>
        <v>0</v>
      </c>
      <c r="T29" s="174">
        <f>SUMPRODUCT(H8:H21,'Function Code Mapping'!$D$26:$D$39)</f>
        <v>0</v>
      </c>
      <c r="U29" s="174">
        <f>SUMPRODUCT(I8:I21,'Function Code Mapping'!$D$26:$D$39)</f>
        <v>0</v>
      </c>
      <c r="V29" s="174">
        <f>SUMPRODUCT(J8:J21,'Function Code Mapping'!$D$26:$D$39)</f>
        <v>0</v>
      </c>
      <c r="W29" s="174">
        <f>SUMPRODUCT(K8:K21,'Function Code Mapping'!$D$26:$D$39)</f>
        <v>0</v>
      </c>
      <c r="X29" s="174">
        <f>SUMPRODUCT(L8:L21,'Function Code Mapping'!$D$26:$D$39)</f>
        <v>0</v>
      </c>
      <c r="Y29" s="174">
        <f>SUMPRODUCT(M8:M21,'Function Code Mapping'!$D$26:$D$39)</f>
        <v>0</v>
      </c>
      <c r="Z29" s="3"/>
      <c r="AA29" s="3"/>
    </row>
    <row r="30" spans="1:27" s="60" customFormat="1" x14ac:dyDescent="0.2">
      <c r="A30" s="3"/>
      <c r="B30" s="278"/>
      <c r="C30" s="278"/>
      <c r="D30" s="269" t="s">
        <v>47</v>
      </c>
      <c r="E30" s="269"/>
      <c r="F30" s="269"/>
      <c r="G30" s="269"/>
      <c r="H30" s="269"/>
      <c r="I30" s="269"/>
      <c r="J30" s="269"/>
      <c r="K30" s="269"/>
      <c r="L30" s="269"/>
      <c r="M30" s="269"/>
      <c r="N30" s="55" t="s">
        <v>48</v>
      </c>
      <c r="O30" s="165">
        <f>SUMPRODUCT(C8:C21,'Function Code Mapping'!$E$26:$E$39)</f>
        <v>2333.37</v>
      </c>
      <c r="P30" s="165">
        <f>SUMPRODUCT(D8:D21,'Function Code Mapping'!$E$26:$E$39)</f>
        <v>2102.605</v>
      </c>
      <c r="Q30" s="165">
        <f>SUMPRODUCT(E8:E21,'Function Code Mapping'!$E$26:$E$39)</f>
        <v>2215.5050000000001</v>
      </c>
      <c r="R30" s="165">
        <f>SUMPRODUCT(F8:F21,'Function Code Mapping'!$E$26:$E$39)</f>
        <v>2540.0262921390868</v>
      </c>
      <c r="S30" s="165">
        <f>SUMPRODUCT(G8:G21,'Function Code Mapping'!$E$26:$E$39)</f>
        <v>2297.8765730347718</v>
      </c>
      <c r="T30" s="165">
        <f>SUMPRODUCT(H8:H21,'Function Code Mapping'!$E$26:$E$39)</f>
        <v>2301.0519122534192</v>
      </c>
      <c r="U30" s="165">
        <f>SUMPRODUCT(I8:I21,'Function Code Mapping'!$E$26:$E$39)</f>
        <v>2383.424098426693</v>
      </c>
      <c r="V30" s="165">
        <f>SUMPRODUCT(J8:J21,'Function Code Mapping'!$E$26:$E$39)</f>
        <v>2455.3521725616774</v>
      </c>
      <c r="W30" s="165">
        <f>SUMPRODUCT(K8:K21,'Function Code Mapping'!$E$26:$E$39)</f>
        <v>2466.483892650755</v>
      </c>
      <c r="X30" s="165">
        <f>SUMPRODUCT(L8:L21,'Function Code Mapping'!$E$26:$E$39)</f>
        <v>2497.4363502198858</v>
      </c>
      <c r="Y30" s="165">
        <f>SUMPRODUCT(M8:M21,'Function Code Mapping'!$E$26:$E$39)</f>
        <v>2543.3783931235166</v>
      </c>
      <c r="Z30" s="3"/>
      <c r="AA30" s="3"/>
    </row>
    <row r="31" spans="1:27" s="60" customFormat="1" x14ac:dyDescent="0.2">
      <c r="A31" s="3"/>
      <c r="B31" s="278"/>
      <c r="C31" s="278"/>
      <c r="D31" s="269" t="s">
        <v>49</v>
      </c>
      <c r="E31" s="269"/>
      <c r="F31" s="269"/>
      <c r="G31" s="269"/>
      <c r="H31" s="269"/>
      <c r="I31" s="269"/>
      <c r="J31" s="269"/>
      <c r="K31" s="269"/>
      <c r="L31" s="269"/>
      <c r="M31" s="269"/>
      <c r="N31" s="55" t="s">
        <v>50</v>
      </c>
      <c r="O31" s="165">
        <f>SUMPRODUCT(C8:C21,'Function Code Mapping'!$F$26:$F$39)</f>
        <v>183.89</v>
      </c>
      <c r="P31" s="165">
        <f>SUMPRODUCT(D8:D21,'Function Code Mapping'!$F$26:$F$39)</f>
        <v>176.95500000000001</v>
      </c>
      <c r="Q31" s="165">
        <f>SUMPRODUCT(E8:E21,'Function Code Mapping'!$F$26:$F$39)</f>
        <v>238.33500000000001</v>
      </c>
      <c r="R31" s="165">
        <f>SUMPRODUCT(F8:F21,'Function Code Mapping'!$F$26:$F$39)</f>
        <v>291.73699467763646</v>
      </c>
      <c r="S31" s="165">
        <f>SUMPRODUCT(G8:G21,'Function Code Mapping'!$F$26:$F$39)</f>
        <v>222.72924866940912</v>
      </c>
      <c r="T31" s="165">
        <f>SUMPRODUCT(H8:H21,'Function Code Mapping'!$F$26:$F$39)</f>
        <v>222.78048008197342</v>
      </c>
      <c r="U31" s="165">
        <f>SUMPRODUCT(I8:I21,'Function Code Mapping'!$F$26:$F$39)</f>
        <v>230.49909528989764</v>
      </c>
      <c r="V31" s="165">
        <f>SUMPRODUCT(J8:J21,'Function Code Mapping'!$F$26:$F$39)</f>
        <v>236.41110411979639</v>
      </c>
      <c r="W31" s="165">
        <f>SUMPRODUCT(K8:K21,'Function Code Mapping'!$F$26:$F$39)</f>
        <v>237.50820389715179</v>
      </c>
      <c r="X31" s="165">
        <f>SUMPRODUCT(L8:L21,'Function Code Mapping'!$F$26:$F$39)</f>
        <v>240.83492245571392</v>
      </c>
      <c r="Y31" s="165">
        <f>SUMPRODUCT(M8:M21,'Function Code Mapping'!$F$26:$F$39)</f>
        <v>245.19226822090738</v>
      </c>
      <c r="Z31" s="3"/>
      <c r="AA31" s="3"/>
    </row>
    <row r="32" spans="1:27" s="60" customFormat="1" x14ac:dyDescent="0.2">
      <c r="A32" s="3"/>
      <c r="B32" s="276" t="s">
        <v>176</v>
      </c>
      <c r="C32" s="276"/>
      <c r="D32" s="272" t="s">
        <v>45</v>
      </c>
      <c r="E32" s="272"/>
      <c r="F32" s="272"/>
      <c r="G32" s="272"/>
      <c r="H32" s="272"/>
      <c r="I32" s="272"/>
      <c r="J32" s="272"/>
      <c r="K32" s="272"/>
      <c r="L32" s="272"/>
      <c r="M32" s="272"/>
      <c r="N32" s="56" t="s">
        <v>51</v>
      </c>
      <c r="O32" s="165">
        <f>SUMPRODUCT(C8:C21,'Function Code Mapping'!$G$26:$G$39)</f>
        <v>911.5</v>
      </c>
      <c r="P32" s="165">
        <f>SUMPRODUCT(D8:D21,'Function Code Mapping'!$G$26:$G$39)</f>
        <v>0</v>
      </c>
      <c r="Q32" s="165">
        <f>SUMPRODUCT(E8:E21,'Function Code Mapping'!$G$26:$G$39)</f>
        <v>0</v>
      </c>
      <c r="R32" s="165">
        <f>SUMPRODUCT(F8:F21,'Function Code Mapping'!$G$26:$G$39)</f>
        <v>0</v>
      </c>
      <c r="S32" s="165">
        <f>SUMPRODUCT(G8:G21,'Function Code Mapping'!$G$26:$G$39)</f>
        <v>0</v>
      </c>
      <c r="T32" s="165">
        <f>SUMPRODUCT(H8:H21,'Function Code Mapping'!$G$26:$G$39)</f>
        <v>0</v>
      </c>
      <c r="U32" s="165">
        <f>SUMPRODUCT(I8:I21,'Function Code Mapping'!$G$26:$G$39)</f>
        <v>0</v>
      </c>
      <c r="V32" s="165">
        <f>SUMPRODUCT(J8:J21,'Function Code Mapping'!$G$26:$G$39)</f>
        <v>0</v>
      </c>
      <c r="W32" s="165">
        <f>SUMPRODUCT(K8:K21,'Function Code Mapping'!$G$26:$G$39)</f>
        <v>0</v>
      </c>
      <c r="X32" s="165">
        <f>SUMPRODUCT(L8:L21,'Function Code Mapping'!$G$26:$G$39)</f>
        <v>0</v>
      </c>
      <c r="Y32" s="165">
        <f>SUMPRODUCT(M8:M21,'Function Code Mapping'!$G$26:$G$39)</f>
        <v>0</v>
      </c>
      <c r="Z32" s="3"/>
      <c r="AA32" s="3"/>
    </row>
    <row r="33" spans="1:27" s="60" customFormat="1" x14ac:dyDescent="0.2">
      <c r="A33" s="3"/>
      <c r="B33" s="276"/>
      <c r="C33" s="276"/>
      <c r="D33" s="272" t="s">
        <v>52</v>
      </c>
      <c r="E33" s="272"/>
      <c r="F33" s="272"/>
      <c r="G33" s="272"/>
      <c r="H33" s="272"/>
      <c r="I33" s="272"/>
      <c r="J33" s="272"/>
      <c r="K33" s="272"/>
      <c r="L33" s="272"/>
      <c r="M33" s="272"/>
      <c r="N33" s="56" t="s">
        <v>53</v>
      </c>
      <c r="O33" s="165">
        <f>SUMPRODUCT(C8:C21,'Function Code Mapping'!$H$26:$H$39)</f>
        <v>0</v>
      </c>
      <c r="P33" s="165">
        <f>SUMPRODUCT(D8:D21,'Function Code Mapping'!$H$26:$H$39)</f>
        <v>0</v>
      </c>
      <c r="Q33" s="165">
        <f>SUMPRODUCT(E8:E21,'Function Code Mapping'!$H$26:$H$39)</f>
        <v>0</v>
      </c>
      <c r="R33" s="165">
        <f>SUMPRODUCT(F8:F21,'Function Code Mapping'!$H$26:$H$39)</f>
        <v>0</v>
      </c>
      <c r="S33" s="165">
        <f>SUMPRODUCT(G8:G21,'Function Code Mapping'!$H$26:$H$39)</f>
        <v>0</v>
      </c>
      <c r="T33" s="165">
        <f>SUMPRODUCT(H8:H21,'Function Code Mapping'!$H$26:$H$39)</f>
        <v>0</v>
      </c>
      <c r="U33" s="165">
        <f>SUMPRODUCT(I8:I21,'Function Code Mapping'!$H$26:$H$39)</f>
        <v>0</v>
      </c>
      <c r="V33" s="165">
        <f>SUMPRODUCT(J8:J21,'Function Code Mapping'!$H$26:$H$39)</f>
        <v>0</v>
      </c>
      <c r="W33" s="165">
        <f>SUMPRODUCT(K8:K21,'Function Code Mapping'!$H$26:$H$39)</f>
        <v>0</v>
      </c>
      <c r="X33" s="165">
        <f>SUMPRODUCT(L8:L21,'Function Code Mapping'!$H$26:$H$39)</f>
        <v>0</v>
      </c>
      <c r="Y33" s="165">
        <f>SUMPRODUCT(M8:M21,'Function Code Mapping'!$H$26:$H$39)</f>
        <v>0</v>
      </c>
      <c r="Z33" s="3"/>
      <c r="AA33" s="3"/>
    </row>
    <row r="34" spans="1:27" s="60" customFormat="1" x14ac:dyDescent="0.2">
      <c r="A34" s="3"/>
      <c r="B34" s="276"/>
      <c r="C34" s="276"/>
      <c r="D34" s="272" t="s">
        <v>54</v>
      </c>
      <c r="E34" s="272"/>
      <c r="F34" s="272"/>
      <c r="G34" s="272"/>
      <c r="H34" s="272"/>
      <c r="I34" s="272"/>
      <c r="J34" s="272"/>
      <c r="K34" s="272"/>
      <c r="L34" s="272"/>
      <c r="M34" s="272"/>
      <c r="N34" s="56" t="s">
        <v>55</v>
      </c>
      <c r="O34" s="165">
        <f>SUMPRODUCT(C8:C21,'Function Code Mapping'!$I$26:$I$39)</f>
        <v>290.74</v>
      </c>
      <c r="P34" s="165">
        <f>SUMPRODUCT(D8:D21,'Function Code Mapping'!$I$26:$I$39)</f>
        <v>331.44</v>
      </c>
      <c r="Q34" s="165">
        <f>SUMPRODUCT(E8:E21,'Function Code Mapping'!$I$26:$I$39)</f>
        <v>378.65999999999997</v>
      </c>
      <c r="R34" s="165">
        <f>SUMPRODUCT(F8:F21,'Function Code Mapping'!$I$26:$I$39)</f>
        <v>406.01544671363217</v>
      </c>
      <c r="S34" s="165">
        <f>SUMPRODUCT(G8:G21,'Function Code Mapping'!$I$26:$I$39)</f>
        <v>351.71386167840808</v>
      </c>
      <c r="T34" s="165">
        <f>SUMPRODUCT(H8:H21,'Function Code Mapping'!$I$26:$I$39)</f>
        <v>339.79373777632196</v>
      </c>
      <c r="U34" s="165">
        <f>SUMPRODUCT(I8:I21,'Function Code Mapping'!$I$26:$I$39)</f>
        <v>344.08523758586733</v>
      </c>
      <c r="V34" s="165">
        <f>SUMPRODUCT(J8:J21,'Function Code Mapping'!$I$26:$I$39)</f>
        <v>322.27637132097937</v>
      </c>
      <c r="W34" s="165">
        <f>SUMPRODUCT(K8:K21,'Function Code Mapping'!$I$26:$I$39)</f>
        <v>325.72868052515844</v>
      </c>
      <c r="X34" s="165">
        <f>SUMPRODUCT(L8:L21,'Function Code Mapping'!$I$26:$I$39)</f>
        <v>338.8793127566156</v>
      </c>
      <c r="Y34" s="165">
        <f>SUMPRODUCT(M8:M21,'Function Code Mapping'!$I$26:$I$39)</f>
        <v>339.57476016269186</v>
      </c>
      <c r="Z34" s="3"/>
      <c r="AA34" s="3"/>
    </row>
    <row r="35" spans="1:27" s="60" customFormat="1" x14ac:dyDescent="0.2">
      <c r="A35" s="3"/>
      <c r="B35" s="276"/>
      <c r="C35" s="276"/>
      <c r="D35" s="272" t="s">
        <v>56</v>
      </c>
      <c r="E35" s="272"/>
      <c r="F35" s="272"/>
      <c r="G35" s="272"/>
      <c r="H35" s="272"/>
      <c r="I35" s="272"/>
      <c r="J35" s="272"/>
      <c r="K35" s="272"/>
      <c r="L35" s="272"/>
      <c r="M35" s="272"/>
      <c r="N35" s="56" t="s">
        <v>57</v>
      </c>
      <c r="O35" s="165">
        <f>SUMPRODUCT(C8:C21,'Function Code Mapping'!$J$26:$J$39)</f>
        <v>8</v>
      </c>
      <c r="P35" s="165">
        <f>SUMPRODUCT(D8:D21,'Function Code Mapping'!$J$26:$J$39)</f>
        <v>9.5</v>
      </c>
      <c r="Q35" s="165">
        <f>SUMPRODUCT(E8:E21,'Function Code Mapping'!$J$26:$J$39)</f>
        <v>5</v>
      </c>
      <c r="R35" s="165">
        <f>SUMPRODUCT(F8:F21,'Function Code Mapping'!$J$26:$J$39)</f>
        <v>2.7980161761974549</v>
      </c>
      <c r="S35" s="165">
        <f>SUMPRODUCT(G8:G21,'Function Code Mapping'!$J$26:$J$39)</f>
        <v>6.3245040440493634</v>
      </c>
      <c r="T35" s="165">
        <f>SUMPRODUCT(H8:H21,'Function Code Mapping'!$J$26:$J$39)</f>
        <v>6.0132719223344564</v>
      </c>
      <c r="U35" s="165">
        <f>SUMPRODUCT(I8:I21,'Function Code Mapping'!$J$26:$J$39)</f>
        <v>6.3840057174578879</v>
      </c>
      <c r="V35" s="165">
        <f>SUMPRODUCT(J8:J21,'Function Code Mapping'!$J$26:$J$39)</f>
        <v>6.8312595300942496</v>
      </c>
      <c r="W35" s="165">
        <f>SUMPRODUCT(K8:K21,'Function Code Mapping'!$J$26:$J$39)</f>
        <v>7.0975828159578249</v>
      </c>
      <c r="X35" s="165">
        <f>SUMPRODUCT(L8:L21,'Function Code Mapping'!$J$26:$J$39)</f>
        <v>7.0472910032712388</v>
      </c>
      <c r="Y35" s="165">
        <f>SUMPRODUCT(M8:M21,'Function Code Mapping'!$J$26:$J$39)</f>
        <v>6.9959834197265263</v>
      </c>
      <c r="Z35" s="3"/>
      <c r="AA35" s="3"/>
    </row>
    <row r="36" spans="1:27" s="60" customFormat="1" x14ac:dyDescent="0.2">
      <c r="A36" s="3"/>
      <c r="B36" s="276"/>
      <c r="C36" s="276"/>
      <c r="D36" s="272" t="s">
        <v>58</v>
      </c>
      <c r="E36" s="272"/>
      <c r="F36" s="272"/>
      <c r="G36" s="272"/>
      <c r="H36" s="272"/>
      <c r="I36" s="272"/>
      <c r="J36" s="272"/>
      <c r="K36" s="272"/>
      <c r="L36" s="272"/>
      <c r="M36" s="272"/>
      <c r="N36" s="56" t="s">
        <v>59</v>
      </c>
      <c r="O36" s="165">
        <f>SUMPRODUCT(C8:C21,'Function Code Mapping'!$K$26:$K$39)</f>
        <v>0</v>
      </c>
      <c r="P36" s="165">
        <f>SUMPRODUCT(D8:D21,'Function Code Mapping'!$K$26:$K$39)</f>
        <v>0</v>
      </c>
      <c r="Q36" s="165">
        <f>SUMPRODUCT(E8:E21,'Function Code Mapping'!$K$26:$K$39)</f>
        <v>0</v>
      </c>
      <c r="R36" s="165">
        <f>SUMPRODUCT(F8:F21,'Function Code Mapping'!$K$26:$K$39)</f>
        <v>0</v>
      </c>
      <c r="S36" s="165">
        <f>SUMPRODUCT(G8:G21,'Function Code Mapping'!$K$26:$K$39)</f>
        <v>0</v>
      </c>
      <c r="T36" s="165">
        <f>SUMPRODUCT(H8:H21,'Function Code Mapping'!$K$26:$K$39)</f>
        <v>0</v>
      </c>
      <c r="U36" s="165">
        <f>SUMPRODUCT(I8:I21,'Function Code Mapping'!$K$26:$K$39)</f>
        <v>0</v>
      </c>
      <c r="V36" s="165">
        <f>SUMPRODUCT(J8:J21,'Function Code Mapping'!$K$26:$K$39)</f>
        <v>0</v>
      </c>
      <c r="W36" s="165">
        <f>SUMPRODUCT(K8:K21,'Function Code Mapping'!$K$26:$K$39)</f>
        <v>0</v>
      </c>
      <c r="X36" s="165">
        <f>SUMPRODUCT(L8:L21,'Function Code Mapping'!$K$26:$K$39)</f>
        <v>0</v>
      </c>
      <c r="Y36" s="165">
        <f>SUMPRODUCT(M8:M21,'Function Code Mapping'!$K$26:$K$39)</f>
        <v>0</v>
      </c>
      <c r="Z36" s="3"/>
      <c r="AA36" s="3"/>
    </row>
    <row r="37" spans="1:27" s="60" customFormat="1" x14ac:dyDescent="0.2">
      <c r="A37" s="3"/>
      <c r="B37" s="278" t="s">
        <v>60</v>
      </c>
      <c r="C37" s="278"/>
      <c r="D37" s="269" t="s">
        <v>47</v>
      </c>
      <c r="E37" s="269"/>
      <c r="F37" s="269"/>
      <c r="G37" s="269"/>
      <c r="H37" s="269"/>
      <c r="I37" s="269"/>
      <c r="J37" s="269"/>
      <c r="K37" s="269"/>
      <c r="L37" s="269"/>
      <c r="M37" s="269"/>
      <c r="N37" s="55" t="s">
        <v>61</v>
      </c>
      <c r="O37" s="165">
        <f>SUMPRODUCT(C8:C21,'Function Code Mapping'!$L$26:$L$39)</f>
        <v>0</v>
      </c>
      <c r="P37" s="165">
        <f>SUMPRODUCT(D8:D21,'Function Code Mapping'!$L$26:$L$39)</f>
        <v>0</v>
      </c>
      <c r="Q37" s="165">
        <f>SUMPRODUCT(E8:E21,'Function Code Mapping'!$L$26:$L$39)</f>
        <v>0</v>
      </c>
      <c r="R37" s="165">
        <f>SUMPRODUCT(F8:F21,'Function Code Mapping'!$L$26:$L$39)</f>
        <v>0</v>
      </c>
      <c r="S37" s="165">
        <f>SUMPRODUCT(G8:G21,'Function Code Mapping'!$L$26:$L$39)</f>
        <v>0</v>
      </c>
      <c r="T37" s="165">
        <f>SUMPRODUCT(H8:H21,'Function Code Mapping'!$L$26:$L$39)</f>
        <v>0</v>
      </c>
      <c r="U37" s="165">
        <f>SUMPRODUCT(I8:I21,'Function Code Mapping'!$L$26:$L$39)</f>
        <v>0</v>
      </c>
      <c r="V37" s="165">
        <f>SUMPRODUCT(J8:J21,'Function Code Mapping'!$L$26:$L$39)</f>
        <v>0</v>
      </c>
      <c r="W37" s="165">
        <f>SUMPRODUCT(K8:K21,'Function Code Mapping'!$L$26:$L$39)</f>
        <v>0</v>
      </c>
      <c r="X37" s="165">
        <f>SUMPRODUCT(L8:L21,'Function Code Mapping'!$L$26:$L$39)</f>
        <v>0</v>
      </c>
      <c r="Y37" s="165">
        <f>SUMPRODUCT(M8:M21,'Function Code Mapping'!$L$26:$L$39)</f>
        <v>0</v>
      </c>
      <c r="Z37" s="3"/>
      <c r="AA37" s="3"/>
    </row>
    <row r="38" spans="1:27" s="60" customFormat="1" x14ac:dyDescent="0.2">
      <c r="A38" s="3"/>
      <c r="B38" s="278"/>
      <c r="C38" s="278"/>
      <c r="D38" s="269" t="s">
        <v>62</v>
      </c>
      <c r="E38" s="269"/>
      <c r="F38" s="269"/>
      <c r="G38" s="269"/>
      <c r="H38" s="269"/>
      <c r="I38" s="269"/>
      <c r="J38" s="269"/>
      <c r="K38" s="269"/>
      <c r="L38" s="269"/>
      <c r="M38" s="269"/>
      <c r="N38" s="55" t="s">
        <v>63</v>
      </c>
      <c r="O38" s="165">
        <f>SUMPRODUCT(C8:C21,'Function Code Mapping'!$M$26:$M$39)</f>
        <v>0</v>
      </c>
      <c r="P38" s="165">
        <f>SUMPRODUCT(D8:D21,'Function Code Mapping'!$M$26:$M$39)</f>
        <v>0</v>
      </c>
      <c r="Q38" s="165">
        <f>SUMPRODUCT(E8:E21,'Function Code Mapping'!$M$26:$M$39)</f>
        <v>0</v>
      </c>
      <c r="R38" s="165">
        <f>SUMPRODUCT(F8:F21,'Function Code Mapping'!$M$26:$M$39)</f>
        <v>0</v>
      </c>
      <c r="S38" s="165">
        <f>SUMPRODUCT(G8:G21,'Function Code Mapping'!$M$26:$M$39)</f>
        <v>0</v>
      </c>
      <c r="T38" s="165">
        <f>SUMPRODUCT(H8:H21,'Function Code Mapping'!$M$26:$M$39)</f>
        <v>0</v>
      </c>
      <c r="U38" s="165">
        <f>SUMPRODUCT(I8:I21,'Function Code Mapping'!$M$26:$M$39)</f>
        <v>0</v>
      </c>
      <c r="V38" s="165">
        <f>SUMPRODUCT(J8:J21,'Function Code Mapping'!$M$26:$M$39)</f>
        <v>0</v>
      </c>
      <c r="W38" s="165">
        <f>SUMPRODUCT(K8:K21,'Function Code Mapping'!$M$26:$M$39)</f>
        <v>0</v>
      </c>
      <c r="X38" s="165">
        <f>SUMPRODUCT(L8:L21,'Function Code Mapping'!$M$26:$M$39)</f>
        <v>0</v>
      </c>
      <c r="Y38" s="165">
        <f>SUMPRODUCT(M8:M21,'Function Code Mapping'!$M$26:$M$39)</f>
        <v>0</v>
      </c>
      <c r="Z38" s="3"/>
      <c r="AA38" s="3"/>
    </row>
    <row r="39" spans="1:27" s="60" customFormat="1" x14ac:dyDescent="0.2">
      <c r="A39" s="3"/>
      <c r="B39" s="278"/>
      <c r="C39" s="278"/>
      <c r="D39" s="269" t="s">
        <v>64</v>
      </c>
      <c r="E39" s="269"/>
      <c r="F39" s="269"/>
      <c r="G39" s="269"/>
      <c r="H39" s="269"/>
      <c r="I39" s="269"/>
      <c r="J39" s="269"/>
      <c r="K39" s="269"/>
      <c r="L39" s="269"/>
      <c r="M39" s="269"/>
      <c r="N39" s="55" t="s">
        <v>65</v>
      </c>
      <c r="O39" s="165">
        <f>SUMPRODUCT(C8:C21,'Function Code Mapping'!$N$26:$N$39)</f>
        <v>355</v>
      </c>
      <c r="P39" s="165">
        <f>SUMPRODUCT(D8:D21,'Function Code Mapping'!$N$26:$N$39)</f>
        <v>388</v>
      </c>
      <c r="Q39" s="165">
        <f>SUMPRODUCT(E8:E21,'Function Code Mapping'!$N$26:$N$39)</f>
        <v>516</v>
      </c>
      <c r="R39" s="165">
        <f>SUMPRODUCT(F8:F21,'Function Code Mapping'!$N$26:$N$39)</f>
        <v>605.65006723721297</v>
      </c>
      <c r="S39" s="165">
        <f>SUMPRODUCT(G8:G21,'Function Code Mapping'!$N$26:$N$39)</f>
        <v>466.16251680930327</v>
      </c>
      <c r="T39" s="165">
        <f>SUMPRODUCT(H8:H21,'Function Code Mapping'!$N$26:$N$39)</f>
        <v>466.83984256085512</v>
      </c>
      <c r="U39" s="165">
        <f>SUMPRODUCT(I8:I21,'Function Code Mapping'!$N$26:$N$39)</f>
        <v>483.58473430690054</v>
      </c>
      <c r="V39" s="165">
        <f>SUMPRODUCT(J8:J21,'Function Code Mapping'!$N$26:$N$39)</f>
        <v>498.31351313754311</v>
      </c>
      <c r="W39" s="165">
        <f>SUMPRODUCT(K8:K21,'Function Code Mapping'!$N$26:$N$39)</f>
        <v>500.56942596571679</v>
      </c>
      <c r="X39" s="165">
        <f>SUMPRODUCT(L8:L21,'Function Code Mapping'!$N$26:$N$39)</f>
        <v>506.80644529474012</v>
      </c>
      <c r="Y39" s="165">
        <f>SUMPRODUCT(M8:M21,'Function Code Mapping'!$N$26:$N$39)</f>
        <v>516.13892630251655</v>
      </c>
      <c r="Z39" s="3"/>
      <c r="AA39" s="3"/>
    </row>
    <row r="40" spans="1:27" s="60" customFormat="1" x14ac:dyDescent="0.2">
      <c r="A40" s="3"/>
      <c r="B40" s="277" t="s">
        <v>66</v>
      </c>
      <c r="C40" s="277"/>
      <c r="D40" s="272" t="s">
        <v>45</v>
      </c>
      <c r="E40" s="272"/>
      <c r="F40" s="272"/>
      <c r="G40" s="272"/>
      <c r="H40" s="272"/>
      <c r="I40" s="272"/>
      <c r="J40" s="272"/>
      <c r="K40" s="272"/>
      <c r="L40" s="272"/>
      <c r="M40" s="272"/>
      <c r="N40" s="57" t="s">
        <v>67</v>
      </c>
      <c r="O40" s="165">
        <f>SUMPRODUCT(C8:C21,'Function Code Mapping'!$O$26:$O$39)</f>
        <v>0</v>
      </c>
      <c r="P40" s="165">
        <f>SUMPRODUCT(D8:D21,'Function Code Mapping'!$O$26:$O$39)</f>
        <v>0</v>
      </c>
      <c r="Q40" s="165">
        <f>SUMPRODUCT(E8:E21,'Function Code Mapping'!$O$26:$O$39)</f>
        <v>0</v>
      </c>
      <c r="R40" s="165">
        <f>SUMPRODUCT(F8:F21,'Function Code Mapping'!$O$26:$O$39)</f>
        <v>0</v>
      </c>
      <c r="S40" s="165">
        <f>SUMPRODUCT(G8:G21,'Function Code Mapping'!$O$26:$O$39)</f>
        <v>0</v>
      </c>
      <c r="T40" s="165">
        <f>SUMPRODUCT(H8:H21,'Function Code Mapping'!$O$26:$O$39)</f>
        <v>0</v>
      </c>
      <c r="U40" s="165">
        <f>SUMPRODUCT(I8:I21,'Function Code Mapping'!$O$26:$O$39)</f>
        <v>0</v>
      </c>
      <c r="V40" s="165">
        <f>SUMPRODUCT(J8:J21,'Function Code Mapping'!$O$26:$O$39)</f>
        <v>0</v>
      </c>
      <c r="W40" s="165">
        <f>SUMPRODUCT(K8:K21,'Function Code Mapping'!$O$26:$O$39)</f>
        <v>0</v>
      </c>
      <c r="X40" s="165">
        <f>SUMPRODUCT(L8:L21,'Function Code Mapping'!$O$26:$O$39)</f>
        <v>0</v>
      </c>
      <c r="Y40" s="165">
        <f>SUMPRODUCT(M8:M21,'Function Code Mapping'!$O$26:$O$39)</f>
        <v>0</v>
      </c>
      <c r="Z40" s="3"/>
      <c r="AA40" s="3"/>
    </row>
    <row r="41" spans="1:27" s="60" customFormat="1" x14ac:dyDescent="0.2">
      <c r="A41" s="3"/>
      <c r="B41" s="277"/>
      <c r="C41" s="277"/>
      <c r="D41" s="272" t="s">
        <v>68</v>
      </c>
      <c r="E41" s="272"/>
      <c r="F41" s="272"/>
      <c r="G41" s="272"/>
      <c r="H41" s="272"/>
      <c r="I41" s="272"/>
      <c r="J41" s="272"/>
      <c r="K41" s="272"/>
      <c r="L41" s="272"/>
      <c r="M41" s="272"/>
      <c r="N41" s="57" t="s">
        <v>69</v>
      </c>
      <c r="O41" s="165">
        <f>SUMPRODUCT(C8:C21,'Function Code Mapping'!$P$26:$P$39)</f>
        <v>33.015000000000001</v>
      </c>
      <c r="P41" s="165">
        <f>SUMPRODUCT(D8:D21,'Function Code Mapping'!$P$26:$P$39)</f>
        <v>45.105000000000004</v>
      </c>
      <c r="Q41" s="165">
        <f>SUMPRODUCT(E8:E21,'Function Code Mapping'!$P$26:$P$39)</f>
        <v>36.270000000000003</v>
      </c>
      <c r="R41" s="165">
        <f>SUMPRODUCT(F8:F21,'Function Code Mapping'!$P$26:$P$39)</f>
        <v>10.604387843165085</v>
      </c>
      <c r="S41" s="165">
        <f>SUMPRODUCT(G8:G21,'Function Code Mapping'!$P$26:$P$39)</f>
        <v>31.248596960791271</v>
      </c>
      <c r="T41" s="165">
        <f>SUMPRODUCT(H8:H21,'Function Code Mapping'!$P$26:$P$39)</f>
        <v>31.248596960791271</v>
      </c>
      <c r="U41" s="165">
        <f>SUMPRODUCT(I8:I21,'Function Code Mapping'!$P$26:$P$39)</f>
        <v>31.248596960791271</v>
      </c>
      <c r="V41" s="165">
        <f>SUMPRODUCT(J8:J21,'Function Code Mapping'!$P$26:$P$39)</f>
        <v>31.248596960791271</v>
      </c>
      <c r="W41" s="165">
        <f>SUMPRODUCT(K8:K21,'Function Code Mapping'!$P$26:$P$39)</f>
        <v>31.248596960791271</v>
      </c>
      <c r="X41" s="165">
        <f>SUMPRODUCT(L8:L21,'Function Code Mapping'!$P$26:$P$39)</f>
        <v>31.248596960791271</v>
      </c>
      <c r="Y41" s="165">
        <f>SUMPRODUCT(M8:M21,'Function Code Mapping'!$P$26:$P$39)</f>
        <v>31.248596960791271</v>
      </c>
      <c r="Z41" s="3"/>
      <c r="AA41" s="3"/>
    </row>
    <row r="42" spans="1:27" s="60" customFormat="1" x14ac:dyDescent="0.2">
      <c r="A42" s="3"/>
      <c r="B42" s="277"/>
      <c r="C42" s="277"/>
      <c r="D42" s="272" t="s">
        <v>70</v>
      </c>
      <c r="E42" s="272"/>
      <c r="F42" s="272"/>
      <c r="G42" s="272"/>
      <c r="H42" s="272"/>
      <c r="I42" s="272"/>
      <c r="J42" s="272"/>
      <c r="K42" s="272"/>
      <c r="L42" s="272"/>
      <c r="M42" s="272"/>
      <c r="N42" s="57" t="s">
        <v>71</v>
      </c>
      <c r="O42" s="165">
        <f>SUMPRODUCT(C8:C21,'Function Code Mapping'!$Q$26:$Q$39)</f>
        <v>2.4850000000000003</v>
      </c>
      <c r="P42" s="165">
        <f>SUMPRODUCT(D8:D21,'Function Code Mapping'!$Q$26:$Q$39)</f>
        <v>3.3950000000000005</v>
      </c>
      <c r="Q42" s="165">
        <f>SUMPRODUCT(E8:E21,'Function Code Mapping'!$Q$26:$Q$39)</f>
        <v>2.7300000000000004</v>
      </c>
      <c r="R42" s="165">
        <f>SUMPRODUCT(F8:F21,'Function Code Mapping'!$Q$26:$Q$39)</f>
        <v>0.79817973013070542</v>
      </c>
      <c r="S42" s="165">
        <f>SUMPRODUCT(G8:G21,'Function Code Mapping'!$Q$26:$Q$39)</f>
        <v>2.3520449325326767</v>
      </c>
      <c r="T42" s="165">
        <f>SUMPRODUCT(H8:H21,'Function Code Mapping'!$Q$26:$Q$39)</f>
        <v>2.3520449325326767</v>
      </c>
      <c r="U42" s="165">
        <f>SUMPRODUCT(I8:I21,'Function Code Mapping'!$Q$26:$Q$39)</f>
        <v>2.3520449325326767</v>
      </c>
      <c r="V42" s="165">
        <f>SUMPRODUCT(J8:J21,'Function Code Mapping'!$Q$26:$Q$39)</f>
        <v>2.3520449325326767</v>
      </c>
      <c r="W42" s="165">
        <f>SUMPRODUCT(K8:K21,'Function Code Mapping'!$Q$26:$Q$39)</f>
        <v>2.3520449325326767</v>
      </c>
      <c r="X42" s="165">
        <f>SUMPRODUCT(L8:L21,'Function Code Mapping'!$Q$26:$Q$39)</f>
        <v>2.3520449325326767</v>
      </c>
      <c r="Y42" s="165">
        <f>SUMPRODUCT(M8:M21,'Function Code Mapping'!$Q$26:$Q$39)</f>
        <v>2.3520449325326767</v>
      </c>
      <c r="Z42" s="3"/>
      <c r="AA42" s="3"/>
    </row>
    <row r="43" spans="1:27" s="130" customFormat="1" ht="12.75" customHeight="1" x14ac:dyDescent="0.2">
      <c r="A43" s="3"/>
      <c r="B43" s="270" t="s">
        <v>327</v>
      </c>
      <c r="C43" s="271"/>
      <c r="D43" s="272" t="s">
        <v>307</v>
      </c>
      <c r="E43" s="272"/>
      <c r="F43" s="272"/>
      <c r="G43" s="272"/>
      <c r="H43" s="272"/>
      <c r="I43" s="272"/>
      <c r="J43" s="272"/>
      <c r="K43" s="272"/>
      <c r="L43" s="272"/>
      <c r="M43" s="272"/>
      <c r="N43" s="57"/>
      <c r="O43" s="165">
        <f t="shared" ref="O43:Y43" si="1">C19</f>
        <v>325.5</v>
      </c>
      <c r="P43" s="165">
        <f t="shared" si="1"/>
        <v>305.5</v>
      </c>
      <c r="Q43" s="165">
        <f t="shared" si="1"/>
        <v>399.5</v>
      </c>
      <c r="R43" s="165">
        <f t="shared" si="1"/>
        <v>535.34601849635692</v>
      </c>
      <c r="S43" s="165">
        <f t="shared" si="1"/>
        <v>391.46150462408923</v>
      </c>
      <c r="T43" s="165">
        <f t="shared" si="1"/>
        <v>387.5445265022899</v>
      </c>
      <c r="U43" s="165">
        <f t="shared" si="1"/>
        <v>380.54692456186899</v>
      </c>
      <c r="V43" s="165">
        <f t="shared" si="1"/>
        <v>325.68654932308516</v>
      </c>
      <c r="W43" s="165">
        <f t="shared" si="1"/>
        <v>297.97116299919037</v>
      </c>
      <c r="X43" s="165">
        <f t="shared" si="1"/>
        <v>283.77063815277825</v>
      </c>
      <c r="Y43" s="165">
        <f t="shared" si="1"/>
        <v>284.16541775020477</v>
      </c>
      <c r="Z43" s="3"/>
      <c r="AA43" s="3"/>
    </row>
    <row r="44" spans="1:27" s="60" customForma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71" t="s">
        <v>36</v>
      </c>
      <c r="O44" s="168">
        <f t="shared" ref="O44:Y44" si="2">SUM(O29:O43)</f>
        <v>10954.999999999998</v>
      </c>
      <c r="P44" s="168">
        <f t="shared" si="2"/>
        <v>3362.5</v>
      </c>
      <c r="Q44" s="168">
        <f t="shared" si="2"/>
        <v>3792</v>
      </c>
      <c r="R44" s="168">
        <f t="shared" si="2"/>
        <v>4392.9754030134191</v>
      </c>
      <c r="S44" s="168">
        <f t="shared" si="2"/>
        <v>3769.8688507533552</v>
      </c>
      <c r="T44" s="168">
        <f t="shared" si="2"/>
        <v>3757.6244129905185</v>
      </c>
      <c r="U44" s="168">
        <f t="shared" si="2"/>
        <v>3862.1247377820091</v>
      </c>
      <c r="V44" s="168">
        <f t="shared" si="2"/>
        <v>3878.4716118864999</v>
      </c>
      <c r="W44" s="168">
        <f t="shared" si="2"/>
        <v>3868.9595907472544</v>
      </c>
      <c r="X44" s="168">
        <f t="shared" si="2"/>
        <v>3908.3756017763294</v>
      </c>
      <c r="Y44" s="168">
        <f t="shared" si="2"/>
        <v>3969.046390872888</v>
      </c>
      <c r="Z44" s="3"/>
      <c r="AA44" s="3"/>
    </row>
    <row r="45" spans="1:27" s="60" customForma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 t="s">
        <v>231</v>
      </c>
      <c r="O45" s="3"/>
      <c r="P45" s="3"/>
      <c r="Q45" s="3"/>
      <c r="R45" s="3"/>
      <c r="S45" s="183">
        <f>S44-G22</f>
        <v>0</v>
      </c>
      <c r="T45" s="183">
        <f t="shared" ref="T45:Y45" si="3">T44-H22</f>
        <v>0</v>
      </c>
      <c r="U45" s="183">
        <f t="shared" si="3"/>
        <v>0</v>
      </c>
      <c r="V45" s="183">
        <f t="shared" si="3"/>
        <v>0</v>
      </c>
      <c r="W45" s="183">
        <f t="shared" si="3"/>
        <v>0</v>
      </c>
      <c r="X45" s="183">
        <f t="shared" si="3"/>
        <v>0</v>
      </c>
      <c r="Y45" s="183">
        <f t="shared" si="3"/>
        <v>0</v>
      </c>
      <c r="Z45" s="3"/>
      <c r="AA45" s="3"/>
    </row>
    <row r="46" spans="1:27" s="60" customForma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">
      <c r="A47" s="3"/>
      <c r="B47" s="34" t="s">
        <v>334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">
      <c r="A48" s="3"/>
      <c r="B48" s="149" t="s">
        <v>338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">
      <c r="A49" s="3"/>
      <c r="B49" s="3"/>
      <c r="C49" s="273" t="str">
        <f>"$ "&amp;Inflation!$C$4</f>
        <v>$ 2021</v>
      </c>
      <c r="D49" s="274"/>
      <c r="E49" s="274"/>
      <c r="F49" s="274"/>
      <c r="G49" s="274"/>
      <c r="H49" s="274"/>
      <c r="I49" s="274"/>
      <c r="J49" s="274"/>
      <c r="K49" s="274"/>
      <c r="L49" s="274"/>
      <c r="M49" s="27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25.5" x14ac:dyDescent="0.2">
      <c r="A50" s="3"/>
      <c r="B50" s="2" t="s">
        <v>35</v>
      </c>
      <c r="C50" s="2" t="s">
        <v>323</v>
      </c>
      <c r="D50" s="2" t="s">
        <v>324</v>
      </c>
      <c r="E50" s="2" t="s">
        <v>325</v>
      </c>
      <c r="F50" s="2" t="s">
        <v>326</v>
      </c>
      <c r="G50" s="136" t="s">
        <v>315</v>
      </c>
      <c r="H50" s="136" t="s">
        <v>316</v>
      </c>
      <c r="I50" s="136" t="s">
        <v>317</v>
      </c>
      <c r="J50" s="136" t="s">
        <v>318</v>
      </c>
      <c r="K50" s="136" t="s">
        <v>319</v>
      </c>
      <c r="L50" s="136" t="s">
        <v>320</v>
      </c>
      <c r="M50" s="136" t="s">
        <v>321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">
      <c r="A51" s="3"/>
      <c r="B51" s="179">
        <f t="shared" ref="B51:B64" si="4">B8</f>
        <v>102</v>
      </c>
      <c r="C51" s="186">
        <f>'Historical Expenditure-Volumes'!D29*'Historical Expenditure-Volumes'!$I9</f>
        <v>10277338.861973532</v>
      </c>
      <c r="D51" s="186">
        <f>'Historical Expenditure-Volumes'!E29*'Historical Expenditure-Volumes'!$I9</f>
        <v>9165700.5838511623</v>
      </c>
      <c r="E51" s="186">
        <f>'Historical Expenditure-Volumes'!F29*'Historical Expenditure-Volumes'!$I9</f>
        <v>10415549.390147328</v>
      </c>
      <c r="F51" s="186">
        <f>'Historical Expenditure-Volumes'!G29*'Historical Expenditure-Volumes'!$I9</f>
        <v>11662599.582181394</v>
      </c>
      <c r="G51" s="157">
        <f>G8*'Unit Rates'!$D8*'Historical Expenditure-Volumes'!$I9</f>
        <v>10380297.104538355</v>
      </c>
      <c r="H51" s="157">
        <f>H8*'Unit Rates'!$D8*'Historical Expenditure-Volumes'!$I9</f>
        <v>10395379.489509558</v>
      </c>
      <c r="I51" s="157">
        <f>I8*'Unit Rates'!$D8*'Historical Expenditure-Volumes'!$I9</f>
        <v>10768247.202033916</v>
      </c>
      <c r="J51" s="157">
        <f>J8*'Unit Rates'!$D8*'Historical Expenditure-Volumes'!$I9</f>
        <v>11096221.019610608</v>
      </c>
      <c r="K51" s="157">
        <f>K8*'Unit Rates'!$D8*'Historical Expenditure-Volumes'!$I9</f>
        <v>11146454.671081906</v>
      </c>
      <c r="L51" s="157">
        <f>L8*'Unit Rates'!$D8*'Historical Expenditure-Volumes'!$I9</f>
        <v>11285337.810217898</v>
      </c>
      <c r="M51" s="157">
        <f>M8*'Unit Rates'!$D8*'Historical Expenditure-Volumes'!$I9</f>
        <v>11493149.296748912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">
      <c r="A52" s="3"/>
      <c r="B52" s="179">
        <f t="shared" si="4"/>
        <v>104</v>
      </c>
      <c r="C52" s="186">
        <f>'Historical Expenditure-Volumes'!D30*'Historical Expenditure-Volumes'!$I10</f>
        <v>11797836.627648724</v>
      </c>
      <c r="D52" s="186">
        <f>'Historical Expenditure-Volumes'!E30*'Historical Expenditure-Volumes'!$I10</f>
        <v>12698773.490297675</v>
      </c>
      <c r="E52" s="186">
        <f>'Historical Expenditure-Volumes'!F30*'Historical Expenditure-Volumes'!$I10</f>
        <v>15028613.886896869</v>
      </c>
      <c r="F52" s="186">
        <f>'Historical Expenditure-Volumes'!G30*'Historical Expenditure-Volumes'!$I10</f>
        <v>16564196.401763488</v>
      </c>
      <c r="G52" s="157">
        <f>G9*'Unit Rates'!$D9*'Historical Expenditure-Volumes'!$I10</f>
        <v>14022355.101651691</v>
      </c>
      <c r="H52" s="157">
        <f>H9*'Unit Rates'!$D9*'Historical Expenditure-Volumes'!$I10</f>
        <v>14042729.331379043</v>
      </c>
      <c r="I52" s="157">
        <f>I9*'Unit Rates'!$D9*'Historical Expenditure-Volumes'!$I10</f>
        <v>14546422.37776316</v>
      </c>
      <c r="J52" s="157">
        <f>J9*'Unit Rates'!$D9*'Historical Expenditure-Volumes'!$I10</f>
        <v>14989469.940640138</v>
      </c>
      <c r="K52" s="157">
        <f>K9*'Unit Rates'!$D9*'Historical Expenditure-Volumes'!$I10</f>
        <v>15057328.701510787</v>
      </c>
      <c r="L52" s="157">
        <f>L9*'Unit Rates'!$D9*'Historical Expenditure-Volumes'!$I10</f>
        <v>15244940.739488538</v>
      </c>
      <c r="M52" s="157">
        <f>M9*'Unit Rates'!$D9*'Historical Expenditure-Volumes'!$I10</f>
        <v>15525665.503817873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">
      <c r="A53" s="3"/>
      <c r="B53" s="179">
        <f t="shared" si="4"/>
        <v>105</v>
      </c>
      <c r="C53" s="186">
        <f>'Historical Expenditure-Volumes'!D31*'Historical Expenditure-Volumes'!$I11</f>
        <v>7869605.9539471203</v>
      </c>
      <c r="D53" s="186">
        <f>'Historical Expenditure-Volumes'!E31*'Historical Expenditure-Volumes'!$I11</f>
        <v>6764320.8095627902</v>
      </c>
      <c r="E53" s="186">
        <f>'Historical Expenditure-Volumes'!F31*'Historical Expenditure-Volumes'!$I11</f>
        <v>6602912.1905801008</v>
      </c>
      <c r="F53" s="186">
        <f>'Historical Expenditure-Volumes'!G31*'Historical Expenditure-Volumes'!$I11</f>
        <v>7761390.068827508</v>
      </c>
      <c r="G53" s="157">
        <f>G10*'Unit Rates'!$D10*'Historical Expenditure-Volumes'!$I11</f>
        <v>7249557.2557293791</v>
      </c>
      <c r="H53" s="157">
        <f>H10*'Unit Rates'!$D10*'Historical Expenditure-Volumes'!$I11</f>
        <v>7041021.767964513</v>
      </c>
      <c r="I53" s="157">
        <f>I10*'Unit Rates'!$D10*'Historical Expenditure-Volumes'!$I11</f>
        <v>7074650.2730374653</v>
      </c>
      <c r="J53" s="157">
        <f>J10*'Unit Rates'!$D10*'Historical Expenditure-Volumes'!$I11</f>
        <v>6398686.3617622387</v>
      </c>
      <c r="K53" s="157">
        <f>K10*'Unit Rates'!$D10*'Historical Expenditure-Volumes'!$I11</f>
        <v>6449243.1492123157</v>
      </c>
      <c r="L53" s="157">
        <f>L10*'Unit Rates'!$D10*'Historical Expenditure-Volumes'!$I11</f>
        <v>6825081.8848238876</v>
      </c>
      <c r="M53" s="157">
        <f>M10*'Unit Rates'!$D10*'Historical Expenditure-Volumes'!$I11</f>
        <v>6888465.2355520641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">
      <c r="A54" s="3"/>
      <c r="B54" s="179">
        <f t="shared" si="4"/>
        <v>106</v>
      </c>
      <c r="C54" s="186">
        <f>'Historical Expenditure-Volumes'!D32*'Historical Expenditure-Volumes'!$I12</f>
        <v>6652694.7496789414</v>
      </c>
      <c r="D54" s="186">
        <f>'Historical Expenditure-Volumes'!E32*'Historical Expenditure-Volumes'!$I12</f>
        <v>7857336.1664000014</v>
      </c>
      <c r="E54" s="186">
        <f>'Historical Expenditure-Volumes'!F32*'Historical Expenditure-Volumes'!$I12</f>
        <v>9019927.669125231</v>
      </c>
      <c r="F54" s="186">
        <f>'Historical Expenditure-Volumes'!G32*'Historical Expenditure-Volumes'!$I12</f>
        <v>9775297.7141026482</v>
      </c>
      <c r="G54" s="157">
        <f>G11*'Unit Rates'!$D11*'Historical Expenditure-Volumes'!$I12</f>
        <v>8326314.0748267062</v>
      </c>
      <c r="H54" s="157">
        <f>H11*'Unit Rates'!$D11*'Historical Expenditure-Volumes'!$I12</f>
        <v>7895813.996992494</v>
      </c>
      <c r="I54" s="157">
        <f>I11*'Unit Rates'!$D11*'Historical Expenditure-Volumes'!$I12</f>
        <v>7913230.4586931439</v>
      </c>
      <c r="J54" s="157">
        <f>J11*'Unit Rates'!$D11*'Historical Expenditure-Volumes'!$I12</f>
        <v>7347490.4436646178</v>
      </c>
      <c r="K54" s="157">
        <f>K11*'Unit Rates'!$D11*'Historical Expenditure-Volumes'!$I12</f>
        <v>7443615.5714612259</v>
      </c>
      <c r="L54" s="157">
        <f>L11*'Unit Rates'!$D11*'Historical Expenditure-Volumes'!$I12</f>
        <v>7753886.7518602517</v>
      </c>
      <c r="M54" s="157">
        <f>M11*'Unit Rates'!$D11*'Historical Expenditure-Volumes'!$I12</f>
        <v>7688450.1020790134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3"/>
      <c r="B55" s="179">
        <f t="shared" si="4"/>
        <v>107</v>
      </c>
      <c r="C55" s="186">
        <f>'Historical Expenditure-Volumes'!D33*'Historical Expenditure-Volumes'!$I13</f>
        <v>0</v>
      </c>
      <c r="D55" s="186">
        <f>'Historical Expenditure-Volumes'!E33*'Historical Expenditure-Volumes'!$I13</f>
        <v>0</v>
      </c>
      <c r="E55" s="186">
        <f>'Historical Expenditure-Volumes'!F33*'Historical Expenditure-Volumes'!$I13</f>
        <v>0</v>
      </c>
      <c r="F55" s="186">
        <f>'Historical Expenditure-Volumes'!G33*'Historical Expenditure-Volumes'!$I13</f>
        <v>0</v>
      </c>
      <c r="G55" s="157">
        <f>G12*'Unit Rates'!$D12*'Historical Expenditure-Volumes'!$I13</f>
        <v>0</v>
      </c>
      <c r="H55" s="157">
        <f>H12*'Unit Rates'!$D12*'Historical Expenditure-Volumes'!$I13</f>
        <v>0</v>
      </c>
      <c r="I55" s="157">
        <f>I12*'Unit Rates'!$D12*'Historical Expenditure-Volumes'!$I13</f>
        <v>0</v>
      </c>
      <c r="J55" s="157">
        <f>J12*'Unit Rates'!$D12*'Historical Expenditure-Volumes'!$I13</f>
        <v>0</v>
      </c>
      <c r="K55" s="157">
        <f>K12*'Unit Rates'!$D12*'Historical Expenditure-Volumes'!$I13</f>
        <v>0</v>
      </c>
      <c r="L55" s="157">
        <f>L12*'Unit Rates'!$D12*'Historical Expenditure-Volumes'!$I13</f>
        <v>0</v>
      </c>
      <c r="M55" s="157">
        <f>M12*'Unit Rates'!$D12*'Historical Expenditure-Volumes'!$I13</f>
        <v>0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3"/>
      <c r="B56" s="179">
        <f t="shared" si="4"/>
        <v>108</v>
      </c>
      <c r="C56" s="186">
        <f>'Historical Expenditure-Volumes'!D34*'Historical Expenditure-Volumes'!$I14</f>
        <v>1688941.8507648723</v>
      </c>
      <c r="D56" s="186">
        <f>'Historical Expenditure-Volumes'!E34*'Historical Expenditure-Volumes'!$I14</f>
        <v>1496081.5774604653</v>
      </c>
      <c r="E56" s="186">
        <f>'Historical Expenditure-Volumes'!F34*'Historical Expenditure-Volumes'!$I14</f>
        <v>1192665.4207458566</v>
      </c>
      <c r="F56" s="186">
        <f>'Historical Expenditure-Volumes'!G34*'Historical Expenditure-Volumes'!$I14</f>
        <v>1401198.114986236</v>
      </c>
      <c r="G56" s="157">
        <f>G13*'Unit Rates'!$D13*'Historical Expenditure-Volumes'!$I14</f>
        <v>1444721.7409893575</v>
      </c>
      <c r="H56" s="157">
        <f>H13*'Unit Rates'!$D13*'Historical Expenditure-Volumes'!$I14</f>
        <v>1367703.5052537692</v>
      </c>
      <c r="I56" s="157">
        <f>I13*'Unit Rates'!$D13*'Historical Expenditure-Volumes'!$I14</f>
        <v>1417567.6679241466</v>
      </c>
      <c r="J56" s="157">
        <f>J13*'Unit Rates'!$D13*'Historical Expenditure-Volumes'!$I14</f>
        <v>1469799.0043546495</v>
      </c>
      <c r="K56" s="157">
        <f>K13*'Unit Rates'!$D13*'Historical Expenditure-Volumes'!$I14</f>
        <v>1500787.4740363373</v>
      </c>
      <c r="L56" s="157">
        <f>L13*'Unit Rates'!$D13*'Historical Expenditure-Volumes'!$I14</f>
        <v>1493680.4628217383</v>
      </c>
      <c r="M56" s="157">
        <f>M13*'Unit Rates'!$D13*'Historical Expenditure-Volumes'!$I14</f>
        <v>1494240.6551220592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3"/>
      <c r="B57" s="179">
        <f t="shared" si="4"/>
        <v>109</v>
      </c>
      <c r="C57" s="186">
        <f>'Historical Expenditure-Volumes'!D35*'Historical Expenditure-Volumes'!$I15</f>
        <v>12181965.205580736</v>
      </c>
      <c r="D57" s="186">
        <f>'Historical Expenditure-Volumes'!E35*'Historical Expenditure-Volumes'!$I15</f>
        <v>11795463.183618603</v>
      </c>
      <c r="E57" s="186">
        <f>'Historical Expenditure-Volumes'!F35*'Historical Expenditure-Volumes'!$I15</f>
        <v>11617496.17889503</v>
      </c>
      <c r="F57" s="186">
        <f>'Historical Expenditure-Volumes'!G35*'Historical Expenditure-Volumes'!$I15</f>
        <v>12758217.487283202</v>
      </c>
      <c r="G57" s="157">
        <f>G14*'Unit Rates'!$D14*'Historical Expenditure-Volumes'!$I15</f>
        <v>12088285.513844393</v>
      </c>
      <c r="H57" s="157">
        <f>H14*'Unit Rates'!$D14*'Historical Expenditure-Volumes'!$I15</f>
        <v>12105849.575250873</v>
      </c>
      <c r="I57" s="157">
        <f>I14*'Unit Rates'!$D14*'Historical Expenditure-Volumes'!$I15</f>
        <v>12540069.455712471</v>
      </c>
      <c r="J57" s="157">
        <f>J14*'Unit Rates'!$D14*'Historical Expenditure-Volumes'!$I15</f>
        <v>12922008.537802827</v>
      </c>
      <c r="K57" s="157">
        <f>K14*'Unit Rates'!$D14*'Historical Expenditure-Volumes'!$I15</f>
        <v>12980507.703604402</v>
      </c>
      <c r="L57" s="157">
        <f>L14*'Unit Rates'!$D14*'Historical Expenditure-Volumes'!$I15</f>
        <v>13142242.86609805</v>
      </c>
      <c r="M57" s="157">
        <f>M14*'Unit Rates'!$D14*'Historical Expenditure-Volumes'!$I15</f>
        <v>13384247.941381013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">
      <c r="A58" s="3"/>
      <c r="B58" s="179">
        <f t="shared" si="4"/>
        <v>110</v>
      </c>
      <c r="C58" s="186">
        <f>'Historical Expenditure-Volumes'!D36*'Historical Expenditure-Volumes'!$I16</f>
        <v>1963512.9210481585</v>
      </c>
      <c r="D58" s="186">
        <f>'Historical Expenditure-Volumes'!E36*'Historical Expenditure-Volumes'!$I16</f>
        <v>1900377.8102139537</v>
      </c>
      <c r="E58" s="186">
        <f>'Historical Expenditure-Volumes'!F36*'Historical Expenditure-Volumes'!$I16</f>
        <v>2175570.0414825045</v>
      </c>
      <c r="F58" s="186">
        <f>'Historical Expenditure-Volumes'!G36*'Historical Expenditure-Volumes'!$I16</f>
        <v>2233794.3684821199</v>
      </c>
      <c r="G58" s="157">
        <f>G15*'Unit Rates'!$D15*'Historical Expenditure-Volumes'!$I16</f>
        <v>2068313.7853066844</v>
      </c>
      <c r="H58" s="157">
        <f>H15*'Unit Rates'!$D15*'Historical Expenditure-Volumes'!$I16</f>
        <v>2071319.0080317261</v>
      </c>
      <c r="I58" s="157">
        <f>I15*'Unit Rates'!$D15*'Historical Expenditure-Volumes'!$I16</f>
        <v>2145614.3217537892</v>
      </c>
      <c r="J58" s="157">
        <f>J15*'Unit Rates'!$D15*'Historical Expenditure-Volumes'!$I16</f>
        <v>2210964.3556961655</v>
      </c>
      <c r="K58" s="157">
        <f>K15*'Unit Rates'!$D15*'Historical Expenditure-Volumes'!$I16</f>
        <v>2220973.602327358</v>
      </c>
      <c r="L58" s="157">
        <f>L15*'Unit Rates'!$D15*'Historical Expenditure-Volumes'!$I16</f>
        <v>2248646.5974573381</v>
      </c>
      <c r="M58" s="157">
        <f>M15*'Unit Rates'!$D15*'Historical Expenditure-Volumes'!$I16</f>
        <v>2290053.8286770741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">
      <c r="A59" s="3"/>
      <c r="B59" s="179">
        <f t="shared" si="4"/>
        <v>111</v>
      </c>
      <c r="C59" s="186">
        <f>'Historical Expenditure-Volumes'!D37*'Historical Expenditure-Volumes'!$I17</f>
        <v>8019821.6221435303</v>
      </c>
      <c r="D59" s="186">
        <f>'Historical Expenditure-Volumes'!E37*'Historical Expenditure-Volumes'!$I17</f>
        <v>9998793.7112651151</v>
      </c>
      <c r="E59" s="186">
        <f>'Historical Expenditure-Volumes'!F37*'Historical Expenditure-Volumes'!$I17</f>
        <v>9449933.7939871103</v>
      </c>
      <c r="F59" s="186">
        <f>'Historical Expenditure-Volumes'!G37*'Historical Expenditure-Volumes'!$I17</f>
        <v>7251987.6281207306</v>
      </c>
      <c r="G59" s="157">
        <f>G16*'Unit Rates'!$D16*'Historical Expenditure-Volumes'!$I17</f>
        <v>8680134.1888791211</v>
      </c>
      <c r="H59" s="157">
        <f>H16*'Unit Rates'!$D16*'Historical Expenditure-Volumes'!$I17</f>
        <v>8567885.8850301076</v>
      </c>
      <c r="I59" s="157">
        <f>I16*'Unit Rates'!$D16*'Historical Expenditure-Volumes'!$I17</f>
        <v>8867980.9655992724</v>
      </c>
      <c r="J59" s="157">
        <f>J16*'Unit Rates'!$D16*'Historical Expenditure-Volumes'!$I17</f>
        <v>8677375.0562092643</v>
      </c>
      <c r="K59" s="157">
        <f>K16*'Unit Rates'!$D16*'Historical Expenditure-Volumes'!$I17</f>
        <v>8755535.361796191</v>
      </c>
      <c r="L59" s="157">
        <f>L16*'Unit Rates'!$D16*'Historical Expenditure-Volumes'!$I17</f>
        <v>8940401.0478287283</v>
      </c>
      <c r="M59" s="157">
        <f>M16*'Unit Rates'!$D16*'Historical Expenditure-Volumes'!$I17</f>
        <v>8931698.0011607502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">
      <c r="A60" s="3"/>
      <c r="B60" s="179">
        <f t="shared" si="4"/>
        <v>114</v>
      </c>
      <c r="C60" s="186">
        <f>'Historical Expenditure-Volumes'!D38*'Historical Expenditure-Volumes'!$I18</f>
        <v>626895.27479697834</v>
      </c>
      <c r="D60" s="186">
        <f>'Historical Expenditure-Volumes'!E38*'Historical Expenditure-Volumes'!$I18</f>
        <v>0</v>
      </c>
      <c r="E60" s="186">
        <f>'Historical Expenditure-Volumes'!F38*'Historical Expenditure-Volumes'!$I18</f>
        <v>0</v>
      </c>
      <c r="F60" s="186">
        <f>'Historical Expenditure-Volumes'!G38*'Historical Expenditure-Volumes'!$I18</f>
        <v>0</v>
      </c>
      <c r="G60" s="157">
        <f>G17*'Unit Rates'!$D17*'Historical Expenditure-Volumes'!$I18</f>
        <v>0</v>
      </c>
      <c r="H60" s="157">
        <f>H17*'Unit Rates'!$D17*'Historical Expenditure-Volumes'!$I18</f>
        <v>0</v>
      </c>
      <c r="I60" s="157">
        <f>I17*'Unit Rates'!$D17*'Historical Expenditure-Volumes'!$I18</f>
        <v>0</v>
      </c>
      <c r="J60" s="157">
        <f>J17*'Unit Rates'!$D17*'Historical Expenditure-Volumes'!$I18</f>
        <v>0</v>
      </c>
      <c r="K60" s="157">
        <f>K17*'Unit Rates'!$D17*'Historical Expenditure-Volumes'!$I18</f>
        <v>0</v>
      </c>
      <c r="L60" s="157">
        <f>L17*'Unit Rates'!$D17*'Historical Expenditure-Volumes'!$I18</f>
        <v>0</v>
      </c>
      <c r="M60" s="157">
        <f>M17*'Unit Rates'!$D17*'Historical Expenditure-Volumes'!$I18</f>
        <v>0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">
      <c r="A61" s="3"/>
      <c r="B61" s="179">
        <f t="shared" si="4"/>
        <v>115</v>
      </c>
      <c r="C61" s="186">
        <f>'Historical Expenditure-Volumes'!D39*'Historical Expenditure-Volumes'!$I19</f>
        <v>2007517.2520679885</v>
      </c>
      <c r="D61" s="186">
        <f>'Historical Expenditure-Volumes'!E39*'Historical Expenditure-Volumes'!$I19</f>
        <v>0</v>
      </c>
      <c r="E61" s="186">
        <f>'Historical Expenditure-Volumes'!F39*'Historical Expenditure-Volumes'!$I19</f>
        <v>0</v>
      </c>
      <c r="F61" s="186">
        <f>'Historical Expenditure-Volumes'!G39*'Historical Expenditure-Volumes'!$I19</f>
        <v>0</v>
      </c>
      <c r="G61" s="157">
        <f>G18*'Unit Rates'!$D18*'Historical Expenditure-Volumes'!$I19</f>
        <v>0</v>
      </c>
      <c r="H61" s="157">
        <f>H18*'Unit Rates'!$D18*'Historical Expenditure-Volumes'!$I19</f>
        <v>0</v>
      </c>
      <c r="I61" s="157">
        <f>I18*'Unit Rates'!$D18*'Historical Expenditure-Volumes'!$I19</f>
        <v>0</v>
      </c>
      <c r="J61" s="157">
        <f>J18*'Unit Rates'!$D18*'Historical Expenditure-Volumes'!$I19</f>
        <v>0</v>
      </c>
      <c r="K61" s="157">
        <f>K18*'Unit Rates'!$D18*'Historical Expenditure-Volumes'!$I19</f>
        <v>0</v>
      </c>
      <c r="L61" s="157">
        <f>L18*'Unit Rates'!$D18*'Historical Expenditure-Volumes'!$I19</f>
        <v>0</v>
      </c>
      <c r="M61" s="157">
        <f>M18*'Unit Rates'!$D18*'Historical Expenditure-Volumes'!$I19</f>
        <v>0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">
      <c r="A62" s="3"/>
      <c r="B62" s="179">
        <f t="shared" si="4"/>
        <v>116</v>
      </c>
      <c r="C62" s="186">
        <f>'Historical Expenditure-Volumes'!D40*'Historical Expenditure-Volumes'!$I20</f>
        <v>27769102.514107645</v>
      </c>
      <c r="D62" s="186">
        <f>'Historical Expenditure-Volumes'!E40*'Historical Expenditure-Volumes'!$I20</f>
        <v>26342075.145953491</v>
      </c>
      <c r="E62" s="186">
        <f>'Historical Expenditure-Volumes'!F40*'Historical Expenditure-Volumes'!$I20</f>
        <v>31479251.910985272</v>
      </c>
      <c r="F62" s="186">
        <f>'Historical Expenditure-Volumes'!G40*'Historical Expenditure-Volumes'!$I20</f>
        <v>36938513.790321872</v>
      </c>
      <c r="G62" s="157">
        <f>G19*'Unit Rates'!$D19*'Historical Expenditure-Volumes'!$I20</f>
        <v>30632235.840342071</v>
      </c>
      <c r="H62" s="157">
        <f>H19*'Unit Rates'!$D19*'Historical Expenditure-Volumes'!$I20</f>
        <v>30325728.569023944</v>
      </c>
      <c r="I62" s="157">
        <f>I19*'Unit Rates'!$D19*'Historical Expenditure-Volumes'!$I20</f>
        <v>29778159.547743946</v>
      </c>
      <c r="J62" s="157">
        <f>J19*'Unit Rates'!$D19*'Historical Expenditure-Volumes'!$I20</f>
        <v>25485282.897668667</v>
      </c>
      <c r="K62" s="157">
        <f>K19*'Unit Rates'!$D19*'Historical Expenditure-Volumes'!$I20</f>
        <v>23316527.502179664</v>
      </c>
      <c r="L62" s="157">
        <f>L19*'Unit Rates'!$D19*'Historical Expenditure-Volumes'!$I20</f>
        <v>22205322.898371566</v>
      </c>
      <c r="M62" s="157">
        <f>M19*'Unit Rates'!$D19*'Historical Expenditure-Volumes'!$I20</f>
        <v>22236214.778136183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">
      <c r="A63" s="3"/>
      <c r="B63" s="179">
        <f t="shared" si="4"/>
        <v>118</v>
      </c>
      <c r="C63" s="186">
        <f>'Historical Expenditure-Volumes'!D41*'Historical Expenditure-Volumes'!$I21</f>
        <v>0</v>
      </c>
      <c r="D63" s="186">
        <f>'Historical Expenditure-Volumes'!E41*'Historical Expenditure-Volumes'!$I21</f>
        <v>0</v>
      </c>
      <c r="E63" s="186">
        <f>'Historical Expenditure-Volumes'!F41*'Historical Expenditure-Volumes'!$I21</f>
        <v>0</v>
      </c>
      <c r="F63" s="186">
        <f>'Historical Expenditure-Volumes'!G41*'Historical Expenditure-Volumes'!$I21</f>
        <v>0</v>
      </c>
      <c r="G63" s="157">
        <f>G20*'Unit Rates'!$D20*'Historical Expenditure-Volumes'!$I21</f>
        <v>0</v>
      </c>
      <c r="H63" s="157">
        <f>H20*'Unit Rates'!$D20*'Historical Expenditure-Volumes'!$I21</f>
        <v>0</v>
      </c>
      <c r="I63" s="157">
        <f>I20*'Unit Rates'!$D20*'Historical Expenditure-Volumes'!$I21</f>
        <v>0</v>
      </c>
      <c r="J63" s="157">
        <f>J20*'Unit Rates'!$D20*'Historical Expenditure-Volumes'!$I21</f>
        <v>0</v>
      </c>
      <c r="K63" s="157">
        <f>K20*'Unit Rates'!$D20*'Historical Expenditure-Volumes'!$I21</f>
        <v>0</v>
      </c>
      <c r="L63" s="157">
        <f>L20*'Unit Rates'!$D20*'Historical Expenditure-Volumes'!$I21</f>
        <v>0</v>
      </c>
      <c r="M63" s="157">
        <f>M20*'Unit Rates'!$D20*'Historical Expenditure-Volumes'!$I21</f>
        <v>0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">
      <c r="A64" s="3"/>
      <c r="B64" s="179">
        <f t="shared" si="4"/>
        <v>171</v>
      </c>
      <c r="C64" s="186">
        <f>'Historical Expenditure-Volumes'!D42*'Historical Expenditure-Volumes'!$I22</f>
        <v>0</v>
      </c>
      <c r="D64" s="186">
        <f>'Historical Expenditure-Volumes'!E42*'Historical Expenditure-Volumes'!$I22</f>
        <v>0</v>
      </c>
      <c r="E64" s="186">
        <f>'Historical Expenditure-Volumes'!F42*'Historical Expenditure-Volumes'!$I22</f>
        <v>0</v>
      </c>
      <c r="F64" s="186">
        <f>'Historical Expenditure-Volumes'!G42*'Historical Expenditure-Volumes'!$I22</f>
        <v>0</v>
      </c>
      <c r="G64" s="157">
        <f>G21*'Unit Rates'!$D21*'Historical Expenditure-Volumes'!$I22</f>
        <v>0</v>
      </c>
      <c r="H64" s="157">
        <f>H21*'Unit Rates'!$D21*'Historical Expenditure-Volumes'!$I22</f>
        <v>0</v>
      </c>
      <c r="I64" s="157">
        <f>I21*'Unit Rates'!$D21*'Historical Expenditure-Volumes'!$I22</f>
        <v>0</v>
      </c>
      <c r="J64" s="157">
        <f>J21*'Unit Rates'!$D21*'Historical Expenditure-Volumes'!$I22</f>
        <v>0</v>
      </c>
      <c r="K64" s="157">
        <f>K21*'Unit Rates'!$D21*'Historical Expenditure-Volumes'!$I22</f>
        <v>0</v>
      </c>
      <c r="L64" s="157">
        <f>L21*'Unit Rates'!$D21*'Historical Expenditure-Volumes'!$I22</f>
        <v>0</v>
      </c>
      <c r="M64" s="157">
        <f>M21*'Unit Rates'!$D21*'Historical Expenditure-Volumes'!$I22</f>
        <v>0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8" x14ac:dyDescent="0.2">
      <c r="A65" s="3"/>
      <c r="B65" s="71" t="s">
        <v>36</v>
      </c>
      <c r="C65" s="182">
        <f t="shared" ref="C65:M65" si="5">SUM(C51:C64)</f>
        <v>90855232.83375822</v>
      </c>
      <c r="D65" s="182">
        <f t="shared" si="5"/>
        <v>88018922.478623271</v>
      </c>
      <c r="E65" s="182">
        <f t="shared" si="5"/>
        <v>96981920.482845306</v>
      </c>
      <c r="F65" s="182">
        <f t="shared" si="5"/>
        <v>106347195.15606919</v>
      </c>
      <c r="G65" s="182">
        <f t="shared" si="5"/>
        <v>94892214.606107756</v>
      </c>
      <c r="H65" s="182">
        <f t="shared" si="5"/>
        <v>93813431.128436029</v>
      </c>
      <c r="I65" s="182">
        <f t="shared" si="5"/>
        <v>95051942.270261317</v>
      </c>
      <c r="J65" s="182">
        <f t="shared" si="5"/>
        <v>90597297.61740917</v>
      </c>
      <c r="K65" s="182">
        <f t="shared" si="5"/>
        <v>88870973.737210184</v>
      </c>
      <c r="L65" s="182">
        <f t="shared" si="5"/>
        <v>89139541.058967993</v>
      </c>
      <c r="M65" s="182">
        <f t="shared" si="5"/>
        <v>89932185.342674941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8" x14ac:dyDescent="0.2">
      <c r="A66" s="3"/>
      <c r="B66" s="3" t="s">
        <v>231</v>
      </c>
      <c r="C66" s="3"/>
      <c r="D66" s="3"/>
      <c r="E66" s="3"/>
      <c r="F66" s="3"/>
      <c r="G66" s="183">
        <f>SUMPRODUCT(G8:G21,'Historical Expenditure-Volumes'!$I$9:$I$22,'Unit Rates'!$D$8:$D$21)-G65</f>
        <v>0</v>
      </c>
      <c r="H66" s="183">
        <f>SUMPRODUCT(H8:H21,'Historical Expenditure-Volumes'!$I$9:$I$22,'Unit Rates'!$D$8:$D$21)-H65</f>
        <v>0</v>
      </c>
      <c r="I66" s="183">
        <f>SUMPRODUCT(I8:I21,'Historical Expenditure-Volumes'!$I$9:$I$22,'Unit Rates'!$D$8:$D$21)-I65</f>
        <v>0</v>
      </c>
      <c r="J66" s="183">
        <f>SUMPRODUCT(J8:J21,'Historical Expenditure-Volumes'!$I$9:$I$22,'Unit Rates'!$D$8:$D$21)-J65</f>
        <v>0</v>
      </c>
      <c r="K66" s="183">
        <f>SUMPRODUCT(K8:K21,'Historical Expenditure-Volumes'!$I$9:$I$22,'Unit Rates'!$D$8:$D$21)-K65</f>
        <v>0</v>
      </c>
      <c r="L66" s="183">
        <f>SUMPRODUCT(L8:L21,'Historical Expenditure-Volumes'!$I$9:$I$22,'Unit Rates'!$D$8:$D$21)-L65</f>
        <v>0</v>
      </c>
      <c r="M66" s="183">
        <f>SUMPRODUCT(M8:M21,'Historical Expenditure-Volumes'!$I$9:$I$22,'Unit Rates'!$D$8:$D$21)-M65</f>
        <v>0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60" customFormat="1" x14ac:dyDescent="0.2">
      <c r="A67" s="3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60" customFormat="1" x14ac:dyDescent="0.2">
      <c r="A68" s="3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60" customFormat="1" x14ac:dyDescent="0.2">
      <c r="A69" s="3"/>
      <c r="B69" s="34" t="s">
        <v>275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60" customFormat="1" x14ac:dyDescent="0.2">
      <c r="A70" s="3"/>
      <c r="B70" s="49" t="s">
        <v>281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60" customFormat="1" x14ac:dyDescent="0.2">
      <c r="A71" s="3"/>
      <c r="B71" s="3"/>
      <c r="C71" s="273" t="str">
        <f>"$ "&amp;Inflation!$C$4</f>
        <v>$ 2021</v>
      </c>
      <c r="D71" s="274"/>
      <c r="E71" s="274"/>
      <c r="F71" s="274"/>
      <c r="G71" s="274"/>
      <c r="H71" s="274"/>
      <c r="I71" s="274"/>
      <c r="J71" s="274"/>
      <c r="K71" s="274"/>
      <c r="L71" s="274"/>
      <c r="M71" s="275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8" s="60" customFormat="1" ht="25.5" x14ac:dyDescent="0.2">
      <c r="A72" s="3"/>
      <c r="B72" s="2" t="s">
        <v>35</v>
      </c>
      <c r="C72" s="2" t="s">
        <v>323</v>
      </c>
      <c r="D72" s="2" t="s">
        <v>324</v>
      </c>
      <c r="E72" s="2" t="s">
        <v>325</v>
      </c>
      <c r="F72" s="2" t="s">
        <v>326</v>
      </c>
      <c r="G72" s="136" t="s">
        <v>315</v>
      </c>
      <c r="H72" s="136" t="s">
        <v>316</v>
      </c>
      <c r="I72" s="136" t="s">
        <v>317</v>
      </c>
      <c r="J72" s="136" t="s">
        <v>318</v>
      </c>
      <c r="K72" s="136" t="s">
        <v>319</v>
      </c>
      <c r="L72" s="136" t="s">
        <v>320</v>
      </c>
      <c r="M72" s="136" t="s">
        <v>321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8" s="60" customFormat="1" x14ac:dyDescent="0.2">
      <c r="A73" s="3"/>
      <c r="B73" s="179">
        <f t="shared" ref="B73:B86" si="6">B51</f>
        <v>102</v>
      </c>
      <c r="C73" s="185">
        <f>'Historical Expenditure-Volumes'!D29*'Historical Expenditure-Volumes'!$J9</f>
        <v>0</v>
      </c>
      <c r="D73" s="185">
        <f>'Historical Expenditure-Volumes'!E29*'Historical Expenditure-Volumes'!$J9</f>
        <v>0</v>
      </c>
      <c r="E73" s="185">
        <f>'Historical Expenditure-Volumes'!F29*'Historical Expenditure-Volumes'!$J9</f>
        <v>0</v>
      </c>
      <c r="F73" s="185">
        <f>'Historical Expenditure-Volumes'!G29*'Historical Expenditure-Volumes'!$J9</f>
        <v>0</v>
      </c>
      <c r="G73" s="157">
        <f ca="1">SUMIF('Major Projects'!$B$9:$J$11,$B73,'Major Projects'!D$9:D$11)*Inflation!$K$10</f>
        <v>0</v>
      </c>
      <c r="H73" s="157">
        <f ca="1">SUMIF('Major Projects'!$B$9:$J$11,$B73,'Major Projects'!E$9:E$11)*Inflation!$K$10</f>
        <v>0</v>
      </c>
      <c r="I73" s="157">
        <f ca="1">SUMIF('Major Projects'!$B$9:$J$11,$B73,'Major Projects'!F$9:F$11)*Inflation!$K$10</f>
        <v>0</v>
      </c>
      <c r="J73" s="157">
        <f ca="1">SUMIF('Major Projects'!$B$9:$J$11,$B73,'Major Projects'!G$9:G$11)*Inflation!$K$10</f>
        <v>0</v>
      </c>
      <c r="K73" s="157">
        <f ca="1">SUMIF('Major Projects'!$B$9:$J$11,$B73,'Major Projects'!H$9:H$11)*Inflation!$K$10</f>
        <v>0</v>
      </c>
      <c r="L73" s="157">
        <f ca="1">SUMIF('Major Projects'!$B$9:$J$11,$B73,'Major Projects'!I$9:I$11)*Inflation!$K$10</f>
        <v>0</v>
      </c>
      <c r="M73" s="157">
        <f ca="1">SUMIF('Major Projects'!$B$9:$J$11,$B73,'Major Projects'!J$9:J$11)*Inflation!$K$10</f>
        <v>0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8" s="60" customFormat="1" x14ac:dyDescent="0.2">
      <c r="A74" s="3"/>
      <c r="B74" s="179">
        <f t="shared" si="6"/>
        <v>104</v>
      </c>
      <c r="C74" s="185">
        <f>'Historical Expenditure-Volumes'!D30*'Historical Expenditure-Volumes'!$J10</f>
        <v>0</v>
      </c>
      <c r="D74" s="185">
        <f>'Historical Expenditure-Volumes'!E30*'Historical Expenditure-Volumes'!$J10</f>
        <v>0</v>
      </c>
      <c r="E74" s="185">
        <f>'Historical Expenditure-Volumes'!F30*'Historical Expenditure-Volumes'!$J10</f>
        <v>0</v>
      </c>
      <c r="F74" s="185">
        <f>'Historical Expenditure-Volumes'!G30*'Historical Expenditure-Volumes'!$J10</f>
        <v>0</v>
      </c>
      <c r="G74" s="157">
        <f ca="1">SUMIF('Major Projects'!$B$9:$J$11,$B74,'Major Projects'!D$9:D$11)*Inflation!$K$10</f>
        <v>0</v>
      </c>
      <c r="H74" s="157">
        <f ca="1">SUMIF('Major Projects'!$B$9:$J$11,$B74,'Major Projects'!E$9:E$11)*Inflation!$K$10</f>
        <v>0</v>
      </c>
      <c r="I74" s="157">
        <f ca="1">SUMIF('Major Projects'!$B$9:$J$11,$B74,'Major Projects'!F$9:F$11)*Inflation!$K$10</f>
        <v>0</v>
      </c>
      <c r="J74" s="157">
        <f ca="1">SUMIF('Major Projects'!$B$9:$J$11,$B74,'Major Projects'!G$9:G$11)*Inflation!$K$10</f>
        <v>0</v>
      </c>
      <c r="K74" s="157">
        <f ca="1">SUMIF('Major Projects'!$B$9:$J$11,$B74,'Major Projects'!H$9:H$11)*Inflation!$K$10</f>
        <v>0</v>
      </c>
      <c r="L74" s="157">
        <f ca="1">SUMIF('Major Projects'!$B$9:$J$11,$B74,'Major Projects'!I$9:I$11)*Inflation!$K$10</f>
        <v>0</v>
      </c>
      <c r="M74" s="157">
        <f ca="1">SUMIF('Major Projects'!$B$9:$J$11,$B74,'Major Projects'!J$9:J$11)*Inflation!$K$10</f>
        <v>0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8" s="60" customFormat="1" x14ac:dyDescent="0.2">
      <c r="A75" s="3"/>
      <c r="B75" s="179">
        <f t="shared" si="6"/>
        <v>105</v>
      </c>
      <c r="C75" s="185">
        <f>'Historical Expenditure-Volumes'!D31*'Historical Expenditure-Volumes'!$J11</f>
        <v>0</v>
      </c>
      <c r="D75" s="185">
        <f>'Historical Expenditure-Volumes'!E31*'Historical Expenditure-Volumes'!$J11</f>
        <v>0</v>
      </c>
      <c r="E75" s="185">
        <f>'Historical Expenditure-Volumes'!F31*'Historical Expenditure-Volumes'!$J11</f>
        <v>0</v>
      </c>
      <c r="F75" s="185">
        <f>'Historical Expenditure-Volumes'!G31*'Historical Expenditure-Volumes'!$J11</f>
        <v>0</v>
      </c>
      <c r="G75" s="157">
        <f ca="1">SUMIF('Major Projects'!$B$9:$J$11,$B75,'Major Projects'!D$9:D$11)*Inflation!$K$10</f>
        <v>0</v>
      </c>
      <c r="H75" s="157">
        <f ca="1">SUMIF('Major Projects'!$B$9:$J$11,$B75,'Major Projects'!E$9:E$11)*Inflation!$K$10</f>
        <v>0</v>
      </c>
      <c r="I75" s="157">
        <f ca="1">SUMIF('Major Projects'!$B$9:$J$11,$B75,'Major Projects'!F$9:F$11)*Inflation!$K$10</f>
        <v>0</v>
      </c>
      <c r="J75" s="157">
        <f ca="1">SUMIF('Major Projects'!$B$9:$J$11,$B75,'Major Projects'!G$9:G$11)*Inflation!$K$10</f>
        <v>0</v>
      </c>
      <c r="K75" s="157">
        <f ca="1">SUMIF('Major Projects'!$B$9:$J$11,$B75,'Major Projects'!H$9:H$11)*Inflation!$K$10</f>
        <v>0</v>
      </c>
      <c r="L75" s="157">
        <f ca="1">SUMIF('Major Projects'!$B$9:$J$11,$B75,'Major Projects'!I$9:I$11)*Inflation!$K$10</f>
        <v>0</v>
      </c>
      <c r="M75" s="157">
        <f ca="1">SUMIF('Major Projects'!$B$9:$J$11,$B75,'Major Projects'!J$9:J$11)*Inflation!$K$10</f>
        <v>0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8" s="60" customFormat="1" x14ac:dyDescent="0.2">
      <c r="A76" s="3"/>
      <c r="B76" s="179">
        <f t="shared" si="6"/>
        <v>106</v>
      </c>
      <c r="C76" s="185">
        <f>'Historical Expenditure-Volumes'!D32*'Historical Expenditure-Volumes'!$J12</f>
        <v>0</v>
      </c>
      <c r="D76" s="185">
        <f>'Historical Expenditure-Volumes'!E32*'Historical Expenditure-Volumes'!$J12</f>
        <v>0</v>
      </c>
      <c r="E76" s="185">
        <f>'Historical Expenditure-Volumes'!F32*'Historical Expenditure-Volumes'!$J12</f>
        <v>0</v>
      </c>
      <c r="F76" s="185">
        <f>'Historical Expenditure-Volumes'!G32*'Historical Expenditure-Volumes'!$J12</f>
        <v>0</v>
      </c>
      <c r="G76" s="157">
        <f ca="1">SUMIF('Major Projects'!$B$9:$J$11,$B76,'Major Projects'!D$9:D$11)*Inflation!$K$10</f>
        <v>0</v>
      </c>
      <c r="H76" s="157">
        <f ca="1">SUMIF('Major Projects'!$B$9:$J$11,$B76,'Major Projects'!E$9:E$11)*Inflation!$K$10</f>
        <v>0</v>
      </c>
      <c r="I76" s="157">
        <f ca="1">SUMIF('Major Projects'!$B$9:$J$11,$B76,'Major Projects'!F$9:F$11)*Inflation!$K$10</f>
        <v>0</v>
      </c>
      <c r="J76" s="157">
        <f ca="1">SUMIF('Major Projects'!$B$9:$J$11,$B76,'Major Projects'!G$9:G$11)*Inflation!$K$10</f>
        <v>0</v>
      </c>
      <c r="K76" s="157">
        <f ca="1">SUMIF('Major Projects'!$B$9:$J$11,$B76,'Major Projects'!H$9:H$11)*Inflation!$K$10</f>
        <v>0</v>
      </c>
      <c r="L76" s="157">
        <f ca="1">SUMIF('Major Projects'!$B$9:$J$11,$B76,'Major Projects'!I$9:I$11)*Inflation!$K$10</f>
        <v>0</v>
      </c>
      <c r="M76" s="157">
        <f ca="1">SUMIF('Major Projects'!$B$9:$J$11,$B76,'Major Projects'!J$9:J$11)*Inflation!$K$10</f>
        <v>0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8" s="60" customFormat="1" x14ac:dyDescent="0.2">
      <c r="A77" s="3"/>
      <c r="B77" s="179">
        <f t="shared" si="6"/>
        <v>107</v>
      </c>
      <c r="C77" s="185">
        <f>'Historical Expenditure-Volumes'!D33*'Historical Expenditure-Volumes'!$J13</f>
        <v>1296855.4162322949</v>
      </c>
      <c r="D77" s="185">
        <f>'Historical Expenditure-Volumes'!E33*'Historical Expenditure-Volumes'!$J13</f>
        <v>5499309.3582325578</v>
      </c>
      <c r="E77" s="185">
        <f>'Historical Expenditure-Volumes'!F33*'Historical Expenditure-Volumes'!$J13</f>
        <v>5158603.5469429102</v>
      </c>
      <c r="F77" s="185">
        <f>'Historical Expenditure-Volumes'!G33*'Historical Expenditure-Volumes'!$J13</f>
        <v>1698334.2494526331</v>
      </c>
      <c r="G77" s="157">
        <f ca="1">SUMIF('Major Projects'!$B$9:$J$11,$B77,'Major Projects'!D$9:D$11)*Inflation!$K$10</f>
        <v>3413275.6427150993</v>
      </c>
      <c r="H77" s="157">
        <f ca="1">SUMIF('Major Projects'!$B$9:$J$11,$B77,'Major Projects'!E$9:E$11)*Inflation!$K$10</f>
        <v>3413275.6427150993</v>
      </c>
      <c r="I77" s="157">
        <f ca="1">SUMIF('Major Projects'!$B$9:$J$11,$B77,'Major Projects'!F$9:F$11)*Inflation!$K$10</f>
        <v>3413275.6427150993</v>
      </c>
      <c r="J77" s="157">
        <f ca="1">SUMIF('Major Projects'!$B$9:$J$11,$B77,'Major Projects'!G$9:G$11)*Inflation!$K$10</f>
        <v>3413275.6427150993</v>
      </c>
      <c r="K77" s="157">
        <f ca="1">SUMIF('Major Projects'!$B$9:$J$11,$B77,'Major Projects'!H$9:H$11)*Inflation!$K$10</f>
        <v>3413275.6427150993</v>
      </c>
      <c r="L77" s="157">
        <f ca="1">SUMIF('Major Projects'!$B$9:$J$11,$B77,'Major Projects'!I$9:I$11)*Inflation!$K$10</f>
        <v>3413275.6427150993</v>
      </c>
      <c r="M77" s="157">
        <f ca="1">SUMIF('Major Projects'!$B$9:$J$11,$B77,'Major Projects'!J$9:J$11)*Inflation!$K$10</f>
        <v>3413275.6427150993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8" s="60" customFormat="1" x14ac:dyDescent="0.2">
      <c r="A78" s="3"/>
      <c r="B78" s="179">
        <f t="shared" si="6"/>
        <v>108</v>
      </c>
      <c r="C78" s="185">
        <f>'Historical Expenditure-Volumes'!D34*'Historical Expenditure-Volumes'!$J14</f>
        <v>0</v>
      </c>
      <c r="D78" s="185">
        <f>'Historical Expenditure-Volumes'!E34*'Historical Expenditure-Volumes'!$J14</f>
        <v>0</v>
      </c>
      <c r="E78" s="185">
        <f>'Historical Expenditure-Volumes'!F34*'Historical Expenditure-Volumes'!$J14</f>
        <v>0</v>
      </c>
      <c r="F78" s="185">
        <f>'Historical Expenditure-Volumes'!G34*'Historical Expenditure-Volumes'!$J14</f>
        <v>0</v>
      </c>
      <c r="G78" s="157">
        <f ca="1">SUMIF('Major Projects'!$B$9:$J$11,$B78,'Major Projects'!D$9:D$11)*Inflation!$K$10</f>
        <v>0</v>
      </c>
      <c r="H78" s="157">
        <f ca="1">SUMIF('Major Projects'!$B$9:$J$11,$B78,'Major Projects'!E$9:E$11)*Inflation!$K$10</f>
        <v>0</v>
      </c>
      <c r="I78" s="157">
        <f ca="1">SUMIF('Major Projects'!$B$9:$J$11,$B78,'Major Projects'!F$9:F$11)*Inflation!$K$10</f>
        <v>0</v>
      </c>
      <c r="J78" s="157">
        <f ca="1">SUMIF('Major Projects'!$B$9:$J$11,$B78,'Major Projects'!G$9:G$11)*Inflation!$K$10</f>
        <v>0</v>
      </c>
      <c r="K78" s="157">
        <f ca="1">SUMIF('Major Projects'!$B$9:$J$11,$B78,'Major Projects'!H$9:H$11)*Inflation!$K$10</f>
        <v>0</v>
      </c>
      <c r="L78" s="157">
        <f ca="1">SUMIF('Major Projects'!$B$9:$J$11,$B78,'Major Projects'!I$9:I$11)*Inflation!$K$10</f>
        <v>0</v>
      </c>
      <c r="M78" s="157">
        <f ca="1">SUMIF('Major Projects'!$B$9:$J$11,$B78,'Major Projects'!J$9:J$11)*Inflation!$K$10</f>
        <v>0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8" s="60" customFormat="1" x14ac:dyDescent="0.2">
      <c r="A79" s="3"/>
      <c r="B79" s="179">
        <f t="shared" si="6"/>
        <v>109</v>
      </c>
      <c r="C79" s="185">
        <f>'Historical Expenditure-Volumes'!D35*'Historical Expenditure-Volumes'!$J15</f>
        <v>0</v>
      </c>
      <c r="D79" s="185">
        <f>'Historical Expenditure-Volumes'!E35*'Historical Expenditure-Volumes'!$J15</f>
        <v>0</v>
      </c>
      <c r="E79" s="185">
        <f>'Historical Expenditure-Volumes'!F35*'Historical Expenditure-Volumes'!$J15</f>
        <v>0</v>
      </c>
      <c r="F79" s="185">
        <f>'Historical Expenditure-Volumes'!G35*'Historical Expenditure-Volumes'!$J15</f>
        <v>0</v>
      </c>
      <c r="G79" s="157">
        <f ca="1">SUMIF('Major Projects'!$B$9:$J$11,$B79,'Major Projects'!D$9:D$11)*Inflation!$K$10</f>
        <v>0</v>
      </c>
      <c r="H79" s="157">
        <f ca="1">SUMIF('Major Projects'!$B$9:$J$11,$B79,'Major Projects'!E$9:E$11)*Inflation!$K$10</f>
        <v>0</v>
      </c>
      <c r="I79" s="157">
        <f ca="1">SUMIF('Major Projects'!$B$9:$J$11,$B79,'Major Projects'!F$9:F$11)*Inflation!$K$10</f>
        <v>0</v>
      </c>
      <c r="J79" s="157">
        <f ca="1">SUMIF('Major Projects'!$B$9:$J$11,$B79,'Major Projects'!G$9:G$11)*Inflation!$K$10</f>
        <v>0</v>
      </c>
      <c r="K79" s="157">
        <f ca="1">SUMIF('Major Projects'!$B$9:$J$11,$B79,'Major Projects'!H$9:H$11)*Inflation!$K$10</f>
        <v>0</v>
      </c>
      <c r="L79" s="157">
        <f ca="1">SUMIF('Major Projects'!$B$9:$J$11,$B79,'Major Projects'!I$9:I$11)*Inflation!$K$10</f>
        <v>0</v>
      </c>
      <c r="M79" s="157">
        <f ca="1">SUMIF('Major Projects'!$B$9:$J$11,$B79,'Major Projects'!J$9:J$11)*Inflation!$K$10</f>
        <v>0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8" s="60" customFormat="1" x14ac:dyDescent="0.2">
      <c r="A80" s="3"/>
      <c r="B80" s="179">
        <f t="shared" si="6"/>
        <v>110</v>
      </c>
      <c r="C80" s="185">
        <f>'Historical Expenditure-Volumes'!D36*'Historical Expenditure-Volumes'!$J16</f>
        <v>0</v>
      </c>
      <c r="D80" s="185">
        <f>'Historical Expenditure-Volumes'!E36*'Historical Expenditure-Volumes'!$J16</f>
        <v>0</v>
      </c>
      <c r="E80" s="185">
        <f>'Historical Expenditure-Volumes'!F36*'Historical Expenditure-Volumes'!$J16</f>
        <v>0</v>
      </c>
      <c r="F80" s="185">
        <f>'Historical Expenditure-Volumes'!G36*'Historical Expenditure-Volumes'!$J16</f>
        <v>0</v>
      </c>
      <c r="G80" s="157">
        <f ca="1">SUMIF('Major Projects'!$B$9:$J$11,$B80,'Major Projects'!D$9:D$11)*Inflation!$K$10</f>
        <v>0</v>
      </c>
      <c r="H80" s="157">
        <f ca="1">SUMIF('Major Projects'!$B$9:$J$11,$B80,'Major Projects'!E$9:E$11)*Inflation!$K$10</f>
        <v>0</v>
      </c>
      <c r="I80" s="157">
        <f ca="1">SUMIF('Major Projects'!$B$9:$J$11,$B80,'Major Projects'!F$9:F$11)*Inflation!$K$10</f>
        <v>0</v>
      </c>
      <c r="J80" s="157">
        <f ca="1">SUMIF('Major Projects'!$B$9:$J$11,$B80,'Major Projects'!G$9:G$11)*Inflation!$K$10</f>
        <v>0</v>
      </c>
      <c r="K80" s="157">
        <f ca="1">SUMIF('Major Projects'!$B$9:$J$11,$B80,'Major Projects'!H$9:H$11)*Inflation!$K$10</f>
        <v>0</v>
      </c>
      <c r="L80" s="157">
        <f ca="1">SUMIF('Major Projects'!$B$9:$J$11,$B80,'Major Projects'!I$9:I$11)*Inflation!$K$10</f>
        <v>0</v>
      </c>
      <c r="M80" s="157">
        <f ca="1">SUMIF('Major Projects'!$B$9:$J$11,$B80,'Major Projects'!J$9:J$11)*Inflation!$K$10</f>
        <v>0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8" s="60" customFormat="1" x14ac:dyDescent="0.2">
      <c r="A81" s="3"/>
      <c r="B81" s="179">
        <f t="shared" si="6"/>
        <v>111</v>
      </c>
      <c r="C81" s="185">
        <f>'Historical Expenditure-Volumes'!D37*'Historical Expenditure-Volumes'!$J17</f>
        <v>0</v>
      </c>
      <c r="D81" s="185">
        <f>'Historical Expenditure-Volumes'!E37*'Historical Expenditure-Volumes'!$J17</f>
        <v>0</v>
      </c>
      <c r="E81" s="185">
        <f>'Historical Expenditure-Volumes'!F37*'Historical Expenditure-Volumes'!$J17</f>
        <v>0</v>
      </c>
      <c r="F81" s="185">
        <f>'Historical Expenditure-Volumes'!G37*'Historical Expenditure-Volumes'!$J17</f>
        <v>0</v>
      </c>
      <c r="G81" s="157">
        <f ca="1">SUMIF('Major Projects'!$B$9:$J$11,$B81,'Major Projects'!D$9:D$11)*Inflation!$K$10</f>
        <v>0</v>
      </c>
      <c r="H81" s="157">
        <f ca="1">SUMIF('Major Projects'!$B$9:$J$11,$B81,'Major Projects'!E$9:E$11)*Inflation!$K$10</f>
        <v>0</v>
      </c>
      <c r="I81" s="157">
        <f ca="1">SUMIF('Major Projects'!$B$9:$J$11,$B81,'Major Projects'!F$9:F$11)*Inflation!$K$10</f>
        <v>0</v>
      </c>
      <c r="J81" s="157">
        <f ca="1">SUMIF('Major Projects'!$B$9:$J$11,$B81,'Major Projects'!G$9:G$11)*Inflation!$K$10</f>
        <v>0</v>
      </c>
      <c r="K81" s="157">
        <f ca="1">SUMIF('Major Projects'!$B$9:$J$11,$B81,'Major Projects'!H$9:H$11)*Inflation!$K$10</f>
        <v>0</v>
      </c>
      <c r="L81" s="157">
        <f ca="1">SUMIF('Major Projects'!$B$9:$J$11,$B81,'Major Projects'!I$9:I$11)*Inflation!$K$10</f>
        <v>0</v>
      </c>
      <c r="M81" s="157">
        <f ca="1">SUMIF('Major Projects'!$B$9:$J$11,$B81,'Major Projects'!J$9:J$11)*Inflation!$K$10</f>
        <v>0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8" s="60" customFormat="1" x14ac:dyDescent="0.2">
      <c r="A82" s="3"/>
      <c r="B82" s="179">
        <f t="shared" si="6"/>
        <v>114</v>
      </c>
      <c r="C82" s="185">
        <f>'Historical Expenditure-Volumes'!D38*'Historical Expenditure-Volumes'!$J18</f>
        <v>0</v>
      </c>
      <c r="D82" s="185">
        <f>'Historical Expenditure-Volumes'!E38*'Historical Expenditure-Volumes'!$J18</f>
        <v>0</v>
      </c>
      <c r="E82" s="185">
        <f>'Historical Expenditure-Volumes'!F38*'Historical Expenditure-Volumes'!$J18</f>
        <v>0</v>
      </c>
      <c r="F82" s="185">
        <f>'Historical Expenditure-Volumes'!G38*'Historical Expenditure-Volumes'!$J18</f>
        <v>0</v>
      </c>
      <c r="G82" s="157">
        <f ca="1">SUMIF('Major Projects'!$B$9:$J$11,$B82,'Major Projects'!D$9:D$11)*Inflation!$K$10</f>
        <v>0</v>
      </c>
      <c r="H82" s="157">
        <f ca="1">SUMIF('Major Projects'!$B$9:$J$11,$B82,'Major Projects'!E$9:E$11)*Inflation!$K$10</f>
        <v>0</v>
      </c>
      <c r="I82" s="157">
        <f ca="1">SUMIF('Major Projects'!$B$9:$J$11,$B82,'Major Projects'!F$9:F$11)*Inflation!$K$10</f>
        <v>0</v>
      </c>
      <c r="J82" s="157">
        <f ca="1">SUMIF('Major Projects'!$B$9:$J$11,$B82,'Major Projects'!G$9:G$11)*Inflation!$K$10</f>
        <v>0</v>
      </c>
      <c r="K82" s="157">
        <f ca="1">SUMIF('Major Projects'!$B$9:$J$11,$B82,'Major Projects'!H$9:H$11)*Inflation!$K$10</f>
        <v>0</v>
      </c>
      <c r="L82" s="157">
        <f ca="1">SUMIF('Major Projects'!$B$9:$J$11,$B82,'Major Projects'!I$9:I$11)*Inflation!$K$10</f>
        <v>0</v>
      </c>
      <c r="M82" s="157">
        <f ca="1">SUMIF('Major Projects'!$B$9:$J$11,$B82,'Major Projects'!J$9:J$11)*Inflation!$K$10</f>
        <v>0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8" s="60" customFormat="1" x14ac:dyDescent="0.2">
      <c r="A83" s="3"/>
      <c r="B83" s="179">
        <f t="shared" si="6"/>
        <v>115</v>
      </c>
      <c r="C83" s="185">
        <f>'Historical Expenditure-Volumes'!D39*'Historical Expenditure-Volumes'!$J19</f>
        <v>0</v>
      </c>
      <c r="D83" s="185">
        <f>'Historical Expenditure-Volumes'!E39*'Historical Expenditure-Volumes'!$J19</f>
        <v>0</v>
      </c>
      <c r="E83" s="185">
        <f>'Historical Expenditure-Volumes'!F39*'Historical Expenditure-Volumes'!$J19</f>
        <v>0</v>
      </c>
      <c r="F83" s="185">
        <f>'Historical Expenditure-Volumes'!G39*'Historical Expenditure-Volumes'!$J19</f>
        <v>0</v>
      </c>
      <c r="G83" s="157">
        <f ca="1">SUMIF('Major Projects'!$B$9:$J$11,$B83,'Major Projects'!D$9:D$11)*Inflation!$K$10</f>
        <v>0</v>
      </c>
      <c r="H83" s="157">
        <f ca="1">SUMIF('Major Projects'!$B$9:$J$11,$B83,'Major Projects'!E$9:E$11)*Inflation!$K$10</f>
        <v>0</v>
      </c>
      <c r="I83" s="157">
        <f ca="1">SUMIF('Major Projects'!$B$9:$J$11,$B83,'Major Projects'!F$9:F$11)*Inflation!$K$10</f>
        <v>0</v>
      </c>
      <c r="J83" s="157">
        <f ca="1">SUMIF('Major Projects'!$B$9:$J$11,$B83,'Major Projects'!G$9:G$11)*Inflation!$K$10</f>
        <v>0</v>
      </c>
      <c r="K83" s="157">
        <f ca="1">SUMIF('Major Projects'!$B$9:$J$11,$B83,'Major Projects'!H$9:H$11)*Inflation!$K$10</f>
        <v>0</v>
      </c>
      <c r="L83" s="157">
        <f ca="1">SUMIF('Major Projects'!$B$9:$J$11,$B83,'Major Projects'!I$9:I$11)*Inflation!$K$10</f>
        <v>0</v>
      </c>
      <c r="M83" s="157">
        <f ca="1">SUMIF('Major Projects'!$B$9:$J$11,$B83,'Major Projects'!J$9:J$11)*Inflation!$K$10</f>
        <v>0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8" s="60" customFormat="1" x14ac:dyDescent="0.2">
      <c r="A84" s="3"/>
      <c r="B84" s="179">
        <f t="shared" si="6"/>
        <v>116</v>
      </c>
      <c r="C84" s="185">
        <f>'Historical Expenditure-Volumes'!D40*'Historical Expenditure-Volumes'!$J20</f>
        <v>0</v>
      </c>
      <c r="D84" s="185">
        <f>'Historical Expenditure-Volumes'!E40*'Historical Expenditure-Volumes'!$J20</f>
        <v>0</v>
      </c>
      <c r="E84" s="185">
        <f>'Historical Expenditure-Volumes'!F40*'Historical Expenditure-Volumes'!$J20</f>
        <v>0</v>
      </c>
      <c r="F84" s="185">
        <f>'Historical Expenditure-Volumes'!G40*'Historical Expenditure-Volumes'!$J20</f>
        <v>0</v>
      </c>
      <c r="G84" s="157">
        <f ca="1">SUMIF('Major Projects'!$B$9:$J$11,$B84,'Major Projects'!D$9:D$11)*Inflation!$K$10</f>
        <v>0</v>
      </c>
      <c r="H84" s="157">
        <f ca="1">SUMIF('Major Projects'!$B$9:$J$11,$B84,'Major Projects'!E$9:E$11)*Inflation!$K$10</f>
        <v>0</v>
      </c>
      <c r="I84" s="157">
        <f ca="1">SUMIF('Major Projects'!$B$9:$J$11,$B84,'Major Projects'!F$9:F$11)*Inflation!$K$10</f>
        <v>0</v>
      </c>
      <c r="J84" s="157">
        <f ca="1">SUMIF('Major Projects'!$B$9:$J$11,$B84,'Major Projects'!G$9:G$11)*Inflation!$K$10</f>
        <v>0</v>
      </c>
      <c r="K84" s="157">
        <f ca="1">SUMIF('Major Projects'!$B$9:$J$11,$B84,'Major Projects'!H$9:H$11)*Inflation!$K$10</f>
        <v>0</v>
      </c>
      <c r="L84" s="157">
        <f ca="1">SUMIF('Major Projects'!$B$9:$J$11,$B84,'Major Projects'!I$9:I$11)*Inflation!$K$10</f>
        <v>0</v>
      </c>
      <c r="M84" s="157">
        <f ca="1">SUMIF('Major Projects'!$B$9:$J$11,$B84,'Major Projects'!J$9:J$11)*Inflation!$K$10</f>
        <v>0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8" s="60" customFormat="1" x14ac:dyDescent="0.2">
      <c r="A85" s="3"/>
      <c r="B85" s="179">
        <f t="shared" si="6"/>
        <v>118</v>
      </c>
      <c r="C85" s="185">
        <f>'Historical Expenditure-Volumes'!D41*'Historical Expenditure-Volumes'!$J21</f>
        <v>4081193.2758829077</v>
      </c>
      <c r="D85" s="185">
        <f>'Historical Expenditure-Volumes'!E41*'Historical Expenditure-Volumes'!$J21</f>
        <v>8532103.6374976765</v>
      </c>
      <c r="E85" s="185">
        <f>'Historical Expenditure-Volumes'!F41*'Historical Expenditure-Volumes'!$J21</f>
        <v>20014207.606933706</v>
      </c>
      <c r="F85" s="185">
        <f>'Historical Expenditure-Volumes'!G41*'Historical Expenditure-Volumes'!$J21</f>
        <v>23549255.318518218</v>
      </c>
      <c r="G85" s="157">
        <f ca="1">SUMIF('Major Projects'!$B$9:$J$11,$B85,'Major Projects'!D$9:D$11)*Inflation!$K$10</f>
        <v>23549255.318518218</v>
      </c>
      <c r="H85" s="157">
        <f ca="1">SUMIF('Major Projects'!$B$9:$J$11,$B85,'Major Projects'!E$9:E$11)*Inflation!$K$10</f>
        <v>23549255.318518218</v>
      </c>
      <c r="I85" s="157">
        <f ca="1">SUMIF('Major Projects'!$B$9:$J$11,$B85,'Major Projects'!F$9:F$11)*Inflation!$K$10</f>
        <v>23549255.318518218</v>
      </c>
      <c r="J85" s="157">
        <f ca="1">SUMIF('Major Projects'!$B$9:$J$11,$B85,'Major Projects'!G$9:G$11)*Inflation!$K$10</f>
        <v>23549255.318518218</v>
      </c>
      <c r="K85" s="157">
        <f ca="1">SUMIF('Major Projects'!$B$9:$J$11,$B85,'Major Projects'!H$9:H$11)*Inflation!$K$10</f>
        <v>23549255.318518218</v>
      </c>
      <c r="L85" s="157">
        <f ca="1">SUMIF('Major Projects'!$B$9:$J$11,$B85,'Major Projects'!I$9:I$11)*Inflation!$K$10</f>
        <v>23549255.318518218</v>
      </c>
      <c r="M85" s="157">
        <f ca="1">SUMIF('Major Projects'!$B$9:$J$11,$B85,'Major Projects'!J$9:J$11)*Inflation!$K$10</f>
        <v>23549255.318518218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8" s="60" customFormat="1" x14ac:dyDescent="0.2">
      <c r="A86" s="3"/>
      <c r="B86" s="179">
        <f t="shared" si="6"/>
        <v>171</v>
      </c>
      <c r="C86" s="185">
        <f>'Historical Expenditure-Volumes'!D42*'Historical Expenditure-Volumes'!$J22</f>
        <v>138237.71952790584</v>
      </c>
      <c r="D86" s="185">
        <f>'Historical Expenditure-Volumes'!E42*'Historical Expenditure-Volumes'!$J22</f>
        <v>5101.855581395349</v>
      </c>
      <c r="E86" s="185">
        <f>'Historical Expenditure-Volumes'!F42*'Historical Expenditure-Volumes'!$J22</f>
        <v>0</v>
      </c>
      <c r="F86" s="185">
        <f>'Historical Expenditure-Volumes'!G42*'Historical Expenditure-Volumes'!$J22</f>
        <v>0</v>
      </c>
      <c r="G86" s="157">
        <f ca="1">SUMIF('Major Projects'!$B$9:$J$11,$B86,'Major Projects'!D$9:D$11)*Inflation!$K$10</f>
        <v>0</v>
      </c>
      <c r="H86" s="157">
        <f ca="1">SUMIF('Major Projects'!$B$9:$J$11,$B86,'Major Projects'!E$9:E$11)*Inflation!$K$10</f>
        <v>0</v>
      </c>
      <c r="I86" s="157">
        <f ca="1">SUMIF('Major Projects'!$B$9:$J$11,$B86,'Major Projects'!F$9:F$11)*Inflation!$K$10</f>
        <v>0</v>
      </c>
      <c r="J86" s="157">
        <f ca="1">SUMIF('Major Projects'!$B$9:$J$11,$B86,'Major Projects'!G$9:G$11)*Inflation!$K$10</f>
        <v>0</v>
      </c>
      <c r="K86" s="157">
        <f ca="1">SUMIF('Major Projects'!$B$9:$J$11,$B86,'Major Projects'!H$9:H$11)*Inflation!$K$10</f>
        <v>0</v>
      </c>
      <c r="L86" s="157">
        <f ca="1">SUMIF('Major Projects'!$B$9:$J$11,$B86,'Major Projects'!I$9:I$11)*Inflation!$K$10</f>
        <v>0</v>
      </c>
      <c r="M86" s="157">
        <f ca="1">SUMIF('Major Projects'!$B$9:$J$11,$B86,'Major Projects'!J$9:J$11)*Inflation!$K$10</f>
        <v>0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8" s="60" customFormat="1" x14ac:dyDescent="0.2">
      <c r="A87" s="3"/>
      <c r="B87" s="71" t="s">
        <v>36</v>
      </c>
      <c r="C87" s="182">
        <f t="shared" ref="C87:M87" si="7">SUM(C73:C86)</f>
        <v>5516286.4116431084</v>
      </c>
      <c r="D87" s="182">
        <f t="shared" si="7"/>
        <v>14036514.85131163</v>
      </c>
      <c r="E87" s="182">
        <f t="shared" si="7"/>
        <v>25172811.153876618</v>
      </c>
      <c r="F87" s="182">
        <f t="shared" si="7"/>
        <v>25247589.56797085</v>
      </c>
      <c r="G87" s="182">
        <f ca="1">SUM(G73:G86)</f>
        <v>26962530.961233318</v>
      </c>
      <c r="H87" s="182">
        <f t="shared" ca="1" si="7"/>
        <v>26962530.961233318</v>
      </c>
      <c r="I87" s="182">
        <f t="shared" ca="1" si="7"/>
        <v>26962530.961233318</v>
      </c>
      <c r="J87" s="182">
        <f t="shared" ca="1" si="7"/>
        <v>26962530.961233318</v>
      </c>
      <c r="K87" s="182">
        <f t="shared" ca="1" si="7"/>
        <v>26962530.961233318</v>
      </c>
      <c r="L87" s="182">
        <f t="shared" ca="1" si="7"/>
        <v>26962530.961233318</v>
      </c>
      <c r="M87" s="182">
        <f t="shared" ca="1" si="7"/>
        <v>26962530.961233318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8" s="60" customFormat="1" x14ac:dyDescent="0.2">
      <c r="A88" s="3"/>
      <c r="B88" s="3" t="s">
        <v>231</v>
      </c>
      <c r="C88" s="146"/>
      <c r="D88" s="146"/>
      <c r="E88" s="146"/>
      <c r="F88" s="146"/>
      <c r="G88" s="183">
        <f ca="1">G87-'Major Projects'!D12*Inflation!$K$10</f>
        <v>0</v>
      </c>
      <c r="H88" s="183">
        <f ca="1">H87-'Major Projects'!E12*Inflation!$K$10</f>
        <v>0</v>
      </c>
      <c r="I88" s="183">
        <f ca="1">I87-'Major Projects'!F12*Inflation!$K$10</f>
        <v>0</v>
      </c>
      <c r="J88" s="183">
        <f ca="1">J87-'Major Projects'!G12*Inflation!$K$10</f>
        <v>0</v>
      </c>
      <c r="K88" s="183">
        <f ca="1">K87-'Major Projects'!H12*Inflation!$K$10</f>
        <v>0</v>
      </c>
      <c r="L88" s="183">
        <f ca="1">L87-'Major Projects'!I12*Inflation!$K$10</f>
        <v>0</v>
      </c>
      <c r="M88" s="183">
        <f ca="1">M87-'Major Projects'!J12*Inflation!$K$10</f>
        <v>0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s="60" customFormat="1" x14ac:dyDescent="0.2">
      <c r="A89" s="3"/>
      <c r="B89" s="3"/>
      <c r="C89" s="3"/>
      <c r="D89" s="3"/>
      <c r="E89" s="3"/>
      <c r="F89" s="3"/>
      <c r="G89" s="12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s="60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s="60" customFormat="1" x14ac:dyDescent="0.2">
      <c r="A91" s="3"/>
      <c r="B91" s="34" t="s">
        <v>276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s="60" customFormat="1" x14ac:dyDescent="0.2">
      <c r="A92" s="3"/>
      <c r="B92" s="49" t="s">
        <v>282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s="60" customFormat="1" x14ac:dyDescent="0.2">
      <c r="A93" s="3"/>
      <c r="B93" s="3"/>
      <c r="C93" s="273" t="str">
        <f>"$ "&amp;Inflation!$C$4</f>
        <v>$ 2021</v>
      </c>
      <c r="D93" s="274"/>
      <c r="E93" s="274"/>
      <c r="F93" s="274"/>
      <c r="G93" s="274"/>
      <c r="H93" s="274"/>
      <c r="I93" s="274"/>
      <c r="J93" s="274"/>
      <c r="K93" s="274"/>
      <c r="L93" s="274"/>
      <c r="M93" s="275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8" s="60" customFormat="1" ht="25.5" x14ac:dyDescent="0.2">
      <c r="A94" s="3"/>
      <c r="B94" s="2" t="s">
        <v>35</v>
      </c>
      <c r="C94" s="2" t="s">
        <v>323</v>
      </c>
      <c r="D94" s="2" t="s">
        <v>324</v>
      </c>
      <c r="E94" s="2" t="s">
        <v>325</v>
      </c>
      <c r="F94" s="2" t="s">
        <v>326</v>
      </c>
      <c r="G94" s="136" t="s">
        <v>315</v>
      </c>
      <c r="H94" s="136" t="s">
        <v>316</v>
      </c>
      <c r="I94" s="136" t="s">
        <v>317</v>
      </c>
      <c r="J94" s="136" t="s">
        <v>318</v>
      </c>
      <c r="K94" s="136" t="s">
        <v>319</v>
      </c>
      <c r="L94" s="136" t="s">
        <v>320</v>
      </c>
      <c r="M94" s="136" t="s">
        <v>321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8" s="60" customFormat="1" x14ac:dyDescent="0.2">
      <c r="A95" s="3"/>
      <c r="B95" s="179">
        <f t="shared" ref="B95:B108" si="8">B73</f>
        <v>102</v>
      </c>
      <c r="C95" s="157">
        <f t="shared" ref="C95:M95" si="9">C51+C73</f>
        <v>10277338.861973532</v>
      </c>
      <c r="D95" s="157">
        <f t="shared" si="9"/>
        <v>9165700.5838511623</v>
      </c>
      <c r="E95" s="157">
        <f t="shared" si="9"/>
        <v>10415549.390147328</v>
      </c>
      <c r="F95" s="157">
        <f t="shared" si="9"/>
        <v>11662599.582181394</v>
      </c>
      <c r="G95" s="157">
        <f t="shared" ca="1" si="9"/>
        <v>10380297.104538355</v>
      </c>
      <c r="H95" s="157">
        <f t="shared" ca="1" si="9"/>
        <v>10395379.489509558</v>
      </c>
      <c r="I95" s="157">
        <f t="shared" ca="1" si="9"/>
        <v>10768247.202033916</v>
      </c>
      <c r="J95" s="157">
        <f t="shared" ca="1" si="9"/>
        <v>11096221.019610608</v>
      </c>
      <c r="K95" s="157">
        <f t="shared" ca="1" si="9"/>
        <v>11146454.671081906</v>
      </c>
      <c r="L95" s="157">
        <f t="shared" ca="1" si="9"/>
        <v>11285337.810217898</v>
      </c>
      <c r="M95" s="157">
        <f t="shared" ca="1" si="9"/>
        <v>11493149.296748912</v>
      </c>
      <c r="N95" s="3"/>
      <c r="O95" s="12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8" s="60" customFormat="1" x14ac:dyDescent="0.2">
      <c r="A96" s="3"/>
      <c r="B96" s="179">
        <f t="shared" si="8"/>
        <v>104</v>
      </c>
      <c r="C96" s="157">
        <f t="shared" ref="C96:M96" si="10">C52+C74</f>
        <v>11797836.627648724</v>
      </c>
      <c r="D96" s="157">
        <f t="shared" si="10"/>
        <v>12698773.490297675</v>
      </c>
      <c r="E96" s="157">
        <f t="shared" si="10"/>
        <v>15028613.886896869</v>
      </c>
      <c r="F96" s="157">
        <f t="shared" si="10"/>
        <v>16564196.401763488</v>
      </c>
      <c r="G96" s="157">
        <f t="shared" ca="1" si="10"/>
        <v>14022355.101651691</v>
      </c>
      <c r="H96" s="157">
        <f t="shared" ca="1" si="10"/>
        <v>14042729.331379043</v>
      </c>
      <c r="I96" s="157">
        <f t="shared" ca="1" si="10"/>
        <v>14546422.37776316</v>
      </c>
      <c r="J96" s="157">
        <f t="shared" ca="1" si="10"/>
        <v>14989469.940640138</v>
      </c>
      <c r="K96" s="157">
        <f t="shared" ca="1" si="10"/>
        <v>15057328.701510787</v>
      </c>
      <c r="L96" s="157">
        <f t="shared" ca="1" si="10"/>
        <v>15244940.739488538</v>
      </c>
      <c r="M96" s="157">
        <f t="shared" ca="1" si="10"/>
        <v>15525665.503817873</v>
      </c>
      <c r="N96" s="3"/>
      <c r="O96" s="12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s="60" customFormat="1" x14ac:dyDescent="0.2">
      <c r="A97" s="3"/>
      <c r="B97" s="179">
        <f t="shared" si="8"/>
        <v>105</v>
      </c>
      <c r="C97" s="157">
        <f t="shared" ref="C97:M97" si="11">C53+C75</f>
        <v>7869605.9539471203</v>
      </c>
      <c r="D97" s="157">
        <f t="shared" si="11"/>
        <v>6764320.8095627902</v>
      </c>
      <c r="E97" s="157">
        <f t="shared" si="11"/>
        <v>6602912.1905801008</v>
      </c>
      <c r="F97" s="157">
        <f t="shared" si="11"/>
        <v>7761390.068827508</v>
      </c>
      <c r="G97" s="157">
        <f t="shared" ca="1" si="11"/>
        <v>7249557.2557293791</v>
      </c>
      <c r="H97" s="157">
        <f t="shared" ca="1" si="11"/>
        <v>7041021.767964513</v>
      </c>
      <c r="I97" s="157">
        <f t="shared" ca="1" si="11"/>
        <v>7074650.2730374653</v>
      </c>
      <c r="J97" s="157">
        <f t="shared" ca="1" si="11"/>
        <v>6398686.3617622387</v>
      </c>
      <c r="K97" s="157">
        <f t="shared" ca="1" si="11"/>
        <v>6449243.1492123157</v>
      </c>
      <c r="L97" s="157">
        <f t="shared" ca="1" si="11"/>
        <v>6825081.8848238876</v>
      </c>
      <c r="M97" s="157">
        <f t="shared" ca="1" si="11"/>
        <v>6888465.2355520641</v>
      </c>
      <c r="N97" s="3"/>
      <c r="O97" s="12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s="60" customFormat="1" x14ac:dyDescent="0.2">
      <c r="A98" s="3"/>
      <c r="B98" s="179">
        <f t="shared" si="8"/>
        <v>106</v>
      </c>
      <c r="C98" s="157">
        <f t="shared" ref="C98:M98" si="12">C54+C76</f>
        <v>6652694.7496789414</v>
      </c>
      <c r="D98" s="157">
        <f t="shared" si="12"/>
        <v>7857336.1664000014</v>
      </c>
      <c r="E98" s="157">
        <f t="shared" si="12"/>
        <v>9019927.669125231</v>
      </c>
      <c r="F98" s="157">
        <f t="shared" si="12"/>
        <v>9775297.7141026482</v>
      </c>
      <c r="G98" s="157">
        <f t="shared" ca="1" si="12"/>
        <v>8326314.0748267062</v>
      </c>
      <c r="H98" s="157">
        <f t="shared" ca="1" si="12"/>
        <v>7895813.996992494</v>
      </c>
      <c r="I98" s="157">
        <f t="shared" ca="1" si="12"/>
        <v>7913230.4586931439</v>
      </c>
      <c r="J98" s="157">
        <f t="shared" ca="1" si="12"/>
        <v>7347490.4436646178</v>
      </c>
      <c r="K98" s="157">
        <f t="shared" ca="1" si="12"/>
        <v>7443615.5714612259</v>
      </c>
      <c r="L98" s="157">
        <f t="shared" ca="1" si="12"/>
        <v>7753886.7518602517</v>
      </c>
      <c r="M98" s="157">
        <f t="shared" ca="1" si="12"/>
        <v>7688450.1020790134</v>
      </c>
      <c r="N98" s="3"/>
      <c r="O98" s="12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s="60" customFormat="1" x14ac:dyDescent="0.2">
      <c r="A99" s="3"/>
      <c r="B99" s="179">
        <f t="shared" si="8"/>
        <v>107</v>
      </c>
      <c r="C99" s="157">
        <f t="shared" ref="C99:M99" si="13">C55+C77</f>
        <v>1296855.4162322949</v>
      </c>
      <c r="D99" s="157">
        <f t="shared" si="13"/>
        <v>5499309.3582325578</v>
      </c>
      <c r="E99" s="157">
        <f t="shared" si="13"/>
        <v>5158603.5469429102</v>
      </c>
      <c r="F99" s="157">
        <f t="shared" si="13"/>
        <v>1698334.2494526331</v>
      </c>
      <c r="G99" s="157">
        <f t="shared" ca="1" si="13"/>
        <v>3413275.6427150993</v>
      </c>
      <c r="H99" s="157">
        <f t="shared" ca="1" si="13"/>
        <v>3413275.6427150993</v>
      </c>
      <c r="I99" s="157">
        <f t="shared" ca="1" si="13"/>
        <v>3413275.6427150993</v>
      </c>
      <c r="J99" s="157">
        <f t="shared" ca="1" si="13"/>
        <v>3413275.6427150993</v>
      </c>
      <c r="K99" s="157">
        <f t="shared" ca="1" si="13"/>
        <v>3413275.6427150993</v>
      </c>
      <c r="L99" s="157">
        <f t="shared" ca="1" si="13"/>
        <v>3413275.6427150993</v>
      </c>
      <c r="M99" s="157">
        <f t="shared" ca="1" si="13"/>
        <v>3413275.6427150993</v>
      </c>
      <c r="N99" s="3"/>
      <c r="O99" s="12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s="60" customFormat="1" x14ac:dyDescent="0.2">
      <c r="A100" s="3"/>
      <c r="B100" s="179">
        <f t="shared" si="8"/>
        <v>108</v>
      </c>
      <c r="C100" s="157">
        <f t="shared" ref="C100:M100" si="14">C56+C78</f>
        <v>1688941.8507648723</v>
      </c>
      <c r="D100" s="157">
        <f t="shared" si="14"/>
        <v>1496081.5774604653</v>
      </c>
      <c r="E100" s="157">
        <f t="shared" si="14"/>
        <v>1192665.4207458566</v>
      </c>
      <c r="F100" s="157">
        <f t="shared" si="14"/>
        <v>1401198.114986236</v>
      </c>
      <c r="G100" s="157">
        <f t="shared" ca="1" si="14"/>
        <v>1444721.7409893575</v>
      </c>
      <c r="H100" s="157">
        <f t="shared" ca="1" si="14"/>
        <v>1367703.5052537692</v>
      </c>
      <c r="I100" s="157">
        <f t="shared" ca="1" si="14"/>
        <v>1417567.6679241466</v>
      </c>
      <c r="J100" s="157">
        <f t="shared" ca="1" si="14"/>
        <v>1469799.0043546495</v>
      </c>
      <c r="K100" s="157">
        <f t="shared" ca="1" si="14"/>
        <v>1500787.4740363373</v>
      </c>
      <c r="L100" s="157">
        <f t="shared" ca="1" si="14"/>
        <v>1493680.4628217383</v>
      </c>
      <c r="M100" s="157">
        <f t="shared" ca="1" si="14"/>
        <v>1494240.6551220592</v>
      </c>
      <c r="N100" s="3"/>
      <c r="O100" s="12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s="60" customFormat="1" x14ac:dyDescent="0.2">
      <c r="A101" s="3"/>
      <c r="B101" s="179">
        <f t="shared" si="8"/>
        <v>109</v>
      </c>
      <c r="C101" s="157">
        <f t="shared" ref="C101:M101" si="15">C57+C79</f>
        <v>12181965.205580736</v>
      </c>
      <c r="D101" s="157">
        <f t="shared" si="15"/>
        <v>11795463.183618603</v>
      </c>
      <c r="E101" s="157">
        <f t="shared" si="15"/>
        <v>11617496.17889503</v>
      </c>
      <c r="F101" s="157">
        <f t="shared" si="15"/>
        <v>12758217.487283202</v>
      </c>
      <c r="G101" s="157">
        <f t="shared" ca="1" si="15"/>
        <v>12088285.513844393</v>
      </c>
      <c r="H101" s="157">
        <f t="shared" ca="1" si="15"/>
        <v>12105849.575250873</v>
      </c>
      <c r="I101" s="157">
        <f t="shared" ca="1" si="15"/>
        <v>12540069.455712471</v>
      </c>
      <c r="J101" s="157">
        <f t="shared" ca="1" si="15"/>
        <v>12922008.537802827</v>
      </c>
      <c r="K101" s="157">
        <f t="shared" ca="1" si="15"/>
        <v>12980507.703604402</v>
      </c>
      <c r="L101" s="157">
        <f t="shared" ca="1" si="15"/>
        <v>13142242.86609805</v>
      </c>
      <c r="M101" s="157">
        <f t="shared" ca="1" si="15"/>
        <v>13384247.941381013</v>
      </c>
      <c r="N101" s="3"/>
      <c r="O101" s="12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s="60" customFormat="1" x14ac:dyDescent="0.2">
      <c r="A102" s="3"/>
      <c r="B102" s="179">
        <f t="shared" si="8"/>
        <v>110</v>
      </c>
      <c r="C102" s="157">
        <f t="shared" ref="C102:M102" si="16">C58+C80</f>
        <v>1963512.9210481585</v>
      </c>
      <c r="D102" s="157">
        <f t="shared" si="16"/>
        <v>1900377.8102139537</v>
      </c>
      <c r="E102" s="157">
        <f t="shared" si="16"/>
        <v>2175570.0414825045</v>
      </c>
      <c r="F102" s="157">
        <f t="shared" si="16"/>
        <v>2233794.3684821199</v>
      </c>
      <c r="G102" s="157">
        <f t="shared" ca="1" si="16"/>
        <v>2068313.7853066844</v>
      </c>
      <c r="H102" s="157">
        <f t="shared" ca="1" si="16"/>
        <v>2071319.0080317261</v>
      </c>
      <c r="I102" s="157">
        <f t="shared" ca="1" si="16"/>
        <v>2145614.3217537892</v>
      </c>
      <c r="J102" s="157">
        <f t="shared" ca="1" si="16"/>
        <v>2210964.3556961655</v>
      </c>
      <c r="K102" s="157">
        <f t="shared" ca="1" si="16"/>
        <v>2220973.602327358</v>
      </c>
      <c r="L102" s="157">
        <f t="shared" ca="1" si="16"/>
        <v>2248646.5974573381</v>
      </c>
      <c r="M102" s="157">
        <f t="shared" ca="1" si="16"/>
        <v>2290053.8286770741</v>
      </c>
      <c r="N102" s="3"/>
      <c r="O102" s="12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s="60" customFormat="1" x14ac:dyDescent="0.2">
      <c r="A103" s="3"/>
      <c r="B103" s="179">
        <f t="shared" si="8"/>
        <v>111</v>
      </c>
      <c r="C103" s="157">
        <f t="shared" ref="C103:M103" si="17">C59+C81</f>
        <v>8019821.6221435303</v>
      </c>
      <c r="D103" s="157">
        <f t="shared" si="17"/>
        <v>9998793.7112651151</v>
      </c>
      <c r="E103" s="157">
        <f t="shared" si="17"/>
        <v>9449933.7939871103</v>
      </c>
      <c r="F103" s="157">
        <f t="shared" si="17"/>
        <v>7251987.6281207306</v>
      </c>
      <c r="G103" s="157">
        <f t="shared" ca="1" si="17"/>
        <v>8680134.1888791211</v>
      </c>
      <c r="H103" s="157">
        <f t="shared" ca="1" si="17"/>
        <v>8567885.8850301076</v>
      </c>
      <c r="I103" s="157">
        <f t="shared" ca="1" si="17"/>
        <v>8867980.9655992724</v>
      </c>
      <c r="J103" s="157">
        <f t="shared" ca="1" si="17"/>
        <v>8677375.0562092643</v>
      </c>
      <c r="K103" s="157">
        <f t="shared" ca="1" si="17"/>
        <v>8755535.361796191</v>
      </c>
      <c r="L103" s="157">
        <f t="shared" ca="1" si="17"/>
        <v>8940401.0478287283</v>
      </c>
      <c r="M103" s="157">
        <f t="shared" ca="1" si="17"/>
        <v>8931698.0011607502</v>
      </c>
      <c r="N103" s="3"/>
      <c r="O103" s="12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s="60" customFormat="1" x14ac:dyDescent="0.2">
      <c r="A104" s="3"/>
      <c r="B104" s="179">
        <f t="shared" si="8"/>
        <v>114</v>
      </c>
      <c r="C104" s="157">
        <f t="shared" ref="C104:M104" si="18">C60+C82</f>
        <v>626895.27479697834</v>
      </c>
      <c r="D104" s="157">
        <f t="shared" si="18"/>
        <v>0</v>
      </c>
      <c r="E104" s="157">
        <f t="shared" si="18"/>
        <v>0</v>
      </c>
      <c r="F104" s="157">
        <f t="shared" si="18"/>
        <v>0</v>
      </c>
      <c r="G104" s="157">
        <f t="shared" ca="1" si="18"/>
        <v>0</v>
      </c>
      <c r="H104" s="157">
        <f t="shared" ca="1" si="18"/>
        <v>0</v>
      </c>
      <c r="I104" s="157">
        <f t="shared" ca="1" si="18"/>
        <v>0</v>
      </c>
      <c r="J104" s="157">
        <f t="shared" ca="1" si="18"/>
        <v>0</v>
      </c>
      <c r="K104" s="157">
        <f t="shared" ca="1" si="18"/>
        <v>0</v>
      </c>
      <c r="L104" s="157">
        <f t="shared" ca="1" si="18"/>
        <v>0</v>
      </c>
      <c r="M104" s="157">
        <f t="shared" ca="1" si="18"/>
        <v>0</v>
      </c>
      <c r="N104" s="3"/>
      <c r="O104" s="12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s="60" customFormat="1" x14ac:dyDescent="0.2">
      <c r="A105" s="3"/>
      <c r="B105" s="179">
        <f t="shared" si="8"/>
        <v>115</v>
      </c>
      <c r="C105" s="157">
        <f t="shared" ref="C105:M105" si="19">C61+C83</f>
        <v>2007517.2520679885</v>
      </c>
      <c r="D105" s="157">
        <f t="shared" si="19"/>
        <v>0</v>
      </c>
      <c r="E105" s="157">
        <f t="shared" si="19"/>
        <v>0</v>
      </c>
      <c r="F105" s="157">
        <f t="shared" si="19"/>
        <v>0</v>
      </c>
      <c r="G105" s="157">
        <f t="shared" ca="1" si="19"/>
        <v>0</v>
      </c>
      <c r="H105" s="157">
        <f t="shared" ca="1" si="19"/>
        <v>0</v>
      </c>
      <c r="I105" s="157">
        <f t="shared" ca="1" si="19"/>
        <v>0</v>
      </c>
      <c r="J105" s="157">
        <f t="shared" ca="1" si="19"/>
        <v>0</v>
      </c>
      <c r="K105" s="157">
        <f t="shared" ca="1" si="19"/>
        <v>0</v>
      </c>
      <c r="L105" s="157">
        <f t="shared" ca="1" si="19"/>
        <v>0</v>
      </c>
      <c r="M105" s="157">
        <f t="shared" ca="1" si="19"/>
        <v>0</v>
      </c>
      <c r="N105" s="3"/>
      <c r="O105" s="12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s="60" customFormat="1" x14ac:dyDescent="0.2">
      <c r="A106" s="3"/>
      <c r="B106" s="179">
        <f t="shared" si="8"/>
        <v>116</v>
      </c>
      <c r="C106" s="157">
        <f t="shared" ref="C106:M106" si="20">C62+C84</f>
        <v>27769102.514107645</v>
      </c>
      <c r="D106" s="157">
        <f t="shared" si="20"/>
        <v>26342075.145953491</v>
      </c>
      <c r="E106" s="157">
        <f t="shared" si="20"/>
        <v>31479251.910985272</v>
      </c>
      <c r="F106" s="157">
        <f t="shared" si="20"/>
        <v>36938513.790321872</v>
      </c>
      <c r="G106" s="157">
        <f t="shared" ca="1" si="20"/>
        <v>30632235.840342071</v>
      </c>
      <c r="H106" s="157">
        <f t="shared" ca="1" si="20"/>
        <v>30325728.569023944</v>
      </c>
      <c r="I106" s="157">
        <f t="shared" ca="1" si="20"/>
        <v>29778159.547743946</v>
      </c>
      <c r="J106" s="157">
        <f t="shared" ca="1" si="20"/>
        <v>25485282.897668667</v>
      </c>
      <c r="K106" s="157">
        <f t="shared" ca="1" si="20"/>
        <v>23316527.502179664</v>
      </c>
      <c r="L106" s="157">
        <f t="shared" ca="1" si="20"/>
        <v>22205322.898371566</v>
      </c>
      <c r="M106" s="157">
        <f t="shared" ca="1" si="20"/>
        <v>22236214.778136183</v>
      </c>
      <c r="N106" s="3"/>
      <c r="O106" s="12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s="60" customFormat="1" x14ac:dyDescent="0.2">
      <c r="A107" s="3"/>
      <c r="B107" s="179">
        <f t="shared" si="8"/>
        <v>118</v>
      </c>
      <c r="C107" s="157">
        <f t="shared" ref="C107:M107" si="21">C63+C85</f>
        <v>4081193.2758829077</v>
      </c>
      <c r="D107" s="157">
        <f t="shared" si="21"/>
        <v>8532103.6374976765</v>
      </c>
      <c r="E107" s="157">
        <f t="shared" si="21"/>
        <v>20014207.606933706</v>
      </c>
      <c r="F107" s="157">
        <f t="shared" si="21"/>
        <v>23549255.318518218</v>
      </c>
      <c r="G107" s="157">
        <f t="shared" ca="1" si="21"/>
        <v>23549255.318518218</v>
      </c>
      <c r="H107" s="157">
        <f t="shared" ca="1" si="21"/>
        <v>23549255.318518218</v>
      </c>
      <c r="I107" s="157">
        <f t="shared" ca="1" si="21"/>
        <v>23549255.318518218</v>
      </c>
      <c r="J107" s="157">
        <f t="shared" ca="1" si="21"/>
        <v>23549255.318518218</v>
      </c>
      <c r="K107" s="157">
        <f t="shared" ca="1" si="21"/>
        <v>23549255.318518218</v>
      </c>
      <c r="L107" s="157">
        <f t="shared" ca="1" si="21"/>
        <v>23549255.318518218</v>
      </c>
      <c r="M107" s="157">
        <f t="shared" ca="1" si="21"/>
        <v>23549255.318518218</v>
      </c>
      <c r="N107" s="3"/>
      <c r="O107" s="12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s="60" customFormat="1" x14ac:dyDescent="0.2">
      <c r="A108" s="3"/>
      <c r="B108" s="179">
        <f t="shared" si="8"/>
        <v>171</v>
      </c>
      <c r="C108" s="157">
        <f t="shared" ref="C108:M108" si="22">C64+C86</f>
        <v>138237.71952790584</v>
      </c>
      <c r="D108" s="157">
        <f t="shared" si="22"/>
        <v>5101.855581395349</v>
      </c>
      <c r="E108" s="157">
        <f t="shared" si="22"/>
        <v>0</v>
      </c>
      <c r="F108" s="157">
        <f t="shared" si="22"/>
        <v>0</v>
      </c>
      <c r="G108" s="157">
        <f t="shared" ca="1" si="22"/>
        <v>0</v>
      </c>
      <c r="H108" s="157">
        <f t="shared" ca="1" si="22"/>
        <v>0</v>
      </c>
      <c r="I108" s="157">
        <f t="shared" ca="1" si="22"/>
        <v>0</v>
      </c>
      <c r="J108" s="157">
        <f t="shared" ca="1" si="22"/>
        <v>0</v>
      </c>
      <c r="K108" s="157">
        <f t="shared" ca="1" si="22"/>
        <v>0</v>
      </c>
      <c r="L108" s="157">
        <f t="shared" ca="1" si="22"/>
        <v>0</v>
      </c>
      <c r="M108" s="157">
        <f t="shared" ca="1" si="22"/>
        <v>0</v>
      </c>
      <c r="N108" s="3"/>
      <c r="O108" s="12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s="60" customFormat="1" x14ac:dyDescent="0.2">
      <c r="A109" s="3"/>
      <c r="B109" s="71" t="s">
        <v>36</v>
      </c>
      <c r="C109" s="182">
        <f t="shared" ref="C109:M109" si="23">SUM(C95:C108)</f>
        <v>96371519.245401338</v>
      </c>
      <c r="D109" s="182">
        <f t="shared" si="23"/>
        <v>102055437.3299349</v>
      </c>
      <c r="E109" s="182">
        <f t="shared" si="23"/>
        <v>122154731.63672194</v>
      </c>
      <c r="F109" s="182">
        <f t="shared" si="23"/>
        <v>131594784.72404005</v>
      </c>
      <c r="G109" s="182">
        <f t="shared" ca="1" si="23"/>
        <v>121854745.56734107</v>
      </c>
      <c r="H109" s="182">
        <f t="shared" ca="1" si="23"/>
        <v>120775962.08966935</v>
      </c>
      <c r="I109" s="182">
        <f t="shared" ca="1" si="23"/>
        <v>122014473.23149464</v>
      </c>
      <c r="J109" s="182">
        <f t="shared" ca="1" si="23"/>
        <v>117559828.57864249</v>
      </c>
      <c r="K109" s="182">
        <f t="shared" ca="1" si="23"/>
        <v>115833504.6984435</v>
      </c>
      <c r="L109" s="182">
        <f t="shared" ca="1" si="23"/>
        <v>116102072.02020131</v>
      </c>
      <c r="M109" s="182">
        <f t="shared" ca="1" si="23"/>
        <v>116894716.30390826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s="60" customFormat="1" x14ac:dyDescent="0.2">
      <c r="A110" s="3"/>
      <c r="B110" s="3" t="s">
        <v>231</v>
      </c>
      <c r="C110" s="146"/>
      <c r="D110" s="146"/>
      <c r="E110" s="146"/>
      <c r="F110" s="146"/>
      <c r="G110" s="183">
        <f t="shared" ref="G110:M110" ca="1" si="24">G109-G65-G87</f>
        <v>0</v>
      </c>
      <c r="H110" s="183">
        <f t="shared" ca="1" si="24"/>
        <v>0</v>
      </c>
      <c r="I110" s="183">
        <f t="shared" ca="1" si="24"/>
        <v>0</v>
      </c>
      <c r="J110" s="183">
        <f t="shared" ca="1" si="24"/>
        <v>0</v>
      </c>
      <c r="K110" s="183">
        <f t="shared" ca="1" si="24"/>
        <v>0</v>
      </c>
      <c r="L110" s="183">
        <f t="shared" ca="1" si="24"/>
        <v>0</v>
      </c>
      <c r="M110" s="183">
        <f t="shared" ca="1" si="24"/>
        <v>0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s="147" customFormat="1" x14ac:dyDescent="0.2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</row>
    <row r="112" spans="1:27" s="147" customFormat="1" x14ac:dyDescent="0.2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</row>
    <row r="113" spans="1:27" s="147" customFormat="1" x14ac:dyDescent="0.2">
      <c r="A113" s="146"/>
      <c r="B113" s="144" t="s">
        <v>346</v>
      </c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</row>
    <row r="114" spans="1:27" s="147" customFormat="1" x14ac:dyDescent="0.2">
      <c r="A114" s="146"/>
      <c r="B114" s="149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</row>
    <row r="115" spans="1:27" s="147" customFormat="1" x14ac:dyDescent="0.2">
      <c r="A115" s="146"/>
      <c r="B115" s="146"/>
      <c r="C115" s="273" t="str">
        <f>"$ "&amp;Inflation!$C$4</f>
        <v>$ 2021</v>
      </c>
      <c r="D115" s="274"/>
      <c r="E115" s="274"/>
      <c r="F115" s="274"/>
      <c r="G115" s="274"/>
      <c r="H115" s="274"/>
      <c r="I115" s="274"/>
      <c r="J115" s="274"/>
      <c r="K115" s="274"/>
      <c r="L115" s="274"/>
      <c r="M115" s="275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</row>
    <row r="116" spans="1:27" s="147" customFormat="1" ht="25.5" x14ac:dyDescent="0.2">
      <c r="A116" s="146"/>
      <c r="B116" s="141" t="s">
        <v>35</v>
      </c>
      <c r="C116" s="141" t="s">
        <v>323</v>
      </c>
      <c r="D116" s="141" t="s">
        <v>324</v>
      </c>
      <c r="E116" s="141" t="s">
        <v>325</v>
      </c>
      <c r="F116" s="141" t="s">
        <v>326</v>
      </c>
      <c r="G116" s="143" t="s">
        <v>315</v>
      </c>
      <c r="H116" s="143" t="s">
        <v>316</v>
      </c>
      <c r="I116" s="143" t="s">
        <v>317</v>
      </c>
      <c r="J116" s="143" t="s">
        <v>318</v>
      </c>
      <c r="K116" s="143" t="s">
        <v>319</v>
      </c>
      <c r="L116" s="143" t="s">
        <v>320</v>
      </c>
      <c r="M116" s="143" t="s">
        <v>321</v>
      </c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</row>
    <row r="117" spans="1:27" s="147" customFormat="1" x14ac:dyDescent="0.2">
      <c r="A117" s="146"/>
      <c r="B117" s="179">
        <f t="shared" ref="B117:B130" si="25">B95</f>
        <v>102</v>
      </c>
      <c r="C117" s="157">
        <f>C95+'Forecast Contributions'!C8</f>
        <v>10540227.82910675</v>
      </c>
      <c r="D117" s="157">
        <f>D95+'Forecast Contributions'!D8</f>
        <v>9404784.7330247499</v>
      </c>
      <c r="E117" s="157">
        <f>E95+'Forecast Contributions'!E8</f>
        <v>10556686.380939225</v>
      </c>
      <c r="F117" s="157">
        <f>F95+'Forecast Contributions'!F8</f>
        <v>11695978.896364247</v>
      </c>
      <c r="G117" s="157">
        <f ca="1">G95+'Forecast Contributions'!G8</f>
        <v>10518163.922587801</v>
      </c>
      <c r="H117" s="157">
        <f ca="1">H95+'Forecast Contributions'!H8</f>
        <v>10533246.307559004</v>
      </c>
      <c r="I117" s="157">
        <f ca="1">I95+'Forecast Contributions'!I8</f>
        <v>10850336.245130431</v>
      </c>
      <c r="J117" s="157">
        <f ca="1">J95+'Forecast Contributions'!J8</f>
        <v>11242635.801210202</v>
      </c>
      <c r="K117" s="157">
        <f ca="1">K95+'Forecast Contributions'!K8</f>
        <v>11295343.568233749</v>
      </c>
      <c r="L117" s="157">
        <f ca="1">L95+'Forecast Contributions'!L8</f>
        <v>11434865.187680727</v>
      </c>
      <c r="M117" s="157">
        <f ca="1">M95+'Forecast Contributions'!M8</f>
        <v>11641981.803030537</v>
      </c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</row>
    <row r="118" spans="1:27" s="147" customFormat="1" x14ac:dyDescent="0.2">
      <c r="A118" s="146"/>
      <c r="B118" s="179">
        <f t="shared" si="25"/>
        <v>104</v>
      </c>
      <c r="C118" s="157">
        <f>C96+'Forecast Contributions'!C9</f>
        <v>38120811.291066848</v>
      </c>
      <c r="D118" s="157">
        <f>D96+'Forecast Contributions'!D9</f>
        <v>48199466.788921036</v>
      </c>
      <c r="E118" s="157">
        <f>E96+'Forecast Contributions'!E9</f>
        <v>55554784.822440147</v>
      </c>
      <c r="F118" s="157">
        <f>F96+'Forecast Contributions'!F9</f>
        <v>66664788.00823772</v>
      </c>
      <c r="G118" s="157">
        <f ca="1">G96+'Forecast Contributions'!G9</f>
        <v>56064840.381865315</v>
      </c>
      <c r="H118" s="157">
        <f ca="1">H96+'Forecast Contributions'!H9</f>
        <v>56085214.611592665</v>
      </c>
      <c r="I118" s="157">
        <f ca="1">I96+'Forecast Contributions'!I9</f>
        <v>39579475.543712601</v>
      </c>
      <c r="J118" s="157">
        <f ca="1">J96+'Forecast Contributions'!J9</f>
        <v>59638656.650664382</v>
      </c>
      <c r="K118" s="157">
        <f ca="1">K96+'Forecast Contributions'!K9</f>
        <v>60460996.933329821</v>
      </c>
      <c r="L118" s="157">
        <f ca="1">L96+'Forecast Contributions'!L9</f>
        <v>60843313.538049057</v>
      </c>
      <c r="M118" s="157">
        <f ca="1">M96+'Forecast Contributions'!M9</f>
        <v>60912137.340125464</v>
      </c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</row>
    <row r="119" spans="1:27" s="147" customFormat="1" x14ac:dyDescent="0.2">
      <c r="A119" s="146"/>
      <c r="B119" s="179">
        <f t="shared" si="25"/>
        <v>105</v>
      </c>
      <c r="C119" s="157">
        <f>C97+'Forecast Contributions'!C10</f>
        <v>8098787.1970240939</v>
      </c>
      <c r="D119" s="157">
        <f>D97+'Forecast Contributions'!D10</f>
        <v>7043750.947776706</v>
      </c>
      <c r="E119" s="157">
        <f>E97+'Forecast Contributions'!E10</f>
        <v>6708316.6113904137</v>
      </c>
      <c r="F119" s="157">
        <f>F97+'Forecast Contributions'!F10</f>
        <v>7776178.5470249485</v>
      </c>
      <c r="G119" s="157">
        <f ca="1">G97+'Forecast Contributions'!G10</f>
        <v>7382764.9348032689</v>
      </c>
      <c r="H119" s="157">
        <f ca="1">H97+'Forecast Contributions'!H10</f>
        <v>7174229.4470384028</v>
      </c>
      <c r="I119" s="157">
        <f ca="1">I97+'Forecast Contributions'!I10</f>
        <v>7211400.0758793177</v>
      </c>
      <c r="J119" s="157">
        <f ca="1">J97+'Forecast Contributions'!J10</f>
        <v>6540153.1303069182</v>
      </c>
      <c r="K119" s="157">
        <f ca="1">K97+'Forecast Contributions'!K10</f>
        <v>6593100.4218328744</v>
      </c>
      <c r="L119" s="157">
        <f ca="1">L97+'Forecast Contributions'!L10</f>
        <v>6969556.060638153</v>
      </c>
      <c r="M119" s="157">
        <f ca="1">M97+'Forecast Contributions'!M10</f>
        <v>7032268.023003174</v>
      </c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</row>
    <row r="120" spans="1:27" s="147" customFormat="1" x14ac:dyDescent="0.2">
      <c r="A120" s="146"/>
      <c r="B120" s="179">
        <f t="shared" si="25"/>
        <v>106</v>
      </c>
      <c r="C120" s="157">
        <f>C98+'Forecast Contributions'!C11</f>
        <v>6871604.3339023916</v>
      </c>
      <c r="D120" s="157">
        <f>D98+'Forecast Contributions'!D11</f>
        <v>8109931.434464002</v>
      </c>
      <c r="E120" s="157">
        <f>E98+'Forecast Contributions'!E11</f>
        <v>9169914.4775966853</v>
      </c>
      <c r="F120" s="157">
        <f>F98+'Forecast Contributions'!F11</f>
        <v>9926387.2510100435</v>
      </c>
      <c r="G120" s="157">
        <f ca="1">G98+'Forecast Contributions'!G11</f>
        <v>8510871.279307656</v>
      </c>
      <c r="H120" s="157">
        <f ca="1">H98+'Forecast Contributions'!H11</f>
        <v>8080371.2014734438</v>
      </c>
      <c r="I120" s="157">
        <f ca="1">I98+'Forecast Contributions'!I11</f>
        <v>8102695.2215452455</v>
      </c>
      <c r="J120" s="157">
        <f ca="1">J98+'Forecast Contributions'!J11</f>
        <v>7543490.4904417815</v>
      </c>
      <c r="K120" s="157">
        <f ca="1">K98+'Forecast Contributions'!K11</f>
        <v>7642927.6251182612</v>
      </c>
      <c r="L120" s="157">
        <f ca="1">L98+'Forecast Contributions'!L11</f>
        <v>7954053.5154683748</v>
      </c>
      <c r="M120" s="157">
        <f ca="1">M98+'Forecast Contributions'!M11</f>
        <v>7887686.6673660912</v>
      </c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</row>
    <row r="121" spans="1:27" s="147" customFormat="1" x14ac:dyDescent="0.2">
      <c r="A121" s="146"/>
      <c r="B121" s="179">
        <f t="shared" si="25"/>
        <v>107</v>
      </c>
      <c r="C121" s="157">
        <f>C99+'Forecast Contributions'!C12</f>
        <v>1296855.4162322949</v>
      </c>
      <c r="D121" s="157">
        <f>D99+'Forecast Contributions'!D12</f>
        <v>5545053.7852093019</v>
      </c>
      <c r="E121" s="157">
        <f>E99+'Forecast Contributions'!E12</f>
        <v>5203884.6325782696</v>
      </c>
      <c r="F121" s="157">
        <f>F99+'Forecast Contributions'!F12</f>
        <v>1698334.2494526331</v>
      </c>
      <c r="G121" s="157">
        <f ca="1">G99+'Forecast Contributions'!G12</f>
        <v>3443617.4802524671</v>
      </c>
      <c r="H121" s="157">
        <f ca="1">H99+'Forecast Contributions'!H12</f>
        <v>3443617.4802524671</v>
      </c>
      <c r="I121" s="157">
        <f ca="1">I99+'Forecast Contributions'!I12</f>
        <v>3444424.2996839895</v>
      </c>
      <c r="J121" s="157">
        <f ca="1">J99+'Forecast Contributions'!J12</f>
        <v>3445498.7227804619</v>
      </c>
      <c r="K121" s="157">
        <f ca="1">K99+'Forecast Contributions'!K12</f>
        <v>3446043.2280733022</v>
      </c>
      <c r="L121" s="157">
        <f ca="1">L99+'Forecast Contributions'!L12</f>
        <v>3446183.7453213311</v>
      </c>
      <c r="M121" s="157">
        <f ca="1">M99+'Forecast Contributions'!M12</f>
        <v>3446030.81752632</v>
      </c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</row>
    <row r="122" spans="1:27" s="147" customFormat="1" x14ac:dyDescent="0.2">
      <c r="A122" s="146"/>
      <c r="B122" s="179">
        <f t="shared" si="25"/>
        <v>108</v>
      </c>
      <c r="C122" s="157">
        <f>C100+'Forecast Contributions'!C13</f>
        <v>3852388.9654565221</v>
      </c>
      <c r="D122" s="157">
        <f>D100+'Forecast Contributions'!D13</f>
        <v>4125616.9175156699</v>
      </c>
      <c r="E122" s="157">
        <f>E100+'Forecast Contributions'!E13</f>
        <v>4684136.7715745866</v>
      </c>
      <c r="F122" s="157">
        <f>F100+'Forecast Contributions'!F13</f>
        <v>5280698.0375345247</v>
      </c>
      <c r="G122" s="157">
        <f ca="1">G100+'Forecast Contributions'!G13</f>
        <v>4778223.9454667652</v>
      </c>
      <c r="H122" s="157">
        <f ca="1">H100+'Forecast Contributions'!H13</f>
        <v>4701205.7097311765</v>
      </c>
      <c r="I122" s="157">
        <f ca="1">I100+'Forecast Contributions'!I13</f>
        <v>4839710.9888231289</v>
      </c>
      <c r="J122" s="157">
        <f ca="1">J100+'Forecast Contributions'!J13</f>
        <v>5009983.685017108</v>
      </c>
      <c r="K122" s="157">
        <f ca="1">K100+'Forecast Contributions'!K13</f>
        <v>5100794.1609236291</v>
      </c>
      <c r="L122" s="157">
        <f ca="1">L100+'Forecast Contributions'!L13</f>
        <v>5109125.0596738812</v>
      </c>
      <c r="M122" s="157">
        <f ca="1">M100+'Forecast Contributions'!M13</f>
        <v>5092883.858809812</v>
      </c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</row>
    <row r="123" spans="1:27" s="147" customFormat="1" x14ac:dyDescent="0.2">
      <c r="A123" s="146"/>
      <c r="B123" s="179">
        <f t="shared" si="25"/>
        <v>109</v>
      </c>
      <c r="C123" s="157">
        <f>C101+'Forecast Contributions'!C14</f>
        <v>12181965.205580736</v>
      </c>
      <c r="D123" s="157">
        <f>D101+'Forecast Contributions'!D14</f>
        <v>11795463.183618603</v>
      </c>
      <c r="E123" s="157">
        <f>E101+'Forecast Contributions'!E14</f>
        <v>11617496.17889503</v>
      </c>
      <c r="F123" s="157">
        <f>F101+'Forecast Contributions'!F14</f>
        <v>12758217.487283202</v>
      </c>
      <c r="G123" s="157">
        <f ca="1">G101+'Forecast Contributions'!G14</f>
        <v>12088285.513844393</v>
      </c>
      <c r="H123" s="157">
        <f ca="1">H101+'Forecast Contributions'!H14</f>
        <v>12105849.575250873</v>
      </c>
      <c r="I123" s="157">
        <f ca="1">I101+'Forecast Contributions'!I14</f>
        <v>12540069.455712471</v>
      </c>
      <c r="J123" s="157">
        <f ca="1">J101+'Forecast Contributions'!J14</f>
        <v>12922008.537802827</v>
      </c>
      <c r="K123" s="157">
        <f ca="1">K101+'Forecast Contributions'!K14</f>
        <v>12980507.703604402</v>
      </c>
      <c r="L123" s="157">
        <f ca="1">L101+'Forecast Contributions'!L14</f>
        <v>13142242.86609805</v>
      </c>
      <c r="M123" s="157">
        <f ca="1">M101+'Forecast Contributions'!M14</f>
        <v>13384247.941381013</v>
      </c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</row>
    <row r="124" spans="1:27" s="147" customFormat="1" x14ac:dyDescent="0.2">
      <c r="A124" s="146"/>
      <c r="B124" s="179">
        <f t="shared" si="25"/>
        <v>110</v>
      </c>
      <c r="C124" s="157">
        <f>C102+'Forecast Contributions'!C15</f>
        <v>3179774.930227465</v>
      </c>
      <c r="D124" s="157">
        <f>D102+'Forecast Contributions'!D15</f>
        <v>2829131.4155071676</v>
      </c>
      <c r="E124" s="157">
        <f>E102+'Forecast Contributions'!E15</f>
        <v>3460585.8241712707</v>
      </c>
      <c r="F124" s="157">
        <f>F102+'Forecast Contributions'!F15</f>
        <v>4046678.3802724131</v>
      </c>
      <c r="G124" s="157">
        <f ca="1">G102+'Forecast Contributions'!G15</f>
        <v>3410531.5852307756</v>
      </c>
      <c r="H124" s="157">
        <f ca="1">H102+'Forecast Contributions'!H15</f>
        <v>3413536.8079558173</v>
      </c>
      <c r="I124" s="157">
        <f ca="1">I102+'Forecast Contributions'!I15</f>
        <v>2944801.3660457805</v>
      </c>
      <c r="J124" s="157">
        <f ca="1">J102+'Forecast Contributions'!J15</f>
        <v>3636401.8091412154</v>
      </c>
      <c r="K124" s="157">
        <f ca="1">K102+'Forecast Contributions'!K15</f>
        <v>3670498.0839658477</v>
      </c>
      <c r="L124" s="157">
        <f ca="1">L102+'Forecast Contributions'!L15</f>
        <v>3704387.0754496381</v>
      </c>
      <c r="M124" s="157">
        <f ca="1">M102+'Forecast Contributions'!M15</f>
        <v>3739029.310702526</v>
      </c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</row>
    <row r="125" spans="1:27" s="147" customFormat="1" x14ac:dyDescent="0.2">
      <c r="A125" s="146"/>
      <c r="B125" s="179">
        <f t="shared" si="25"/>
        <v>111</v>
      </c>
      <c r="C125" s="157">
        <f>C103+'Forecast Contributions'!C16</f>
        <v>8171950.7131425673</v>
      </c>
      <c r="D125" s="157">
        <f>D103+'Forecast Contributions'!D16</f>
        <v>10281012.227928881</v>
      </c>
      <c r="E125" s="157">
        <f>E103+'Forecast Contributions'!E16</f>
        <v>9690528.782937387</v>
      </c>
      <c r="F125" s="157">
        <f>F103+'Forecast Contributions'!F16</f>
        <v>7329060.8567066612</v>
      </c>
      <c r="G125" s="157">
        <f ca="1">G103+'Forecast Contributions'!G16</f>
        <v>8880096.4336124454</v>
      </c>
      <c r="H125" s="157">
        <f ca="1">H103+'Forecast Contributions'!H16</f>
        <v>8767848.1297634318</v>
      </c>
      <c r="I125" s="157">
        <f ca="1">I103+'Forecast Contributions'!I16</f>
        <v>9073260.4039410241</v>
      </c>
      <c r="J125" s="157">
        <f ca="1">J103+'Forecast Contributions'!J16</f>
        <v>8889735.2804097962</v>
      </c>
      <c r="K125" s="157">
        <f ca="1">K103+'Forecast Contributions'!K16</f>
        <v>8971484.0469952188</v>
      </c>
      <c r="L125" s="157">
        <f ca="1">L103+'Forecast Contributions'!L16</f>
        <v>9157275.7858518455</v>
      </c>
      <c r="M125" s="157">
        <f ca="1">M103+'Forecast Contributions'!M16</f>
        <v>9147564.8969549686</v>
      </c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</row>
    <row r="126" spans="1:27" s="147" customFormat="1" x14ac:dyDescent="0.2">
      <c r="A126" s="146"/>
      <c r="B126" s="179">
        <f t="shared" si="25"/>
        <v>114</v>
      </c>
      <c r="C126" s="157">
        <f>C104+'Forecast Contributions'!C17</f>
        <v>626895.27479697834</v>
      </c>
      <c r="D126" s="157">
        <f>D104+'Forecast Contributions'!D17</f>
        <v>0</v>
      </c>
      <c r="E126" s="157">
        <f>E104+'Forecast Contributions'!E17</f>
        <v>0</v>
      </c>
      <c r="F126" s="157">
        <f>F104+'Forecast Contributions'!F17</f>
        <v>0</v>
      </c>
      <c r="G126" s="157">
        <f ca="1">G104+'Forecast Contributions'!G17</f>
        <v>0</v>
      </c>
      <c r="H126" s="157">
        <f ca="1">H104+'Forecast Contributions'!H17</f>
        <v>0</v>
      </c>
      <c r="I126" s="157">
        <f ca="1">I104+'Forecast Contributions'!I17</f>
        <v>0</v>
      </c>
      <c r="J126" s="157">
        <f ca="1">J104+'Forecast Contributions'!J17</f>
        <v>0</v>
      </c>
      <c r="K126" s="157">
        <f ca="1">K104+'Forecast Contributions'!K17</f>
        <v>0</v>
      </c>
      <c r="L126" s="157">
        <f ca="1">L104+'Forecast Contributions'!L17</f>
        <v>0</v>
      </c>
      <c r="M126" s="157">
        <f ca="1">M104+'Forecast Contributions'!M17</f>
        <v>0</v>
      </c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</row>
    <row r="127" spans="1:27" s="147" customFormat="1" x14ac:dyDescent="0.2">
      <c r="A127" s="146"/>
      <c r="B127" s="179">
        <f t="shared" si="25"/>
        <v>115</v>
      </c>
      <c r="C127" s="157">
        <f>C105+'Forecast Contributions'!C18</f>
        <v>2007517.2520679885</v>
      </c>
      <c r="D127" s="157">
        <f>D105+'Forecast Contributions'!D18</f>
        <v>0</v>
      </c>
      <c r="E127" s="157">
        <f>E105+'Forecast Contributions'!E18</f>
        <v>0</v>
      </c>
      <c r="F127" s="157">
        <f>F105+'Forecast Contributions'!F18</f>
        <v>0</v>
      </c>
      <c r="G127" s="157">
        <f ca="1">G105+'Forecast Contributions'!G18</f>
        <v>0</v>
      </c>
      <c r="H127" s="157">
        <f ca="1">H105+'Forecast Contributions'!H18</f>
        <v>0</v>
      </c>
      <c r="I127" s="157">
        <f ca="1">I105+'Forecast Contributions'!I18</f>
        <v>0</v>
      </c>
      <c r="J127" s="157">
        <f ca="1">J105+'Forecast Contributions'!J18</f>
        <v>0</v>
      </c>
      <c r="K127" s="157">
        <f ca="1">K105+'Forecast Contributions'!K18</f>
        <v>0</v>
      </c>
      <c r="L127" s="157">
        <f ca="1">L105+'Forecast Contributions'!L18</f>
        <v>0</v>
      </c>
      <c r="M127" s="157">
        <f ca="1">M105+'Forecast Contributions'!M18</f>
        <v>0</v>
      </c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</row>
    <row r="128" spans="1:27" s="147" customFormat="1" x14ac:dyDescent="0.2">
      <c r="A128" s="146"/>
      <c r="B128" s="179">
        <f t="shared" si="25"/>
        <v>116</v>
      </c>
      <c r="C128" s="157">
        <f>C106+'Forecast Contributions'!C19</f>
        <v>28297151.378481951</v>
      </c>
      <c r="D128" s="157">
        <f>D106+'Forecast Contributions'!D19</f>
        <v>26751336.113657504</v>
      </c>
      <c r="E128" s="157">
        <f>E106+'Forecast Contributions'!E19</f>
        <v>31630213.472679563</v>
      </c>
      <c r="F128" s="157">
        <f>F106+'Forecast Contributions'!F19</f>
        <v>37167582.356368974</v>
      </c>
      <c r="G128" s="157">
        <f ca="1">G106+'Forecast Contributions'!G19</f>
        <v>30895332.872157205</v>
      </c>
      <c r="H128" s="157">
        <f ca="1">H106+'Forecast Contributions'!H19</f>
        <v>30588825.600839078</v>
      </c>
      <c r="I128" s="157">
        <f ca="1">I106+'Forecast Contributions'!I19</f>
        <v>30048252.589520007</v>
      </c>
      <c r="J128" s="157">
        <f ca="1">J106+'Forecast Contributions'!J19</f>
        <v>25764692.36687756</v>
      </c>
      <c r="K128" s="157">
        <f ca="1">K106+'Forecast Contributions'!K19</f>
        <v>23600658.42987562</v>
      </c>
      <c r="L128" s="157">
        <f ca="1">L106+'Forecast Contributions'!L19</f>
        <v>22490672.264826532</v>
      </c>
      <c r="M128" s="157">
        <f ca="1">M106+'Forecast Contributions'!M19</f>
        <v>22520238.092769142</v>
      </c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</row>
    <row r="129" spans="1:27" s="147" customFormat="1" x14ac:dyDescent="0.2">
      <c r="A129" s="146"/>
      <c r="B129" s="179">
        <f t="shared" si="25"/>
        <v>118</v>
      </c>
      <c r="C129" s="157">
        <f>C107+'Forecast Contributions'!C20</f>
        <v>4081193.2758829077</v>
      </c>
      <c r="D129" s="157">
        <f>D107+'Forecast Contributions'!D20</f>
        <v>8532103.6374976765</v>
      </c>
      <c r="E129" s="157">
        <f>E107+'Forecast Contributions'!E20</f>
        <v>20014207.606933706</v>
      </c>
      <c r="F129" s="157">
        <f>F107+'Forecast Contributions'!F20</f>
        <v>23549255.318518218</v>
      </c>
      <c r="G129" s="157">
        <f ca="1">G107+'Forecast Contributions'!G20</f>
        <v>23549255.318518218</v>
      </c>
      <c r="H129" s="157">
        <f ca="1">H107+'Forecast Contributions'!H20</f>
        <v>23549255.318518218</v>
      </c>
      <c r="I129" s="157">
        <f ca="1">I107+'Forecast Contributions'!I20</f>
        <v>23549255.318518218</v>
      </c>
      <c r="J129" s="157">
        <f ca="1">J107+'Forecast Contributions'!J20</f>
        <v>23549255.318518218</v>
      </c>
      <c r="K129" s="157">
        <f ca="1">K107+'Forecast Contributions'!K20</f>
        <v>23549255.318518218</v>
      </c>
      <c r="L129" s="157">
        <f ca="1">L107+'Forecast Contributions'!L20</f>
        <v>23549255.318518218</v>
      </c>
      <c r="M129" s="157">
        <f ca="1">M107+'Forecast Contributions'!M20</f>
        <v>23549255.318518218</v>
      </c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</row>
    <row r="130" spans="1:27" s="147" customFormat="1" x14ac:dyDescent="0.2">
      <c r="A130" s="146"/>
      <c r="B130" s="179">
        <f t="shared" si="25"/>
        <v>171</v>
      </c>
      <c r="C130" s="157">
        <f>C108+C86</f>
        <v>276475.43905581167</v>
      </c>
      <c r="D130" s="157">
        <f t="shared" ref="D130:M130" si="26">D108+D86</f>
        <v>10203.711162790698</v>
      </c>
      <c r="E130" s="157">
        <f t="shared" si="26"/>
        <v>0</v>
      </c>
      <c r="F130" s="157">
        <f t="shared" si="26"/>
        <v>0</v>
      </c>
      <c r="G130" s="157">
        <f t="shared" ca="1" si="26"/>
        <v>0</v>
      </c>
      <c r="H130" s="157">
        <f t="shared" ca="1" si="26"/>
        <v>0</v>
      </c>
      <c r="I130" s="157">
        <f t="shared" ca="1" si="26"/>
        <v>0</v>
      </c>
      <c r="J130" s="157">
        <f t="shared" ca="1" si="26"/>
        <v>0</v>
      </c>
      <c r="K130" s="157">
        <f t="shared" ca="1" si="26"/>
        <v>0</v>
      </c>
      <c r="L130" s="157">
        <f t="shared" ca="1" si="26"/>
        <v>0</v>
      </c>
      <c r="M130" s="157">
        <f t="shared" ca="1" si="26"/>
        <v>0</v>
      </c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</row>
    <row r="131" spans="1:27" s="147" customFormat="1" x14ac:dyDescent="0.2">
      <c r="A131" s="146"/>
      <c r="B131" s="71" t="s">
        <v>36</v>
      </c>
      <c r="C131" s="182">
        <f t="shared" ref="C131:M131" si="27">SUM(C117:C130)</f>
        <v>127603598.50202531</v>
      </c>
      <c r="D131" s="182">
        <f t="shared" si="27"/>
        <v>142627854.8962841</v>
      </c>
      <c r="E131" s="182">
        <f t="shared" si="27"/>
        <v>168290755.56213629</v>
      </c>
      <c r="F131" s="182">
        <f t="shared" si="27"/>
        <v>187893159.38877359</v>
      </c>
      <c r="G131" s="182">
        <f t="shared" ca="1" si="27"/>
        <v>169521983.66764635</v>
      </c>
      <c r="H131" s="182">
        <f t="shared" ca="1" si="27"/>
        <v>168443200.18997461</v>
      </c>
      <c r="I131" s="182">
        <f t="shared" ca="1" si="27"/>
        <v>152183681.5085122</v>
      </c>
      <c r="J131" s="182">
        <f t="shared" ca="1" si="27"/>
        <v>168182511.79317048</v>
      </c>
      <c r="K131" s="182">
        <f t="shared" ca="1" si="27"/>
        <v>167311609.52047095</v>
      </c>
      <c r="L131" s="182">
        <f t="shared" ca="1" si="27"/>
        <v>167800930.41757581</v>
      </c>
      <c r="M131" s="182">
        <f t="shared" ca="1" si="27"/>
        <v>168353324.07018727</v>
      </c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</row>
    <row r="132" spans="1:27" s="147" customFormat="1" x14ac:dyDescent="0.2">
      <c r="A132" s="146"/>
      <c r="B132" s="146" t="s">
        <v>231</v>
      </c>
      <c r="C132" s="146"/>
      <c r="D132" s="73"/>
      <c r="E132" s="73"/>
      <c r="F132" s="146"/>
      <c r="G132" s="183">
        <f ca="1">G131-G109-'Forecast Contributions'!G21</f>
        <v>0</v>
      </c>
      <c r="H132" s="183">
        <f ca="1">H131-H109-'Forecast Contributions'!H21</f>
        <v>0</v>
      </c>
      <c r="I132" s="183">
        <f ca="1">I131-I109-'Forecast Contributions'!I21</f>
        <v>-3.3527612686157227E-8</v>
      </c>
      <c r="J132" s="183">
        <f ca="1">J131-J109-'Forecast Contributions'!J21</f>
        <v>0</v>
      </c>
      <c r="K132" s="183">
        <f ca="1">K131-K109-'Forecast Contributions'!K21</f>
        <v>0</v>
      </c>
      <c r="L132" s="183">
        <f ca="1">L131-L109-'Forecast Contributions'!L21</f>
        <v>0</v>
      </c>
      <c r="M132" s="183">
        <f ca="1">M131-M109-'Forecast Contributions'!M21</f>
        <v>0</v>
      </c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</row>
    <row r="133" spans="1:27" s="147" customFormat="1" x14ac:dyDescent="0.2">
      <c r="A133" s="146"/>
      <c r="B133" s="146"/>
      <c r="C133" s="146"/>
      <c r="D133" s="73"/>
      <c r="E133" s="73"/>
      <c r="F133" s="146"/>
      <c r="G133" s="146"/>
      <c r="H133" s="146"/>
      <c r="I133" s="152"/>
      <c r="J133" s="152"/>
      <c r="K133" s="152"/>
      <c r="L133" s="152"/>
      <c r="M133" s="152"/>
      <c r="N133" s="152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</row>
    <row r="134" spans="1:27" s="147" customFormat="1" x14ac:dyDescent="0.2">
      <c r="A134" s="146"/>
      <c r="B134" s="146"/>
      <c r="C134" s="146"/>
      <c r="D134" s="146"/>
      <c r="E134" s="146"/>
      <c r="F134" s="146"/>
      <c r="G134" s="146"/>
      <c r="H134" s="73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</row>
    <row r="135" spans="1:27" s="147" customFormat="1" x14ac:dyDescent="0.2">
      <c r="A135" s="146"/>
      <c r="B135" s="144" t="s">
        <v>342</v>
      </c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</row>
    <row r="136" spans="1:27" s="147" customFormat="1" x14ac:dyDescent="0.2">
      <c r="A136" s="146"/>
      <c r="B136" s="149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</row>
    <row r="137" spans="1:27" s="147" customFormat="1" x14ac:dyDescent="0.2">
      <c r="A137" s="146"/>
      <c r="B137" s="146"/>
      <c r="C137" s="273" t="str">
        <f>"$ "&amp;Inflation!$C$4</f>
        <v>$ 2021</v>
      </c>
      <c r="D137" s="274"/>
      <c r="E137" s="274"/>
      <c r="F137" s="274"/>
      <c r="G137" s="274"/>
      <c r="H137" s="274"/>
      <c r="I137" s="274"/>
      <c r="J137" s="274"/>
      <c r="K137" s="274"/>
      <c r="L137" s="274"/>
      <c r="M137" s="275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</row>
    <row r="138" spans="1:27" s="147" customFormat="1" ht="25.5" x14ac:dyDescent="0.2">
      <c r="A138" s="146"/>
      <c r="B138" s="141" t="s">
        <v>35</v>
      </c>
      <c r="C138" s="141" t="s">
        <v>323</v>
      </c>
      <c r="D138" s="141" t="s">
        <v>324</v>
      </c>
      <c r="E138" s="141" t="s">
        <v>325</v>
      </c>
      <c r="F138" s="141" t="s">
        <v>326</v>
      </c>
      <c r="G138" s="143" t="s">
        <v>315</v>
      </c>
      <c r="H138" s="143" t="s">
        <v>316</v>
      </c>
      <c r="I138" s="143" t="s">
        <v>317</v>
      </c>
      <c r="J138" s="143" t="s">
        <v>318</v>
      </c>
      <c r="K138" s="143" t="s">
        <v>319</v>
      </c>
      <c r="L138" s="143" t="s">
        <v>320</v>
      </c>
      <c r="M138" s="143" t="s">
        <v>321</v>
      </c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</row>
    <row r="139" spans="1:27" s="147" customFormat="1" x14ac:dyDescent="0.2">
      <c r="A139" s="146"/>
      <c r="B139" s="179">
        <f t="shared" ref="B139:B152" si="28">B95</f>
        <v>102</v>
      </c>
      <c r="C139" s="157">
        <f>C117-'Forecast Contributions'!C70-'Forecast Contributions'!C8+'Forecast Contributions'!C29</f>
        <v>5069661.8107972052</v>
      </c>
      <c r="D139" s="157">
        <f>D117-'Forecast Contributions'!D70-'Forecast Contributions'!D8+'Forecast Contributions'!D29</f>
        <v>3868527.7926052865</v>
      </c>
      <c r="E139" s="157">
        <f>E117-'Forecast Contributions'!E70-'Forecast Contributions'!E8+'Forecast Contributions'!E29</f>
        <v>3662926.5873002643</v>
      </c>
      <c r="F139" s="157">
        <f>F117-'Forecast Contributions'!F70-'Forecast Contributions'!F8+'Forecast Contributions'!F29</f>
        <v>3767428.739748863</v>
      </c>
      <c r="G139" s="157">
        <f ca="1">G117-'Forecast Contributions'!G70-'Forecast Contributions'!G8+'Forecast Contributions'!G29</f>
        <v>3795744.2591987643</v>
      </c>
      <c r="H139" s="157">
        <f ca="1">H117-'Forecast Contributions'!H70-'Forecast Contributions'!H8+'Forecast Contributions'!H29</f>
        <v>3801125.5170187829</v>
      </c>
      <c r="I139" s="157">
        <f ca="1">I117-'Forecast Contributions'!I70-'Forecast Contributions'!I8+'Forecast Contributions'!I29</f>
        <v>7736627.4854618842</v>
      </c>
      <c r="J139" s="157">
        <f ca="1">J117-'Forecast Contributions'!J70-'Forecast Contributions'!J8+'Forecast Contributions'!J29</f>
        <v>5556669.6495848298</v>
      </c>
      <c r="K139" s="157">
        <f ca="1">K117-'Forecast Contributions'!K70-'Forecast Contributions'!K8+'Forecast Contributions'!K29</f>
        <v>5523665.3049927177</v>
      </c>
      <c r="L139" s="157">
        <f ca="1">L117-'Forecast Contributions'!L70-'Forecast Contributions'!L8+'Forecast Contributions'!L29</f>
        <v>5601572.1933869254</v>
      </c>
      <c r="M139" s="157">
        <f ca="1">M117-'Forecast Contributions'!M70-'Forecast Contributions'!M8+'Forecast Contributions'!M29</f>
        <v>5730693.0239112917</v>
      </c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</row>
    <row r="140" spans="1:27" s="147" customFormat="1" x14ac:dyDescent="0.2">
      <c r="A140" s="146"/>
      <c r="B140" s="179">
        <f t="shared" si="28"/>
        <v>104</v>
      </c>
      <c r="C140" s="157">
        <f>C118-'Forecast Contributions'!C71-'Forecast Contributions'!C9+'Forecast Contributions'!C30</f>
        <v>30237393.792466566</v>
      </c>
      <c r="D140" s="157">
        <f>D118-'Forecast Contributions'!D71-'Forecast Contributions'!D9+'Forecast Contributions'!D30</f>
        <v>32589153.909970812</v>
      </c>
      <c r="E140" s="157">
        <f>E118-'Forecast Contributions'!E71-'Forecast Contributions'!E9+'Forecast Contributions'!E30</f>
        <v>29850884.348573189</v>
      </c>
      <c r="F140" s="157">
        <f>F118-'Forecast Contributions'!F71-'Forecast Contributions'!F9+'Forecast Contributions'!F30</f>
        <v>30560569.883295223</v>
      </c>
      <c r="G140" s="157">
        <f ca="1">G118-'Forecast Contributions'!G71-'Forecast Contributions'!G9+'Forecast Contributions'!G30</f>
        <v>30506443.767619874</v>
      </c>
      <c r="H140" s="157">
        <f ca="1">H118-'Forecast Contributions'!H71-'Forecast Contributions'!H9+'Forecast Contributions'!H30</f>
        <v>30522013.0445689</v>
      </c>
      <c r="I140" s="157">
        <f ca="1">I118-'Forecast Contributions'!I71-'Forecast Contributions'!I9+'Forecast Contributions'!I30</f>
        <v>25171063.206430875</v>
      </c>
      <c r="J140" s="157">
        <f ca="1">J118-'Forecast Contributions'!J71-'Forecast Contributions'!J9+'Forecast Contributions'!J30</f>
        <v>33922609.470729388</v>
      </c>
      <c r="K140" s="157">
        <f ca="1">K118-'Forecast Contributions'!K71-'Forecast Contributions'!K9+'Forecast Contributions'!K30</f>
        <v>34364902.477811672</v>
      </c>
      <c r="L140" s="157">
        <f ca="1">L118-'Forecast Contributions'!L71-'Forecast Contributions'!L9+'Forecast Contributions'!L30</f>
        <v>34663778.344698198</v>
      </c>
      <c r="M140" s="157">
        <f ca="1">M118-'Forecast Contributions'!M71-'Forecast Contributions'!M9+'Forecast Contributions'!M30</f>
        <v>34803581.480517194</v>
      </c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</row>
    <row r="141" spans="1:27" s="147" customFormat="1" x14ac:dyDescent="0.2">
      <c r="A141" s="146"/>
      <c r="B141" s="179">
        <f t="shared" si="28"/>
        <v>105</v>
      </c>
      <c r="C141" s="157">
        <f>C119-'Forecast Contributions'!C72-'Forecast Contributions'!C10+'Forecast Contributions'!C31</f>
        <v>5574216.5783611294</v>
      </c>
      <c r="D141" s="157">
        <f>D119-'Forecast Contributions'!D72-'Forecast Contributions'!D10+'Forecast Contributions'!D31</f>
        <v>4145547.973238558</v>
      </c>
      <c r="E141" s="157">
        <f>E119-'Forecast Contributions'!E72-'Forecast Contributions'!E10+'Forecast Contributions'!E31</f>
        <v>4055428.7740571336</v>
      </c>
      <c r="F141" s="157">
        <f>F119-'Forecast Contributions'!F72-'Forecast Contributions'!F10+'Forecast Contributions'!F31</f>
        <v>4875204.5212188326</v>
      </c>
      <c r="G141" s="157">
        <f ca="1">G119-'Forecast Contributions'!G72-'Forecast Contributions'!G10+'Forecast Contributions'!G31</f>
        <v>4480013.4328850666</v>
      </c>
      <c r="H141" s="157">
        <f ca="1">H119-'Forecast Contributions'!H72-'Forecast Contributions'!H10+'Forecast Contributions'!H31</f>
        <v>4352223.4399981145</v>
      </c>
      <c r="I141" s="157">
        <f ca="1">I119-'Forecast Contributions'!I72-'Forecast Contributions'!I10+'Forecast Contributions'!I31</f>
        <v>5008874.6382180015</v>
      </c>
      <c r="J141" s="157">
        <f ca="1">J119-'Forecast Contributions'!J72-'Forecast Contributions'!J10+'Forecast Contributions'!J31</f>
        <v>4482401.1445509372</v>
      </c>
      <c r="K141" s="157">
        <f ca="1">K119-'Forecast Contributions'!K72-'Forecast Contributions'!K10+'Forecast Contributions'!K31</f>
        <v>4497599.757946983</v>
      </c>
      <c r="L141" s="157">
        <f ca="1">L119-'Forecast Contributions'!L72-'Forecast Contributions'!L10+'Forecast Contributions'!L31</f>
        <v>4761023.0818604901</v>
      </c>
      <c r="M141" s="157">
        <f ca="1">M119-'Forecast Contributions'!M72-'Forecast Contributions'!M10+'Forecast Contributions'!M31</f>
        <v>4814881.2129498059</v>
      </c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</row>
    <row r="142" spans="1:27" s="147" customFormat="1" x14ac:dyDescent="0.2">
      <c r="A142" s="146"/>
      <c r="B142" s="179">
        <f t="shared" si="28"/>
        <v>106</v>
      </c>
      <c r="C142" s="157">
        <f>C120-'Forecast Contributions'!C73-'Forecast Contributions'!C11+'Forecast Contributions'!C32</f>
        <v>5962101.895984523</v>
      </c>
      <c r="D142" s="157">
        <f>D120-'Forecast Contributions'!D73-'Forecast Contributions'!D11+'Forecast Contributions'!D32</f>
        <v>6539576.7651570402</v>
      </c>
      <c r="E142" s="157">
        <f>E120-'Forecast Contributions'!E73-'Forecast Contributions'!E11+'Forecast Contributions'!E32</f>
        <v>7076837.2532033958</v>
      </c>
      <c r="F142" s="157">
        <f>F120-'Forecast Contributions'!F73-'Forecast Contributions'!F11+'Forecast Contributions'!F32</f>
        <v>8116843.5940403016</v>
      </c>
      <c r="G142" s="157">
        <f ca="1">G120-'Forecast Contributions'!G73-'Forecast Contributions'!G11+'Forecast Contributions'!G32</f>
        <v>6805457.5103563871</v>
      </c>
      <c r="H142" s="157">
        <f ca="1">H120-'Forecast Contributions'!H73-'Forecast Contributions'!H11+'Forecast Contributions'!H32</f>
        <v>6464934.6229382744</v>
      </c>
      <c r="I142" s="157">
        <f ca="1">I120-'Forecast Contributions'!I73-'Forecast Contributions'!I11+'Forecast Contributions'!I32</f>
        <v>6869165.5346578872</v>
      </c>
      <c r="J142" s="157">
        <f ca="1">J120-'Forecast Contributions'!J73-'Forecast Contributions'!J11+'Forecast Contributions'!J32</f>
        <v>6369205.2932990352</v>
      </c>
      <c r="K142" s="157">
        <f ca="1">K120-'Forecast Contributions'!K73-'Forecast Contributions'!K11+'Forecast Contributions'!K32</f>
        <v>6440631.2148363758</v>
      </c>
      <c r="L142" s="157">
        <f ca="1">L120-'Forecast Contributions'!L73-'Forecast Contributions'!L11+'Forecast Contributions'!L32</f>
        <v>6702434.5109405266</v>
      </c>
      <c r="M142" s="157">
        <f ca="1">M120-'Forecast Contributions'!M73-'Forecast Contributions'!M11+'Forecast Contributions'!M32</f>
        <v>6652969.3778495053</v>
      </c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</row>
    <row r="143" spans="1:27" s="147" customFormat="1" x14ac:dyDescent="0.2">
      <c r="A143" s="146"/>
      <c r="B143" s="179">
        <f t="shared" si="28"/>
        <v>107</v>
      </c>
      <c r="C143" s="157">
        <f>C121-'Forecast Contributions'!C74-'Forecast Contributions'!C12+'Forecast Contributions'!C33</f>
        <v>817962.8286923772</v>
      </c>
      <c r="D143" s="157">
        <f>D121-'Forecast Contributions'!D74-'Forecast Contributions'!D12+'Forecast Contributions'!D33</f>
        <v>2571689.1703893133</v>
      </c>
      <c r="E143" s="157">
        <f>E121-'Forecast Contributions'!E74-'Forecast Contributions'!E12+'Forecast Contributions'!E33</f>
        <v>2725193.5678303568</v>
      </c>
      <c r="F143" s="157">
        <f>F121-'Forecast Contributions'!F74-'Forecast Contributions'!F12+'Forecast Contributions'!F33</f>
        <v>869665.23562844237</v>
      </c>
      <c r="G143" s="157">
        <f ca="1">G121-'Forecast Contributions'!G74-'Forecast Contributions'!G12+'Forecast Contributions'!G33</f>
        <v>1721414.8664795747</v>
      </c>
      <c r="H143" s="157">
        <f ca="1">H121-'Forecast Contributions'!H74-'Forecast Contributions'!H12+'Forecast Contributions'!H33</f>
        <v>1721414.8664795747</v>
      </c>
      <c r="I143" s="157">
        <f ca="1">I121-'Forecast Contributions'!I74-'Forecast Contributions'!I12+'Forecast Contributions'!I33</f>
        <v>1810949.6771330165</v>
      </c>
      <c r="J143" s="157">
        <f ca="1">J121-'Forecast Contributions'!J74-'Forecast Contributions'!J12+'Forecast Contributions'!J33</f>
        <v>1766124.5430556126</v>
      </c>
      <c r="K143" s="157">
        <f ca="1">K121-'Forecast Contributions'!K74-'Forecast Contributions'!K12+'Forecast Contributions'!K33</f>
        <v>1748931.9447200501</v>
      </c>
      <c r="L143" s="157">
        <f ca="1">L121-'Forecast Contributions'!L74-'Forecast Contributions'!L12+'Forecast Contributions'!L33</f>
        <v>1751865.3217942077</v>
      </c>
      <c r="M143" s="157">
        <f ca="1">M121-'Forecast Contributions'!M74-'Forecast Contributions'!M12+'Forecast Contributions'!M33</f>
        <v>1759880.3410460553</v>
      </c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</row>
    <row r="144" spans="1:27" s="147" customFormat="1" x14ac:dyDescent="0.2">
      <c r="A144" s="146"/>
      <c r="B144" s="179">
        <f t="shared" si="28"/>
        <v>108</v>
      </c>
      <c r="C144" s="157">
        <f>C122-'Forecast Contributions'!C75-'Forecast Contributions'!C13+'Forecast Contributions'!C34</f>
        <v>2252441.7875516694</v>
      </c>
      <c r="D144" s="157">
        <f>D122-'Forecast Contributions'!D75-'Forecast Contributions'!D13+'Forecast Contributions'!D34</f>
        <v>2360333.8387132185</v>
      </c>
      <c r="E144" s="157">
        <f>E122-'Forecast Contributions'!E75-'Forecast Contributions'!E13+'Forecast Contributions'!E34</f>
        <v>2548311.739969206</v>
      </c>
      <c r="F144" s="157">
        <f>F122-'Forecast Contributions'!F75-'Forecast Contributions'!F13+'Forecast Contributions'!F34</f>
        <v>2422706.8756330386</v>
      </c>
      <c r="G144" s="157">
        <f ca="1">G122-'Forecast Contributions'!G75-'Forecast Contributions'!G13+'Forecast Contributions'!G34</f>
        <v>2493703.2590745068</v>
      </c>
      <c r="H144" s="157">
        <f ca="1">H122-'Forecast Contributions'!H75-'Forecast Contributions'!H13+'Forecast Contributions'!H34</f>
        <v>2445869.7838105666</v>
      </c>
      <c r="I144" s="157">
        <f ca="1">I122-'Forecast Contributions'!I75-'Forecast Contributions'!I13+'Forecast Contributions'!I34</f>
        <v>2724606.9167233426</v>
      </c>
      <c r="J144" s="157">
        <f ca="1">J122-'Forecast Contributions'!J75-'Forecast Contributions'!J13+'Forecast Contributions'!J34</f>
        <v>2733477.5284907687</v>
      </c>
      <c r="K144" s="157">
        <f ca="1">K122-'Forecast Contributions'!K75-'Forecast Contributions'!K13+'Forecast Contributions'!K34</f>
        <v>2785471.8880962436</v>
      </c>
      <c r="L144" s="157">
        <f ca="1">L122-'Forecast Contributions'!L75-'Forecast Contributions'!L13+'Forecast Contributions'!L34</f>
        <v>2797222.5814191783</v>
      </c>
      <c r="M144" s="157">
        <f ca="1">M122-'Forecast Contributions'!M75-'Forecast Contributions'!M13+'Forecast Contributions'!M34</f>
        <v>2791829.2112386287</v>
      </c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</row>
    <row r="145" spans="1:27" s="147" customFormat="1" x14ac:dyDescent="0.2">
      <c r="A145" s="146"/>
      <c r="B145" s="179">
        <f t="shared" si="28"/>
        <v>109</v>
      </c>
      <c r="C145" s="157">
        <f>C123-'Forecast Contributions'!C76-'Forecast Contributions'!C14+'Forecast Contributions'!C35</f>
        <v>4911301.6340771532</v>
      </c>
      <c r="D145" s="157">
        <f>D123-'Forecast Contributions'!D76-'Forecast Contributions'!D14+'Forecast Contributions'!D35</f>
        <v>3037648.2520129988</v>
      </c>
      <c r="E145" s="157">
        <f>E123-'Forecast Contributions'!E76-'Forecast Contributions'!E14+'Forecast Contributions'!E35</f>
        <v>2273920.5753500387</v>
      </c>
      <c r="F145" s="157">
        <f>F123-'Forecast Contributions'!F76-'Forecast Contributions'!F14+'Forecast Contributions'!F35</f>
        <v>1301252.5035040788</v>
      </c>
      <c r="G145" s="157">
        <f ca="1">G123-'Forecast Contributions'!G76-'Forecast Contributions'!G14+'Forecast Contributions'!G35</f>
        <v>2237347.4982508412</v>
      </c>
      <c r="H145" s="157">
        <f ca="1">H123-'Forecast Contributions'!H76-'Forecast Contributions'!H14+'Forecast Contributions'!H35</f>
        <v>2240598.1558689745</v>
      </c>
      <c r="I145" s="157">
        <f ca="1">I123-'Forecast Contributions'!I76-'Forecast Contributions'!I14+'Forecast Contributions'!I35</f>
        <v>7980476.2374649094</v>
      </c>
      <c r="J145" s="157">
        <f ca="1">J123-'Forecast Contributions'!J76-'Forecast Contributions'!J14+'Forecast Contributions'!J35</f>
        <v>4593550.9174546329</v>
      </c>
      <c r="K145" s="157">
        <f ca="1">K123-'Forecast Contributions'!K76-'Forecast Contributions'!K14+'Forecast Contributions'!K35</f>
        <v>4525962.5221353127</v>
      </c>
      <c r="L145" s="157">
        <f ca="1">L123-'Forecast Contributions'!L76-'Forecast Contributions'!L14+'Forecast Contributions'!L35</f>
        <v>4596419.0766696297</v>
      </c>
      <c r="M145" s="157">
        <f ca="1">M123-'Forecast Contributions'!M76-'Forecast Contributions'!M14+'Forecast Contributions'!M35</f>
        <v>4723012.1490629511</v>
      </c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</row>
    <row r="146" spans="1:27" s="147" customFormat="1" x14ac:dyDescent="0.2">
      <c r="A146" s="146"/>
      <c r="B146" s="179">
        <f t="shared" si="28"/>
        <v>110</v>
      </c>
      <c r="C146" s="157">
        <f>C124-'Forecast Contributions'!C77-'Forecast Contributions'!C15+'Forecast Contributions'!C36</f>
        <v>1472093.7821875568</v>
      </c>
      <c r="D146" s="157">
        <f>D124-'Forecast Contributions'!D77-'Forecast Contributions'!D15+'Forecast Contributions'!D36</f>
        <v>723957.46475275885</v>
      </c>
      <c r="E146" s="157">
        <f>E124-'Forecast Contributions'!E77-'Forecast Contributions'!E15+'Forecast Contributions'!E36</f>
        <v>556618.38879718655</v>
      </c>
      <c r="F146" s="157">
        <f>F124-'Forecast Contributions'!F77-'Forecast Contributions'!F15+'Forecast Contributions'!F36</f>
        <v>733398.96453128126</v>
      </c>
      <c r="G146" s="157">
        <f ca="1">G124-'Forecast Contributions'!G77-'Forecast Contributions'!G15+'Forecast Contributions'!G36</f>
        <v>663185.02544794546</v>
      </c>
      <c r="H146" s="157">
        <f ca="1">H124-'Forecast Contributions'!H77-'Forecast Contributions'!H15+'Forecast Contributions'!H36</f>
        <v>663971.66824282415</v>
      </c>
      <c r="I146" s="157">
        <f ca="1">I124-'Forecast Contributions'!I77-'Forecast Contributions'!I15+'Forecast Contributions'!I36</f>
        <v>1548742.8862840841</v>
      </c>
      <c r="J146" s="157">
        <f ca="1">J124-'Forecast Contributions'!J77-'Forecast Contributions'!J15+'Forecast Contributions'!J36</f>
        <v>1120880.1410907421</v>
      </c>
      <c r="K146" s="157">
        <f ca="1">K124-'Forecast Contributions'!K77-'Forecast Contributions'!K15+'Forecast Contributions'!K36</f>
        <v>1119692.6582105202</v>
      </c>
      <c r="L146" s="157">
        <f ca="1">L124-'Forecast Contributions'!L77-'Forecast Contributions'!L15+'Forecast Contributions'!L36</f>
        <v>1138804.7710052764</v>
      </c>
      <c r="M146" s="157">
        <f ca="1">M124-'Forecast Contributions'!M77-'Forecast Contributions'!M15+'Forecast Contributions'!M36</f>
        <v>1161467.8009295061</v>
      </c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</row>
    <row r="147" spans="1:27" s="147" customFormat="1" x14ac:dyDescent="0.2">
      <c r="A147" s="146"/>
      <c r="B147" s="179">
        <f t="shared" si="28"/>
        <v>111</v>
      </c>
      <c r="C147" s="157">
        <f>C125-'Forecast Contributions'!C78-'Forecast Contributions'!C16+'Forecast Contributions'!C37</f>
        <v>6967414.0807059109</v>
      </c>
      <c r="D147" s="157">
        <f>D125-'Forecast Contributions'!D78-'Forecast Contributions'!D16+'Forecast Contributions'!D37</f>
        <v>8928687.5516450964</v>
      </c>
      <c r="E147" s="157">
        <f>E125-'Forecast Contributions'!E78-'Forecast Contributions'!E16+'Forecast Contributions'!E37</f>
        <v>8129525.3427835973</v>
      </c>
      <c r="F147" s="157">
        <f>F125-'Forecast Contributions'!F78-'Forecast Contributions'!F16+'Forecast Contributions'!F37</f>
        <v>5597140.7364223059</v>
      </c>
      <c r="G147" s="157">
        <f ca="1">G125-'Forecast Contributions'!G78-'Forecast Contributions'!G16+'Forecast Contributions'!G37</f>
        <v>7353970.3452044595</v>
      </c>
      <c r="H147" s="157">
        <f ca="1">H125-'Forecast Contributions'!H78-'Forecast Contributions'!H16+'Forecast Contributions'!H37</f>
        <v>7259942.9223757517</v>
      </c>
      <c r="I147" s="157">
        <f ca="1">I125-'Forecast Contributions'!I78-'Forecast Contributions'!I16+'Forecast Contributions'!I37</f>
        <v>7847563.5439236397</v>
      </c>
      <c r="J147" s="157">
        <f ca="1">J125-'Forecast Contributions'!J78-'Forecast Contributions'!J16+'Forecast Contributions'!J37</f>
        <v>7653472.0864472911</v>
      </c>
      <c r="K147" s="157">
        <f ca="1">K125-'Forecast Contributions'!K78-'Forecast Contributions'!K16+'Forecast Contributions'!K37</f>
        <v>7711407.8514505755</v>
      </c>
      <c r="L147" s="157">
        <f ca="1">L125-'Forecast Contributions'!L78-'Forecast Contributions'!L16+'Forecast Contributions'!L37</f>
        <v>7874740.161998583</v>
      </c>
      <c r="M147" s="157">
        <f ca="1">M125-'Forecast Contributions'!M78-'Forecast Contributions'!M16+'Forecast Contributions'!M37</f>
        <v>7872316.9074180266</v>
      </c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</row>
    <row r="148" spans="1:27" s="147" customFormat="1" x14ac:dyDescent="0.2">
      <c r="A148" s="146"/>
      <c r="B148" s="179">
        <f t="shared" si="28"/>
        <v>114</v>
      </c>
      <c r="C148" s="157">
        <f>C126-'Forecast Contributions'!C79-'Forecast Contributions'!C17+'Forecast Contributions'!C38</f>
        <v>626895.27479697834</v>
      </c>
      <c r="D148" s="157">
        <f>D126-'Forecast Contributions'!D79-'Forecast Contributions'!D17+'Forecast Contributions'!D38</f>
        <v>0</v>
      </c>
      <c r="E148" s="157">
        <f>E126-'Forecast Contributions'!E79-'Forecast Contributions'!E17+'Forecast Contributions'!E38</f>
        <v>0</v>
      </c>
      <c r="F148" s="157">
        <f>F126-'Forecast Contributions'!F79-'Forecast Contributions'!F17+'Forecast Contributions'!F38</f>
        <v>0</v>
      </c>
      <c r="G148" s="157">
        <f ca="1">G126-'Forecast Contributions'!G79-'Forecast Contributions'!G17+'Forecast Contributions'!G38</f>
        <v>0</v>
      </c>
      <c r="H148" s="157">
        <f ca="1">H126-'Forecast Contributions'!H79-'Forecast Contributions'!H17+'Forecast Contributions'!H38</f>
        <v>0</v>
      </c>
      <c r="I148" s="157">
        <f ca="1">I126-'Forecast Contributions'!I79-'Forecast Contributions'!I17+'Forecast Contributions'!I38</f>
        <v>0</v>
      </c>
      <c r="J148" s="157">
        <f ca="1">J126-'Forecast Contributions'!J79-'Forecast Contributions'!J17+'Forecast Contributions'!J38</f>
        <v>0</v>
      </c>
      <c r="K148" s="157">
        <f ca="1">K126-'Forecast Contributions'!K79-'Forecast Contributions'!K17+'Forecast Contributions'!K38</f>
        <v>0</v>
      </c>
      <c r="L148" s="157">
        <f ca="1">L126-'Forecast Contributions'!L79-'Forecast Contributions'!L17+'Forecast Contributions'!L38</f>
        <v>0</v>
      </c>
      <c r="M148" s="157">
        <f ca="1">M126-'Forecast Contributions'!M79-'Forecast Contributions'!M17+'Forecast Contributions'!M38</f>
        <v>0</v>
      </c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</row>
    <row r="149" spans="1:27" s="147" customFormat="1" x14ac:dyDescent="0.2">
      <c r="A149" s="146"/>
      <c r="B149" s="179">
        <f t="shared" si="28"/>
        <v>115</v>
      </c>
      <c r="C149" s="157">
        <f>C127-'Forecast Contributions'!C80-'Forecast Contributions'!C18+'Forecast Contributions'!C39</f>
        <v>2007517.2520679885</v>
      </c>
      <c r="D149" s="157">
        <f>D127-'Forecast Contributions'!D80-'Forecast Contributions'!D18+'Forecast Contributions'!D39</f>
        <v>0</v>
      </c>
      <c r="E149" s="157">
        <f>E127-'Forecast Contributions'!E80-'Forecast Contributions'!E18+'Forecast Contributions'!E39</f>
        <v>0</v>
      </c>
      <c r="F149" s="157">
        <f>F127-'Forecast Contributions'!F80-'Forecast Contributions'!F18+'Forecast Contributions'!F39</f>
        <v>0</v>
      </c>
      <c r="G149" s="157">
        <f ca="1">G127-'Forecast Contributions'!G80-'Forecast Contributions'!G18+'Forecast Contributions'!G39</f>
        <v>0</v>
      </c>
      <c r="H149" s="157">
        <f ca="1">H127-'Forecast Contributions'!H80-'Forecast Contributions'!H18+'Forecast Contributions'!H39</f>
        <v>0</v>
      </c>
      <c r="I149" s="157">
        <f ca="1">I127-'Forecast Contributions'!I80-'Forecast Contributions'!I18+'Forecast Contributions'!I39</f>
        <v>0</v>
      </c>
      <c r="J149" s="157">
        <f ca="1">J127-'Forecast Contributions'!J80-'Forecast Contributions'!J18+'Forecast Contributions'!J39</f>
        <v>0</v>
      </c>
      <c r="K149" s="157">
        <f ca="1">K127-'Forecast Contributions'!K80-'Forecast Contributions'!K18+'Forecast Contributions'!K39</f>
        <v>0</v>
      </c>
      <c r="L149" s="157">
        <f ca="1">L127-'Forecast Contributions'!L80-'Forecast Contributions'!L18+'Forecast Contributions'!L39</f>
        <v>0</v>
      </c>
      <c r="M149" s="157">
        <f ca="1">M127-'Forecast Contributions'!M80-'Forecast Contributions'!M18+'Forecast Contributions'!M39</f>
        <v>0</v>
      </c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</row>
    <row r="150" spans="1:27" s="147" customFormat="1" x14ac:dyDescent="0.2">
      <c r="A150" s="146"/>
      <c r="B150" s="179">
        <f t="shared" si="28"/>
        <v>116</v>
      </c>
      <c r="C150" s="157">
        <f>C128-'Forecast Contributions'!C81-'Forecast Contributions'!C19+'Forecast Contributions'!C40</f>
        <v>-3900145.0555014582</v>
      </c>
      <c r="D150" s="157">
        <f>D128-'Forecast Contributions'!D81-'Forecast Contributions'!D19+'Forecast Contributions'!D40</f>
        <v>-104198.58225285291</v>
      </c>
      <c r="E150" s="157">
        <f>E128-'Forecast Contributions'!E81-'Forecast Contributions'!E19+'Forecast Contributions'!E40</f>
        <v>3695049.2293911944</v>
      </c>
      <c r="F150" s="157">
        <f>F128-'Forecast Contributions'!F81-'Forecast Contributions'!F19+'Forecast Contributions'!F40</f>
        <v>11771114.633462407</v>
      </c>
      <c r="G150" s="157">
        <f ca="1">G128-'Forecast Contributions'!G81-'Forecast Contributions'!G19+'Forecast Contributions'!G40</f>
        <v>4452377.6839313693</v>
      </c>
      <c r="H150" s="157">
        <f ca="1">H128-'Forecast Contributions'!H81-'Forecast Contributions'!H19+'Forecast Contributions'!H40</f>
        <v>4407827.0301073268</v>
      </c>
      <c r="I150" s="157">
        <f ca="1">I128-'Forecast Contributions'!I81-'Forecast Contributions'!I19+'Forecast Contributions'!I40</f>
        <v>5662743.0175896613</v>
      </c>
      <c r="J150" s="157">
        <f ca="1">J128-'Forecast Contributions'!J81-'Forecast Contributions'!J19+'Forecast Contributions'!J40</f>
        <v>4270458.3115382018</v>
      </c>
      <c r="K150" s="157">
        <f ca="1">K128-'Forecast Contributions'!K81-'Forecast Contributions'!K19+'Forecast Contributions'!K40</f>
        <v>3705181.4872363056</v>
      </c>
      <c r="L150" s="157">
        <f ca="1">L128-'Forecast Contributions'!L81-'Forecast Contributions'!L19+'Forecast Contributions'!L40</f>
        <v>3561735.836789317</v>
      </c>
      <c r="M150" s="157">
        <f ca="1">M128-'Forecast Contributions'!M81-'Forecast Contributions'!M19+'Forecast Contributions'!M40</f>
        <v>3656702.3823481416</v>
      </c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</row>
    <row r="151" spans="1:27" s="147" customFormat="1" x14ac:dyDescent="0.2">
      <c r="A151" s="146"/>
      <c r="B151" s="179">
        <f t="shared" si="28"/>
        <v>118</v>
      </c>
      <c r="C151" s="157">
        <f>C129-'Forecast Contributions'!C82-'Forecast Contributions'!C20+'Forecast Contributions'!C41</f>
        <v>-754255.80626083119</v>
      </c>
      <c r="D151" s="157">
        <f>D129-'Forecast Contributions'!D82-'Forecast Contributions'!D20+'Forecast Contributions'!D41</f>
        <v>-1985725.8162525035</v>
      </c>
      <c r="E151" s="157">
        <f>E129-'Forecast Contributions'!E82-'Forecast Contributions'!E20+'Forecast Contributions'!E41</f>
        <v>-1712054.4519547522</v>
      </c>
      <c r="F151" s="157">
        <f>F129-'Forecast Contributions'!F82-'Forecast Contributions'!F20+'Forecast Contributions'!F41</f>
        <v>-2130441.2503451295</v>
      </c>
      <c r="G151" s="157">
        <f ca="1">G129-'Forecast Contributions'!G82-'Forecast Contributions'!G20+'Forecast Contributions'!G41</f>
        <v>0</v>
      </c>
      <c r="H151" s="157">
        <f ca="1">H129-'Forecast Contributions'!H82-'Forecast Contributions'!H20+'Forecast Contributions'!H41</f>
        <v>0</v>
      </c>
      <c r="I151" s="157">
        <f ca="1">I129-'Forecast Contributions'!I82-'Forecast Contributions'!I20+'Forecast Contributions'!I41</f>
        <v>1280221.4047194235</v>
      </c>
      <c r="J151" s="157">
        <f ca="1">J129-'Forecast Contributions'!J82-'Forecast Contributions'!J20+'Forecast Contributions'!J41</f>
        <v>654415.18636849523</v>
      </c>
      <c r="K151" s="157">
        <f ca="1">K129-'Forecast Contributions'!K82-'Forecast Contributions'!K20+'Forecast Contributions'!K41</f>
        <v>412543.35057739913</v>
      </c>
      <c r="L151" s="157">
        <f ca="1">L129-'Forecast Contributions'!L82-'Forecast Contributions'!L20+'Forecast Contributions'!L41</f>
        <v>450558.76252857968</v>
      </c>
      <c r="M151" s="157">
        <f ca="1">M129-'Forecast Contributions'!M82-'Forecast Contributions'!M20+'Forecast Contributions'!M41</f>
        <v>561910.88961882144</v>
      </c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</row>
    <row r="152" spans="1:27" s="147" customFormat="1" x14ac:dyDescent="0.2">
      <c r="A152" s="146"/>
      <c r="B152" s="179">
        <f t="shared" si="28"/>
        <v>171</v>
      </c>
      <c r="C152" s="157">
        <f t="shared" ref="C152:M152" si="29">C108</f>
        <v>138237.71952790584</v>
      </c>
      <c r="D152" s="157">
        <f t="shared" si="29"/>
        <v>5101.855581395349</v>
      </c>
      <c r="E152" s="157">
        <f t="shared" si="29"/>
        <v>0</v>
      </c>
      <c r="F152" s="157">
        <f t="shared" si="29"/>
        <v>0</v>
      </c>
      <c r="G152" s="157">
        <f t="shared" ca="1" si="29"/>
        <v>0</v>
      </c>
      <c r="H152" s="157">
        <f t="shared" ca="1" si="29"/>
        <v>0</v>
      </c>
      <c r="I152" s="157">
        <f t="shared" ca="1" si="29"/>
        <v>0</v>
      </c>
      <c r="J152" s="157">
        <f t="shared" ca="1" si="29"/>
        <v>0</v>
      </c>
      <c r="K152" s="157">
        <f t="shared" ca="1" si="29"/>
        <v>0</v>
      </c>
      <c r="L152" s="157">
        <f t="shared" ca="1" si="29"/>
        <v>0</v>
      </c>
      <c r="M152" s="157">
        <f t="shared" ca="1" si="29"/>
        <v>0</v>
      </c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</row>
    <row r="153" spans="1:27" s="147" customFormat="1" x14ac:dyDescent="0.2">
      <c r="A153" s="146"/>
      <c r="B153" s="71" t="s">
        <v>36</v>
      </c>
      <c r="C153" s="182">
        <f t="shared" ref="C153:L153" si="30">SUM(C139:C152)</f>
        <v>61382837.575454682</v>
      </c>
      <c r="D153" s="182">
        <f t="shared" si="30"/>
        <v>62680300.175561123</v>
      </c>
      <c r="E153" s="182">
        <f t="shared" si="30"/>
        <v>62862641.355300806</v>
      </c>
      <c r="F153" s="182">
        <f t="shared" si="30"/>
        <v>67884884.437139645</v>
      </c>
      <c r="G153" s="182">
        <f t="shared" ca="1" si="30"/>
        <v>64509657.648448795</v>
      </c>
      <c r="H153" s="182">
        <f t="shared" ca="1" si="30"/>
        <v>63879921.051409096</v>
      </c>
      <c r="I153" s="182">
        <f t="shared" ca="1" si="30"/>
        <v>73641034.548606724</v>
      </c>
      <c r="J153" s="182">
        <f t="shared" ca="1" si="30"/>
        <v>73123264.272609934</v>
      </c>
      <c r="K153" s="182">
        <f t="shared" ca="1" si="30"/>
        <v>72835990.45801416</v>
      </c>
      <c r="L153" s="182">
        <f t="shared" ca="1" si="30"/>
        <v>73900154.643090904</v>
      </c>
      <c r="M153" s="182">
        <f ca="1">SUM(M139:M152)</f>
        <v>74529244.77688992</v>
      </c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</row>
    <row r="154" spans="1:27" s="147" customFormat="1" x14ac:dyDescent="0.2">
      <c r="A154" s="146"/>
      <c r="B154" s="146" t="s">
        <v>348</v>
      </c>
      <c r="C154" s="146"/>
      <c r="D154" s="146"/>
      <c r="E154" s="146"/>
      <c r="F154" s="146"/>
      <c r="G154" s="183">
        <f ca="1">G131-'Forecast Contributions'!G104-G153</f>
        <v>0</v>
      </c>
      <c r="H154" s="183">
        <f ca="1">H131-'Forecast Contributions'!H104-H153</f>
        <v>0</v>
      </c>
      <c r="I154" s="183">
        <f ca="1">I131-'Forecast Contributions'!I104-I153</f>
        <v>0</v>
      </c>
      <c r="J154" s="183">
        <f ca="1">J131-'Forecast Contributions'!J104-J153</f>
        <v>0</v>
      </c>
      <c r="K154" s="183">
        <f ca="1">K131-'Forecast Contributions'!K104-K153</f>
        <v>0</v>
      </c>
      <c r="L154" s="183">
        <f ca="1">L131-'Forecast Contributions'!L104-L153</f>
        <v>0</v>
      </c>
      <c r="M154" s="183">
        <f ca="1">M131-'Forecast Contributions'!M104-M153</f>
        <v>0</v>
      </c>
      <c r="N154" s="153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</row>
    <row r="155" spans="1:27" s="147" customFormat="1" x14ac:dyDescent="0.2">
      <c r="A155" s="146"/>
      <c r="B155" s="146"/>
      <c r="C155" s="146"/>
      <c r="D155" s="146"/>
      <c r="E155" s="73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</row>
    <row r="156" spans="1:27" s="147" customFormat="1" x14ac:dyDescent="0.2">
      <c r="A156" s="146"/>
      <c r="B156" s="146"/>
      <c r="C156" s="146"/>
      <c r="D156" s="146"/>
      <c r="E156" s="73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</row>
    <row r="157" spans="1:27" x14ac:dyDescent="0.2">
      <c r="A157" s="3"/>
      <c r="B157" s="184" t="str">
        <f>"Forecast Expenditure Volumes x "&amp; IF($K$4=2,Inflation!$C$4,"Average")&amp;" Unit Rate"&amp; " by AER Category"</f>
        <v>Forecast Expenditure Volumes x Average Unit Rate by AER Category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">
      <c r="A158" s="3"/>
      <c r="B158" s="49" t="s">
        <v>177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73" t="str">
        <f>"$ "&amp;Inflation!$C$4</f>
        <v>$ 2021</v>
      </c>
      <c r="P158" s="274"/>
      <c r="Q158" s="274"/>
      <c r="R158" s="274"/>
      <c r="S158" s="274"/>
      <c r="T158" s="274"/>
      <c r="U158" s="274"/>
      <c r="V158" s="274"/>
      <c r="W158" s="274"/>
      <c r="X158" s="274"/>
      <c r="Y158" s="275"/>
      <c r="Z158" s="3"/>
      <c r="AA158" s="3"/>
    </row>
    <row r="159" spans="1:27" ht="25.5" customHeight="1" x14ac:dyDescent="0.2">
      <c r="A159" s="3"/>
      <c r="B159" s="261" t="s">
        <v>32</v>
      </c>
      <c r="C159" s="263"/>
      <c r="D159" s="261" t="s">
        <v>33</v>
      </c>
      <c r="E159" s="262"/>
      <c r="F159" s="262"/>
      <c r="G159" s="262"/>
      <c r="H159" s="262"/>
      <c r="I159" s="262"/>
      <c r="J159" s="262"/>
      <c r="K159" s="262"/>
      <c r="L159" s="262"/>
      <c r="M159" s="263"/>
      <c r="N159" s="113" t="s">
        <v>81</v>
      </c>
      <c r="O159" s="2" t="s">
        <v>323</v>
      </c>
      <c r="P159" s="2" t="s">
        <v>324</v>
      </c>
      <c r="Q159" s="2" t="s">
        <v>325</v>
      </c>
      <c r="R159" s="2" t="s">
        <v>326</v>
      </c>
      <c r="S159" s="136" t="s">
        <v>315</v>
      </c>
      <c r="T159" s="136" t="s">
        <v>316</v>
      </c>
      <c r="U159" s="136" t="s">
        <v>317</v>
      </c>
      <c r="V159" s="136" t="s">
        <v>318</v>
      </c>
      <c r="W159" s="136" t="s">
        <v>319</v>
      </c>
      <c r="X159" s="136" t="s">
        <v>320</v>
      </c>
      <c r="Y159" s="136" t="s">
        <v>321</v>
      </c>
      <c r="Z159" s="3"/>
      <c r="AA159" s="3"/>
    </row>
    <row r="160" spans="1:27" x14ac:dyDescent="0.2">
      <c r="A160" s="3"/>
      <c r="B160" s="278" t="s">
        <v>44</v>
      </c>
      <c r="C160" s="278"/>
      <c r="D160" s="269" t="s">
        <v>45</v>
      </c>
      <c r="E160" s="269"/>
      <c r="F160" s="269"/>
      <c r="G160" s="269"/>
      <c r="H160" s="269"/>
      <c r="I160" s="269"/>
      <c r="J160" s="269"/>
      <c r="K160" s="269"/>
      <c r="L160" s="269"/>
      <c r="M160" s="269"/>
      <c r="N160" s="55" t="s">
        <v>46</v>
      </c>
      <c r="O160" s="165">
        <f>SUMPRODUCT(C95:C108,'Function Code Mapping'!$D$26:$D$39)</f>
        <v>2007517.2520679885</v>
      </c>
      <c r="P160" s="174">
        <f>SUMPRODUCT(D95:D108,'Function Code Mapping'!$D$26:$D$39)</f>
        <v>0</v>
      </c>
      <c r="Q160" s="174">
        <f>SUMPRODUCT(E95:E108,'Function Code Mapping'!$D$26:$D$39)</f>
        <v>0</v>
      </c>
      <c r="R160" s="174">
        <f>SUMPRODUCT(F95:F108,'Function Code Mapping'!$D$26:$D$39)</f>
        <v>0</v>
      </c>
      <c r="S160" s="174">
        <f ca="1">SUMPRODUCT(G95:G108,'Function Code Mapping'!$D$26:$D$39)</f>
        <v>0</v>
      </c>
      <c r="T160" s="174">
        <f ca="1">SUMPRODUCT(H95:H108,'Function Code Mapping'!$D$26:$D$39)</f>
        <v>0</v>
      </c>
      <c r="U160" s="174">
        <f ca="1">SUMPRODUCT(I95:I108,'Function Code Mapping'!$D$26:$D$39)</f>
        <v>0</v>
      </c>
      <c r="V160" s="174">
        <f ca="1">SUMPRODUCT(J95:J108,'Function Code Mapping'!$D$26:$D$39)</f>
        <v>0</v>
      </c>
      <c r="W160" s="174">
        <f ca="1">SUMPRODUCT(K95:K108,'Function Code Mapping'!$D$26:$D$39)</f>
        <v>0</v>
      </c>
      <c r="X160" s="174">
        <f ca="1">SUMPRODUCT(L95:L108,'Function Code Mapping'!$D$26:$D$39)</f>
        <v>0</v>
      </c>
      <c r="Y160" s="174">
        <f ca="1">SUMPRODUCT(M95:M108,'Function Code Mapping'!$D$26:$D$39)</f>
        <v>0</v>
      </c>
      <c r="Z160" s="3"/>
      <c r="AA160" s="3"/>
    </row>
    <row r="161" spans="1:27" x14ac:dyDescent="0.2">
      <c r="A161" s="3"/>
      <c r="B161" s="278"/>
      <c r="C161" s="278"/>
      <c r="D161" s="269" t="s">
        <v>47</v>
      </c>
      <c r="E161" s="269"/>
      <c r="F161" s="269"/>
      <c r="G161" s="269"/>
      <c r="H161" s="269"/>
      <c r="I161" s="269"/>
      <c r="J161" s="269"/>
      <c r="K161" s="269"/>
      <c r="L161" s="269"/>
      <c r="M161" s="269"/>
      <c r="N161" s="55" t="s">
        <v>48</v>
      </c>
      <c r="O161" s="165">
        <f>SUMPRODUCT(C95:C108,'Function Code Mapping'!$E$26:$E$39)</f>
        <v>17351176.037946444</v>
      </c>
      <c r="P161" s="165">
        <f>SUMPRODUCT(D95:D108,'Function Code Mapping'!$E$26:$E$39)</f>
        <v>16397929.088154044</v>
      </c>
      <c r="Q161" s="165">
        <f>SUMPRODUCT(E95:E108,'Function Code Mapping'!$E$26:$E$39)</f>
        <v>16815047.251883149</v>
      </c>
      <c r="R161" s="165">
        <f>SUMPRODUCT(F95:F108,'Function Code Mapping'!$E$26:$E$39)</f>
        <v>18589106.988795094</v>
      </c>
      <c r="S161" s="165">
        <f ca="1">SUMPRODUCT(G95:G108,'Function Code Mapping'!$E$26:$E$39)</f>
        <v>17288314.841694683</v>
      </c>
      <c r="T161" s="165">
        <f ca="1">SUMPRODUCT(H95:H108,'Function Code Mapping'!$E$26:$E$39)</f>
        <v>17306862.383254398</v>
      </c>
      <c r="U161" s="165">
        <f ca="1">SUMPRODUCT(I95:I108,'Function Code Mapping'!$E$26:$E$39)</f>
        <v>17921067.620879874</v>
      </c>
      <c r="V161" s="165">
        <f ca="1">SUMPRODUCT(J95:J108,'Function Code Mapping'!$E$26:$E$39)</f>
        <v>18440155.218068786</v>
      </c>
      <c r="W161" s="165">
        <f ca="1">SUMPRODUCT(K95:K108,'Function Code Mapping'!$E$26:$E$39)</f>
        <v>18524283.240200087</v>
      </c>
      <c r="X161" s="165">
        <f ca="1">SUMPRODUCT(L95:L108,'Function Code Mapping'!$E$26:$E$39)</f>
        <v>18763957.471547358</v>
      </c>
      <c r="Y161" s="165">
        <f ca="1">SUMPRODUCT(M95:M108,'Function Code Mapping'!$E$26:$E$39)</f>
        <v>19107613.560887054</v>
      </c>
      <c r="Z161" s="3"/>
      <c r="AA161" s="3"/>
    </row>
    <row r="162" spans="1:27" x14ac:dyDescent="0.2">
      <c r="A162" s="3"/>
      <c r="B162" s="278"/>
      <c r="C162" s="278"/>
      <c r="D162" s="269" t="s">
        <v>49</v>
      </c>
      <c r="E162" s="269"/>
      <c r="F162" s="269"/>
      <c r="G162" s="269"/>
      <c r="H162" s="269"/>
      <c r="I162" s="269"/>
      <c r="J162" s="269"/>
      <c r="K162" s="269"/>
      <c r="L162" s="269"/>
      <c r="M162" s="269"/>
      <c r="N162" s="55" t="s">
        <v>50</v>
      </c>
      <c r="O162" s="165">
        <f>SUMPRODUCT(C95:C108,'Function Code Mapping'!$F$26:$F$39)</f>
        <v>5737696.5059235925</v>
      </c>
      <c r="P162" s="165">
        <f>SUMPRODUCT(D95:D108,'Function Code Mapping'!$F$26:$F$39)</f>
        <v>5104380.3440807434</v>
      </c>
      <c r="Q162" s="165">
        <f>SUMPRODUCT(E95:E108,'Function Code Mapping'!$F$26:$F$39)</f>
        <v>5746231.2924056165</v>
      </c>
      <c r="R162" s="165">
        <f>SUMPRODUCT(F95:F108,'Function Code Mapping'!$F$26:$F$39)</f>
        <v>6452621.2861757008</v>
      </c>
      <c r="S162" s="165">
        <f ca="1">SUMPRODUCT(G95:G108,'Function Code Mapping'!$F$26:$F$39)</f>
        <v>5760232.357146414</v>
      </c>
      <c r="T162" s="165">
        <f ca="1">SUMPRODUCT(H95:H108,'Function Code Mapping'!$F$26:$F$39)</f>
        <v>5757648.4229431963</v>
      </c>
      <c r="U162" s="165">
        <f ca="1">SUMPRODUCT(I95:I108,'Function Code Mapping'!$F$26:$F$39)</f>
        <v>5953221.0587095097</v>
      </c>
      <c r="V162" s="165">
        <f ca="1">SUMPRODUCT(J95:J108,'Function Code Mapping'!$F$26:$F$39)</f>
        <v>6089969.2482856289</v>
      </c>
      <c r="W162" s="165">
        <f ca="1">SUMPRODUCT(K95:K108,'Function Code Mapping'!$F$26:$F$39)</f>
        <v>6118618.5864232071</v>
      </c>
      <c r="X162" s="165">
        <f ca="1">SUMPRODUCT(L95:L108,'Function Code Mapping'!$F$26:$F$39)</f>
        <v>6209629.7555545019</v>
      </c>
      <c r="Y162" s="165">
        <f ca="1">SUMPRODUCT(M95:M108,'Function Code Mapping'!$F$26:$F$39)</f>
        <v>6320860.8960870374</v>
      </c>
      <c r="Z162" s="3"/>
      <c r="AA162" s="3"/>
    </row>
    <row r="163" spans="1:27" x14ac:dyDescent="0.2">
      <c r="A163" s="3"/>
      <c r="B163" s="276" t="s">
        <v>176</v>
      </c>
      <c r="C163" s="276"/>
      <c r="D163" s="272" t="s">
        <v>45</v>
      </c>
      <c r="E163" s="272"/>
      <c r="F163" s="272"/>
      <c r="G163" s="272"/>
      <c r="H163" s="272"/>
      <c r="I163" s="272"/>
      <c r="J163" s="272"/>
      <c r="K163" s="272"/>
      <c r="L163" s="272"/>
      <c r="M163" s="272"/>
      <c r="N163" s="56" t="s">
        <v>51</v>
      </c>
      <c r="O163" s="165">
        <f>SUMPRODUCT(C95:C108,'Function Code Mapping'!$G$26:$G$39)</f>
        <v>626895.27479697834</v>
      </c>
      <c r="P163" s="165">
        <f>SUMPRODUCT(D95:D108,'Function Code Mapping'!$G$26:$G$39)</f>
        <v>0</v>
      </c>
      <c r="Q163" s="165">
        <f>SUMPRODUCT(E95:E108,'Function Code Mapping'!$G$26:$G$39)</f>
        <v>0</v>
      </c>
      <c r="R163" s="165">
        <f>SUMPRODUCT(F95:F108,'Function Code Mapping'!$G$26:$G$39)</f>
        <v>0</v>
      </c>
      <c r="S163" s="165">
        <f ca="1">SUMPRODUCT(G95:G108,'Function Code Mapping'!$G$26:$G$39)</f>
        <v>0</v>
      </c>
      <c r="T163" s="165">
        <f ca="1">SUMPRODUCT(H95:H108,'Function Code Mapping'!$G$26:$G$39)</f>
        <v>0</v>
      </c>
      <c r="U163" s="165">
        <f ca="1">SUMPRODUCT(I95:I108,'Function Code Mapping'!$G$26:$G$39)</f>
        <v>0</v>
      </c>
      <c r="V163" s="165">
        <f ca="1">SUMPRODUCT(J95:J108,'Function Code Mapping'!$G$26:$G$39)</f>
        <v>0</v>
      </c>
      <c r="W163" s="165">
        <f ca="1">SUMPRODUCT(K95:K108,'Function Code Mapping'!$G$26:$G$39)</f>
        <v>0</v>
      </c>
      <c r="X163" s="165">
        <f ca="1">SUMPRODUCT(L95:L108,'Function Code Mapping'!$G$26:$G$39)</f>
        <v>0</v>
      </c>
      <c r="Y163" s="165">
        <f ca="1">SUMPRODUCT(M95:M108,'Function Code Mapping'!$G$26:$G$39)</f>
        <v>0</v>
      </c>
      <c r="Z163" s="3"/>
      <c r="AA163" s="3"/>
    </row>
    <row r="164" spans="1:27" x14ac:dyDescent="0.2">
      <c r="A164" s="3"/>
      <c r="B164" s="276"/>
      <c r="C164" s="276"/>
      <c r="D164" s="272" t="s">
        <v>52</v>
      </c>
      <c r="E164" s="272"/>
      <c r="F164" s="272"/>
      <c r="G164" s="272"/>
      <c r="H164" s="272"/>
      <c r="I164" s="272"/>
      <c r="J164" s="272"/>
      <c r="K164" s="272"/>
      <c r="L164" s="272"/>
      <c r="M164" s="272"/>
      <c r="N164" s="56" t="s">
        <v>53</v>
      </c>
      <c r="O164" s="165">
        <f>SUMPRODUCT(C95:C108,'Function Code Mapping'!$H$26:$H$39)</f>
        <v>0</v>
      </c>
      <c r="P164" s="165">
        <f>SUMPRODUCT(D95:D108,'Function Code Mapping'!$H$26:$H$39)</f>
        <v>0</v>
      </c>
      <c r="Q164" s="165">
        <f>SUMPRODUCT(E95:E108,'Function Code Mapping'!$H$26:$H$39)</f>
        <v>0</v>
      </c>
      <c r="R164" s="165">
        <f>SUMPRODUCT(F95:F108,'Function Code Mapping'!$H$26:$H$39)</f>
        <v>0</v>
      </c>
      <c r="S164" s="165">
        <f ca="1">SUMPRODUCT(G95:G108,'Function Code Mapping'!$H$26:$H$39)</f>
        <v>0</v>
      </c>
      <c r="T164" s="165">
        <f ca="1">SUMPRODUCT(H95:H108,'Function Code Mapping'!$H$26:$H$39)</f>
        <v>0</v>
      </c>
      <c r="U164" s="165">
        <f ca="1">SUMPRODUCT(I95:I108,'Function Code Mapping'!$H$26:$H$39)</f>
        <v>0</v>
      </c>
      <c r="V164" s="165">
        <f ca="1">SUMPRODUCT(J95:J108,'Function Code Mapping'!$H$26:$H$39)</f>
        <v>0</v>
      </c>
      <c r="W164" s="165">
        <f ca="1">SUMPRODUCT(K95:K108,'Function Code Mapping'!$H$26:$H$39)</f>
        <v>0</v>
      </c>
      <c r="X164" s="165">
        <f ca="1">SUMPRODUCT(L95:L108,'Function Code Mapping'!$H$26:$H$39)</f>
        <v>0</v>
      </c>
      <c r="Y164" s="165">
        <f ca="1">SUMPRODUCT(M95:M108,'Function Code Mapping'!$H$26:$H$39)</f>
        <v>0</v>
      </c>
      <c r="Z164" s="3"/>
      <c r="AA164" s="3"/>
    </row>
    <row r="165" spans="1:27" x14ac:dyDescent="0.2">
      <c r="A165" s="3"/>
      <c r="B165" s="276"/>
      <c r="C165" s="276"/>
      <c r="D165" s="272" t="s">
        <v>54</v>
      </c>
      <c r="E165" s="272"/>
      <c r="F165" s="272"/>
      <c r="G165" s="272"/>
      <c r="H165" s="272"/>
      <c r="I165" s="272"/>
      <c r="J165" s="272"/>
      <c r="K165" s="272"/>
      <c r="L165" s="272"/>
      <c r="M165" s="272"/>
      <c r="N165" s="56" t="s">
        <v>55</v>
      </c>
      <c r="O165" s="165">
        <f>SUMPRODUCT(C95:C108,'Function Code Mapping'!$I$26:$I$39)</f>
        <v>23601495.700218696</v>
      </c>
      <c r="P165" s="165">
        <f>SUMPRODUCT(D95:D108,'Function Code Mapping'!$I$26:$I$39)</f>
        <v>25575386.59992335</v>
      </c>
      <c r="Q165" s="165">
        <f>SUMPRODUCT(E95:E108,'Function Code Mapping'!$I$26:$I$39)</f>
        <v>25737206.099191889</v>
      </c>
      <c r="R165" s="165">
        <f>SUMPRODUCT(F95:F108,'Function Code Mapping'!$I$26:$I$39)</f>
        <v>25568962.320530925</v>
      </c>
      <c r="S165" s="165">
        <f ca="1">SUMPRODUCT(G95:G108,'Function Code Mapping'!$I$26:$I$39)</f>
        <v>25120762.679966211</v>
      </c>
      <c r="T165" s="165">
        <f ca="1">SUMPRODUCT(H95:H108,'Function Code Mapping'!$I$26:$I$39)</f>
        <v>24309143.413803726</v>
      </c>
      <c r="U165" s="165">
        <f ca="1">SUMPRODUCT(I95:I108,'Function Code Mapping'!$I$26:$I$39)</f>
        <v>24707457.343411032</v>
      </c>
      <c r="V165" s="165">
        <f ca="1">SUMPRODUCT(J95:J108,'Function Code Mapping'!$I$26:$I$39)</f>
        <v>23381455.957049791</v>
      </c>
      <c r="W165" s="165">
        <f ca="1">SUMPRODUCT(K95:K108,'Function Code Mapping'!$I$26:$I$39)</f>
        <v>23633242.104569085</v>
      </c>
      <c r="X165" s="165">
        <f ca="1">SUMPRODUCT(L95:L108,'Function Code Mapping'!$I$26:$I$39)</f>
        <v>24467043.596548695</v>
      </c>
      <c r="Y165" s="165">
        <f ca="1">SUMPRODUCT(M95:M108,'Function Code Mapping'!$I$26:$I$39)</f>
        <v>24451776.775069721</v>
      </c>
      <c r="Z165" s="3"/>
      <c r="AA165" s="3"/>
    </row>
    <row r="166" spans="1:27" x14ac:dyDescent="0.2">
      <c r="A166" s="3"/>
      <c r="B166" s="276"/>
      <c r="C166" s="276"/>
      <c r="D166" s="272" t="s">
        <v>56</v>
      </c>
      <c r="E166" s="272"/>
      <c r="F166" s="272"/>
      <c r="G166" s="272"/>
      <c r="H166" s="272"/>
      <c r="I166" s="272"/>
      <c r="J166" s="272"/>
      <c r="K166" s="272"/>
      <c r="L166" s="272"/>
      <c r="M166" s="272"/>
      <c r="N166" s="56" t="s">
        <v>57</v>
      </c>
      <c r="O166" s="165">
        <f>SUMPRODUCT(C95:C108,'Function Code Mapping'!$J$26:$J$39)</f>
        <v>1296855.4162322949</v>
      </c>
      <c r="P166" s="165">
        <f>SUMPRODUCT(D95:D108,'Function Code Mapping'!$J$26:$J$39)</f>
        <v>5499309.3582325578</v>
      </c>
      <c r="Q166" s="165">
        <f>SUMPRODUCT(E95:E108,'Function Code Mapping'!$J$26:$J$39)</f>
        <v>5158603.5469429102</v>
      </c>
      <c r="R166" s="165">
        <f>SUMPRODUCT(F95:F108,'Function Code Mapping'!$J$26:$J$39)</f>
        <v>1698334.2494526331</v>
      </c>
      <c r="S166" s="165">
        <f ca="1">SUMPRODUCT(G95:G108,'Function Code Mapping'!$J$26:$J$39)</f>
        <v>3413275.6427150993</v>
      </c>
      <c r="T166" s="165">
        <f ca="1">SUMPRODUCT(H95:H108,'Function Code Mapping'!$J$26:$J$39)</f>
        <v>3413275.6427150993</v>
      </c>
      <c r="U166" s="165">
        <f ca="1">SUMPRODUCT(I95:I108,'Function Code Mapping'!$J$26:$J$39)</f>
        <v>3413275.6427150993</v>
      </c>
      <c r="V166" s="165">
        <f ca="1">SUMPRODUCT(J95:J108,'Function Code Mapping'!$J$26:$J$39)</f>
        <v>3413275.6427150993</v>
      </c>
      <c r="W166" s="165">
        <f ca="1">SUMPRODUCT(K95:K108,'Function Code Mapping'!$J$26:$J$39)</f>
        <v>3413275.6427150993</v>
      </c>
      <c r="X166" s="165">
        <f ca="1">SUMPRODUCT(L95:L108,'Function Code Mapping'!$J$26:$J$39)</f>
        <v>3413275.6427150993</v>
      </c>
      <c r="Y166" s="165">
        <f ca="1">SUMPRODUCT(M95:M108,'Function Code Mapping'!$J$26:$J$39)</f>
        <v>3413275.6427150993</v>
      </c>
      <c r="Z166" s="3"/>
      <c r="AA166" s="3"/>
    </row>
    <row r="167" spans="1:27" x14ac:dyDescent="0.2">
      <c r="A167" s="3"/>
      <c r="B167" s="276"/>
      <c r="C167" s="276"/>
      <c r="D167" s="272" t="s">
        <v>58</v>
      </c>
      <c r="E167" s="272"/>
      <c r="F167" s="272"/>
      <c r="G167" s="272"/>
      <c r="H167" s="272"/>
      <c r="I167" s="272"/>
      <c r="J167" s="272"/>
      <c r="K167" s="272"/>
      <c r="L167" s="272"/>
      <c r="M167" s="272"/>
      <c r="N167" s="56" t="s">
        <v>59</v>
      </c>
      <c r="O167" s="165">
        <f>SUMPRODUCT(C95:C108,'Function Code Mapping'!$K$26:$K$39)</f>
        <v>0</v>
      </c>
      <c r="P167" s="165">
        <f>SUMPRODUCT(D95:D108,'Function Code Mapping'!$K$26:$K$39)</f>
        <v>0</v>
      </c>
      <c r="Q167" s="165">
        <f>SUMPRODUCT(E95:E108,'Function Code Mapping'!$K$26:$K$39)</f>
        <v>0</v>
      </c>
      <c r="R167" s="165">
        <f>SUMPRODUCT(F95:F108,'Function Code Mapping'!$K$26:$K$39)</f>
        <v>0</v>
      </c>
      <c r="S167" s="165">
        <f ca="1">SUMPRODUCT(G95:G108,'Function Code Mapping'!$K$26:$K$39)</f>
        <v>0</v>
      </c>
      <c r="T167" s="165">
        <f ca="1">SUMPRODUCT(H95:H108,'Function Code Mapping'!$K$26:$K$39)</f>
        <v>0</v>
      </c>
      <c r="U167" s="165">
        <f ca="1">SUMPRODUCT(I95:I108,'Function Code Mapping'!$K$26:$K$39)</f>
        <v>0</v>
      </c>
      <c r="V167" s="165">
        <f ca="1">SUMPRODUCT(J95:J108,'Function Code Mapping'!$K$26:$K$39)</f>
        <v>0</v>
      </c>
      <c r="W167" s="165">
        <f ca="1">SUMPRODUCT(K95:K108,'Function Code Mapping'!$K$26:$K$39)</f>
        <v>0</v>
      </c>
      <c r="X167" s="165">
        <f ca="1">SUMPRODUCT(L95:L108,'Function Code Mapping'!$K$26:$K$39)</f>
        <v>0</v>
      </c>
      <c r="Y167" s="165">
        <f ca="1">SUMPRODUCT(M95:M108,'Function Code Mapping'!$K$26:$K$39)</f>
        <v>0</v>
      </c>
      <c r="Z167" s="3"/>
      <c r="AA167" s="3"/>
    </row>
    <row r="168" spans="1:27" x14ac:dyDescent="0.2">
      <c r="A168" s="3"/>
      <c r="B168" s="278" t="s">
        <v>60</v>
      </c>
      <c r="C168" s="278"/>
      <c r="D168" s="269" t="s">
        <v>47</v>
      </c>
      <c r="E168" s="269"/>
      <c r="F168" s="269"/>
      <c r="G168" s="269"/>
      <c r="H168" s="269"/>
      <c r="I168" s="269"/>
      <c r="J168" s="269"/>
      <c r="K168" s="269"/>
      <c r="L168" s="269"/>
      <c r="M168" s="269"/>
      <c r="N168" s="55" t="s">
        <v>61</v>
      </c>
      <c r="O168" s="165">
        <f>SUMPRODUCT(C95:C108,'Function Code Mapping'!$L$26:$L$39)</f>
        <v>0</v>
      </c>
      <c r="P168" s="165">
        <f>SUMPRODUCT(D95:D108,'Function Code Mapping'!$L$26:$L$39)</f>
        <v>0</v>
      </c>
      <c r="Q168" s="165">
        <f>SUMPRODUCT(E95:E108,'Function Code Mapping'!$L$26:$L$39)</f>
        <v>0</v>
      </c>
      <c r="R168" s="165">
        <f>SUMPRODUCT(F95:F108,'Function Code Mapping'!$L$26:$L$39)</f>
        <v>0</v>
      </c>
      <c r="S168" s="165">
        <f ca="1">SUMPRODUCT(G95:G108,'Function Code Mapping'!$L$26:$L$39)</f>
        <v>0</v>
      </c>
      <c r="T168" s="165">
        <f ca="1">SUMPRODUCT(H95:H108,'Function Code Mapping'!$L$26:$L$39)</f>
        <v>0</v>
      </c>
      <c r="U168" s="165">
        <f ca="1">SUMPRODUCT(I95:I108,'Function Code Mapping'!$L$26:$L$39)</f>
        <v>0</v>
      </c>
      <c r="V168" s="165">
        <f ca="1">SUMPRODUCT(J95:J108,'Function Code Mapping'!$L$26:$L$39)</f>
        <v>0</v>
      </c>
      <c r="W168" s="165">
        <f ca="1">SUMPRODUCT(K95:K108,'Function Code Mapping'!$L$26:$L$39)</f>
        <v>0</v>
      </c>
      <c r="X168" s="165">
        <f ca="1">SUMPRODUCT(L95:L108,'Function Code Mapping'!$L$26:$L$39)</f>
        <v>0</v>
      </c>
      <c r="Y168" s="165">
        <f ca="1">SUMPRODUCT(M95:M108,'Function Code Mapping'!$L$26:$L$39)</f>
        <v>0</v>
      </c>
      <c r="Z168" s="3"/>
      <c r="AA168" s="3"/>
    </row>
    <row r="169" spans="1:27" x14ac:dyDescent="0.2">
      <c r="A169" s="3"/>
      <c r="B169" s="278"/>
      <c r="C169" s="278"/>
      <c r="D169" s="269" t="s">
        <v>62</v>
      </c>
      <c r="E169" s="269"/>
      <c r="F169" s="269"/>
      <c r="G169" s="269"/>
      <c r="H169" s="269"/>
      <c r="I169" s="269"/>
      <c r="J169" s="269"/>
      <c r="K169" s="269"/>
      <c r="L169" s="269"/>
      <c r="M169" s="269"/>
      <c r="N169" s="55" t="s">
        <v>63</v>
      </c>
      <c r="O169" s="165">
        <f>SUMPRODUCT(C95:C108,'Function Code Mapping'!$M$26:$M$39)</f>
        <v>0</v>
      </c>
      <c r="P169" s="165">
        <f>SUMPRODUCT(D95:D108,'Function Code Mapping'!$M$26:$M$39)</f>
        <v>0</v>
      </c>
      <c r="Q169" s="165">
        <f>SUMPRODUCT(E95:E108,'Function Code Mapping'!$M$26:$M$39)</f>
        <v>0</v>
      </c>
      <c r="R169" s="165">
        <f>SUMPRODUCT(F95:F108,'Function Code Mapping'!$M$26:$M$39)</f>
        <v>0</v>
      </c>
      <c r="S169" s="165">
        <f ca="1">SUMPRODUCT(G95:G108,'Function Code Mapping'!$M$26:$M$39)</f>
        <v>0</v>
      </c>
      <c r="T169" s="165">
        <f ca="1">SUMPRODUCT(H95:H108,'Function Code Mapping'!$M$26:$M$39)</f>
        <v>0</v>
      </c>
      <c r="U169" s="165">
        <f ca="1">SUMPRODUCT(I95:I108,'Function Code Mapping'!$M$26:$M$39)</f>
        <v>0</v>
      </c>
      <c r="V169" s="165">
        <f ca="1">SUMPRODUCT(J95:J108,'Function Code Mapping'!$M$26:$M$39)</f>
        <v>0</v>
      </c>
      <c r="W169" s="165">
        <f ca="1">SUMPRODUCT(K95:K108,'Function Code Mapping'!$M$26:$M$39)</f>
        <v>0</v>
      </c>
      <c r="X169" s="165">
        <f ca="1">SUMPRODUCT(L95:L108,'Function Code Mapping'!$M$26:$M$39)</f>
        <v>0</v>
      </c>
      <c r="Y169" s="165">
        <f ca="1">SUMPRODUCT(M95:M108,'Function Code Mapping'!$M$26:$M$39)</f>
        <v>0</v>
      </c>
      <c r="Z169" s="3"/>
      <c r="AA169" s="3"/>
    </row>
    <row r="170" spans="1:27" x14ac:dyDescent="0.2">
      <c r="A170" s="3"/>
      <c r="B170" s="278"/>
      <c r="C170" s="278"/>
      <c r="D170" s="269" t="s">
        <v>64</v>
      </c>
      <c r="E170" s="269"/>
      <c r="F170" s="269"/>
      <c r="G170" s="269"/>
      <c r="H170" s="269"/>
      <c r="I170" s="269"/>
      <c r="J170" s="269"/>
      <c r="K170" s="269"/>
      <c r="L170" s="269"/>
      <c r="M170" s="269"/>
      <c r="N170" s="55" t="s">
        <v>65</v>
      </c>
      <c r="O170" s="165">
        <f>SUMPRODUCT(C95:C108,'Function Code Mapping'!$N$26:$N$39)</f>
        <v>13761349.548696883</v>
      </c>
      <c r="P170" s="165">
        <f>SUMPRODUCT(D95:D108,'Function Code Mapping'!$N$26:$N$39)</f>
        <v>14599151.300511628</v>
      </c>
      <c r="Q170" s="165">
        <f>SUMPRODUCT(E95:E108,'Function Code Mapping'!$N$26:$N$39)</f>
        <v>17204183.928379372</v>
      </c>
      <c r="R170" s="165">
        <f>SUMPRODUCT(F95:F108,'Function Code Mapping'!$N$26:$N$39)</f>
        <v>18797990.770245608</v>
      </c>
      <c r="S170" s="165">
        <f ca="1">SUMPRODUCT(G95:G108,'Function Code Mapping'!$N$26:$N$39)</f>
        <v>16090668.886958376</v>
      </c>
      <c r="T170" s="165">
        <f ca="1">SUMPRODUCT(H95:H108,'Function Code Mapping'!$N$26:$N$39)</f>
        <v>16114048.339410769</v>
      </c>
      <c r="U170" s="165">
        <f ca="1">SUMPRODUCT(I95:I108,'Function Code Mapping'!$N$26:$N$39)</f>
        <v>16692036.699516948</v>
      </c>
      <c r="V170" s="165">
        <f ca="1">SUMPRODUCT(J95:J108,'Function Code Mapping'!$N$26:$N$39)</f>
        <v>17200434.296336304</v>
      </c>
      <c r="W170" s="165">
        <f ca="1">SUMPRODUCT(K95:K108,'Function Code Mapping'!$N$26:$N$39)</f>
        <v>17278302.303838145</v>
      </c>
      <c r="X170" s="165">
        <f ca="1">SUMPRODUCT(L95:L108,'Function Code Mapping'!$N$26:$N$39)</f>
        <v>17493587.336945876</v>
      </c>
      <c r="Y170" s="165">
        <f ca="1">SUMPRODUCT(M95:M108,'Function Code Mapping'!$N$26:$N$39)</f>
        <v>17815719.332494948</v>
      </c>
      <c r="Z170" s="3"/>
      <c r="AA170" s="3"/>
    </row>
    <row r="171" spans="1:27" x14ac:dyDescent="0.2">
      <c r="A171" s="3"/>
      <c r="B171" s="277" t="s">
        <v>66</v>
      </c>
      <c r="C171" s="277"/>
      <c r="D171" s="272" t="s">
        <v>45</v>
      </c>
      <c r="E171" s="272"/>
      <c r="F171" s="272"/>
      <c r="G171" s="272"/>
      <c r="H171" s="272"/>
      <c r="I171" s="272"/>
      <c r="J171" s="272"/>
      <c r="K171" s="272"/>
      <c r="L171" s="272"/>
      <c r="M171" s="272"/>
      <c r="N171" s="57" t="s">
        <v>67</v>
      </c>
      <c r="O171" s="165">
        <f>SUMPRODUCT(C95:C108,'Function Code Mapping'!$O$26:$O$39)</f>
        <v>0</v>
      </c>
      <c r="P171" s="165">
        <f>SUMPRODUCT(D95:D108,'Function Code Mapping'!$O$26:$O$39)</f>
        <v>0</v>
      </c>
      <c r="Q171" s="165">
        <f>SUMPRODUCT(E95:E108,'Function Code Mapping'!$O$26:$O$39)</f>
        <v>0</v>
      </c>
      <c r="R171" s="165">
        <f>SUMPRODUCT(F95:F108,'Function Code Mapping'!$O$26:$O$39)</f>
        <v>0</v>
      </c>
      <c r="S171" s="165">
        <f ca="1">SUMPRODUCT(G95:G108,'Function Code Mapping'!$O$26:$O$39)</f>
        <v>0</v>
      </c>
      <c r="T171" s="165">
        <f ca="1">SUMPRODUCT(H95:H108,'Function Code Mapping'!$O$26:$O$39)</f>
        <v>0</v>
      </c>
      <c r="U171" s="165">
        <f ca="1">SUMPRODUCT(I95:I108,'Function Code Mapping'!$O$26:$O$39)</f>
        <v>0</v>
      </c>
      <c r="V171" s="165">
        <f ca="1">SUMPRODUCT(J95:J108,'Function Code Mapping'!$O$26:$O$39)</f>
        <v>0</v>
      </c>
      <c r="W171" s="165">
        <f ca="1">SUMPRODUCT(K95:K108,'Function Code Mapping'!$O$26:$O$39)</f>
        <v>0</v>
      </c>
      <c r="X171" s="165">
        <f ca="1">SUMPRODUCT(L95:L108,'Function Code Mapping'!$O$26:$O$39)</f>
        <v>0</v>
      </c>
      <c r="Y171" s="165">
        <f ca="1">SUMPRODUCT(M95:M108,'Function Code Mapping'!$O$26:$O$39)</f>
        <v>0</v>
      </c>
      <c r="Z171" s="3"/>
      <c r="AA171" s="3"/>
    </row>
    <row r="172" spans="1:27" x14ac:dyDescent="0.2">
      <c r="A172" s="3"/>
      <c r="B172" s="277"/>
      <c r="C172" s="277"/>
      <c r="D172" s="272" t="s">
        <v>68</v>
      </c>
      <c r="E172" s="272"/>
      <c r="F172" s="272"/>
      <c r="G172" s="272"/>
      <c r="H172" s="272"/>
      <c r="I172" s="272"/>
      <c r="J172" s="272"/>
      <c r="K172" s="272"/>
      <c r="L172" s="272"/>
      <c r="M172" s="272"/>
      <c r="N172" s="57" t="s">
        <v>69</v>
      </c>
      <c r="O172" s="165">
        <f>SUMPRODUCT(C95:C108,'Function Code Mapping'!$P$26:$P$39)</f>
        <v>3795509.7465711045</v>
      </c>
      <c r="P172" s="165">
        <f>SUMPRODUCT(D95:D108,'Function Code Mapping'!$P$26:$P$39)</f>
        <v>7934856.3828728395</v>
      </c>
      <c r="Q172" s="165">
        <f>SUMPRODUCT(E95:E108,'Function Code Mapping'!$P$26:$P$39)</f>
        <v>18613213.074448347</v>
      </c>
      <c r="R172" s="165">
        <f>SUMPRODUCT(F95:F108,'Function Code Mapping'!$P$26:$P$39)</f>
        <v>21900807.446221944</v>
      </c>
      <c r="S172" s="165">
        <f ca="1">SUMPRODUCT(G95:G108,'Function Code Mapping'!$P$26:$P$39)</f>
        <v>21900807.446221944</v>
      </c>
      <c r="T172" s="165">
        <f ca="1">SUMPRODUCT(H95:H108,'Function Code Mapping'!$P$26:$P$39)</f>
        <v>21900807.446221944</v>
      </c>
      <c r="U172" s="165">
        <f ca="1">SUMPRODUCT(I95:I108,'Function Code Mapping'!$P$26:$P$39)</f>
        <v>21900807.446221944</v>
      </c>
      <c r="V172" s="165">
        <f ca="1">SUMPRODUCT(J95:J108,'Function Code Mapping'!$P$26:$P$39)</f>
        <v>21900807.446221944</v>
      </c>
      <c r="W172" s="165">
        <f ca="1">SUMPRODUCT(K95:K108,'Function Code Mapping'!$P$26:$P$39)</f>
        <v>21900807.446221944</v>
      </c>
      <c r="X172" s="165">
        <f ca="1">SUMPRODUCT(L95:L108,'Function Code Mapping'!$P$26:$P$39)</f>
        <v>21900807.446221944</v>
      </c>
      <c r="Y172" s="165">
        <f ca="1">SUMPRODUCT(M95:M108,'Function Code Mapping'!$P$26:$P$39)</f>
        <v>21900807.446221944</v>
      </c>
      <c r="Z172" s="3"/>
      <c r="AA172" s="3"/>
    </row>
    <row r="173" spans="1:27" x14ac:dyDescent="0.2">
      <c r="A173" s="3"/>
      <c r="B173" s="277"/>
      <c r="C173" s="277"/>
      <c r="D173" s="272" t="s">
        <v>70</v>
      </c>
      <c r="E173" s="272"/>
      <c r="F173" s="272"/>
      <c r="G173" s="272"/>
      <c r="H173" s="272"/>
      <c r="I173" s="272"/>
      <c r="J173" s="272"/>
      <c r="K173" s="272"/>
      <c r="L173" s="272"/>
      <c r="M173" s="272"/>
      <c r="N173" s="57" t="s">
        <v>71</v>
      </c>
      <c r="O173" s="165">
        <f>SUMPRODUCT(C95:C108,'Function Code Mapping'!$Q$26:$Q$39)</f>
        <v>285683.52931180358</v>
      </c>
      <c r="P173" s="165">
        <f>SUMPRODUCT(D95:D108,'Function Code Mapping'!$Q$26:$Q$39)</f>
        <v>597247.25462483743</v>
      </c>
      <c r="Q173" s="165">
        <f>SUMPRODUCT(E95:E108,'Function Code Mapping'!$Q$26:$Q$39)</f>
        <v>1400994.5324853596</v>
      </c>
      <c r="R173" s="165">
        <f>SUMPRODUCT(F95:F108,'Function Code Mapping'!$Q$26:$Q$39)</f>
        <v>1648447.8722962753</v>
      </c>
      <c r="S173" s="165">
        <f ca="1">SUMPRODUCT(G95:G108,'Function Code Mapping'!$Q$26:$Q$39)</f>
        <v>1648447.8722962753</v>
      </c>
      <c r="T173" s="165">
        <f ca="1">SUMPRODUCT(H95:H108,'Function Code Mapping'!$Q$26:$Q$39)</f>
        <v>1648447.8722962753</v>
      </c>
      <c r="U173" s="165">
        <f ca="1">SUMPRODUCT(I95:I108,'Function Code Mapping'!$Q$26:$Q$39)</f>
        <v>1648447.8722962753</v>
      </c>
      <c r="V173" s="165">
        <f ca="1">SUMPRODUCT(J95:J108,'Function Code Mapping'!$Q$26:$Q$39)</f>
        <v>1648447.8722962753</v>
      </c>
      <c r="W173" s="165">
        <f ca="1">SUMPRODUCT(K95:K108,'Function Code Mapping'!$Q$26:$Q$39)</f>
        <v>1648447.8722962753</v>
      </c>
      <c r="X173" s="165">
        <f ca="1">SUMPRODUCT(L95:L108,'Function Code Mapping'!$Q$26:$Q$39)</f>
        <v>1648447.8722962753</v>
      </c>
      <c r="Y173" s="165">
        <f ca="1">SUMPRODUCT(M95:M108,'Function Code Mapping'!$Q$26:$Q$39)</f>
        <v>1648447.8722962753</v>
      </c>
      <c r="Z173" s="3"/>
      <c r="AA173" s="3"/>
    </row>
    <row r="174" spans="1:27" s="130" customFormat="1" ht="12.75" customHeight="1" x14ac:dyDescent="0.2">
      <c r="A174" s="3"/>
      <c r="B174" s="270" t="s">
        <v>327</v>
      </c>
      <c r="C174" s="271"/>
      <c r="D174" s="272" t="s">
        <v>307</v>
      </c>
      <c r="E174" s="272"/>
      <c r="F174" s="272"/>
      <c r="G174" s="272"/>
      <c r="H174" s="272"/>
      <c r="I174" s="272"/>
      <c r="J174" s="272"/>
      <c r="K174" s="272"/>
      <c r="L174" s="272"/>
      <c r="M174" s="272"/>
      <c r="N174" s="140"/>
      <c r="O174" s="165">
        <f t="shared" ref="O174:Y174" si="31">C106</f>
        <v>27769102.514107645</v>
      </c>
      <c r="P174" s="165">
        <f t="shared" si="31"/>
        <v>26342075.145953491</v>
      </c>
      <c r="Q174" s="165">
        <f t="shared" si="31"/>
        <v>31479251.910985272</v>
      </c>
      <c r="R174" s="165">
        <f t="shared" si="31"/>
        <v>36938513.790321872</v>
      </c>
      <c r="S174" s="165">
        <f t="shared" ca="1" si="31"/>
        <v>30632235.840342071</v>
      </c>
      <c r="T174" s="165">
        <f t="shared" ca="1" si="31"/>
        <v>30325728.569023944</v>
      </c>
      <c r="U174" s="165">
        <f t="shared" ca="1" si="31"/>
        <v>29778159.547743946</v>
      </c>
      <c r="V174" s="165">
        <f t="shared" ca="1" si="31"/>
        <v>25485282.897668667</v>
      </c>
      <c r="W174" s="165">
        <f t="shared" ca="1" si="31"/>
        <v>23316527.502179664</v>
      </c>
      <c r="X174" s="165">
        <f t="shared" ca="1" si="31"/>
        <v>22205322.898371566</v>
      </c>
      <c r="Y174" s="165">
        <f t="shared" ca="1" si="31"/>
        <v>22236214.778136183</v>
      </c>
      <c r="Z174" s="3"/>
      <c r="AA174" s="3"/>
    </row>
    <row r="175" spans="1:27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71" t="s">
        <v>36</v>
      </c>
      <c r="O175" s="168">
        <f t="shared" ref="O175:Y175" si="32">SUM(O160:O174)</f>
        <v>96233281.525873438</v>
      </c>
      <c r="P175" s="168">
        <f t="shared" si="32"/>
        <v>102050335.47435349</v>
      </c>
      <c r="Q175" s="168">
        <f t="shared" si="32"/>
        <v>122154731.63672192</v>
      </c>
      <c r="R175" s="168">
        <f t="shared" si="32"/>
        <v>131594784.72404006</v>
      </c>
      <c r="S175" s="168">
        <f t="shared" ca="1" si="32"/>
        <v>121854745.56734107</v>
      </c>
      <c r="T175" s="168">
        <f t="shared" ca="1" si="32"/>
        <v>120775962.08966935</v>
      </c>
      <c r="U175" s="168">
        <f t="shared" ca="1" si="32"/>
        <v>122014473.23149464</v>
      </c>
      <c r="V175" s="168">
        <f t="shared" ca="1" si="32"/>
        <v>117559828.57864249</v>
      </c>
      <c r="W175" s="168">
        <f t="shared" ca="1" si="32"/>
        <v>115833504.69844352</v>
      </c>
      <c r="X175" s="168">
        <f t="shared" ca="1" si="32"/>
        <v>116102072.02020131</v>
      </c>
      <c r="Y175" s="168">
        <f t="shared" ca="1" si="32"/>
        <v>116894716.30390826</v>
      </c>
      <c r="Z175" s="3"/>
      <c r="AA175" s="3"/>
    </row>
    <row r="176" spans="1:27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 t="s">
        <v>231</v>
      </c>
      <c r="O176" s="146"/>
      <c r="P176" s="146"/>
      <c r="Q176" s="183">
        <f t="shared" ref="Q176:Y176" si="33">Q175-E109</f>
        <v>0</v>
      </c>
      <c r="R176" s="183">
        <f t="shared" si="33"/>
        <v>0</v>
      </c>
      <c r="S176" s="183">
        <f t="shared" ca="1" si="33"/>
        <v>0</v>
      </c>
      <c r="T176" s="183">
        <f t="shared" ca="1" si="33"/>
        <v>0</v>
      </c>
      <c r="U176" s="183">
        <f t="shared" ca="1" si="33"/>
        <v>0</v>
      </c>
      <c r="V176" s="183">
        <f t="shared" ca="1" si="33"/>
        <v>0</v>
      </c>
      <c r="W176" s="183">
        <f t="shared" ca="1" si="33"/>
        <v>0</v>
      </c>
      <c r="X176" s="183">
        <f t="shared" ca="1" si="33"/>
        <v>0</v>
      </c>
      <c r="Y176" s="183">
        <f t="shared" ca="1" si="33"/>
        <v>0</v>
      </c>
      <c r="Z176" s="3"/>
      <c r="AA176" s="3"/>
    </row>
    <row r="177" spans="1:27" s="147" customFormat="1" x14ac:dyDescent="0.2">
      <c r="A177" s="146"/>
      <c r="B177" s="146"/>
      <c r="C177" s="146"/>
      <c r="D177" s="146"/>
      <c r="E177" s="73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</row>
    <row r="178" spans="1:27" s="147" customFormat="1" x14ac:dyDescent="0.2">
      <c r="A178" s="146"/>
      <c r="B178" s="184" t="str">
        <f>"Forecast Expenditure Volumes x "&amp; IF($K$4=2,Inflation!$C$4,"Average")&amp;" Unit Rate"&amp; " by AER Category (Gross)"</f>
        <v>Forecast Expenditure Volumes x Average Unit Rate by AER Category (Gross)</v>
      </c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</row>
    <row r="179" spans="1:27" s="147" customFormat="1" x14ac:dyDescent="0.2">
      <c r="A179" s="146"/>
      <c r="B179" s="149" t="s">
        <v>177</v>
      </c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273" t="str">
        <f>"$ "&amp;Inflation!$C$4</f>
        <v>$ 2021</v>
      </c>
      <c r="P179" s="274"/>
      <c r="Q179" s="274"/>
      <c r="R179" s="274"/>
      <c r="S179" s="274"/>
      <c r="T179" s="274"/>
      <c r="U179" s="274"/>
      <c r="V179" s="274"/>
      <c r="W179" s="274"/>
      <c r="X179" s="274"/>
      <c r="Y179" s="275"/>
      <c r="Z179" s="146"/>
      <c r="AA179" s="146"/>
    </row>
    <row r="180" spans="1:27" s="147" customFormat="1" ht="25.5" customHeight="1" x14ac:dyDescent="0.2">
      <c r="A180" s="146"/>
      <c r="B180" s="261" t="s">
        <v>32</v>
      </c>
      <c r="C180" s="263"/>
      <c r="D180" s="261" t="s">
        <v>33</v>
      </c>
      <c r="E180" s="262"/>
      <c r="F180" s="262"/>
      <c r="G180" s="262"/>
      <c r="H180" s="262"/>
      <c r="I180" s="262"/>
      <c r="J180" s="262"/>
      <c r="K180" s="262"/>
      <c r="L180" s="262"/>
      <c r="M180" s="263"/>
      <c r="N180" s="143" t="s">
        <v>81</v>
      </c>
      <c r="O180" s="141" t="s">
        <v>323</v>
      </c>
      <c r="P180" s="141" t="s">
        <v>324</v>
      </c>
      <c r="Q180" s="141" t="s">
        <v>325</v>
      </c>
      <c r="R180" s="141" t="s">
        <v>326</v>
      </c>
      <c r="S180" s="143" t="s">
        <v>315</v>
      </c>
      <c r="T180" s="143" t="s">
        <v>316</v>
      </c>
      <c r="U180" s="143" t="s">
        <v>317</v>
      </c>
      <c r="V180" s="143" t="s">
        <v>318</v>
      </c>
      <c r="W180" s="143" t="s">
        <v>319</v>
      </c>
      <c r="X180" s="143" t="s">
        <v>320</v>
      </c>
      <c r="Y180" s="143" t="s">
        <v>321</v>
      </c>
      <c r="Z180" s="146"/>
      <c r="AA180" s="146"/>
    </row>
    <row r="181" spans="1:27" s="147" customFormat="1" x14ac:dyDescent="0.2">
      <c r="A181" s="146"/>
      <c r="B181" s="278" t="s">
        <v>44</v>
      </c>
      <c r="C181" s="278"/>
      <c r="D181" s="269" t="s">
        <v>45</v>
      </c>
      <c r="E181" s="269"/>
      <c r="F181" s="269"/>
      <c r="G181" s="269"/>
      <c r="H181" s="269"/>
      <c r="I181" s="269"/>
      <c r="J181" s="269"/>
      <c r="K181" s="269"/>
      <c r="L181" s="269"/>
      <c r="M181" s="269"/>
      <c r="N181" s="55" t="s">
        <v>46</v>
      </c>
      <c r="O181" s="165">
        <f>SUMPRODUCT(C117:C130,'Function Code Mapping'!$D$26:$D$39)</f>
        <v>2007517.2520679885</v>
      </c>
      <c r="P181" s="174">
        <f>SUMPRODUCT(D117:D130,'Function Code Mapping'!$D$26:$D$39)</f>
        <v>0</v>
      </c>
      <c r="Q181" s="174">
        <f>SUMPRODUCT(E117:E130,'Function Code Mapping'!$D$26:$D$39)</f>
        <v>0</v>
      </c>
      <c r="R181" s="174">
        <f>SUMPRODUCT(F117:F130,'Function Code Mapping'!$D$26:$D$39)</f>
        <v>0</v>
      </c>
      <c r="S181" s="174">
        <f ca="1">SUMPRODUCT(G117:G130,'Function Code Mapping'!$D$26:$D$39)</f>
        <v>0</v>
      </c>
      <c r="T181" s="174">
        <f ca="1">SUMPRODUCT(H117:H130,'Function Code Mapping'!$D$26:$D$39)</f>
        <v>0</v>
      </c>
      <c r="U181" s="174">
        <f ca="1">SUMPRODUCT(I117:I130,'Function Code Mapping'!$D$26:$D$39)</f>
        <v>0</v>
      </c>
      <c r="V181" s="174">
        <f ca="1">SUMPRODUCT(J117:J130,'Function Code Mapping'!$D$26:$D$39)</f>
        <v>0</v>
      </c>
      <c r="W181" s="174">
        <f ca="1">SUMPRODUCT(K117:K130,'Function Code Mapping'!$D$26:$D$39)</f>
        <v>0</v>
      </c>
      <c r="X181" s="174">
        <f ca="1">SUMPRODUCT(L117:L130,'Function Code Mapping'!$D$26:$D$39)</f>
        <v>0</v>
      </c>
      <c r="Y181" s="174">
        <f ca="1">SUMPRODUCT(M117:M130,'Function Code Mapping'!$D$26:$D$39)</f>
        <v>0</v>
      </c>
      <c r="Z181" s="146"/>
      <c r="AA181" s="146"/>
    </row>
    <row r="182" spans="1:27" s="147" customFormat="1" x14ac:dyDescent="0.2">
      <c r="A182" s="146"/>
      <c r="B182" s="278"/>
      <c r="C182" s="278"/>
      <c r="D182" s="269" t="s">
        <v>47</v>
      </c>
      <c r="E182" s="269"/>
      <c r="F182" s="269"/>
      <c r="G182" s="269"/>
      <c r="H182" s="269"/>
      <c r="I182" s="269"/>
      <c r="J182" s="269"/>
      <c r="K182" s="269"/>
      <c r="L182" s="269"/>
      <c r="M182" s="269"/>
      <c r="N182" s="55" t="s">
        <v>48</v>
      </c>
      <c r="O182" s="165">
        <f>SUMPRODUCT(C117:C130,'Function Code Mapping'!$E$26:$E$39)</f>
        <v>17484238.179462697</v>
      </c>
      <c r="P182" s="165">
        <f>SUMPRODUCT(D117:D130,'Function Code Mapping'!$E$26:$E$39)</f>
        <v>16521072.383903785</v>
      </c>
      <c r="Q182" s="165">
        <f>SUMPRODUCT(E117:E130,'Function Code Mapping'!$E$26:$E$39)</f>
        <v>16885955.140087571</v>
      </c>
      <c r="R182" s="165">
        <f>SUMPRODUCT(F117:F130,'Function Code Mapping'!$E$26:$E$39)</f>
        <v>18605572.71394879</v>
      </c>
      <c r="S182" s="165">
        <f ca="1">SUMPRODUCT(G117:G130,'Function Code Mapping'!$E$26:$E$39)</f>
        <v>17358487.144730635</v>
      </c>
      <c r="T182" s="165">
        <f ca="1">SUMPRODUCT(H117:H130,'Function Code Mapping'!$E$26:$E$39)</f>
        <v>17377034.686290346</v>
      </c>
      <c r="U182" s="165">
        <f ca="1">SUMPRODUCT(I117:I130,'Function Code Mapping'!$E$26:$E$39)</f>
        <v>17964572.855651457</v>
      </c>
      <c r="V182" s="165">
        <f ca="1">SUMPRODUCT(J117:J130,'Function Code Mapping'!$E$26:$E$39)</f>
        <v>18514678.31629293</v>
      </c>
      <c r="W182" s="165">
        <f ca="1">SUMPRODUCT(K117:K130,'Function Code Mapping'!$E$26:$E$39)</f>
        <v>18600065.629011586</v>
      </c>
      <c r="X182" s="165">
        <f ca="1">SUMPRODUCT(L117:L130,'Function Code Mapping'!$E$26:$E$39)</f>
        <v>18840064.838003945</v>
      </c>
      <c r="Y182" s="165">
        <f ca="1">SUMPRODUCT(M117:M130,'Function Code Mapping'!$E$26:$E$39)</f>
        <v>19183367.247525766</v>
      </c>
      <c r="Z182" s="146"/>
      <c r="AA182" s="146"/>
    </row>
    <row r="183" spans="1:27" s="147" customFormat="1" x14ac:dyDescent="0.2">
      <c r="A183" s="146"/>
      <c r="B183" s="278"/>
      <c r="C183" s="278"/>
      <c r="D183" s="269" t="s">
        <v>49</v>
      </c>
      <c r="E183" s="269"/>
      <c r="F183" s="269"/>
      <c r="G183" s="269"/>
      <c r="H183" s="269"/>
      <c r="I183" s="269"/>
      <c r="J183" s="269"/>
      <c r="K183" s="269"/>
      <c r="L183" s="269"/>
      <c r="M183" s="269"/>
      <c r="N183" s="55" t="s">
        <v>50</v>
      </c>
      <c r="O183" s="165">
        <f>SUMPRODUCT(C117:C130,'Function Code Mapping'!$F$26:$F$39)</f>
        <v>5885857.8309867149</v>
      </c>
      <c r="P183" s="165">
        <f>SUMPRODUCT(D117:D130,'Function Code Mapping'!$F$26:$F$39)</f>
        <v>5242675.6085617058</v>
      </c>
      <c r="Q183" s="165">
        <f>SUMPRODUCT(E117:E130,'Function Code Mapping'!$F$26:$F$39)</f>
        <v>5824892.7486579176</v>
      </c>
      <c r="R183" s="165">
        <f>SUMPRODUCT(F117:F130,'Function Code Mapping'!$F$26:$F$39)</f>
        <v>6470717.9534606561</v>
      </c>
      <c r="S183" s="165">
        <f ca="1">SUMPRODUCT(G117:G130,'Function Code Mapping'!$F$26:$F$39)</f>
        <v>5838583.4864858203</v>
      </c>
      <c r="T183" s="165">
        <f ca="1">SUMPRODUCT(H117:H130,'Function Code Mapping'!$F$26:$F$39)</f>
        <v>5835999.5522826025</v>
      </c>
      <c r="U183" s="165">
        <f ca="1">SUMPRODUCT(I117:I130,'Function Code Mapping'!$F$26:$F$39)</f>
        <v>6002744.8512617899</v>
      </c>
      <c r="V183" s="165">
        <f ca="1">SUMPRODUCT(J117:J130,'Function Code Mapping'!$F$26:$F$39)</f>
        <v>6173178.2731446512</v>
      </c>
      <c r="W183" s="165">
        <f ca="1">SUMPRODUCT(K117:K130,'Function Code Mapping'!$F$26:$F$39)</f>
        <v>6203233.6765731936</v>
      </c>
      <c r="X183" s="165">
        <f ca="1">SUMPRODUCT(L117:L130,'Function Code Mapping'!$F$26:$F$39)</f>
        <v>6294607.7006258853</v>
      </c>
      <c r="Y183" s="165">
        <f ca="1">SUMPRODUCT(M117:M130,'Function Code Mapping'!$F$26:$F$39)</f>
        <v>6405443.9387260387</v>
      </c>
      <c r="Z183" s="146"/>
      <c r="AA183" s="146"/>
    </row>
    <row r="184" spans="1:27" s="147" customFormat="1" x14ac:dyDescent="0.2">
      <c r="A184" s="146"/>
      <c r="B184" s="276" t="s">
        <v>176</v>
      </c>
      <c r="C184" s="276"/>
      <c r="D184" s="272" t="s">
        <v>45</v>
      </c>
      <c r="E184" s="272"/>
      <c r="F184" s="272"/>
      <c r="G184" s="272"/>
      <c r="H184" s="272"/>
      <c r="I184" s="272"/>
      <c r="J184" s="272"/>
      <c r="K184" s="272"/>
      <c r="L184" s="272"/>
      <c r="M184" s="272"/>
      <c r="N184" s="56" t="s">
        <v>51</v>
      </c>
      <c r="O184" s="165">
        <f>SUMPRODUCT(C117:C130,'Function Code Mapping'!$G$26:$G$39)</f>
        <v>626895.27479697834</v>
      </c>
      <c r="P184" s="165">
        <f>SUMPRODUCT(D117:D130,'Function Code Mapping'!$G$26:$G$39)</f>
        <v>0</v>
      </c>
      <c r="Q184" s="165">
        <f>SUMPRODUCT(E117:E130,'Function Code Mapping'!$G$26:$G$39)</f>
        <v>0</v>
      </c>
      <c r="R184" s="165">
        <f>SUMPRODUCT(F117:F130,'Function Code Mapping'!$G$26:$G$39)</f>
        <v>0</v>
      </c>
      <c r="S184" s="165">
        <f ca="1">SUMPRODUCT(G117:G130,'Function Code Mapping'!$G$26:$G$39)</f>
        <v>0</v>
      </c>
      <c r="T184" s="165">
        <f ca="1">SUMPRODUCT(H117:H130,'Function Code Mapping'!$G$26:$G$39)</f>
        <v>0</v>
      </c>
      <c r="U184" s="165">
        <f ca="1">SUMPRODUCT(I117:I130,'Function Code Mapping'!$G$26:$G$39)</f>
        <v>0</v>
      </c>
      <c r="V184" s="165">
        <f ca="1">SUMPRODUCT(J117:J130,'Function Code Mapping'!$G$26:$G$39)</f>
        <v>0</v>
      </c>
      <c r="W184" s="165">
        <f ca="1">SUMPRODUCT(K117:K130,'Function Code Mapping'!$G$26:$G$39)</f>
        <v>0</v>
      </c>
      <c r="X184" s="165">
        <f ca="1">SUMPRODUCT(L117:L130,'Function Code Mapping'!$G$26:$G$39)</f>
        <v>0</v>
      </c>
      <c r="Y184" s="165">
        <f ca="1">SUMPRODUCT(M117:M130,'Function Code Mapping'!$G$26:$G$39)</f>
        <v>0</v>
      </c>
      <c r="Z184" s="146"/>
      <c r="AA184" s="146"/>
    </row>
    <row r="185" spans="1:27" s="147" customFormat="1" x14ac:dyDescent="0.2">
      <c r="A185" s="146"/>
      <c r="B185" s="276"/>
      <c r="C185" s="276"/>
      <c r="D185" s="272" t="s">
        <v>52</v>
      </c>
      <c r="E185" s="272"/>
      <c r="F185" s="272"/>
      <c r="G185" s="272"/>
      <c r="H185" s="272"/>
      <c r="I185" s="272"/>
      <c r="J185" s="272"/>
      <c r="K185" s="272"/>
      <c r="L185" s="272"/>
      <c r="M185" s="272"/>
      <c r="N185" s="56" t="s">
        <v>53</v>
      </c>
      <c r="O185" s="165">
        <f>SUMPRODUCT(C117:C130,'Function Code Mapping'!$H$26:$H$39)</f>
        <v>0</v>
      </c>
      <c r="P185" s="165">
        <f>SUMPRODUCT(D117:D130,'Function Code Mapping'!$H$26:$H$39)</f>
        <v>0</v>
      </c>
      <c r="Q185" s="165">
        <f>SUMPRODUCT(E117:E130,'Function Code Mapping'!$H$26:$H$39)</f>
        <v>0</v>
      </c>
      <c r="R185" s="165">
        <f>SUMPRODUCT(F117:F130,'Function Code Mapping'!$H$26:$H$39)</f>
        <v>0</v>
      </c>
      <c r="S185" s="165">
        <f ca="1">SUMPRODUCT(G117:G130,'Function Code Mapping'!$H$26:$H$39)</f>
        <v>0</v>
      </c>
      <c r="T185" s="165">
        <f ca="1">SUMPRODUCT(H117:H130,'Function Code Mapping'!$H$26:$H$39)</f>
        <v>0</v>
      </c>
      <c r="U185" s="165">
        <f ca="1">SUMPRODUCT(I117:I130,'Function Code Mapping'!$H$26:$H$39)</f>
        <v>0</v>
      </c>
      <c r="V185" s="165">
        <f ca="1">SUMPRODUCT(J117:J130,'Function Code Mapping'!$H$26:$H$39)</f>
        <v>0</v>
      </c>
      <c r="W185" s="165">
        <f ca="1">SUMPRODUCT(K117:K130,'Function Code Mapping'!$H$26:$H$39)</f>
        <v>0</v>
      </c>
      <c r="X185" s="165">
        <f ca="1">SUMPRODUCT(L117:L130,'Function Code Mapping'!$H$26:$H$39)</f>
        <v>0</v>
      </c>
      <c r="Y185" s="165">
        <f ca="1">SUMPRODUCT(M117:M130,'Function Code Mapping'!$H$26:$H$39)</f>
        <v>0</v>
      </c>
      <c r="Z185" s="146"/>
      <c r="AA185" s="146"/>
    </row>
    <row r="186" spans="1:27" s="147" customFormat="1" x14ac:dyDescent="0.2">
      <c r="A186" s="146"/>
      <c r="B186" s="276"/>
      <c r="C186" s="276"/>
      <c r="D186" s="272" t="s">
        <v>54</v>
      </c>
      <c r="E186" s="272"/>
      <c r="F186" s="272"/>
      <c r="G186" s="272"/>
      <c r="H186" s="272"/>
      <c r="I186" s="272"/>
      <c r="J186" s="272"/>
      <c r="K186" s="272"/>
      <c r="L186" s="272"/>
      <c r="M186" s="272"/>
      <c r="N186" s="56" t="s">
        <v>55</v>
      </c>
      <c r="O186" s="165">
        <f>SUMPRODUCT(C117:C130,'Function Code Mapping'!$I$26:$I$39)</f>
        <v>26346828.233763646</v>
      </c>
      <c r="P186" s="165">
        <f>SUMPRODUCT(D117:D130,'Function Code Mapping'!$I$26:$I$39)</f>
        <v>28996811.451863121</v>
      </c>
      <c r="Q186" s="165">
        <f>SUMPRODUCT(E117:E130,'Function Code Mapping'!$I$26:$I$39)</f>
        <v>29716231.314587839</v>
      </c>
      <c r="R186" s="165">
        <f>SUMPRODUCT(F117:F130,'Function Code Mapping'!$I$26:$I$39)</f>
        <v>29690230.408514179</v>
      </c>
      <c r="S186" s="165">
        <f ca="1">SUMPRODUCT(G117:G130,'Function Code Mapping'!$I$26:$I$39)</f>
        <v>28961335.398405872</v>
      </c>
      <c r="T186" s="165">
        <f ca="1">SUMPRODUCT(H117:H130,'Function Code Mapping'!$I$26:$I$39)</f>
        <v>28149716.132243384</v>
      </c>
      <c r="U186" s="165">
        <f ca="1">SUMPRODUCT(I117:I130,'Function Code Mapping'!$I$26:$I$39)</f>
        <v>28650154.684118371</v>
      </c>
      <c r="V186" s="165">
        <f ca="1">SUMPRODUCT(J117:J130,'Function Code Mapping'!$I$26:$I$39)</f>
        <v>27460150.335751049</v>
      </c>
      <c r="W186" s="165">
        <f ca="1">SUMPRODUCT(K117:K130,'Function Code Mapping'!$I$26:$I$39)</f>
        <v>27780858.221123353</v>
      </c>
      <c r="X186" s="165">
        <f ca="1">SUMPRODUCT(L117:L130,'Function Code Mapping'!$I$26:$I$39)</f>
        <v>28632445.936781198</v>
      </c>
      <c r="Y186" s="165">
        <f ca="1">SUMPRODUCT(M117:M130,'Function Code Mapping'!$I$26:$I$39)</f>
        <v>28597822.004293792</v>
      </c>
      <c r="Z186" s="146"/>
      <c r="AA186" s="146"/>
    </row>
    <row r="187" spans="1:27" s="147" customFormat="1" x14ac:dyDescent="0.2">
      <c r="A187" s="146"/>
      <c r="B187" s="276"/>
      <c r="C187" s="276"/>
      <c r="D187" s="272" t="s">
        <v>56</v>
      </c>
      <c r="E187" s="272"/>
      <c r="F187" s="272"/>
      <c r="G187" s="272"/>
      <c r="H187" s="272"/>
      <c r="I187" s="272"/>
      <c r="J187" s="272"/>
      <c r="K187" s="272"/>
      <c r="L187" s="272"/>
      <c r="M187" s="272"/>
      <c r="N187" s="56" t="s">
        <v>57</v>
      </c>
      <c r="O187" s="165">
        <f>SUMPRODUCT(C117:C130,'Function Code Mapping'!$J$26:$J$39)</f>
        <v>1296855.4162322949</v>
      </c>
      <c r="P187" s="165">
        <f>SUMPRODUCT(D117:D130,'Function Code Mapping'!$J$26:$J$39)</f>
        <v>5545053.7852093019</v>
      </c>
      <c r="Q187" s="165">
        <f>SUMPRODUCT(E117:E130,'Function Code Mapping'!$J$26:$J$39)</f>
        <v>5203884.6325782696</v>
      </c>
      <c r="R187" s="165">
        <f>SUMPRODUCT(F117:F130,'Function Code Mapping'!$J$26:$J$39)</f>
        <v>1698334.2494526331</v>
      </c>
      <c r="S187" s="165">
        <f ca="1">SUMPRODUCT(G117:G130,'Function Code Mapping'!$J$26:$J$39)</f>
        <v>3443617.4802524671</v>
      </c>
      <c r="T187" s="165">
        <f ca="1">SUMPRODUCT(H117:H130,'Function Code Mapping'!$J$26:$J$39)</f>
        <v>3443617.4802524671</v>
      </c>
      <c r="U187" s="165">
        <f ca="1">SUMPRODUCT(I117:I130,'Function Code Mapping'!$J$26:$J$39)</f>
        <v>3444424.2996839895</v>
      </c>
      <c r="V187" s="165">
        <f ca="1">SUMPRODUCT(J117:J130,'Function Code Mapping'!$J$26:$J$39)</f>
        <v>3445498.7227804619</v>
      </c>
      <c r="W187" s="165">
        <f ca="1">SUMPRODUCT(K117:K130,'Function Code Mapping'!$J$26:$J$39)</f>
        <v>3446043.2280733022</v>
      </c>
      <c r="X187" s="165">
        <f ca="1">SUMPRODUCT(L117:L130,'Function Code Mapping'!$J$26:$J$39)</f>
        <v>3446183.7453213311</v>
      </c>
      <c r="Y187" s="165">
        <f ca="1">SUMPRODUCT(M117:M130,'Function Code Mapping'!$J$26:$J$39)</f>
        <v>3446030.81752632</v>
      </c>
      <c r="Z187" s="146"/>
      <c r="AA187" s="146"/>
    </row>
    <row r="188" spans="1:27" s="147" customFormat="1" x14ac:dyDescent="0.2">
      <c r="A188" s="146"/>
      <c r="B188" s="276"/>
      <c r="C188" s="276"/>
      <c r="D188" s="272" t="s">
        <v>58</v>
      </c>
      <c r="E188" s="272"/>
      <c r="F188" s="272"/>
      <c r="G188" s="272"/>
      <c r="H188" s="272"/>
      <c r="I188" s="272"/>
      <c r="J188" s="272"/>
      <c r="K188" s="272"/>
      <c r="L188" s="272"/>
      <c r="M188" s="272"/>
      <c r="N188" s="56" t="s">
        <v>59</v>
      </c>
      <c r="O188" s="165">
        <f>SUMPRODUCT(C117:C130,'Function Code Mapping'!$K$26:$K$39)</f>
        <v>0</v>
      </c>
      <c r="P188" s="165">
        <f>SUMPRODUCT(D117:D130,'Function Code Mapping'!$K$26:$K$39)</f>
        <v>0</v>
      </c>
      <c r="Q188" s="165">
        <f>SUMPRODUCT(E117:E130,'Function Code Mapping'!$K$26:$K$39)</f>
        <v>0</v>
      </c>
      <c r="R188" s="165">
        <f>SUMPRODUCT(F117:F130,'Function Code Mapping'!$K$26:$K$39)</f>
        <v>0</v>
      </c>
      <c r="S188" s="165">
        <f ca="1">SUMPRODUCT(G117:G130,'Function Code Mapping'!$K$26:$K$39)</f>
        <v>0</v>
      </c>
      <c r="T188" s="165">
        <f ca="1">SUMPRODUCT(H117:H130,'Function Code Mapping'!$K$26:$K$39)</f>
        <v>0</v>
      </c>
      <c r="U188" s="165">
        <f ca="1">SUMPRODUCT(I117:I130,'Function Code Mapping'!$K$26:$K$39)</f>
        <v>0</v>
      </c>
      <c r="V188" s="165">
        <f ca="1">SUMPRODUCT(J117:J130,'Function Code Mapping'!$K$26:$K$39)</f>
        <v>0</v>
      </c>
      <c r="W188" s="165">
        <f ca="1">SUMPRODUCT(K117:K130,'Function Code Mapping'!$K$26:$K$39)</f>
        <v>0</v>
      </c>
      <c r="X188" s="165">
        <f ca="1">SUMPRODUCT(L117:L130,'Function Code Mapping'!$K$26:$K$39)</f>
        <v>0</v>
      </c>
      <c r="Y188" s="165">
        <f ca="1">SUMPRODUCT(M117:M130,'Function Code Mapping'!$K$26:$K$39)</f>
        <v>0</v>
      </c>
      <c r="Z188" s="146"/>
      <c r="AA188" s="146"/>
    </row>
    <row r="189" spans="1:27" s="147" customFormat="1" x14ac:dyDescent="0.2">
      <c r="A189" s="146"/>
      <c r="B189" s="278" t="s">
        <v>60</v>
      </c>
      <c r="C189" s="278"/>
      <c r="D189" s="269" t="s">
        <v>47</v>
      </c>
      <c r="E189" s="269"/>
      <c r="F189" s="269"/>
      <c r="G189" s="269"/>
      <c r="H189" s="269"/>
      <c r="I189" s="269"/>
      <c r="J189" s="269"/>
      <c r="K189" s="269"/>
      <c r="L189" s="269"/>
      <c r="M189" s="269"/>
      <c r="N189" s="55" t="s">
        <v>61</v>
      </c>
      <c r="O189" s="165">
        <f>SUMPRODUCT(C117:C130,'Function Code Mapping'!$L$26:$L$39)</f>
        <v>0</v>
      </c>
      <c r="P189" s="165">
        <f>SUMPRODUCT(D117:D130,'Function Code Mapping'!$L$26:$L$39)</f>
        <v>0</v>
      </c>
      <c r="Q189" s="165">
        <f>SUMPRODUCT(E117:E130,'Function Code Mapping'!$L$26:$L$39)</f>
        <v>0</v>
      </c>
      <c r="R189" s="165">
        <f>SUMPRODUCT(F117:F130,'Function Code Mapping'!$L$26:$L$39)</f>
        <v>0</v>
      </c>
      <c r="S189" s="165">
        <f ca="1">SUMPRODUCT(G117:G130,'Function Code Mapping'!$L$26:$L$39)</f>
        <v>0</v>
      </c>
      <c r="T189" s="165">
        <f ca="1">SUMPRODUCT(H117:H130,'Function Code Mapping'!$L$26:$L$39)</f>
        <v>0</v>
      </c>
      <c r="U189" s="165">
        <f ca="1">SUMPRODUCT(I117:I130,'Function Code Mapping'!$L$26:$L$39)</f>
        <v>0</v>
      </c>
      <c r="V189" s="165">
        <f ca="1">SUMPRODUCT(J117:J130,'Function Code Mapping'!$L$26:$L$39)</f>
        <v>0</v>
      </c>
      <c r="W189" s="165">
        <f ca="1">SUMPRODUCT(K117:K130,'Function Code Mapping'!$L$26:$L$39)</f>
        <v>0</v>
      </c>
      <c r="X189" s="165">
        <f ca="1">SUMPRODUCT(L117:L130,'Function Code Mapping'!$L$26:$L$39)</f>
        <v>0</v>
      </c>
      <c r="Y189" s="165">
        <f ca="1">SUMPRODUCT(M117:M130,'Function Code Mapping'!$L$26:$L$39)</f>
        <v>0</v>
      </c>
      <c r="Z189" s="146"/>
      <c r="AA189" s="146"/>
    </row>
    <row r="190" spans="1:27" s="147" customFormat="1" x14ac:dyDescent="0.2">
      <c r="A190" s="146"/>
      <c r="B190" s="278"/>
      <c r="C190" s="278"/>
      <c r="D190" s="269" t="s">
        <v>62</v>
      </c>
      <c r="E190" s="269"/>
      <c r="F190" s="269"/>
      <c r="G190" s="269"/>
      <c r="H190" s="269"/>
      <c r="I190" s="269"/>
      <c r="J190" s="269"/>
      <c r="K190" s="269"/>
      <c r="L190" s="269"/>
      <c r="M190" s="269"/>
      <c r="N190" s="55" t="s">
        <v>63</v>
      </c>
      <c r="O190" s="165">
        <f>SUMPRODUCT(C117:C130,'Function Code Mapping'!$M$26:$M$39)</f>
        <v>0</v>
      </c>
      <c r="P190" s="165">
        <f>SUMPRODUCT(D117:D130,'Function Code Mapping'!$M$26:$M$39)</f>
        <v>0</v>
      </c>
      <c r="Q190" s="165">
        <f>SUMPRODUCT(E117:E130,'Function Code Mapping'!$M$26:$M$39)</f>
        <v>0</v>
      </c>
      <c r="R190" s="165">
        <f>SUMPRODUCT(F117:F130,'Function Code Mapping'!$M$26:$M$39)</f>
        <v>0</v>
      </c>
      <c r="S190" s="165">
        <f ca="1">SUMPRODUCT(G117:G130,'Function Code Mapping'!$M$26:$M$39)</f>
        <v>0</v>
      </c>
      <c r="T190" s="165">
        <f ca="1">SUMPRODUCT(H117:H130,'Function Code Mapping'!$M$26:$M$39)</f>
        <v>0</v>
      </c>
      <c r="U190" s="165">
        <f ca="1">SUMPRODUCT(I117:I130,'Function Code Mapping'!$M$26:$M$39)</f>
        <v>0</v>
      </c>
      <c r="V190" s="165">
        <f ca="1">SUMPRODUCT(J117:J130,'Function Code Mapping'!$M$26:$M$39)</f>
        <v>0</v>
      </c>
      <c r="W190" s="165">
        <f ca="1">SUMPRODUCT(K117:K130,'Function Code Mapping'!$M$26:$M$39)</f>
        <v>0</v>
      </c>
      <c r="X190" s="165">
        <f ca="1">SUMPRODUCT(L117:L130,'Function Code Mapping'!$M$26:$M$39)</f>
        <v>0</v>
      </c>
      <c r="Y190" s="165">
        <f ca="1">SUMPRODUCT(M117:M130,'Function Code Mapping'!$M$26:$M$39)</f>
        <v>0</v>
      </c>
      <c r="Z190" s="146"/>
      <c r="AA190" s="146"/>
    </row>
    <row r="191" spans="1:27" s="147" customFormat="1" x14ac:dyDescent="0.2">
      <c r="A191" s="146"/>
      <c r="B191" s="278"/>
      <c r="C191" s="278"/>
      <c r="D191" s="269" t="s">
        <v>64</v>
      </c>
      <c r="E191" s="269"/>
      <c r="F191" s="269"/>
      <c r="G191" s="269"/>
      <c r="H191" s="269"/>
      <c r="I191" s="269"/>
      <c r="J191" s="269"/>
      <c r="K191" s="269"/>
      <c r="L191" s="269"/>
      <c r="M191" s="269"/>
      <c r="N191" s="55" t="s">
        <v>65</v>
      </c>
      <c r="O191" s="165">
        <f>SUMPRODUCT(C117:C130,'Function Code Mapping'!$N$26:$N$39)</f>
        <v>41300586.221294314</v>
      </c>
      <c r="P191" s="165">
        <f>SUMPRODUCT(D117:D130,'Function Code Mapping'!$N$26:$N$39)</f>
        <v>51028598.204428203</v>
      </c>
      <c r="Q191" s="165">
        <f>SUMPRODUCT(E117:E130,'Function Code Mapping'!$N$26:$N$39)</f>
        <v>59015370.646611415</v>
      </c>
      <c r="R191" s="165">
        <f>SUMPRODUCT(F117:F130,'Function Code Mapping'!$N$26:$N$39)</f>
        <v>70711466.388510138</v>
      </c>
      <c r="S191" s="165">
        <f ca="1">SUMPRODUCT(G117:G130,'Function Code Mapping'!$N$26:$N$39)</f>
        <v>59475371.96709609</v>
      </c>
      <c r="T191" s="165">
        <f ca="1">SUMPRODUCT(H117:H130,'Function Code Mapping'!$N$26:$N$39)</f>
        <v>59498751.419548482</v>
      </c>
      <c r="U191" s="165">
        <f ca="1">SUMPRODUCT(I117:I130,'Function Code Mapping'!$N$26:$N$39)</f>
        <v>42524276.909758382</v>
      </c>
      <c r="V191" s="165">
        <f ca="1">SUMPRODUCT(J117:J130,'Function Code Mapping'!$N$26:$N$39)</f>
        <v>63275058.4598056</v>
      </c>
      <c r="W191" s="165">
        <f ca="1">SUMPRODUCT(K117:K130,'Function Code Mapping'!$N$26:$N$39)</f>
        <v>64131495.017295666</v>
      </c>
      <c r="X191" s="165">
        <f ca="1">SUMPRODUCT(L117:L130,'Function Code Mapping'!$N$26:$N$39)</f>
        <v>64547700.613498695</v>
      </c>
      <c r="Y191" s="165">
        <f ca="1">SUMPRODUCT(M117:M130,'Function Code Mapping'!$N$26:$N$39)</f>
        <v>64651166.650827989</v>
      </c>
      <c r="Z191" s="146"/>
      <c r="AA191" s="146"/>
    </row>
    <row r="192" spans="1:27" s="147" customFormat="1" x14ac:dyDescent="0.2">
      <c r="A192" s="146"/>
      <c r="B192" s="277" t="s">
        <v>66</v>
      </c>
      <c r="C192" s="277"/>
      <c r="D192" s="272" t="s">
        <v>45</v>
      </c>
      <c r="E192" s="272"/>
      <c r="F192" s="272"/>
      <c r="G192" s="272"/>
      <c r="H192" s="272"/>
      <c r="I192" s="272"/>
      <c r="J192" s="272"/>
      <c r="K192" s="272"/>
      <c r="L192" s="272"/>
      <c r="M192" s="272"/>
      <c r="N192" s="57" t="s">
        <v>67</v>
      </c>
      <c r="O192" s="165">
        <f>SUMPRODUCT(C117:C130,'Function Code Mapping'!$O$26:$O$39)</f>
        <v>0</v>
      </c>
      <c r="P192" s="165">
        <f>SUMPRODUCT(D117:D130,'Function Code Mapping'!$O$26:$O$39)</f>
        <v>0</v>
      </c>
      <c r="Q192" s="165">
        <f>SUMPRODUCT(E117:E130,'Function Code Mapping'!$O$26:$O$39)</f>
        <v>0</v>
      </c>
      <c r="R192" s="165">
        <f>SUMPRODUCT(F117:F130,'Function Code Mapping'!$O$26:$O$39)</f>
        <v>0</v>
      </c>
      <c r="S192" s="165">
        <f ca="1">SUMPRODUCT(G117:G130,'Function Code Mapping'!$O$26:$O$39)</f>
        <v>0</v>
      </c>
      <c r="T192" s="165">
        <f ca="1">SUMPRODUCT(H117:H130,'Function Code Mapping'!$O$26:$O$39)</f>
        <v>0</v>
      </c>
      <c r="U192" s="165">
        <f ca="1">SUMPRODUCT(I117:I130,'Function Code Mapping'!$O$26:$O$39)</f>
        <v>0</v>
      </c>
      <c r="V192" s="165">
        <f ca="1">SUMPRODUCT(J117:J130,'Function Code Mapping'!$O$26:$O$39)</f>
        <v>0</v>
      </c>
      <c r="W192" s="165">
        <f ca="1">SUMPRODUCT(K117:K130,'Function Code Mapping'!$O$26:$O$39)</f>
        <v>0</v>
      </c>
      <c r="X192" s="165">
        <f ca="1">SUMPRODUCT(L117:L130,'Function Code Mapping'!$O$26:$O$39)</f>
        <v>0</v>
      </c>
      <c r="Y192" s="165">
        <f ca="1">SUMPRODUCT(M117:M130,'Function Code Mapping'!$O$26:$O$39)</f>
        <v>0</v>
      </c>
      <c r="Z192" s="146"/>
      <c r="AA192" s="146"/>
    </row>
    <row r="193" spans="1:27" s="147" customFormat="1" x14ac:dyDescent="0.2">
      <c r="A193" s="146"/>
      <c r="B193" s="277"/>
      <c r="C193" s="277"/>
      <c r="D193" s="272" t="s">
        <v>68</v>
      </c>
      <c r="E193" s="272"/>
      <c r="F193" s="272"/>
      <c r="G193" s="272"/>
      <c r="H193" s="272"/>
      <c r="I193" s="272"/>
      <c r="J193" s="272"/>
      <c r="K193" s="272"/>
      <c r="L193" s="272"/>
      <c r="M193" s="272"/>
      <c r="N193" s="57" t="s">
        <v>69</v>
      </c>
      <c r="O193" s="165">
        <f>SUMPRODUCT(C117:C130,'Function Code Mapping'!$P$26:$P$39)</f>
        <v>3795509.7465711045</v>
      </c>
      <c r="P193" s="165">
        <f>SUMPRODUCT(D117:D130,'Function Code Mapping'!$P$26:$P$39)</f>
        <v>7934856.3828728395</v>
      </c>
      <c r="Q193" s="165">
        <f>SUMPRODUCT(E117:E130,'Function Code Mapping'!$P$26:$P$39)</f>
        <v>18613213.074448347</v>
      </c>
      <c r="R193" s="165">
        <f>SUMPRODUCT(F117:F130,'Function Code Mapping'!$P$26:$P$39)</f>
        <v>21900807.446221944</v>
      </c>
      <c r="S193" s="165">
        <f ca="1">SUMPRODUCT(G117:G130,'Function Code Mapping'!$P$26:$P$39)</f>
        <v>21900807.446221944</v>
      </c>
      <c r="T193" s="165">
        <f ca="1">SUMPRODUCT(H117:H130,'Function Code Mapping'!$P$26:$P$39)</f>
        <v>21900807.446221944</v>
      </c>
      <c r="U193" s="165">
        <f ca="1">SUMPRODUCT(I117:I130,'Function Code Mapping'!$P$26:$P$39)</f>
        <v>21900807.446221944</v>
      </c>
      <c r="V193" s="165">
        <f ca="1">SUMPRODUCT(J117:J130,'Function Code Mapping'!$P$26:$P$39)</f>
        <v>21900807.446221944</v>
      </c>
      <c r="W193" s="165">
        <f ca="1">SUMPRODUCT(K117:K130,'Function Code Mapping'!$P$26:$P$39)</f>
        <v>21900807.446221944</v>
      </c>
      <c r="X193" s="165">
        <f ca="1">SUMPRODUCT(L117:L130,'Function Code Mapping'!$P$26:$P$39)</f>
        <v>21900807.446221944</v>
      </c>
      <c r="Y193" s="165">
        <f ca="1">SUMPRODUCT(M117:M130,'Function Code Mapping'!$P$26:$P$39)</f>
        <v>21900807.446221944</v>
      </c>
      <c r="Z193" s="146"/>
      <c r="AA193" s="146"/>
    </row>
    <row r="194" spans="1:27" s="147" customFormat="1" x14ac:dyDescent="0.2">
      <c r="A194" s="146"/>
      <c r="B194" s="277"/>
      <c r="C194" s="277"/>
      <c r="D194" s="272" t="s">
        <v>70</v>
      </c>
      <c r="E194" s="272"/>
      <c r="F194" s="272"/>
      <c r="G194" s="272"/>
      <c r="H194" s="272"/>
      <c r="I194" s="272"/>
      <c r="J194" s="272"/>
      <c r="K194" s="272"/>
      <c r="L194" s="272"/>
      <c r="M194" s="272"/>
      <c r="N194" s="57" t="s">
        <v>71</v>
      </c>
      <c r="O194" s="165">
        <f>SUMPRODUCT(C117:C130,'Function Code Mapping'!$Q$26:$Q$39)</f>
        <v>285683.52931180358</v>
      </c>
      <c r="P194" s="165">
        <f>SUMPRODUCT(D117:D130,'Function Code Mapping'!$Q$26:$Q$39)</f>
        <v>597247.25462483743</v>
      </c>
      <c r="Q194" s="165">
        <f>SUMPRODUCT(E117:E130,'Function Code Mapping'!$Q$26:$Q$39)</f>
        <v>1400994.5324853596</v>
      </c>
      <c r="R194" s="165">
        <f>SUMPRODUCT(F117:F130,'Function Code Mapping'!$Q$26:$Q$39)</f>
        <v>1648447.8722962753</v>
      </c>
      <c r="S194" s="165">
        <f ca="1">SUMPRODUCT(G117:G130,'Function Code Mapping'!$Q$26:$Q$39)</f>
        <v>1648447.8722962753</v>
      </c>
      <c r="T194" s="165">
        <f ca="1">SUMPRODUCT(H117:H130,'Function Code Mapping'!$Q$26:$Q$39)</f>
        <v>1648447.8722962753</v>
      </c>
      <c r="U194" s="165">
        <f ca="1">SUMPRODUCT(I117:I130,'Function Code Mapping'!$Q$26:$Q$39)</f>
        <v>1648447.8722962753</v>
      </c>
      <c r="V194" s="165">
        <f ca="1">SUMPRODUCT(J117:J130,'Function Code Mapping'!$Q$26:$Q$39)</f>
        <v>1648447.8722962753</v>
      </c>
      <c r="W194" s="165">
        <f ca="1">SUMPRODUCT(K117:K130,'Function Code Mapping'!$Q$26:$Q$39)</f>
        <v>1648447.8722962753</v>
      </c>
      <c r="X194" s="165">
        <f ca="1">SUMPRODUCT(L117:L130,'Function Code Mapping'!$Q$26:$Q$39)</f>
        <v>1648447.8722962753</v>
      </c>
      <c r="Y194" s="165">
        <f ca="1">SUMPRODUCT(M117:M130,'Function Code Mapping'!$Q$26:$Q$39)</f>
        <v>1648447.8722962753</v>
      </c>
      <c r="Z194" s="146"/>
      <c r="AA194" s="146"/>
    </row>
    <row r="195" spans="1:27" s="147" customFormat="1" ht="12.75" customHeight="1" x14ac:dyDescent="0.2">
      <c r="A195" s="146"/>
      <c r="B195" s="270" t="s">
        <v>327</v>
      </c>
      <c r="C195" s="271"/>
      <c r="D195" s="272" t="s">
        <v>307</v>
      </c>
      <c r="E195" s="272"/>
      <c r="F195" s="272"/>
      <c r="G195" s="272"/>
      <c r="H195" s="272"/>
      <c r="I195" s="272"/>
      <c r="J195" s="272"/>
      <c r="K195" s="272"/>
      <c r="L195" s="272"/>
      <c r="M195" s="272"/>
      <c r="N195" s="140"/>
      <c r="O195" s="165">
        <f>C128</f>
        <v>28297151.378481951</v>
      </c>
      <c r="P195" s="165">
        <f t="shared" ref="P195:Y195" si="34">D128</f>
        <v>26751336.113657504</v>
      </c>
      <c r="Q195" s="165">
        <f t="shared" si="34"/>
        <v>31630213.472679563</v>
      </c>
      <c r="R195" s="165">
        <f t="shared" si="34"/>
        <v>37167582.356368974</v>
      </c>
      <c r="S195" s="165">
        <f t="shared" ca="1" si="34"/>
        <v>30895332.872157205</v>
      </c>
      <c r="T195" s="165">
        <f t="shared" ca="1" si="34"/>
        <v>30588825.600839078</v>
      </c>
      <c r="U195" s="165">
        <f t="shared" ca="1" si="34"/>
        <v>30048252.589520007</v>
      </c>
      <c r="V195" s="165">
        <f t="shared" ca="1" si="34"/>
        <v>25764692.36687756</v>
      </c>
      <c r="W195" s="165">
        <f t="shared" ca="1" si="34"/>
        <v>23600658.42987562</v>
      </c>
      <c r="X195" s="165">
        <f t="shared" ca="1" si="34"/>
        <v>22490672.264826532</v>
      </c>
      <c r="Y195" s="165">
        <f t="shared" ca="1" si="34"/>
        <v>22520238.092769142</v>
      </c>
      <c r="Z195" s="146"/>
      <c r="AA195" s="146"/>
    </row>
    <row r="196" spans="1:27" s="147" customForma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71" t="s">
        <v>36</v>
      </c>
      <c r="O196" s="168">
        <f t="shared" ref="O196:Y196" si="35">SUM(O181:O195)</f>
        <v>127327123.06296949</v>
      </c>
      <c r="P196" s="168">
        <f t="shared" si="35"/>
        <v>142617651.1851213</v>
      </c>
      <c r="Q196" s="168">
        <f t="shared" si="35"/>
        <v>168290755.56213629</v>
      </c>
      <c r="R196" s="168">
        <f t="shared" si="35"/>
        <v>187893159.38877356</v>
      </c>
      <c r="S196" s="168">
        <f t="shared" ca="1" si="35"/>
        <v>169521983.66764632</v>
      </c>
      <c r="T196" s="168">
        <f t="shared" ca="1" si="35"/>
        <v>168443200.18997458</v>
      </c>
      <c r="U196" s="168">
        <f t="shared" ca="1" si="35"/>
        <v>152183681.50851223</v>
      </c>
      <c r="V196" s="168">
        <f t="shared" ca="1" si="35"/>
        <v>168182511.79317045</v>
      </c>
      <c r="W196" s="168">
        <f t="shared" ca="1" si="35"/>
        <v>167311609.52047092</v>
      </c>
      <c r="X196" s="168">
        <f t="shared" ca="1" si="35"/>
        <v>167800930.41757581</v>
      </c>
      <c r="Y196" s="168">
        <f t="shared" ca="1" si="35"/>
        <v>168353324.07018727</v>
      </c>
      <c r="Z196" s="146"/>
      <c r="AA196" s="146"/>
    </row>
    <row r="197" spans="1:27" s="147" customForma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 t="s">
        <v>231</v>
      </c>
      <c r="O197" s="146"/>
      <c r="P197" s="146"/>
      <c r="Q197" s="183">
        <f>Q196-E131</f>
        <v>0</v>
      </c>
      <c r="R197" s="183">
        <f t="shared" ref="R197:Y197" si="36">R196-F131</f>
        <v>0</v>
      </c>
      <c r="S197" s="183">
        <f t="shared" ca="1" si="36"/>
        <v>0</v>
      </c>
      <c r="T197" s="183">
        <f t="shared" ca="1" si="36"/>
        <v>0</v>
      </c>
      <c r="U197" s="183">
        <f t="shared" ca="1" si="36"/>
        <v>0</v>
      </c>
      <c r="V197" s="183">
        <f t="shared" ca="1" si="36"/>
        <v>0</v>
      </c>
      <c r="W197" s="183">
        <f t="shared" ca="1" si="36"/>
        <v>0</v>
      </c>
      <c r="X197" s="183">
        <f t="shared" ca="1" si="36"/>
        <v>0</v>
      </c>
      <c r="Y197" s="183">
        <f t="shared" ca="1" si="36"/>
        <v>0</v>
      </c>
      <c r="Z197" s="146"/>
      <c r="AA197" s="146"/>
    </row>
    <row r="198" spans="1:27" ht="15.75" x14ac:dyDescent="0.25">
      <c r="A198" s="28"/>
      <c r="B198" s="28" t="s">
        <v>309</v>
      </c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idden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idden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idden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idden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idden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idden="1" x14ac:dyDescent="0.2"/>
    <row r="206" spans="1:27" hidden="1" x14ac:dyDescent="0.2"/>
    <row r="207" spans="1:27" hidden="1" x14ac:dyDescent="0.2"/>
    <row r="208" spans="1:27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</sheetData>
  <mergeCells count="75">
    <mergeCell ref="B195:C195"/>
    <mergeCell ref="D195:M195"/>
    <mergeCell ref="B189:C191"/>
    <mergeCell ref="D189:M189"/>
    <mergeCell ref="D190:M190"/>
    <mergeCell ref="D191:M191"/>
    <mergeCell ref="B192:C194"/>
    <mergeCell ref="D192:M192"/>
    <mergeCell ref="D193:M193"/>
    <mergeCell ref="D194:M194"/>
    <mergeCell ref="B184:C188"/>
    <mergeCell ref="D184:M184"/>
    <mergeCell ref="D185:M185"/>
    <mergeCell ref="D186:M186"/>
    <mergeCell ref="D187:M187"/>
    <mergeCell ref="D188:M188"/>
    <mergeCell ref="O179:Y179"/>
    <mergeCell ref="B180:C180"/>
    <mergeCell ref="D180:M180"/>
    <mergeCell ref="B181:C183"/>
    <mergeCell ref="D181:M181"/>
    <mergeCell ref="D182:M182"/>
    <mergeCell ref="D183:M183"/>
    <mergeCell ref="D30:M30"/>
    <mergeCell ref="D31:M31"/>
    <mergeCell ref="C6:M6"/>
    <mergeCell ref="O158:Y158"/>
    <mergeCell ref="B174:C174"/>
    <mergeCell ref="D174:M174"/>
    <mergeCell ref="B168:C170"/>
    <mergeCell ref="D168:M168"/>
    <mergeCell ref="D169:M169"/>
    <mergeCell ref="D170:M170"/>
    <mergeCell ref="B171:C173"/>
    <mergeCell ref="D171:M171"/>
    <mergeCell ref="D172:M172"/>
    <mergeCell ref="D173:M173"/>
    <mergeCell ref="B160:C162"/>
    <mergeCell ref="D160:M160"/>
    <mergeCell ref="O27:Y27"/>
    <mergeCell ref="B32:C36"/>
    <mergeCell ref="D32:M32"/>
    <mergeCell ref="D33:M33"/>
    <mergeCell ref="B40:C42"/>
    <mergeCell ref="D40:M40"/>
    <mergeCell ref="D41:M41"/>
    <mergeCell ref="D42:M42"/>
    <mergeCell ref="D34:M34"/>
    <mergeCell ref="D35:M35"/>
    <mergeCell ref="D36:M36"/>
    <mergeCell ref="B37:C39"/>
    <mergeCell ref="B28:C28"/>
    <mergeCell ref="D28:M28"/>
    <mergeCell ref="B29:C31"/>
    <mergeCell ref="D29:M29"/>
    <mergeCell ref="D161:M161"/>
    <mergeCell ref="D162:M162"/>
    <mergeCell ref="B163:C167"/>
    <mergeCell ref="D163:M163"/>
    <mergeCell ref="D164:M164"/>
    <mergeCell ref="D165:M165"/>
    <mergeCell ref="D166:M166"/>
    <mergeCell ref="D167:M167"/>
    <mergeCell ref="B159:C159"/>
    <mergeCell ref="D159:M159"/>
    <mergeCell ref="D37:M37"/>
    <mergeCell ref="D38:M38"/>
    <mergeCell ref="D39:M39"/>
    <mergeCell ref="B43:C43"/>
    <mergeCell ref="D43:M43"/>
    <mergeCell ref="C49:M49"/>
    <mergeCell ref="C71:M71"/>
    <mergeCell ref="C93:M93"/>
    <mergeCell ref="C137:M137"/>
    <mergeCell ref="C115:M115"/>
  </mergeCells>
  <conditionalFormatting sqref="N2">
    <cfRule type="expression" dxfId="3" priority="1">
      <formula>N2="Check!"</formula>
    </cfRule>
  </conditionalFormatting>
  <hyperlinks>
    <hyperlink ref="N1" location="Menu!A1" display="Menu" xr:uid="{00000000-0004-0000-0A00-000000000000}"/>
  </hyperlinks>
  <pageMargins left="0.25" right="0.25" top="0.75" bottom="0.75" header="0.3" footer="0.3"/>
  <pageSetup paperSize="9" scale="2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>
    <tabColor rgb="FFFF0000"/>
  </sheetPr>
  <dimension ref="A1:T120"/>
  <sheetViews>
    <sheetView zoomScale="80" zoomScaleNormal="80" workbookViewId="0"/>
  </sheetViews>
  <sheetFormatPr defaultColWidth="0" defaultRowHeight="12.75" zeroHeight="1" x14ac:dyDescent="0.2"/>
  <cols>
    <col min="1" max="1" width="3.7109375" style="60" customWidth="1"/>
    <col min="2" max="2" width="9.140625" style="60" customWidth="1"/>
    <col min="3" max="8" width="13.7109375" style="60" customWidth="1"/>
    <col min="9" max="13" width="15.140625" style="60" bestFit="1" customWidth="1"/>
    <col min="14" max="14" width="3.7109375" style="130" customWidth="1"/>
    <col min="15" max="15" width="3.7109375" style="60" hidden="1" customWidth="1"/>
    <col min="16" max="16384" width="9.140625" style="60" hidden="1"/>
  </cols>
  <sheetData>
    <row r="1" spans="1:20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39" t="s">
        <v>351</v>
      </c>
      <c r="J1" s="239"/>
      <c r="K1" s="26"/>
      <c r="L1" s="26"/>
      <c r="M1" s="30" t="s">
        <v>39</v>
      </c>
      <c r="N1" s="26"/>
      <c r="O1" s="26"/>
      <c r="P1" s="26"/>
      <c r="Q1" s="26"/>
      <c r="R1" s="26"/>
      <c r="S1" s="26"/>
      <c r="T1" s="26"/>
    </row>
    <row r="2" spans="1:20" ht="15.75" x14ac:dyDescent="0.25">
      <c r="A2" s="173" t="str">
        <f ca="1">RIGHT(CELL("filename", $A$1), LEN(CELL("filename", $A$1)) - SEARCH("]", CELL("filename", $A$1)))</f>
        <v>Forecast Contributions</v>
      </c>
      <c r="B2" s="28"/>
      <c r="C2" s="28"/>
      <c r="D2" s="28"/>
      <c r="E2" s="28"/>
      <c r="F2" s="28"/>
      <c r="G2" s="28"/>
      <c r="H2" s="28"/>
      <c r="I2" s="240" t="s">
        <v>352</v>
      </c>
      <c r="J2" s="240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x14ac:dyDescent="0.2">
      <c r="A3" s="3"/>
      <c r="B3" s="3"/>
      <c r="C3" s="3"/>
      <c r="D3" s="3"/>
      <c r="E3" s="3"/>
      <c r="F3" s="3"/>
      <c r="G3" s="3"/>
      <c r="H3" s="3"/>
      <c r="I3" s="146"/>
      <c r="J3" s="48"/>
      <c r="K3" s="3"/>
      <c r="L3" s="196" t="s">
        <v>350</v>
      </c>
      <c r="M3" s="3"/>
      <c r="N3" s="3"/>
      <c r="O3" s="3"/>
      <c r="P3" s="3"/>
      <c r="Q3" s="3"/>
      <c r="R3" s="3"/>
      <c r="S3" s="3"/>
      <c r="T3" s="3"/>
    </row>
    <row r="4" spans="1:20" x14ac:dyDescent="0.2">
      <c r="A4" s="3"/>
      <c r="B4" s="34" t="s">
        <v>192</v>
      </c>
      <c r="C4" s="3"/>
      <c r="D4" s="3"/>
      <c r="E4" s="3"/>
      <c r="F4" s="3"/>
      <c r="G4" s="3"/>
      <c r="H4" s="3"/>
      <c r="I4" s="146"/>
      <c r="J4" s="48"/>
      <c r="K4" s="3"/>
      <c r="L4" s="197">
        <v>0.57999999999999996</v>
      </c>
      <c r="M4" s="3"/>
      <c r="N4" s="3"/>
      <c r="O4" s="3"/>
      <c r="P4" s="3"/>
      <c r="Q4" s="3"/>
      <c r="R4" s="3"/>
      <c r="S4" s="3"/>
      <c r="T4" s="3"/>
    </row>
    <row r="5" spans="1:20" x14ac:dyDescent="0.2">
      <c r="A5" s="3"/>
      <c r="B5" s="4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"/>
      <c r="B6" s="3"/>
      <c r="C6" s="281" t="str">
        <f>"$ "&amp;Inflation!$C$4</f>
        <v>$ 2021</v>
      </c>
      <c r="D6" s="262"/>
      <c r="E6" s="262"/>
      <c r="F6" s="262"/>
      <c r="G6" s="262"/>
      <c r="H6" s="262"/>
      <c r="I6" s="262"/>
      <c r="J6" s="262"/>
      <c r="K6" s="262"/>
      <c r="L6" s="262"/>
      <c r="M6" s="263"/>
      <c r="N6" s="3"/>
      <c r="O6" s="3"/>
      <c r="P6" s="3"/>
      <c r="Q6" s="3"/>
      <c r="R6" s="3"/>
      <c r="S6" s="3"/>
      <c r="T6" s="3"/>
    </row>
    <row r="7" spans="1:20" ht="25.5" x14ac:dyDescent="0.2">
      <c r="A7" s="3"/>
      <c r="B7" s="2" t="s">
        <v>35</v>
      </c>
      <c r="C7" s="2" t="s">
        <v>323</v>
      </c>
      <c r="D7" s="2" t="s">
        <v>324</v>
      </c>
      <c r="E7" s="2" t="s">
        <v>325</v>
      </c>
      <c r="F7" s="2" t="s">
        <v>326</v>
      </c>
      <c r="G7" s="136" t="s">
        <v>315</v>
      </c>
      <c r="H7" s="136" t="s">
        <v>316</v>
      </c>
      <c r="I7" s="136" t="s">
        <v>317</v>
      </c>
      <c r="J7" s="136" t="s">
        <v>318</v>
      </c>
      <c r="K7" s="136" t="s">
        <v>319</v>
      </c>
      <c r="L7" s="136" t="s">
        <v>320</v>
      </c>
      <c r="M7" s="136" t="s">
        <v>321</v>
      </c>
      <c r="N7" s="3"/>
      <c r="O7" s="3"/>
      <c r="P7" s="3"/>
      <c r="Q7" s="3"/>
      <c r="R7" s="3"/>
      <c r="S7" s="3"/>
      <c r="T7" s="3"/>
    </row>
    <row r="8" spans="1:20" x14ac:dyDescent="0.2">
      <c r="A8" s="3"/>
      <c r="B8" s="188">
        <f>IF('Historical Contributions'!B8=0," ",'Historical Contributions'!B8)</f>
        <v>102</v>
      </c>
      <c r="C8" s="166">
        <f>'Historical Contributions'!C8*Inflation!G$10</f>
        <v>262888.967133219</v>
      </c>
      <c r="D8" s="166">
        <f>'Historical Contributions'!D8*Inflation!H$10</f>
        <v>239084.14917358785</v>
      </c>
      <c r="E8" s="166">
        <f>'Historical Contributions'!E8*Inflation!I$10</f>
        <v>141136.99079189688</v>
      </c>
      <c r="F8" s="166">
        <f>'Historical Contributions'!F8*Inflation!J$10</f>
        <v>33379.314182853072</v>
      </c>
      <c r="G8" s="158">
        <f>AVERAGE($D8:$F8)</f>
        <v>137866.81804944595</v>
      </c>
      <c r="H8" s="158">
        <f t="shared" ref="H8:H20" si="0">AVERAGE($D8:$F8)</f>
        <v>137866.81804944595</v>
      </c>
      <c r="I8" s="200">
        <v>82089.043096515132</v>
      </c>
      <c r="J8" s="200">
        <v>146414.78159959469</v>
      </c>
      <c r="K8" s="200">
        <v>148888.89715184309</v>
      </c>
      <c r="L8" s="200">
        <v>149527.37746282932</v>
      </c>
      <c r="M8" s="200">
        <v>148832.50628162501</v>
      </c>
      <c r="N8" s="3"/>
      <c r="O8" s="3"/>
      <c r="P8" s="3"/>
      <c r="Q8" s="3"/>
      <c r="R8" s="3"/>
      <c r="S8" s="3"/>
      <c r="T8" s="3"/>
    </row>
    <row r="9" spans="1:20" x14ac:dyDescent="0.2">
      <c r="A9" s="3"/>
      <c r="B9" s="188">
        <f>IF('Historical Contributions'!B9=0," ",'Historical Contributions'!B9)</f>
        <v>104</v>
      </c>
      <c r="C9" s="166">
        <f>'Historical Contributions'!C9*Inflation!G$10</f>
        <v>26322974.663418122</v>
      </c>
      <c r="D9" s="166">
        <f>'Historical Contributions'!D9*Inflation!H$10</f>
        <v>35500693.298623361</v>
      </c>
      <c r="E9" s="166">
        <f>'Historical Contributions'!E9*Inflation!I$10</f>
        <v>40526170.935543276</v>
      </c>
      <c r="F9" s="166">
        <f>'Historical Contributions'!F9*Inflation!J$10</f>
        <v>50100591.606474228</v>
      </c>
      <c r="G9" s="158">
        <f t="shared" ref="G9:G20" si="1">AVERAGE($D9:$F9)</f>
        <v>42042485.280213624</v>
      </c>
      <c r="H9" s="158">
        <f t="shared" si="0"/>
        <v>42042485.280213624</v>
      </c>
      <c r="I9" s="200">
        <v>25033053.165949445</v>
      </c>
      <c r="J9" s="200">
        <v>44649186.710024245</v>
      </c>
      <c r="K9" s="200">
        <v>45403668.231819034</v>
      </c>
      <c r="L9" s="200">
        <v>45598372.798560515</v>
      </c>
      <c r="M9" s="200">
        <v>45386471.836307593</v>
      </c>
      <c r="N9" s="3"/>
      <c r="O9" s="3"/>
      <c r="P9" s="3"/>
      <c r="Q9" s="3"/>
      <c r="R9" s="3"/>
      <c r="S9" s="3"/>
      <c r="T9" s="3"/>
    </row>
    <row r="10" spans="1:20" x14ac:dyDescent="0.2">
      <c r="A10" s="3"/>
      <c r="B10" s="188">
        <f>IF('Historical Contributions'!B10=0," ",'Historical Contributions'!B10)</f>
        <v>105</v>
      </c>
      <c r="C10" s="166">
        <f>'Historical Contributions'!C10*Inflation!G$10</f>
        <v>229181.24307697397</v>
      </c>
      <c r="D10" s="166">
        <f>'Historical Contributions'!D10*Inflation!H$10</f>
        <v>279430.13821391581</v>
      </c>
      <c r="E10" s="166">
        <f>'Historical Contributions'!E10*Inflation!I$10</f>
        <v>105404.42081031309</v>
      </c>
      <c r="F10" s="166">
        <f>'Historical Contributions'!F10*Inflation!J$10</f>
        <v>14788.478197440141</v>
      </c>
      <c r="G10" s="158">
        <f t="shared" si="1"/>
        <v>133207.67907388968</v>
      </c>
      <c r="H10" s="158">
        <f t="shared" si="0"/>
        <v>133207.67907388968</v>
      </c>
      <c r="I10" s="199">
        <f>79314.8856482746/L4</f>
        <v>136749.80284185277</v>
      </c>
      <c r="J10" s="200">
        <v>141466.76854467983</v>
      </c>
      <c r="K10" s="200">
        <v>143857.27262055851</v>
      </c>
      <c r="L10" s="200">
        <v>144474.17581426495</v>
      </c>
      <c r="M10" s="200">
        <v>143802.78745111031</v>
      </c>
      <c r="N10" s="3"/>
      <c r="O10" s="3"/>
      <c r="P10" s="3"/>
      <c r="Q10" s="3"/>
      <c r="R10" s="3"/>
      <c r="S10" s="3"/>
      <c r="T10" s="3"/>
    </row>
    <row r="11" spans="1:20" x14ac:dyDescent="0.2">
      <c r="A11" s="3"/>
      <c r="B11" s="188">
        <f>IF('Historical Contributions'!B11=0," ",'Historical Contributions'!B11)</f>
        <v>106</v>
      </c>
      <c r="C11" s="166">
        <f>'Historical Contributions'!C11*Inflation!G$10</f>
        <v>218909.58422345057</v>
      </c>
      <c r="D11" s="166">
        <f>'Historical Contributions'!D11*Inflation!H$10</f>
        <v>252595.26806400093</v>
      </c>
      <c r="E11" s="166">
        <f>'Historical Contributions'!E11*Inflation!I$10</f>
        <v>149986.80847145489</v>
      </c>
      <c r="F11" s="166">
        <f>'Historical Contributions'!F11*Inflation!J$10</f>
        <v>151089.53690739459</v>
      </c>
      <c r="G11" s="158">
        <f t="shared" si="1"/>
        <v>184557.20448095014</v>
      </c>
      <c r="H11" s="158">
        <f t="shared" si="0"/>
        <v>184557.20448095014</v>
      </c>
      <c r="I11" s="199">
        <f>109889.562454219/L4</f>
        <v>189464.76285210173</v>
      </c>
      <c r="J11" s="200">
        <v>196000.0467771632</v>
      </c>
      <c r="K11" s="200">
        <v>199312.05365703508</v>
      </c>
      <c r="L11" s="200">
        <v>200166.76360812338</v>
      </c>
      <c r="M11" s="200">
        <v>199236.56528707818</v>
      </c>
      <c r="N11" s="3"/>
      <c r="O11" s="3"/>
      <c r="P11" s="3"/>
      <c r="Q11" s="3"/>
      <c r="R11" s="3"/>
      <c r="S11" s="3"/>
      <c r="T11" s="3"/>
    </row>
    <row r="12" spans="1:20" x14ac:dyDescent="0.2">
      <c r="A12" s="3"/>
      <c r="B12" s="188">
        <f>IF('Historical Contributions'!B12=0," ",'Historical Contributions'!B12)</f>
        <v>107</v>
      </c>
      <c r="C12" s="166">
        <f>'Historical Contributions'!C12*Inflation!G$10</f>
        <v>0</v>
      </c>
      <c r="D12" s="166">
        <f>'Historical Contributions'!D12*Inflation!H$10</f>
        <v>45744.426976744187</v>
      </c>
      <c r="E12" s="166">
        <f>'Historical Contributions'!E12*Inflation!I$10</f>
        <v>45281.085635359115</v>
      </c>
      <c r="F12" s="166">
        <f>'Historical Contributions'!F12*Inflation!J$10</f>
        <v>0</v>
      </c>
      <c r="G12" s="158">
        <f t="shared" si="1"/>
        <v>30341.83753736777</v>
      </c>
      <c r="H12" s="158">
        <f t="shared" si="0"/>
        <v>30341.83753736777</v>
      </c>
      <c r="I12" s="199">
        <f>18066.2210419562/L4</f>
        <v>31148.656968890002</v>
      </c>
      <c r="J12" s="200">
        <v>32223.080065362683</v>
      </c>
      <c r="K12" s="200">
        <v>32767.585358203145</v>
      </c>
      <c r="L12" s="200">
        <v>32908.10260623163</v>
      </c>
      <c r="M12" s="200">
        <v>32755.17481122052</v>
      </c>
      <c r="N12" s="3"/>
      <c r="O12" s="3"/>
      <c r="P12" s="3"/>
      <c r="Q12" s="3"/>
      <c r="R12" s="3"/>
      <c r="S12" s="3"/>
      <c r="T12" s="3"/>
    </row>
    <row r="13" spans="1:20" x14ac:dyDescent="0.2">
      <c r="A13" s="3"/>
      <c r="B13" s="188">
        <f>IF('Historical Contributions'!B13=0," ",'Historical Contributions'!B13)</f>
        <v>108</v>
      </c>
      <c r="C13" s="166">
        <f>'Historical Contributions'!C13*Inflation!G$10</f>
        <v>2163447.1146916496</v>
      </c>
      <c r="D13" s="166">
        <f>'Historical Contributions'!D13*Inflation!H$10</f>
        <v>2629535.3400552045</v>
      </c>
      <c r="E13" s="166">
        <f>'Historical Contributions'!E13*Inflation!I$10</f>
        <v>3491471.3508287296</v>
      </c>
      <c r="F13" s="166">
        <f>'Historical Contributions'!F13*Inflation!J$10</f>
        <v>3879499.9225482889</v>
      </c>
      <c r="G13" s="158">
        <f t="shared" si="1"/>
        <v>3333502.2044774075</v>
      </c>
      <c r="H13" s="158">
        <f t="shared" si="0"/>
        <v>3333502.2044774075</v>
      </c>
      <c r="I13" s="199">
        <f>1984843.12612141/L4</f>
        <v>3422143.3208989827</v>
      </c>
      <c r="J13" s="200">
        <v>3540184.6806624583</v>
      </c>
      <c r="K13" s="200">
        <v>3600006.6868872917</v>
      </c>
      <c r="L13" s="200">
        <v>3615444.5968521433</v>
      </c>
      <c r="M13" s="200">
        <v>3598643.2036877526</v>
      </c>
      <c r="N13" s="3"/>
      <c r="O13" s="3"/>
      <c r="P13" s="3"/>
      <c r="Q13" s="3"/>
      <c r="R13" s="3"/>
      <c r="S13" s="3"/>
      <c r="T13" s="3"/>
    </row>
    <row r="14" spans="1:20" x14ac:dyDescent="0.2">
      <c r="A14" s="3"/>
      <c r="B14" s="188">
        <f>IF('Historical Contributions'!B14=0," ",'Historical Contributions'!B14)</f>
        <v>109</v>
      </c>
      <c r="C14" s="166">
        <f>'Historical Contributions'!C14*Inflation!G$10</f>
        <v>0</v>
      </c>
      <c r="D14" s="166">
        <f>'Historical Contributions'!D14*Inflation!H$10</f>
        <v>0</v>
      </c>
      <c r="E14" s="166">
        <f>'Historical Contributions'!E14*Inflation!I$10</f>
        <v>0</v>
      </c>
      <c r="F14" s="166">
        <f>'Historical Contributions'!F14*Inflation!J$10</f>
        <v>0</v>
      </c>
      <c r="G14" s="158">
        <f t="shared" si="1"/>
        <v>0</v>
      </c>
      <c r="H14" s="158">
        <f t="shared" si="0"/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3"/>
      <c r="O14" s="3"/>
      <c r="P14" s="3"/>
      <c r="Q14" s="3"/>
      <c r="R14" s="3"/>
      <c r="S14" s="3"/>
      <c r="T14" s="3"/>
    </row>
    <row r="15" spans="1:20" x14ac:dyDescent="0.2">
      <c r="A15" s="3"/>
      <c r="B15" s="188">
        <f>IF('Historical Contributions'!B15=0," ",'Historical Contributions'!B15)</f>
        <v>110</v>
      </c>
      <c r="C15" s="166">
        <f>'Historical Contributions'!C15*Inflation!G$10</f>
        <v>1216262.0091793064</v>
      </c>
      <c r="D15" s="166">
        <f>'Historical Contributions'!D15*Inflation!H$10</f>
        <v>928753.60529321374</v>
      </c>
      <c r="E15" s="166">
        <f>'Historical Contributions'!E15*Inflation!I$10</f>
        <v>1285015.7826887663</v>
      </c>
      <c r="F15" s="166">
        <f>'Historical Contributions'!F15*Inflation!J$10</f>
        <v>1812884.0117902933</v>
      </c>
      <c r="G15" s="158">
        <f t="shared" si="1"/>
        <v>1342217.7999240912</v>
      </c>
      <c r="H15" s="158">
        <f t="shared" si="0"/>
        <v>1342217.7999240912</v>
      </c>
      <c r="I15" s="200">
        <v>799187.04429199116</v>
      </c>
      <c r="J15" s="200">
        <v>1425437.4534450499</v>
      </c>
      <c r="K15" s="200">
        <v>1449524.4816384898</v>
      </c>
      <c r="L15" s="200">
        <v>1455740.4779922999</v>
      </c>
      <c r="M15" s="200">
        <v>1448975.482025452</v>
      </c>
      <c r="N15" s="3"/>
      <c r="O15" s="3"/>
      <c r="P15" s="3"/>
      <c r="Q15" s="3"/>
      <c r="R15" s="3"/>
      <c r="S15" s="3"/>
      <c r="T15" s="3"/>
    </row>
    <row r="16" spans="1:20" x14ac:dyDescent="0.2">
      <c r="A16" s="3"/>
      <c r="B16" s="188">
        <f>IF('Historical Contributions'!B16=0," ",'Historical Contributions'!B16)</f>
        <v>111</v>
      </c>
      <c r="C16" s="166">
        <f>'Historical Contributions'!C16*Inflation!G$10</f>
        <v>152129.09099903685</v>
      </c>
      <c r="D16" s="166">
        <f>'Historical Contributions'!D16*Inflation!H$10</f>
        <v>282218.5166637646</v>
      </c>
      <c r="E16" s="166">
        <f>'Historical Contributions'!E16*Inflation!I$10</f>
        <v>240594.98895027625</v>
      </c>
      <c r="F16" s="166">
        <f>'Historical Contributions'!F16*Inflation!J$10</f>
        <v>77073.228585930192</v>
      </c>
      <c r="G16" s="158">
        <f t="shared" si="1"/>
        <v>199962.24473332369</v>
      </c>
      <c r="H16" s="158">
        <f t="shared" si="0"/>
        <v>199962.24473332369</v>
      </c>
      <c r="I16" s="199">
        <f>119062.074238216/L4</f>
        <v>205279.43834175172</v>
      </c>
      <c r="J16" s="200">
        <v>212360.22420053199</v>
      </c>
      <c r="K16" s="200">
        <v>215948.68519902826</v>
      </c>
      <c r="L16" s="200">
        <v>216874.7380231171</v>
      </c>
      <c r="M16" s="200">
        <v>215866.89579421855</v>
      </c>
      <c r="N16" s="3"/>
      <c r="O16" s="3"/>
      <c r="P16" s="3"/>
      <c r="Q16" s="3"/>
      <c r="R16" s="3"/>
      <c r="S16" s="3"/>
      <c r="T16" s="3"/>
    </row>
    <row r="17" spans="1:20" x14ac:dyDescent="0.2">
      <c r="A17" s="3"/>
      <c r="B17" s="188">
        <f>IF('Historical Contributions'!B17=0," ",'Historical Contributions'!B17)</f>
        <v>114</v>
      </c>
      <c r="C17" s="166">
        <f>'Historical Contributions'!C17*Inflation!G$10</f>
        <v>0</v>
      </c>
      <c r="D17" s="166">
        <f>'Historical Contributions'!D17*Inflation!H$10</f>
        <v>0</v>
      </c>
      <c r="E17" s="166">
        <f>'Historical Contributions'!E17*Inflation!I$10</f>
        <v>0</v>
      </c>
      <c r="F17" s="166">
        <f>'Historical Contributions'!F17*Inflation!J$10</f>
        <v>0</v>
      </c>
      <c r="G17" s="158">
        <f t="shared" si="1"/>
        <v>0</v>
      </c>
      <c r="H17" s="158">
        <f t="shared" si="0"/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3"/>
      <c r="O17" s="3"/>
      <c r="P17" s="3"/>
      <c r="Q17" s="3"/>
      <c r="R17" s="3"/>
      <c r="S17" s="3"/>
      <c r="T17" s="3"/>
    </row>
    <row r="18" spans="1:20" x14ac:dyDescent="0.2">
      <c r="A18" s="3"/>
      <c r="B18" s="188">
        <f>IF('Historical Contributions'!B18=0," ",'Historical Contributions'!B18)</f>
        <v>115</v>
      </c>
      <c r="C18" s="166">
        <f>'Historical Contributions'!C18*Inflation!G$10</f>
        <v>0</v>
      </c>
      <c r="D18" s="166">
        <f>'Historical Contributions'!D18*Inflation!H$10</f>
        <v>0</v>
      </c>
      <c r="E18" s="166">
        <f>'Historical Contributions'!E18*Inflation!I$10</f>
        <v>0</v>
      </c>
      <c r="F18" s="166">
        <f>'Historical Contributions'!F18*Inflation!J$10</f>
        <v>0</v>
      </c>
      <c r="G18" s="158">
        <f t="shared" si="1"/>
        <v>0</v>
      </c>
      <c r="H18" s="158">
        <f t="shared" si="0"/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3"/>
      <c r="O18" s="3"/>
      <c r="P18" s="3"/>
      <c r="Q18" s="3"/>
      <c r="R18" s="3"/>
      <c r="S18" s="3"/>
      <c r="T18" s="3"/>
    </row>
    <row r="19" spans="1:20" x14ac:dyDescent="0.2">
      <c r="A19" s="3"/>
      <c r="B19" s="188">
        <f>IF('Historical Contributions'!B19=0," ",'Historical Contributions'!B19)</f>
        <v>116</v>
      </c>
      <c r="C19" s="166">
        <f>'Historical Contributions'!C19*Inflation!G$10</f>
        <v>528048.86437430675</v>
      </c>
      <c r="D19" s="166">
        <f>'Historical Contributions'!D19*Inflation!H$10</f>
        <v>409260.96770401328</v>
      </c>
      <c r="E19" s="166">
        <f>'Historical Contributions'!E19*Inflation!I$10</f>
        <v>150961.56169429098</v>
      </c>
      <c r="F19" s="166">
        <f>'Historical Contributions'!F19*Inflation!J$10</f>
        <v>229068.5660470989</v>
      </c>
      <c r="G19" s="158">
        <f t="shared" si="1"/>
        <v>263097.0318151344</v>
      </c>
      <c r="H19" s="158">
        <f t="shared" si="0"/>
        <v>263097.0318151344</v>
      </c>
      <c r="I19" s="199">
        <f>156653.964230116/L4</f>
        <v>270093.04177606205</v>
      </c>
      <c r="J19" s="200">
        <v>279409.4692088915</v>
      </c>
      <c r="K19" s="200">
        <v>284130.92769595666</v>
      </c>
      <c r="L19" s="200">
        <v>285349.36645496701</v>
      </c>
      <c r="M19" s="200">
        <v>284023.31463296036</v>
      </c>
      <c r="N19" s="3"/>
      <c r="O19" s="3"/>
      <c r="P19" s="3"/>
      <c r="Q19" s="3"/>
      <c r="R19" s="3"/>
      <c r="S19" s="3"/>
      <c r="T19" s="3"/>
    </row>
    <row r="20" spans="1:20" x14ac:dyDescent="0.2">
      <c r="A20" s="3"/>
      <c r="B20" s="188">
        <f>IF('Historical Contributions'!B20=0," ",'Historical Contributions'!B20)</f>
        <v>118</v>
      </c>
      <c r="C20" s="166">
        <f>'Historical Contributions'!C20*Inflation!G$10</f>
        <v>0</v>
      </c>
      <c r="D20" s="166">
        <f>'Historical Contributions'!D20*Inflation!H$10</f>
        <v>0</v>
      </c>
      <c r="E20" s="166">
        <f>'Historical Contributions'!E20*Inflation!I$10</f>
        <v>0</v>
      </c>
      <c r="F20" s="166">
        <f>'Historical Contributions'!F20*Inflation!J$10</f>
        <v>0</v>
      </c>
      <c r="G20" s="158">
        <f t="shared" si="1"/>
        <v>0</v>
      </c>
      <c r="H20" s="158">
        <f t="shared" si="0"/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3"/>
      <c r="O20" s="3"/>
      <c r="P20" s="3"/>
      <c r="Q20" s="3"/>
      <c r="R20" s="3"/>
      <c r="S20" s="3"/>
      <c r="T20" s="3"/>
    </row>
    <row r="21" spans="1:20" x14ac:dyDescent="0.2">
      <c r="A21" s="3"/>
      <c r="B21" s="71" t="s">
        <v>36</v>
      </c>
      <c r="C21" s="163">
        <f t="shared" ref="C21:M21" si="2">SUM(C8:C20)</f>
        <v>31093841.537096061</v>
      </c>
      <c r="D21" s="163">
        <f t="shared" si="2"/>
        <v>40567315.710767813</v>
      </c>
      <c r="E21" s="163">
        <f t="shared" si="2"/>
        <v>46136023.925414361</v>
      </c>
      <c r="F21" s="163">
        <f t="shared" si="2"/>
        <v>56298374.664733529</v>
      </c>
      <c r="G21" s="163">
        <f t="shared" si="2"/>
        <v>47667238.100305244</v>
      </c>
      <c r="H21" s="163">
        <f t="shared" si="2"/>
        <v>47667238.100305244</v>
      </c>
      <c r="I21" s="163">
        <f t="shared" si="2"/>
        <v>30169208.277017597</v>
      </c>
      <c r="J21" s="163">
        <f t="shared" si="2"/>
        <v>50622683.214527979</v>
      </c>
      <c r="K21" s="163">
        <f t="shared" si="2"/>
        <v>51478104.822027445</v>
      </c>
      <c r="L21" s="163">
        <f t="shared" si="2"/>
        <v>51698858.397374488</v>
      </c>
      <c r="M21" s="163">
        <f t="shared" si="2"/>
        <v>51458607.766279005</v>
      </c>
      <c r="N21" s="3"/>
      <c r="O21" s="3"/>
      <c r="P21" s="3"/>
      <c r="Q21" s="3"/>
      <c r="R21" s="3"/>
      <c r="S21" s="3"/>
      <c r="T21" s="3"/>
    </row>
    <row r="22" spans="1:20" x14ac:dyDescent="0.2">
      <c r="A22" s="3"/>
      <c r="B22" s="3" t="s">
        <v>231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3"/>
      <c r="O22" s="3"/>
      <c r="P22" s="3"/>
      <c r="Q22" s="3"/>
      <c r="R22" s="3"/>
      <c r="S22" s="3"/>
      <c r="T22" s="3"/>
    </row>
    <row r="23" spans="1:20" x14ac:dyDescent="0.2">
      <c r="A23" s="3"/>
      <c r="B23" s="3"/>
      <c r="C23" s="3"/>
      <c r="D23" s="3"/>
      <c r="E23" s="146"/>
      <c r="F23" s="146"/>
      <c r="G23" s="146"/>
      <c r="H23" s="3"/>
      <c r="I23" s="152"/>
      <c r="J23" s="152"/>
      <c r="K23" s="152"/>
      <c r="L23" s="152"/>
      <c r="M23" s="152"/>
      <c r="N23" s="3"/>
      <c r="O23" s="3"/>
      <c r="P23" s="3"/>
      <c r="Q23" s="3"/>
      <c r="R23" s="3"/>
      <c r="S23" s="3"/>
      <c r="T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3"/>
      <c r="B25" s="34" t="s">
        <v>193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4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3"/>
      <c r="B27" s="3"/>
      <c r="C27" s="281" t="str">
        <f>"$ "&amp;Inflation!$C$4</f>
        <v>$ 2021</v>
      </c>
      <c r="D27" s="262"/>
      <c r="E27" s="262"/>
      <c r="F27" s="262"/>
      <c r="G27" s="262"/>
      <c r="H27" s="262"/>
      <c r="I27" s="262"/>
      <c r="J27" s="262"/>
      <c r="K27" s="262"/>
      <c r="L27" s="262"/>
      <c r="M27" s="263"/>
      <c r="N27" s="3"/>
      <c r="O27" s="3"/>
      <c r="P27" s="3"/>
      <c r="Q27" s="3"/>
      <c r="R27" s="3"/>
      <c r="S27" s="3"/>
      <c r="T27" s="3"/>
    </row>
    <row r="28" spans="1:20" ht="25.5" x14ac:dyDescent="0.2">
      <c r="A28" s="3"/>
      <c r="B28" s="2" t="s">
        <v>35</v>
      </c>
      <c r="C28" s="2" t="s">
        <v>323</v>
      </c>
      <c r="D28" s="2" t="s">
        <v>324</v>
      </c>
      <c r="E28" s="2" t="s">
        <v>325</v>
      </c>
      <c r="F28" s="2" t="s">
        <v>326</v>
      </c>
      <c r="G28" s="136" t="s">
        <v>315</v>
      </c>
      <c r="H28" s="136" t="s">
        <v>316</v>
      </c>
      <c r="I28" s="136" t="s">
        <v>317</v>
      </c>
      <c r="J28" s="136" t="s">
        <v>318</v>
      </c>
      <c r="K28" s="136" t="s">
        <v>319</v>
      </c>
      <c r="L28" s="136" t="s">
        <v>320</v>
      </c>
      <c r="M28" s="136" t="s">
        <v>321</v>
      </c>
      <c r="N28" s="3"/>
      <c r="O28" s="3"/>
      <c r="P28" s="3"/>
      <c r="Q28" s="3"/>
      <c r="R28" s="3"/>
      <c r="S28" s="3"/>
      <c r="T28" s="3"/>
    </row>
    <row r="29" spans="1:20" x14ac:dyDescent="0.2">
      <c r="A29" s="3"/>
      <c r="B29" s="188">
        <f>IF('Historical Contributions'!B29=0," ",'Historical Contributions'!B29)</f>
        <v>102</v>
      </c>
      <c r="C29" s="166">
        <f>'Historical Contributions'!C29*Inflation!G$10</f>
        <v>14624.302171860245</v>
      </c>
      <c r="D29" s="166">
        <f>'Historical Contributions'!D29*Inflation!H$10</f>
        <v>68543.407441860472</v>
      </c>
      <c r="E29" s="166">
        <f>'Historical Contributions'!E29*Inflation!I$10</f>
        <v>107347.50736648252</v>
      </c>
      <c r="F29" s="166">
        <f>'Historical Contributions'!F29*Inflation!J$10</f>
        <v>100554.99295923188</v>
      </c>
      <c r="G29" s="158">
        <f t="shared" ref="G29:H41" si="3">AVERAGE($D29:$F29)</f>
        <v>92148.635922524962</v>
      </c>
      <c r="H29" s="158">
        <f t="shared" si="3"/>
        <v>92148.635922524962</v>
      </c>
      <c r="I29" s="200">
        <v>54867.396321689703</v>
      </c>
      <c r="J29" s="200">
        <v>97861.998950742287</v>
      </c>
      <c r="K29" s="200">
        <v>99515.67005507306</v>
      </c>
      <c r="L29" s="200">
        <v>99942.42313861537</v>
      </c>
      <c r="M29" s="200">
        <v>99477.979029468799</v>
      </c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188">
        <f>IF('Historical Contributions'!B30=0," ",'Historical Contributions'!B30)</f>
        <v>104</v>
      </c>
      <c r="C30" s="166">
        <f>'Historical Contributions'!C30*Inflation!G$10</f>
        <v>20100893.330330499</v>
      </c>
      <c r="D30" s="166">
        <f>'Historical Contributions'!D30*Inflation!H$10</f>
        <v>22141857.10467907</v>
      </c>
      <c r="E30" s="166">
        <f>'Historical Contributions'!E30*Inflation!I$10</f>
        <v>18441351.407918971</v>
      </c>
      <c r="F30" s="166">
        <f>'Historical Contributions'!F30*Inflation!J$10</f>
        <v>18789936.213860765</v>
      </c>
      <c r="G30" s="158">
        <f t="shared" si="3"/>
        <v>19791048.242152933</v>
      </c>
      <c r="H30" s="158">
        <f t="shared" si="3"/>
        <v>19791048.242152933</v>
      </c>
      <c r="I30" s="200">
        <v>11784040.823315652</v>
      </c>
      <c r="J30" s="200">
        <v>21018124.933895282</v>
      </c>
      <c r="K30" s="200">
        <v>21373289.004147835</v>
      </c>
      <c r="L30" s="200">
        <v>21464944.08703994</v>
      </c>
      <c r="M30" s="200">
        <v>21365193.985718507</v>
      </c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188">
        <f>IF('Historical Contributions'!B31=0," ",'Historical Contributions'!B31)</f>
        <v>105</v>
      </c>
      <c r="C31" s="166">
        <f>'Historical Contributions'!C31*Inflation!G$10</f>
        <v>27694.333333333332</v>
      </c>
      <c r="D31" s="166">
        <f>'Historical Contributions'!D31*Inflation!H$10</f>
        <v>70113.999069767437</v>
      </c>
      <c r="E31" s="166">
        <f>'Historical Contributions'!E31*Inflation!I$10</f>
        <v>42398.020257826887</v>
      </c>
      <c r="F31" s="166">
        <f>'Historical Contributions'!F31*Inflation!J$10</f>
        <v>0</v>
      </c>
      <c r="G31" s="158">
        <f t="shared" si="3"/>
        <v>37504.006442531441</v>
      </c>
      <c r="H31" s="158">
        <f t="shared" si="3"/>
        <v>37504.006442531441</v>
      </c>
      <c r="I31" s="199">
        <f>22330.7395115827/L4</f>
        <v>38501.27501997017</v>
      </c>
      <c r="J31" s="200">
        <v>39829.31491480158</v>
      </c>
      <c r="K31" s="200">
        <v>40502.350289983828</v>
      </c>
      <c r="L31" s="200">
        <v>40676.036533239749</v>
      </c>
      <c r="M31" s="200">
        <v>40487.010242321303</v>
      </c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188">
        <f>IF('Historical Contributions'!B32=0," ",'Historical Contributions'!B32)</f>
        <v>106</v>
      </c>
      <c r="C32" s="166">
        <f>'Historical Contributions'!C32*Inflation!G$10</f>
        <v>190858.77431539187</v>
      </c>
      <c r="D32" s="166">
        <f>'Historical Contributions'!D32*Inflation!H$10</f>
        <v>210139.32279069768</v>
      </c>
      <c r="E32" s="166">
        <f>'Historical Contributions'!E32*Inflation!I$10</f>
        <v>192548.5359116022</v>
      </c>
      <c r="F32" s="166">
        <f>'Historical Contributions'!F32*Inflation!J$10</f>
        <v>255496.53516086654</v>
      </c>
      <c r="G32" s="158">
        <f t="shared" si="3"/>
        <v>219394.79795438881</v>
      </c>
      <c r="H32" s="158">
        <f t="shared" si="3"/>
        <v>219394.79795438881</v>
      </c>
      <c r="I32" s="199">
        <f>130632.658961998/L4</f>
        <v>225228.72234827242</v>
      </c>
      <c r="J32" s="200">
        <v>232997.62684780505</v>
      </c>
      <c r="K32" s="200">
        <v>236934.81847506575</v>
      </c>
      <c r="L32" s="200">
        <v>237950.86614199917</v>
      </c>
      <c r="M32" s="200">
        <v>236845.08068497959</v>
      </c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188">
        <f>IF('Historical Contributions'!B33=0," ",'Historical Contributions'!B33)</f>
        <v>107</v>
      </c>
      <c r="C33" s="166">
        <f>'Historical Contributions'!C33*Inflation!G$10</f>
        <v>0</v>
      </c>
      <c r="D33" s="166">
        <f>'Historical Contributions'!D33*Inflation!H$10</f>
        <v>23887.477209302328</v>
      </c>
      <c r="E33" s="166">
        <f>'Historical Contributions'!E33*Inflation!I$10</f>
        <v>23645.523020257828</v>
      </c>
      <c r="F33" s="166">
        <f>'Historical Contributions'!F33*Inflation!J$10</f>
        <v>0</v>
      </c>
      <c r="G33" s="158">
        <f t="shared" si="3"/>
        <v>15844.333409853387</v>
      </c>
      <c r="H33" s="158">
        <f t="shared" si="3"/>
        <v>15844.333409853387</v>
      </c>
      <c r="I33" s="199">
        <f>9434.07693394746/L4</f>
        <v>16265.649886116309</v>
      </c>
      <c r="J33" s="200">
        <v>16826.707460259455</v>
      </c>
      <c r="K33" s="200">
        <v>17111.044998899593</v>
      </c>
      <c r="L33" s="200">
        <v>17184.422299297315</v>
      </c>
      <c r="M33" s="200">
        <v>17104.564282497722</v>
      </c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188">
        <f>IF('Historical Contributions'!B34=0," ",'Historical Contributions'!B34)</f>
        <v>108</v>
      </c>
      <c r="C34" s="166">
        <f>'Historical Contributions'!C34*Inflation!G$10</f>
        <v>1061895.2965155807</v>
      </c>
      <c r="D34" s="166">
        <f>'Historical Contributions'!D34*Inflation!H$10</f>
        <v>1327670.5069860464</v>
      </c>
      <c r="E34" s="166">
        <f>'Historical Contributions'!E34*Inflation!I$10</f>
        <v>1781025.1178729283</v>
      </c>
      <c r="F34" s="166">
        <f>'Historical Contributions'!F34*Inflation!J$10</f>
        <v>1680607.6859788855</v>
      </c>
      <c r="G34" s="158">
        <f t="shared" si="3"/>
        <v>1596434.4369459534</v>
      </c>
      <c r="H34" s="158">
        <f t="shared" si="3"/>
        <v>1596434.4369459534</v>
      </c>
      <c r="I34" s="199">
        <f>950553.419229682/L4</f>
        <v>1638885.2055684172</v>
      </c>
      <c r="J34" s="200">
        <v>1695415.9291591269</v>
      </c>
      <c r="K34" s="200">
        <v>1724065.0510034878</v>
      </c>
      <c r="L34" s="200">
        <v>1731458.3597792424</v>
      </c>
      <c r="M34" s="200">
        <v>1723412.0706241685</v>
      </c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188">
        <f>IF('Historical Contributions'!B35=0," ",'Historical Contributions'!B35)</f>
        <v>109</v>
      </c>
      <c r="C35" s="166">
        <f>'Historical Contributions'!C35*Inflation!G$10</f>
        <v>352.22096317280449</v>
      </c>
      <c r="D35" s="166">
        <f>'Historical Contributions'!D35*Inflation!H$10</f>
        <v>346.97860465116281</v>
      </c>
      <c r="E35" s="166">
        <f>'Historical Contributions'!E35*Inflation!I$10</f>
        <v>0</v>
      </c>
      <c r="F35" s="166">
        <f>'Historical Contributions'!F35*Inflation!J$10</f>
        <v>0</v>
      </c>
      <c r="G35" s="158">
        <f t="shared" si="3"/>
        <v>115.65953488372094</v>
      </c>
      <c r="H35" s="158">
        <f t="shared" si="3"/>
        <v>115.65953488372094</v>
      </c>
      <c r="I35" s="200">
        <v>68.866320974982557</v>
      </c>
      <c r="J35" s="200">
        <v>122.83061130661062</v>
      </c>
      <c r="K35" s="200">
        <v>124.90620177914188</v>
      </c>
      <c r="L35" s="200">
        <v>125.44183708897106</v>
      </c>
      <c r="M35" s="200">
        <v>124.85889422600192</v>
      </c>
      <c r="N35" s="3"/>
      <c r="O35" s="3"/>
      <c r="P35" s="3"/>
      <c r="Q35" s="3"/>
      <c r="R35" s="3"/>
      <c r="S35" s="3"/>
      <c r="T35" s="3"/>
    </row>
    <row r="36" spans="1:20" x14ac:dyDescent="0.2">
      <c r="A36" s="3"/>
      <c r="B36" s="188">
        <f>IF('Historical Contributions'!B36=0," ",'Historical Contributions'!B36)</f>
        <v>110</v>
      </c>
      <c r="C36" s="166">
        <f>'Historical Contributions'!C36*Inflation!G$10</f>
        <v>347656.68423040595</v>
      </c>
      <c r="D36" s="166">
        <f>'Historical Contributions'!D36*Inflation!H$10</f>
        <v>190708.84520930232</v>
      </c>
      <c r="E36" s="166">
        <f>'Historical Contributions'!E36*Inflation!I$10</f>
        <v>109318.41344383059</v>
      </c>
      <c r="F36" s="166">
        <f>'Historical Contributions'!F36*Inflation!J$10</f>
        <v>65331.25827879108</v>
      </c>
      <c r="G36" s="158">
        <f t="shared" si="3"/>
        <v>121786.17231064134</v>
      </c>
      <c r="H36" s="158">
        <f t="shared" si="3"/>
        <v>121786.17231064134</v>
      </c>
      <c r="I36" s="200">
        <v>72514.2604203886</v>
      </c>
      <c r="J36" s="200">
        <v>129337.11006747078</v>
      </c>
      <c r="K36" s="200">
        <v>131522.64729263904</v>
      </c>
      <c r="L36" s="200">
        <v>132086.65590813366</v>
      </c>
      <c r="M36" s="200">
        <v>131472.83379629315</v>
      </c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188">
        <f>IF('Historical Contributions'!B37=0," ",'Historical Contributions'!B37)</f>
        <v>111</v>
      </c>
      <c r="C37" s="166">
        <f>'Historical Contributions'!C37*Inflation!G$10</f>
        <v>73449.043437204906</v>
      </c>
      <c r="D37" s="166">
        <f>'Historical Contributions'!D37*Inflation!H$10</f>
        <v>423419.82883720926</v>
      </c>
      <c r="E37" s="166">
        <f>'Historical Contributions'!E37*Inflation!I$10</f>
        <v>193235.46408839777</v>
      </c>
      <c r="F37" s="166">
        <f>'Historical Contributions'!F37*Inflation!J$10</f>
        <v>-368097.85645884305</v>
      </c>
      <c r="G37" s="158">
        <f t="shared" si="3"/>
        <v>82852.478822254678</v>
      </c>
      <c r="H37" s="158">
        <f t="shared" si="3"/>
        <v>82852.478822254678</v>
      </c>
      <c r="I37" s="199">
        <f>49332.2526835565/L4</f>
        <v>85055.608075097422</v>
      </c>
      <c r="J37" s="200">
        <v>87989.465219939579</v>
      </c>
      <c r="K37" s="200">
        <v>89476.310345522696</v>
      </c>
      <c r="L37" s="200">
        <v>89860.011639226577</v>
      </c>
      <c r="M37" s="200">
        <v>89442.421673494042</v>
      </c>
      <c r="N37" s="3"/>
      <c r="O37" s="3"/>
      <c r="P37" s="3"/>
      <c r="Q37" s="3"/>
      <c r="R37" s="3"/>
      <c r="S37" s="3"/>
      <c r="T37" s="3"/>
    </row>
    <row r="38" spans="1:20" x14ac:dyDescent="0.2">
      <c r="A38" s="3"/>
      <c r="B38" s="188">
        <f>IF('Historical Contributions'!B38=0," ",'Historical Contributions'!B38)</f>
        <v>114</v>
      </c>
      <c r="C38" s="166">
        <f>'Historical Contributions'!C38*Inflation!G$10</f>
        <v>0</v>
      </c>
      <c r="D38" s="166">
        <f>'Historical Contributions'!D38*Inflation!H$10</f>
        <v>0</v>
      </c>
      <c r="E38" s="166">
        <f>'Historical Contributions'!E38*Inflation!I$10</f>
        <v>0</v>
      </c>
      <c r="F38" s="166">
        <f>'Historical Contributions'!F38*Inflation!J$10</f>
        <v>0</v>
      </c>
      <c r="G38" s="158">
        <f t="shared" si="3"/>
        <v>0</v>
      </c>
      <c r="H38" s="158">
        <f t="shared" si="3"/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3"/>
      <c r="O38" s="3"/>
      <c r="P38" s="3"/>
      <c r="Q38" s="3"/>
      <c r="R38" s="3"/>
      <c r="S38" s="3"/>
      <c r="T38" s="3"/>
    </row>
    <row r="39" spans="1:20" x14ac:dyDescent="0.2">
      <c r="A39" s="3"/>
      <c r="B39" s="188">
        <f>IF('Historical Contributions'!B39=0," ",'Historical Contributions'!B39)</f>
        <v>115</v>
      </c>
      <c r="C39" s="166">
        <f>'Historical Contributions'!C39*Inflation!G$10</f>
        <v>0</v>
      </c>
      <c r="D39" s="166">
        <f>'Historical Contributions'!D39*Inflation!H$10</f>
        <v>0</v>
      </c>
      <c r="E39" s="166">
        <f>'Historical Contributions'!E39*Inflation!I$10</f>
        <v>0</v>
      </c>
      <c r="F39" s="166">
        <f>'Historical Contributions'!F39*Inflation!J$10</f>
        <v>0</v>
      </c>
      <c r="G39" s="158">
        <f t="shared" si="3"/>
        <v>0</v>
      </c>
      <c r="H39" s="158">
        <f t="shared" si="3"/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3"/>
      <c r="O39" s="3"/>
      <c r="P39" s="3"/>
      <c r="Q39" s="3"/>
      <c r="R39" s="3"/>
      <c r="S39" s="3"/>
      <c r="T39" s="3"/>
    </row>
    <row r="40" spans="1:20" x14ac:dyDescent="0.2">
      <c r="A40" s="3"/>
      <c r="B40" s="188">
        <f>IF('Historical Contributions'!B40=0," ",'Historical Contributions'!B40)</f>
        <v>116</v>
      </c>
      <c r="C40" s="166">
        <f>'Historical Contributions'!C40*Inflation!G$10</f>
        <v>0</v>
      </c>
      <c r="D40" s="166">
        <f>'Historical Contributions'!D40*Inflation!H$10</f>
        <v>0</v>
      </c>
      <c r="E40" s="166">
        <f>'Historical Contributions'!E40*Inflation!I$10</f>
        <v>0</v>
      </c>
      <c r="F40" s="166">
        <f>'Historical Contributions'!F40*Inflation!J$10</f>
        <v>0</v>
      </c>
      <c r="G40" s="158">
        <f t="shared" si="3"/>
        <v>0</v>
      </c>
      <c r="H40" s="158">
        <f t="shared" si="3"/>
        <v>0</v>
      </c>
      <c r="I40" s="200">
        <v>0</v>
      </c>
      <c r="J40" s="200">
        <v>0</v>
      </c>
      <c r="K40" s="200">
        <v>0</v>
      </c>
      <c r="L40" s="200">
        <v>0</v>
      </c>
      <c r="M40" s="200">
        <v>0</v>
      </c>
      <c r="N40" s="3"/>
      <c r="O40" s="3"/>
      <c r="P40" s="3"/>
      <c r="Q40" s="3"/>
      <c r="R40" s="3"/>
      <c r="S40" s="3"/>
      <c r="T40" s="3"/>
    </row>
    <row r="41" spans="1:20" x14ac:dyDescent="0.2">
      <c r="A41" s="3"/>
      <c r="B41" s="188">
        <f>IF('Historical Contributions'!B41=0," ",'Historical Contributions'!B41)</f>
        <v>118</v>
      </c>
      <c r="C41" s="166">
        <f>'Historical Contributions'!C41*Inflation!G$10</f>
        <v>0</v>
      </c>
      <c r="D41" s="166">
        <f>'Historical Contributions'!D41*Inflation!H$10</f>
        <v>0</v>
      </c>
      <c r="E41" s="166">
        <f>'Historical Contributions'!E41*Inflation!I$10</f>
        <v>0</v>
      </c>
      <c r="F41" s="166">
        <f>'Historical Contributions'!F41*Inflation!J$10</f>
        <v>0</v>
      </c>
      <c r="G41" s="158">
        <f t="shared" si="3"/>
        <v>0</v>
      </c>
      <c r="H41" s="158">
        <f t="shared" si="3"/>
        <v>0</v>
      </c>
      <c r="I41" s="200">
        <v>0</v>
      </c>
      <c r="J41" s="200">
        <v>0</v>
      </c>
      <c r="K41" s="200">
        <v>0</v>
      </c>
      <c r="L41" s="200">
        <v>0</v>
      </c>
      <c r="M41" s="200">
        <v>0</v>
      </c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71" t="s">
        <v>36</v>
      </c>
      <c r="C42" s="163">
        <f t="shared" ref="C42:M42" si="4">SUM(C29:C41)</f>
        <v>21817423.985297445</v>
      </c>
      <c r="D42" s="163">
        <f t="shared" si="4"/>
        <v>24456687.470827911</v>
      </c>
      <c r="E42" s="163">
        <f t="shared" si="4"/>
        <v>20890869.989880294</v>
      </c>
      <c r="F42" s="163">
        <f t="shared" si="4"/>
        <v>20523828.829779696</v>
      </c>
      <c r="G42" s="163">
        <f t="shared" si="4"/>
        <v>21957128.763495963</v>
      </c>
      <c r="H42" s="163">
        <f t="shared" si="4"/>
        <v>21957128.763495963</v>
      </c>
      <c r="I42" s="163">
        <f t="shared" si="4"/>
        <v>13915427.80727658</v>
      </c>
      <c r="J42" s="163">
        <f t="shared" si="4"/>
        <v>23318505.917126734</v>
      </c>
      <c r="K42" s="163">
        <f t="shared" si="4"/>
        <v>23712541.802810285</v>
      </c>
      <c r="L42" s="163">
        <f t="shared" si="4"/>
        <v>23814228.304316781</v>
      </c>
      <c r="M42" s="163">
        <f t="shared" si="4"/>
        <v>23703560.804945957</v>
      </c>
      <c r="N42" s="3"/>
      <c r="O42" s="3"/>
      <c r="P42" s="3"/>
      <c r="Q42" s="3"/>
      <c r="R42" s="3"/>
      <c r="S42" s="3"/>
      <c r="T42" s="3"/>
    </row>
    <row r="43" spans="1:20" x14ac:dyDescent="0.2">
      <c r="A43" s="3"/>
      <c r="B43" s="3" t="s">
        <v>231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3"/>
      <c r="O43" s="3"/>
      <c r="P43" s="3"/>
      <c r="Q43" s="3"/>
      <c r="R43" s="3"/>
      <c r="S43" s="3"/>
      <c r="T43" s="3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152"/>
      <c r="J44" s="152"/>
      <c r="K44" s="152"/>
      <c r="L44" s="152"/>
      <c r="M44" s="152"/>
      <c r="N44" s="3"/>
      <c r="O44" s="3"/>
      <c r="P44" s="3"/>
      <c r="Q44" s="3"/>
      <c r="R44" s="3"/>
      <c r="S44" s="3"/>
      <c r="T44" s="3"/>
    </row>
    <row r="45" spans="1:2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3"/>
      <c r="B46" s="34" t="s">
        <v>218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3"/>
      <c r="B47" s="4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3"/>
      <c r="B48" s="3"/>
      <c r="C48" s="256" t="s">
        <v>194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3"/>
      <c r="O48" s="3"/>
      <c r="P48" s="3"/>
      <c r="Q48" s="3"/>
      <c r="R48" s="3"/>
      <c r="S48" s="3"/>
      <c r="T48" s="3"/>
    </row>
    <row r="49" spans="1:20" ht="25.5" x14ac:dyDescent="0.2">
      <c r="A49" s="3"/>
      <c r="B49" s="2" t="s">
        <v>35</v>
      </c>
      <c r="C49" s="2" t="s">
        <v>323</v>
      </c>
      <c r="D49" s="2" t="s">
        <v>324</v>
      </c>
      <c r="E49" s="2" t="s">
        <v>325</v>
      </c>
      <c r="F49" s="2" t="s">
        <v>326</v>
      </c>
      <c r="G49" s="136" t="s">
        <v>315</v>
      </c>
      <c r="H49" s="136" t="s">
        <v>316</v>
      </c>
      <c r="I49" s="136" t="s">
        <v>317</v>
      </c>
      <c r="J49" s="136" t="s">
        <v>318</v>
      </c>
      <c r="K49" s="136" t="s">
        <v>319</v>
      </c>
      <c r="L49" s="136" t="s">
        <v>320</v>
      </c>
      <c r="M49" s="136" t="s">
        <v>321</v>
      </c>
      <c r="N49" s="3"/>
      <c r="O49" s="3"/>
      <c r="P49" s="3"/>
      <c r="Q49" s="3"/>
      <c r="R49" s="3"/>
      <c r="S49" s="3"/>
      <c r="T49" s="3"/>
    </row>
    <row r="50" spans="1:20" x14ac:dyDescent="0.2">
      <c r="A50" s="3"/>
      <c r="B50" s="188">
        <f>IF('Historical Contributions'!B50=0," ",'Historical Contributions'!B50)</f>
        <v>102</v>
      </c>
      <c r="C50" s="193">
        <f>'Historical Contributions'!C50</f>
        <v>0.50813750752841857</v>
      </c>
      <c r="D50" s="193">
        <f>'Historical Contributions'!D50</f>
        <v>0.58541255516697421</v>
      </c>
      <c r="E50" s="193">
        <f>'Historical Contributions'!E50</f>
        <v>0.65862779323986409</v>
      </c>
      <c r="F50" s="193">
        <f>'Historical Contributions'!F50</f>
        <v>0.68558692931616783</v>
      </c>
      <c r="G50" s="192">
        <f>AVERAGE($D50:$F50)</f>
        <v>0.64320909257433534</v>
      </c>
      <c r="H50" s="192">
        <f>AVERAGE($D50:$F50)</f>
        <v>0.64320909257433534</v>
      </c>
      <c r="I50" s="192">
        <f t="shared" ref="H50:M61" si="5">AVERAGE($D50:$F50)</f>
        <v>0.64320909257433534</v>
      </c>
      <c r="J50" s="192">
        <f t="shared" si="5"/>
        <v>0.64320909257433534</v>
      </c>
      <c r="K50" s="192">
        <f t="shared" si="5"/>
        <v>0.64320909257433534</v>
      </c>
      <c r="L50" s="192">
        <f t="shared" si="5"/>
        <v>0.64320909257433534</v>
      </c>
      <c r="M50" s="192">
        <f t="shared" si="5"/>
        <v>0.64320909257433534</v>
      </c>
      <c r="N50" s="3"/>
      <c r="O50" s="3"/>
      <c r="P50" s="3"/>
      <c r="Q50" s="3"/>
      <c r="R50" s="3"/>
      <c r="S50" s="3"/>
      <c r="T50" s="3"/>
    </row>
    <row r="51" spans="1:20" x14ac:dyDescent="0.2">
      <c r="A51" s="3"/>
      <c r="B51" s="188">
        <f>IF('Historical Contributions'!B51=0," ",'Historical Contributions'!B51)</f>
        <v>104</v>
      </c>
      <c r="C51" s="193">
        <f>'Historical Contributions'!C51</f>
        <v>0.14081701738598845</v>
      </c>
      <c r="D51" s="193">
        <f>'Historical Contributions'!D51</f>
        <v>0.17729875146809573</v>
      </c>
      <c r="E51" s="193">
        <f>'Historical Contributions'!E51</f>
        <v>0.24081269061001356</v>
      </c>
      <c r="F51" s="193">
        <f>'Historical Contributions'!F51</f>
        <v>0.28939301467221762</v>
      </c>
      <c r="G51" s="192">
        <f t="shared" ref="G51:G61" si="6">AVERAGE($D51:$F51)</f>
        <v>0.23583481891677563</v>
      </c>
      <c r="H51" s="192">
        <f t="shared" si="5"/>
        <v>0.23583481891677563</v>
      </c>
      <c r="I51" s="192">
        <f t="shared" si="5"/>
        <v>0.23583481891677563</v>
      </c>
      <c r="J51" s="192">
        <f t="shared" si="5"/>
        <v>0.23583481891677563</v>
      </c>
      <c r="K51" s="192">
        <f t="shared" si="5"/>
        <v>0.23583481891677563</v>
      </c>
      <c r="L51" s="192">
        <f t="shared" si="5"/>
        <v>0.23583481891677563</v>
      </c>
      <c r="M51" s="192">
        <f t="shared" si="5"/>
        <v>0.23583481891677563</v>
      </c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188">
        <f>IF('Historical Contributions'!B52=0," ",'Historical Contributions'!B52)</f>
        <v>105</v>
      </c>
      <c r="C52" s="193">
        <f>'Historical Contributions'!C52</f>
        <v>0.29519695427115328</v>
      </c>
      <c r="D52" s="193">
        <f>'Historical Contributions'!D52</f>
        <v>0.39751024694048992</v>
      </c>
      <c r="E52" s="193">
        <f>'Historical Contributions'!E52</f>
        <v>0.39223320892796237</v>
      </c>
      <c r="F52" s="193">
        <f>'Historical Contributions'!F52</f>
        <v>0.3718645142189953</v>
      </c>
      <c r="G52" s="192">
        <f t="shared" si="6"/>
        <v>0.38720265669581583</v>
      </c>
      <c r="H52" s="192">
        <f t="shared" si="5"/>
        <v>0.38720265669581583</v>
      </c>
      <c r="I52" s="192">
        <f t="shared" si="5"/>
        <v>0.38720265669581583</v>
      </c>
      <c r="J52" s="192">
        <f t="shared" si="5"/>
        <v>0.38720265669581583</v>
      </c>
      <c r="K52" s="192">
        <f t="shared" si="5"/>
        <v>0.38720265669581583</v>
      </c>
      <c r="L52" s="192">
        <f t="shared" si="5"/>
        <v>0.38720265669581583</v>
      </c>
      <c r="M52" s="192">
        <f t="shared" si="5"/>
        <v>0.38720265669581583</v>
      </c>
      <c r="N52" s="3"/>
      <c r="O52" s="3"/>
      <c r="P52" s="3"/>
      <c r="Q52" s="3"/>
      <c r="R52" s="3"/>
      <c r="S52" s="3"/>
      <c r="T52" s="3"/>
    </row>
    <row r="53" spans="1:20" x14ac:dyDescent="0.2">
      <c r="A53" s="3"/>
      <c r="B53" s="188">
        <f>IF('Historical Contributions'!B53=0," ",'Historical Contributions'!B53)</f>
        <v>106</v>
      </c>
      <c r="C53" s="193">
        <f>'Historical Contributions'!C53</f>
        <v>0.13249542646644785</v>
      </c>
      <c r="D53" s="193">
        <f>'Historical Contributions'!D53</f>
        <v>0.19445505342731148</v>
      </c>
      <c r="E53" s="193">
        <f>'Historical Contributions'!E53</f>
        <v>0.23676896646783804</v>
      </c>
      <c r="F53" s="193">
        <f>'Historical Contributions'!F53</f>
        <v>0.19579461528440117</v>
      </c>
      <c r="G53" s="192">
        <f t="shared" si="6"/>
        <v>0.2090062117265169</v>
      </c>
      <c r="H53" s="192">
        <f t="shared" si="5"/>
        <v>0.2090062117265169</v>
      </c>
      <c r="I53" s="192">
        <f t="shared" si="5"/>
        <v>0.2090062117265169</v>
      </c>
      <c r="J53" s="192">
        <f t="shared" si="5"/>
        <v>0.2090062117265169</v>
      </c>
      <c r="K53" s="192">
        <f t="shared" si="5"/>
        <v>0.2090062117265169</v>
      </c>
      <c r="L53" s="192">
        <f t="shared" si="5"/>
        <v>0.2090062117265169</v>
      </c>
      <c r="M53" s="192">
        <f t="shared" si="5"/>
        <v>0.2090062117265169</v>
      </c>
      <c r="N53" s="3"/>
      <c r="O53" s="3"/>
      <c r="P53" s="3"/>
      <c r="Q53" s="3"/>
      <c r="R53" s="3"/>
      <c r="S53" s="3"/>
      <c r="T53" s="3"/>
    </row>
    <row r="54" spans="1:20" x14ac:dyDescent="0.2">
      <c r="A54" s="3"/>
      <c r="B54" s="188">
        <f>IF('Historical Contributions'!B54=0," ",'Historical Contributions'!B54)</f>
        <v>107</v>
      </c>
      <c r="C54" s="193">
        <f>'Historical Contributions'!C54</f>
        <v>0.36927214980620293</v>
      </c>
      <c r="D54" s="193">
        <f>'Historical Contributions'!D54</f>
        <v>0.53670515200860447</v>
      </c>
      <c r="E54" s="193">
        <f>'Historical Contributions'!E54</f>
        <v>0.47630244886504425</v>
      </c>
      <c r="F54" s="193">
        <f>'Historical Contributions'!F54</f>
        <v>0.48793046132777901</v>
      </c>
      <c r="G54" s="192">
        <f t="shared" si="6"/>
        <v>0.50031268740047585</v>
      </c>
      <c r="H54" s="192">
        <f t="shared" si="5"/>
        <v>0.50031268740047585</v>
      </c>
      <c r="I54" s="192">
        <f t="shared" si="5"/>
        <v>0.50031268740047585</v>
      </c>
      <c r="J54" s="192">
        <f t="shared" si="5"/>
        <v>0.50031268740047585</v>
      </c>
      <c r="K54" s="192">
        <f t="shared" si="5"/>
        <v>0.50031268740047585</v>
      </c>
      <c r="L54" s="192">
        <f t="shared" si="5"/>
        <v>0.50031268740047585</v>
      </c>
      <c r="M54" s="192">
        <f t="shared" si="5"/>
        <v>0.50031268740047585</v>
      </c>
      <c r="N54" s="3"/>
      <c r="O54" s="3"/>
      <c r="P54" s="3"/>
      <c r="Q54" s="3"/>
      <c r="R54" s="3"/>
      <c r="S54" s="3"/>
      <c r="T54" s="3"/>
    </row>
    <row r="55" spans="1:20" x14ac:dyDescent="0.2">
      <c r="A55" s="3"/>
      <c r="B55" s="188">
        <f>IF('Historical Contributions'!B55=0," ",'Historical Contributions'!B55)</f>
        <v>108</v>
      </c>
      <c r="C55" s="193">
        <f>'Historical Contributions'!C55</f>
        <v>0.29509326179766066</v>
      </c>
      <c r="D55" s="193">
        <f>'Historical Contributions'!D55</f>
        <v>0.30975466359256032</v>
      </c>
      <c r="E55" s="193">
        <f>'Historical Contributions'!E55</f>
        <v>0.35666230549684252</v>
      </c>
      <c r="F55" s="193">
        <f>'Historical Contributions'!F55</f>
        <v>0.47038239509661112</v>
      </c>
      <c r="G55" s="192">
        <f t="shared" si="6"/>
        <v>0.37893312139533797</v>
      </c>
      <c r="H55" s="192">
        <f t="shared" si="5"/>
        <v>0.37893312139533797</v>
      </c>
      <c r="I55" s="192">
        <f t="shared" si="5"/>
        <v>0.37893312139533797</v>
      </c>
      <c r="J55" s="192">
        <f t="shared" si="5"/>
        <v>0.37893312139533797</v>
      </c>
      <c r="K55" s="192">
        <f t="shared" si="5"/>
        <v>0.37893312139533797</v>
      </c>
      <c r="L55" s="192">
        <f t="shared" si="5"/>
        <v>0.37893312139533797</v>
      </c>
      <c r="M55" s="192">
        <f t="shared" si="5"/>
        <v>0.37893312139533797</v>
      </c>
      <c r="N55" s="3"/>
      <c r="O55" s="3"/>
      <c r="P55" s="3"/>
      <c r="Q55" s="3"/>
      <c r="R55" s="3"/>
      <c r="S55" s="3"/>
      <c r="T55" s="3"/>
    </row>
    <row r="56" spans="1:20" x14ac:dyDescent="0.2">
      <c r="A56" s="3"/>
      <c r="B56" s="188">
        <f>IF('Historical Contributions'!B56=0," ",'Historical Contributions'!B56)</f>
        <v>109</v>
      </c>
      <c r="C56" s="193">
        <f>'Historical Contributions'!C56</f>
        <v>0.59686722706577733</v>
      </c>
      <c r="D56" s="193">
        <f>'Historical Contributions'!D56</f>
        <v>0.74250258543246395</v>
      </c>
      <c r="E56" s="193">
        <f>'Historical Contributions'!E56</f>
        <v>0.80426758568847523</v>
      </c>
      <c r="F56" s="193">
        <f>'Historical Contributions'!F56</f>
        <v>0.89800671568727319</v>
      </c>
      <c r="G56" s="192">
        <f t="shared" si="6"/>
        <v>0.81492562893607079</v>
      </c>
      <c r="H56" s="192">
        <f t="shared" si="5"/>
        <v>0.81492562893607079</v>
      </c>
      <c r="I56" s="192">
        <f t="shared" si="5"/>
        <v>0.81492562893607079</v>
      </c>
      <c r="J56" s="192">
        <f t="shared" si="5"/>
        <v>0.81492562893607079</v>
      </c>
      <c r="K56" s="192">
        <f t="shared" si="5"/>
        <v>0.81492562893607079</v>
      </c>
      <c r="L56" s="192">
        <f t="shared" si="5"/>
        <v>0.81492562893607079</v>
      </c>
      <c r="M56" s="192">
        <f t="shared" si="5"/>
        <v>0.81492562893607079</v>
      </c>
      <c r="N56" s="3"/>
      <c r="O56" s="3"/>
      <c r="P56" s="3"/>
      <c r="Q56" s="3"/>
      <c r="R56" s="3"/>
      <c r="S56" s="3"/>
      <c r="T56" s="3"/>
    </row>
    <row r="57" spans="1:20" x14ac:dyDescent="0.2">
      <c r="A57" s="3"/>
      <c r="B57" s="188">
        <f>IF('Historical Contributions'!B57=0," ",'Historical Contributions'!B57)</f>
        <v>110</v>
      </c>
      <c r="C57" s="193">
        <f>'Historical Contributions'!C57</f>
        <v>0.42733399617410922</v>
      </c>
      <c r="D57" s="193">
        <f>'Historical Contributions'!D57</f>
        <v>0.71939862869509053</v>
      </c>
      <c r="E57" s="193">
        <f>'Historical Contributions'!E57</f>
        <v>0.79439872455287563</v>
      </c>
      <c r="F57" s="193">
        <f>'Historical Contributions'!F57</f>
        <v>0.70092694489759721</v>
      </c>
      <c r="G57" s="192">
        <f t="shared" si="6"/>
        <v>0.73824143271518794</v>
      </c>
      <c r="H57" s="192">
        <f t="shared" si="5"/>
        <v>0.73824143271518794</v>
      </c>
      <c r="I57" s="192">
        <f t="shared" si="5"/>
        <v>0.73824143271518794</v>
      </c>
      <c r="J57" s="192">
        <f t="shared" si="5"/>
        <v>0.73824143271518794</v>
      </c>
      <c r="K57" s="192">
        <f t="shared" si="5"/>
        <v>0.73824143271518794</v>
      </c>
      <c r="L57" s="192">
        <f t="shared" si="5"/>
        <v>0.73824143271518794</v>
      </c>
      <c r="M57" s="192">
        <f t="shared" si="5"/>
        <v>0.73824143271518794</v>
      </c>
      <c r="N57" s="3"/>
      <c r="O57" s="3"/>
      <c r="P57" s="3"/>
      <c r="Q57" s="3"/>
      <c r="R57" s="3"/>
      <c r="S57" s="3"/>
      <c r="T57" s="3"/>
    </row>
    <row r="58" spans="1:20" x14ac:dyDescent="0.2">
      <c r="A58" s="3"/>
      <c r="B58" s="188">
        <f>IF('Historical Contributions'!B58=0," ",'Historical Contributions'!B58)</f>
        <v>111</v>
      </c>
      <c r="C58" s="193">
        <f>'Historical Contributions'!C58</f>
        <v>0.14038424268268285</v>
      </c>
      <c r="D58" s="193">
        <f>'Historical Contributions'!D58</f>
        <v>0.14937061725501469</v>
      </c>
      <c r="E58" s="193">
        <f>'Historical Contributions'!E58</f>
        <v>0.1601750814651238</v>
      </c>
      <c r="F58" s="193">
        <f>'Historical Contributions'!F58</f>
        <v>0.17743398103025002</v>
      </c>
      <c r="G58" s="192">
        <f t="shared" si="6"/>
        <v>0.16232655991679615</v>
      </c>
      <c r="H58" s="192">
        <f t="shared" si="5"/>
        <v>0.16232655991679615</v>
      </c>
      <c r="I58" s="192">
        <f t="shared" si="5"/>
        <v>0.16232655991679615</v>
      </c>
      <c r="J58" s="192">
        <f t="shared" si="5"/>
        <v>0.16232655991679615</v>
      </c>
      <c r="K58" s="192">
        <f t="shared" si="5"/>
        <v>0.16232655991679615</v>
      </c>
      <c r="L58" s="192">
        <f t="shared" si="5"/>
        <v>0.16232655991679615</v>
      </c>
      <c r="M58" s="192">
        <f t="shared" si="5"/>
        <v>0.16232655991679615</v>
      </c>
      <c r="N58" s="3"/>
      <c r="O58" s="3"/>
      <c r="P58" s="3"/>
      <c r="Q58" s="3"/>
      <c r="R58" s="3"/>
      <c r="S58" s="3"/>
      <c r="T58" s="3"/>
    </row>
    <row r="59" spans="1:20" x14ac:dyDescent="0.2">
      <c r="A59" s="3"/>
      <c r="B59" s="188">
        <f>IF('Historical Contributions'!B59=0," ",'Historical Contributions'!B59)</f>
        <v>114</v>
      </c>
      <c r="C59" s="193">
        <f>'Historical Contributions'!C59</f>
        <v>0</v>
      </c>
      <c r="D59" s="193">
        <f>'Historical Contributions'!D59</f>
        <v>0</v>
      </c>
      <c r="E59" s="193">
        <f>'Historical Contributions'!E59</f>
        <v>0</v>
      </c>
      <c r="F59" s="193">
        <f>'Historical Contributions'!F59</f>
        <v>0</v>
      </c>
      <c r="G59" s="192">
        <f t="shared" si="6"/>
        <v>0</v>
      </c>
      <c r="H59" s="192">
        <f t="shared" si="5"/>
        <v>0</v>
      </c>
      <c r="I59" s="192">
        <f t="shared" si="5"/>
        <v>0</v>
      </c>
      <c r="J59" s="192">
        <f t="shared" si="5"/>
        <v>0</v>
      </c>
      <c r="K59" s="192">
        <f t="shared" si="5"/>
        <v>0</v>
      </c>
      <c r="L59" s="192">
        <f t="shared" si="5"/>
        <v>0</v>
      </c>
      <c r="M59" s="192">
        <f t="shared" si="5"/>
        <v>0</v>
      </c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188">
        <f>IF('Historical Contributions'!B60=0," ",'Historical Contributions'!B60)</f>
        <v>115</v>
      </c>
      <c r="C60" s="193">
        <f>'Historical Contributions'!C60</f>
        <v>0</v>
      </c>
      <c r="D60" s="193">
        <f>'Historical Contributions'!D60</f>
        <v>0</v>
      </c>
      <c r="E60" s="193">
        <f>'Historical Contributions'!E60</f>
        <v>0</v>
      </c>
      <c r="F60" s="193">
        <f>'Historical Contributions'!F60</f>
        <v>0</v>
      </c>
      <c r="G60" s="192">
        <f t="shared" si="6"/>
        <v>0</v>
      </c>
      <c r="H60" s="192">
        <f t="shared" si="5"/>
        <v>0</v>
      </c>
      <c r="I60" s="192">
        <f t="shared" si="5"/>
        <v>0</v>
      </c>
      <c r="J60" s="192">
        <f t="shared" si="5"/>
        <v>0</v>
      </c>
      <c r="K60" s="192">
        <f t="shared" si="5"/>
        <v>0</v>
      </c>
      <c r="L60" s="192">
        <f t="shared" si="5"/>
        <v>0</v>
      </c>
      <c r="M60" s="192">
        <f t="shared" si="5"/>
        <v>0</v>
      </c>
      <c r="N60" s="3"/>
      <c r="O60" s="3"/>
      <c r="P60" s="3"/>
      <c r="Q60" s="3"/>
      <c r="R60" s="3"/>
      <c r="S60" s="3"/>
      <c r="T60" s="3"/>
    </row>
    <row r="61" spans="1:20" x14ac:dyDescent="0.2">
      <c r="A61" s="3"/>
      <c r="B61" s="188">
        <f>IF('Historical Contributions'!B61=0," ",'Historical Contributions'!B61)</f>
        <v>116</v>
      </c>
      <c r="C61" s="193">
        <f>'Historical Contributions'!C61</f>
        <v>1</v>
      </c>
      <c r="D61" s="193">
        <f>'Historical Contributions'!D61</f>
        <v>1</v>
      </c>
      <c r="E61" s="193">
        <f>'Historical Contributions'!E61</f>
        <v>0.88261953492923584</v>
      </c>
      <c r="F61" s="193">
        <f>'Historical Contributions'!F61</f>
        <v>0.68133220788794946</v>
      </c>
      <c r="G61" s="192">
        <f t="shared" si="6"/>
        <v>0.85465058093906177</v>
      </c>
      <c r="H61" s="192">
        <f t="shared" si="5"/>
        <v>0.85465058093906177</v>
      </c>
      <c r="I61" s="192">
        <f t="shared" si="5"/>
        <v>0.85465058093906177</v>
      </c>
      <c r="J61" s="192">
        <f t="shared" si="5"/>
        <v>0.85465058093906177</v>
      </c>
      <c r="K61" s="192">
        <f t="shared" si="5"/>
        <v>0.85465058093906177</v>
      </c>
      <c r="L61" s="192">
        <f t="shared" si="5"/>
        <v>0.85465058093906177</v>
      </c>
      <c r="M61" s="192">
        <f t="shared" si="5"/>
        <v>0.85465058093906177</v>
      </c>
      <c r="N61" s="3"/>
      <c r="O61" s="3"/>
      <c r="P61" s="3"/>
      <c r="Q61" s="3"/>
      <c r="R61" s="3"/>
      <c r="S61" s="3"/>
      <c r="T61" s="3"/>
    </row>
    <row r="62" spans="1:20" x14ac:dyDescent="0.2">
      <c r="A62" s="3"/>
      <c r="B62" s="188">
        <f>IF('Historical Contributions'!B62=0," ",'Historical Contributions'!B62)</f>
        <v>118</v>
      </c>
      <c r="C62" s="193">
        <f>'Historical Contributions'!C62</f>
        <v>1</v>
      </c>
      <c r="D62" s="193">
        <f>'Historical Contributions'!D62</f>
        <v>1</v>
      </c>
      <c r="E62" s="193">
        <f>'Historical Contributions'!E62</f>
        <v>1</v>
      </c>
      <c r="F62" s="193">
        <f>'Historical Contributions'!F62</f>
        <v>1</v>
      </c>
      <c r="G62" s="192">
        <f t="shared" ref="G62" si="7">AVERAGE($F62)</f>
        <v>1</v>
      </c>
      <c r="H62" s="192">
        <f t="shared" ref="H62:M62" si="8">AVERAGE($F62)</f>
        <v>1</v>
      </c>
      <c r="I62" s="192">
        <f t="shared" si="8"/>
        <v>1</v>
      </c>
      <c r="J62" s="192">
        <f t="shared" si="8"/>
        <v>1</v>
      </c>
      <c r="K62" s="192">
        <f t="shared" si="8"/>
        <v>1</v>
      </c>
      <c r="L62" s="192">
        <f t="shared" si="8"/>
        <v>1</v>
      </c>
      <c r="M62" s="192">
        <f t="shared" si="8"/>
        <v>1</v>
      </c>
      <c r="N62" s="3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3"/>
      <c r="B66" s="34" t="s">
        <v>226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3"/>
      <c r="B67" s="49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3"/>
      <c r="B68" s="3"/>
      <c r="C68" s="281" t="str">
        <f>"$ "&amp;Inflation!$C$4</f>
        <v>$ 2021</v>
      </c>
      <c r="D68" s="262"/>
      <c r="E68" s="262"/>
      <c r="F68" s="262"/>
      <c r="G68" s="262"/>
      <c r="H68" s="262"/>
      <c r="I68" s="262"/>
      <c r="J68" s="262"/>
      <c r="K68" s="262"/>
      <c r="L68" s="262"/>
      <c r="M68" s="263"/>
      <c r="N68" s="3"/>
      <c r="O68" s="3"/>
      <c r="P68" s="3"/>
      <c r="Q68" s="3"/>
      <c r="R68" s="3"/>
      <c r="S68" s="3"/>
      <c r="T68" s="3"/>
    </row>
    <row r="69" spans="1:20" ht="25.5" x14ac:dyDescent="0.2">
      <c r="A69" s="3"/>
      <c r="B69" s="2" t="s">
        <v>35</v>
      </c>
      <c r="C69" s="2" t="s">
        <v>323</v>
      </c>
      <c r="D69" s="2" t="s">
        <v>324</v>
      </c>
      <c r="E69" s="2" t="s">
        <v>325</v>
      </c>
      <c r="F69" s="2" t="s">
        <v>326</v>
      </c>
      <c r="G69" s="136" t="s">
        <v>315</v>
      </c>
      <c r="H69" s="136" t="s">
        <v>316</v>
      </c>
      <c r="I69" s="136" t="s">
        <v>317</v>
      </c>
      <c r="J69" s="136" t="s">
        <v>318</v>
      </c>
      <c r="K69" s="136" t="s">
        <v>319</v>
      </c>
      <c r="L69" s="136" t="s">
        <v>320</v>
      </c>
      <c r="M69" s="136" t="s">
        <v>321</v>
      </c>
      <c r="N69" s="3"/>
      <c r="O69" s="3"/>
      <c r="P69" s="3"/>
      <c r="Q69" s="3"/>
      <c r="R69" s="3"/>
      <c r="S69" s="3"/>
      <c r="T69" s="3"/>
    </row>
    <row r="70" spans="1:20" x14ac:dyDescent="0.2">
      <c r="A70" s="3"/>
      <c r="B70" s="188">
        <f>IF('Historical Contributions'!B70=0," ",'Historical Contributions'!B70)</f>
        <v>102</v>
      </c>
      <c r="C70" s="166">
        <f>'Historical Contributions'!C70*Inflation!G$10</f>
        <v>5222301.3533481853</v>
      </c>
      <c r="D70" s="166">
        <f>'Historical Contributions'!D70*Inflation!H$10</f>
        <v>5365716.1986877359</v>
      </c>
      <c r="E70" s="166">
        <f>'Historical Contributions'!E70*Inflation!I$10</f>
        <v>6859970.3102135463</v>
      </c>
      <c r="F70" s="166">
        <f>'Historical Contributions'!F70*Inflation!J$10</f>
        <v>7995725.8353917636</v>
      </c>
      <c r="G70" s="158">
        <f ca="1">G50*'Forecast Expenditure-Volumes'!G95</f>
        <v>6676701.4812621158</v>
      </c>
      <c r="H70" s="158">
        <f ca="1">H50*'Forecast Expenditure-Volumes'!H95</f>
        <v>6686402.6084133005</v>
      </c>
      <c r="I70" s="199">
        <f>I50*('Gross Capex'!K8*1000-'Forecast Contributions'!I8)*(1+'Contribution Impacts'!$H$4)</f>
        <v>3086487.1128937216</v>
      </c>
      <c r="J70" s="199">
        <f>J50*('Gross Capex'!L8*1000-'Forecast Contributions'!J8)*(1+'Contribution Impacts'!$H$4)</f>
        <v>5637413.3689765204</v>
      </c>
      <c r="K70" s="199">
        <f>K50*('Gross Capex'!M8*1000-'Forecast Contributions'!K8)*(1+'Contribution Impacts'!$H$4)</f>
        <v>5722305.0361442612</v>
      </c>
      <c r="L70" s="199">
        <f>L50*('Gross Capex'!N8*1000-'Forecast Contributions'!L8)*(1+'Contribution Impacts'!$H$4)</f>
        <v>5783708.0399695877</v>
      </c>
      <c r="M70" s="199">
        <f>M50*('Gross Capex'!O8*1000-'Forecast Contributions'!M8)*(1+'Contribution Impacts'!$H$4)</f>
        <v>5861934.2518670904</v>
      </c>
      <c r="N70" s="3"/>
      <c r="O70" s="3"/>
      <c r="P70" s="3"/>
      <c r="Q70" s="3"/>
      <c r="R70" s="3"/>
      <c r="S70" s="3"/>
      <c r="T70" s="3"/>
    </row>
    <row r="71" spans="1:20" x14ac:dyDescent="0.2">
      <c r="A71" s="3"/>
      <c r="B71" s="188">
        <f>IF('Historical Contributions'!B71=0," ",'Historical Contributions'!B71)</f>
        <v>104</v>
      </c>
      <c r="C71" s="166">
        <f>'Historical Contributions'!C71*Inflation!G$10</f>
        <v>1661336.1655126619</v>
      </c>
      <c r="D71" s="166">
        <f>'Historical Contributions'!D71*Inflation!H$10</f>
        <v>2251476.6850059303</v>
      </c>
      <c r="E71" s="166">
        <f>'Historical Contributions'!E71*Inflation!I$10</f>
        <v>3619080.9462426496</v>
      </c>
      <c r="F71" s="166">
        <f>'Historical Contributions'!F71*Inflation!J$10</f>
        <v>4793562.7323290352</v>
      </c>
      <c r="G71" s="158">
        <f ca="1">G51*'Forecast Expenditure-Volumes'!G96</f>
        <v>3306959.5761847515</v>
      </c>
      <c r="H71" s="158">
        <f ca="1">H51*'Forecast Expenditure-Volumes'!H96</f>
        <v>3311764.5289630704</v>
      </c>
      <c r="I71" s="199">
        <f>I51*('Gross Capex'!K10*1000-'Forecast Contributions'!I9)*(1+'Contribution Impacts'!$H$4)</f>
        <v>1159399.9946479388</v>
      </c>
      <c r="J71" s="199">
        <f>J51*('Gross Capex'!L10*1000-'Forecast Contributions'!J9)*(1+'Contribution Impacts'!$H$4)</f>
        <v>2084985.403806031</v>
      </c>
      <c r="K71" s="199">
        <f>K51*('Gross Capex'!M10*1000-'Forecast Contributions'!K9)*(1+'Contribution Impacts'!$H$4)</f>
        <v>2065715.2278469522</v>
      </c>
      <c r="L71" s="199">
        <f>L51*('Gross Capex'!N10*1000-'Forecast Contributions'!L9)*(1+'Contribution Impacts'!$H$4)</f>
        <v>2046106.4818302856</v>
      </c>
      <c r="M71" s="199">
        <f>M51*('Gross Capex'!O10*1000-'Forecast Contributions'!M9)*(1+'Contribution Impacts'!$H$4)</f>
        <v>2087278.0090191881</v>
      </c>
      <c r="N71" s="3"/>
      <c r="O71" s="3"/>
      <c r="P71" s="3"/>
      <c r="Q71" s="3"/>
      <c r="R71" s="3"/>
      <c r="S71" s="3"/>
      <c r="T71" s="3"/>
    </row>
    <row r="72" spans="1:20" x14ac:dyDescent="0.2">
      <c r="A72" s="3"/>
      <c r="B72" s="188">
        <f>IF('Historical Contributions'!B72=0," ",'Historical Contributions'!B72)</f>
        <v>105</v>
      </c>
      <c r="C72" s="166">
        <f>'Historical Contributions'!C72*Inflation!G$10</f>
        <v>2323083.7089193235</v>
      </c>
      <c r="D72" s="166">
        <f>'Historical Contributions'!D72*Inflation!H$10</f>
        <v>2688886.8353939997</v>
      </c>
      <c r="E72" s="166">
        <f>'Historical Contributions'!E72*Inflation!I$10</f>
        <v>2589881.4367807941</v>
      </c>
      <c r="F72" s="166">
        <f>'Historical Contributions'!F72*Inflation!J$10</f>
        <v>2886185.5476086754</v>
      </c>
      <c r="G72" s="158">
        <f ca="1">G52*'Forecast Expenditure-Volumes'!G97</f>
        <v>2807047.8292868435</v>
      </c>
      <c r="H72" s="158">
        <f ca="1">H52*'Forecast Expenditure-Volumes'!H97</f>
        <v>2726302.3344089296</v>
      </c>
      <c r="I72" s="199">
        <f>I52*('Gross Capex'!K11*1000-'Forecast Contributions'!I10)*(1+'Contribution Impacts'!$H$4)</f>
        <v>2104276.9098394341</v>
      </c>
      <c r="J72" s="199">
        <f>J52*('Gross Capex'!L11*1000-'Forecast Contributions'!J10)*(1+'Contribution Impacts'!$H$4)</f>
        <v>1956114.5321261026</v>
      </c>
      <c r="K72" s="199">
        <f>K52*('Gross Capex'!M11*1000-'Forecast Contributions'!K10)*(1+'Contribution Impacts'!$H$4)</f>
        <v>1992145.7415553168</v>
      </c>
      <c r="L72" s="199">
        <f>L52*('Gross Capex'!N11*1000-'Forecast Contributions'!L10)*(1+'Contribution Impacts'!$H$4)</f>
        <v>2104734.8394966368</v>
      </c>
      <c r="M72" s="199">
        <f>M52*('Gross Capex'!O11*1000-'Forecast Contributions'!M10)*(1+'Contribution Impacts'!$H$4)</f>
        <v>2114071.0328445793</v>
      </c>
      <c r="N72" s="3"/>
      <c r="O72" s="3"/>
      <c r="P72" s="3"/>
      <c r="Q72" s="3"/>
      <c r="R72" s="3"/>
      <c r="S72" s="3"/>
      <c r="T72" s="3"/>
    </row>
    <row r="73" spans="1:20" x14ac:dyDescent="0.2">
      <c r="A73" s="3"/>
      <c r="B73" s="188">
        <f>IF('Historical Contributions'!B73=0," ",'Historical Contributions'!B73)</f>
        <v>106</v>
      </c>
      <c r="C73" s="166">
        <f>'Historical Contributions'!C73*Inflation!G$10</f>
        <v>881451.62800980988</v>
      </c>
      <c r="D73" s="166">
        <f>'Historical Contributions'!D73*Inflation!H$10</f>
        <v>1527898.7240336591</v>
      </c>
      <c r="E73" s="166">
        <f>'Historical Contributions'!E73*Inflation!I$10</f>
        <v>2135638.9518334363</v>
      </c>
      <c r="F73" s="166">
        <f>'Historical Contributions'!F73*Inflation!J$10</f>
        <v>1913950.6552232141</v>
      </c>
      <c r="G73" s="158">
        <f ca="1">G53*'Forecast Expenditure-Volumes'!G98</f>
        <v>1740251.3624247082</v>
      </c>
      <c r="H73" s="158">
        <f ca="1">H53*'Forecast Expenditure-Volumes'!H98</f>
        <v>1650274.1720086089</v>
      </c>
      <c r="I73" s="199">
        <f>I53*('Gross Capex'!K12*1000-'Forecast Contributions'!I11)*(1+'Contribution Impacts'!$H$4)</f>
        <v>1269293.64638353</v>
      </c>
      <c r="J73" s="199">
        <f>J53*('Gross Capex'!L12*1000-'Forecast Contributions'!J11)*(1+'Contribution Impacts'!$H$4)</f>
        <v>1211282.7772133884</v>
      </c>
      <c r="K73" s="199">
        <f>K53*('Gross Capex'!M12*1000-'Forecast Contributions'!K11)*(1+'Contribution Impacts'!$H$4)</f>
        <v>1239919.1750999158</v>
      </c>
      <c r="L73" s="199">
        <f>L53*('Gross Capex'!N12*1000-'Forecast Contributions'!L11)*(1+'Contribution Impacts'!$H$4)</f>
        <v>1289403.1070617244</v>
      </c>
      <c r="M73" s="199">
        <f>M53*('Gross Capex'!O12*1000-'Forecast Contributions'!M11)*(1+'Contribution Impacts'!$H$4)</f>
        <v>1272325.8049144875</v>
      </c>
      <c r="N73" s="3"/>
      <c r="O73" s="3"/>
      <c r="P73" s="3"/>
      <c r="Q73" s="3"/>
      <c r="R73" s="3"/>
      <c r="S73" s="3"/>
      <c r="T73" s="3"/>
    </row>
    <row r="74" spans="1:20" x14ac:dyDescent="0.2">
      <c r="A74" s="3"/>
      <c r="B74" s="188">
        <f>IF('Historical Contributions'!B74=0," ",'Historical Contributions'!B74)</f>
        <v>107</v>
      </c>
      <c r="C74" s="166">
        <f>'Historical Contributions'!C74*Inflation!G$10</f>
        <v>478892.58753991767</v>
      </c>
      <c r="D74" s="166">
        <f>'Historical Contributions'!D74*Inflation!H$10</f>
        <v>2951507.6650525467</v>
      </c>
      <c r="E74" s="166">
        <f>'Historical Contributions'!E74*Inflation!I$10</f>
        <v>2457055.5021328116</v>
      </c>
      <c r="F74" s="166">
        <f>'Historical Contributions'!F74*Inflation!J$10</f>
        <v>828669.01382419071</v>
      </c>
      <c r="G74" s="158">
        <f ca="1">G54*'Forecast Expenditure-Volumes'!G99</f>
        <v>1707705.1096453778</v>
      </c>
      <c r="H74" s="158">
        <f ca="1">H54*'Forecast Expenditure-Volumes'!H99</f>
        <v>1707705.1096453778</v>
      </c>
      <c r="I74" s="233">
        <f>I54*('Gross Capex'!K13*1000-'Forecast Contributions'!I12)</f>
        <v>1618591.6154681994</v>
      </c>
      <c r="J74" s="233">
        <f>J54*('Gross Capex'!L13*1000-'Forecast Contributions'!J12)</f>
        <v>1663977.8071197462</v>
      </c>
      <c r="K74" s="233">
        <f>K54*('Gross Capex'!M13*1000-'Forecast Contributions'!K12)</f>
        <v>1681454.7429939485</v>
      </c>
      <c r="L74" s="233">
        <f>L54*('Gross Capex'!N13*1000-'Forecast Contributions'!L12)</f>
        <v>1678594.7432201891</v>
      </c>
      <c r="M74" s="233">
        <f>M54*('Gross Capex'!O13*1000-'Forecast Contributions'!M12)</f>
        <v>1670499.8659515418</v>
      </c>
      <c r="N74" s="3"/>
      <c r="O74" s="3"/>
      <c r="P74" s="3"/>
      <c r="Q74" s="3"/>
      <c r="R74" s="3"/>
      <c r="S74" s="3"/>
      <c r="T74" s="3"/>
    </row>
    <row r="75" spans="1:20" x14ac:dyDescent="0.2">
      <c r="A75" s="3"/>
      <c r="B75" s="188">
        <f>IF('Historical Contributions'!B75=0," ",'Historical Contributions'!B75)</f>
        <v>108</v>
      </c>
      <c r="C75" s="166">
        <f>'Historical Contributions'!C75*Inflation!G$10</f>
        <v>498395.35972878389</v>
      </c>
      <c r="D75" s="166">
        <f>'Historical Contributions'!D75*Inflation!H$10</f>
        <v>463418.24573329336</v>
      </c>
      <c r="E75" s="166">
        <f>'Historical Contributions'!E75*Inflation!I$10</f>
        <v>425378.79864957894</v>
      </c>
      <c r="F75" s="166">
        <f>'Historical Contributions'!F75*Inflation!J$10</f>
        <v>659098.92533208244</v>
      </c>
      <c r="G75" s="158">
        <f ca="1">G55*'Forecast Expenditure-Volumes'!G100</f>
        <v>547452.91886080417</v>
      </c>
      <c r="H75" s="158">
        <f ca="1">H55*'Forecast Expenditure-Volumes'!H100</f>
        <v>518268.15838915581</v>
      </c>
      <c r="I75" s="199">
        <f>I55*('Gross Capex'!K14*1000-'Forecast Contributions'!I13)*(1+'Contribution Impacts'!$H$4)</f>
        <v>331845.956769221</v>
      </c>
      <c r="J75" s="199">
        <f>J55*('Gross Capex'!L14*1000-'Forecast Contributions'!J13)</f>
        <v>431737.40502300719</v>
      </c>
      <c r="K75" s="199">
        <f>K55*('Gross Capex'!M14*1000-'Forecast Contributions'!K13)</f>
        <v>439380.63694358134</v>
      </c>
      <c r="L75" s="199">
        <f>L55*('Gross Capex'!N14*1000-'Forecast Contributions'!L13)</f>
        <v>427916.24118180235</v>
      </c>
      <c r="M75" s="199">
        <f>M55*('Gross Capex'!O14*1000-'Forecast Contributions'!M13)</f>
        <v>425823.51450759906</v>
      </c>
      <c r="N75" s="3"/>
      <c r="O75" s="3"/>
      <c r="P75" s="3"/>
      <c r="Q75" s="3"/>
      <c r="R75" s="3"/>
      <c r="S75" s="3"/>
      <c r="T75" s="3"/>
    </row>
    <row r="76" spans="1:20" x14ac:dyDescent="0.2">
      <c r="A76" s="3"/>
      <c r="B76" s="188">
        <f>IF('Historical Contributions'!B76=0," ",'Historical Contributions'!B76)</f>
        <v>109</v>
      </c>
      <c r="C76" s="166">
        <f>'Historical Contributions'!C76*Inflation!G$10</f>
        <v>7271015.792466755</v>
      </c>
      <c r="D76" s="166">
        <f>'Historical Contributions'!D76*Inflation!H$10</f>
        <v>8758161.9102102555</v>
      </c>
      <c r="E76" s="166">
        <f>'Historical Contributions'!E76*Inflation!I$10</f>
        <v>9343575.6035449915</v>
      </c>
      <c r="F76" s="166">
        <f>'Historical Contributions'!F76*Inflation!J$10</f>
        <v>11456964.983779123</v>
      </c>
      <c r="G76" s="158">
        <f ca="1">G56*'Forecast Expenditure-Volumes'!G101</f>
        <v>9851053.6751284357</v>
      </c>
      <c r="H76" s="158">
        <f ca="1">H56*'Forecast Expenditure-Volumes'!H101</f>
        <v>9865367.0789167825</v>
      </c>
      <c r="I76" s="199">
        <f>I56*('Gross Capex'!K15*1000-'Forecast Contributions'!I14)*(1+'Contribution Impacts'!$H$4)</f>
        <v>4559662.0845685368</v>
      </c>
      <c r="J76" s="199">
        <f>J56*('Gross Capex'!L15*1000-'Forecast Contributions'!J14)*(1+'Contribution Impacts'!$H$4)</f>
        <v>8328580.4509594999</v>
      </c>
      <c r="K76" s="199">
        <f>K56*('Gross Capex'!M15*1000-'Forecast Contributions'!K14)*(1+'Contribution Impacts'!$H$4)</f>
        <v>8454670.0876708683</v>
      </c>
      <c r="L76" s="199">
        <f>L56*('Gross Capex'!N15*1000-'Forecast Contributions'!L14)*(1+'Contribution Impacts'!$H$4)</f>
        <v>8545949.2312655095</v>
      </c>
      <c r="M76" s="199">
        <f>M56*('Gross Capex'!O15*1000-'Forecast Contributions'!M14)*(1+'Contribution Impacts'!$H$4)</f>
        <v>8661360.6512122881</v>
      </c>
      <c r="N76" s="3"/>
      <c r="O76" s="3"/>
      <c r="P76" s="3"/>
      <c r="Q76" s="3"/>
      <c r="R76" s="3"/>
      <c r="S76" s="3"/>
      <c r="T76" s="3"/>
    </row>
    <row r="77" spans="1:20" x14ac:dyDescent="0.2">
      <c r="A77" s="3"/>
      <c r="B77" s="188">
        <f>IF('Historical Contributions'!B77=0," ",'Historical Contributions'!B77)</f>
        <v>110</v>
      </c>
      <c r="C77" s="166">
        <f>'Historical Contributions'!C77*Inflation!G$10</f>
        <v>839075.82309100777</v>
      </c>
      <c r="D77" s="166">
        <f>'Historical Contributions'!D77*Inflation!H$10</f>
        <v>1367129.1906704972</v>
      </c>
      <c r="E77" s="166">
        <f>'Historical Contributions'!E77*Inflation!I$10</f>
        <v>1728270.0661291485</v>
      </c>
      <c r="F77" s="166">
        <f>'Historical Contributions'!F77*Inflation!J$10</f>
        <v>1565726.6622296297</v>
      </c>
      <c r="G77" s="158">
        <f ca="1">G57*'Forecast Expenditure-Volumes'!G102</f>
        <v>1526914.9321693804</v>
      </c>
      <c r="H77" s="158">
        <f ca="1">H57*'Forecast Expenditure-Volumes'!H102</f>
        <v>1529133.5120995434</v>
      </c>
      <c r="I77" s="199">
        <f>I57*('Gross Capex'!K16*1000-'Forecast Contributions'!I15)*(1+'Contribution Impacts'!$H$4)</f>
        <v>669385.6958900938</v>
      </c>
      <c r="J77" s="199">
        <f>J57*('Gross Capex'!L16*1000-'Forecast Contributions'!J15)*(1+'Contribution Impacts'!$H$4)</f>
        <v>1219421.3246728939</v>
      </c>
      <c r="K77" s="199">
        <f>K57*('Gross Capex'!M16*1000-'Forecast Contributions'!K15)*(1+'Contribution Impacts'!$H$4)</f>
        <v>1232803.5914094772</v>
      </c>
      <c r="L77" s="199">
        <f>L57*('Gross Capex'!N16*1000-'Forecast Contributions'!L15)*(1+'Contribution Impacts'!$H$4)</f>
        <v>1241928.4823601954</v>
      </c>
      <c r="M77" s="199">
        <f>M57*('Gross Capex'!O16*1000-'Forecast Contributions'!M15)*(1+'Contribution Impacts'!$H$4)</f>
        <v>1260058.861543861</v>
      </c>
      <c r="N77" s="3"/>
      <c r="O77" s="3"/>
      <c r="P77" s="3"/>
      <c r="Q77" s="3"/>
      <c r="R77" s="3"/>
      <c r="S77" s="3"/>
      <c r="T77" s="3"/>
    </row>
    <row r="78" spans="1:20" x14ac:dyDescent="0.2">
      <c r="A78" s="3"/>
      <c r="B78" s="188">
        <f>IF('Historical Contributions'!B78=0," ",'Historical Contributions'!B78)</f>
        <v>111</v>
      </c>
      <c r="C78" s="166">
        <f>'Historical Contributions'!C78*Inflation!G$10</f>
        <v>1125856.5848748246</v>
      </c>
      <c r="D78" s="166">
        <f>'Historical Contributions'!D78*Inflation!H$10</f>
        <v>1493525.9884572295</v>
      </c>
      <c r="E78" s="166">
        <f>'Historical Contributions'!E78*Inflation!I$10</f>
        <v>1513643.9152919117</v>
      </c>
      <c r="F78" s="166">
        <f>'Historical Contributions'!F78*Inflation!J$10</f>
        <v>1286749.0352395815</v>
      </c>
      <c r="G78" s="158">
        <f ca="1">G58*'Forecast Expenditure-Volumes'!G103</f>
        <v>1409016.3224969173</v>
      </c>
      <c r="H78" s="158">
        <f ca="1">H58*'Forecast Expenditure-Volumes'!H103</f>
        <v>1390795.4414766117</v>
      </c>
      <c r="I78" s="199">
        <f>I58*('Gross Capex'!K17*1000-'Forecast Contributions'!I16)*(1+'Contribution Impacts'!$H$4)</f>
        <v>1105473.0297507297</v>
      </c>
      <c r="J78" s="199">
        <f>J58*('Gross Capex'!L17*1000-'Forecast Contributions'!J16)*(1+'Contribution Impacts'!$H$4)</f>
        <v>1111892.4349819119</v>
      </c>
      <c r="K78" s="199">
        <f>K58*('Gross Capex'!M17*1000-'Forecast Contributions'!K16)*(1+'Contribution Impacts'!$H$4)</f>
        <v>1133603.8206911387</v>
      </c>
      <c r="L78" s="199">
        <f>L58*('Gross Capex'!N17*1000-'Forecast Contributions'!L16)*(1+'Contribution Impacts'!$H$4)</f>
        <v>1155520.8974693716</v>
      </c>
      <c r="M78" s="199">
        <f>M58*('Gross Capex'!O17*1000-'Forecast Contributions'!M16)*(1+'Contribution Impacts'!$H$4)</f>
        <v>1148823.515416218</v>
      </c>
      <c r="N78" s="3"/>
      <c r="O78" s="3"/>
      <c r="P78" s="3"/>
      <c r="Q78" s="3"/>
      <c r="R78" s="3"/>
      <c r="S78" s="3"/>
      <c r="T78" s="3"/>
    </row>
    <row r="79" spans="1:20" x14ac:dyDescent="0.2">
      <c r="A79" s="3"/>
      <c r="B79" s="188">
        <f>IF('Historical Contributions'!B79=0," ",'Historical Contributions'!B79)</f>
        <v>114</v>
      </c>
      <c r="C79" s="166">
        <f>'Historical Contributions'!C79*Inflation!G$10</f>
        <v>0</v>
      </c>
      <c r="D79" s="166">
        <f>'Historical Contributions'!D79*Inflation!H$10</f>
        <v>0</v>
      </c>
      <c r="E79" s="166">
        <f>'Historical Contributions'!E79*Inflation!I$10</f>
        <v>0</v>
      </c>
      <c r="F79" s="166">
        <f>'Historical Contributions'!F79*Inflation!J$10</f>
        <v>0</v>
      </c>
      <c r="G79" s="158">
        <f ca="1">G59*'Forecast Expenditure-Volumes'!G104</f>
        <v>0</v>
      </c>
      <c r="H79" s="158">
        <f ca="1">H59*'Forecast Expenditure-Volumes'!H104</f>
        <v>0</v>
      </c>
      <c r="I79" s="158">
        <v>0</v>
      </c>
      <c r="J79" s="158">
        <v>0</v>
      </c>
      <c r="K79" s="158">
        <v>0</v>
      </c>
      <c r="L79" s="158">
        <v>0</v>
      </c>
      <c r="M79" s="158">
        <v>0</v>
      </c>
      <c r="N79" s="3"/>
      <c r="O79" s="3"/>
      <c r="P79" s="3"/>
      <c r="Q79" s="3"/>
      <c r="R79" s="3"/>
      <c r="S79" s="3"/>
      <c r="T79" s="3"/>
    </row>
    <row r="80" spans="1:20" x14ac:dyDescent="0.2">
      <c r="A80" s="3"/>
      <c r="B80" s="188">
        <f>IF('Historical Contributions'!B80=0," ",'Historical Contributions'!B80)</f>
        <v>115</v>
      </c>
      <c r="C80" s="166">
        <f>'Historical Contributions'!C80*Inflation!G$10</f>
        <v>0</v>
      </c>
      <c r="D80" s="166">
        <f>'Historical Contributions'!D80*Inflation!H$10</f>
        <v>0</v>
      </c>
      <c r="E80" s="166">
        <f>'Historical Contributions'!E80*Inflation!I$10</f>
        <v>0</v>
      </c>
      <c r="F80" s="166">
        <f>'Historical Contributions'!F80*Inflation!J$10</f>
        <v>0</v>
      </c>
      <c r="G80" s="158">
        <f ca="1">G60*'Forecast Expenditure-Volumes'!G105</f>
        <v>0</v>
      </c>
      <c r="H80" s="158">
        <f ca="1">H60*'Forecast Expenditure-Volumes'!H105</f>
        <v>0</v>
      </c>
      <c r="I80" s="158">
        <v>0</v>
      </c>
      <c r="J80" s="158">
        <v>0</v>
      </c>
      <c r="K80" s="158">
        <v>0</v>
      </c>
      <c r="L80" s="158">
        <v>0</v>
      </c>
      <c r="M80" s="158">
        <v>0</v>
      </c>
      <c r="N80" s="3"/>
      <c r="O80" s="3"/>
      <c r="P80" s="3"/>
      <c r="Q80" s="3"/>
      <c r="R80" s="3"/>
      <c r="S80" s="3"/>
      <c r="T80" s="3"/>
    </row>
    <row r="81" spans="1:20" x14ac:dyDescent="0.2">
      <c r="A81" s="3"/>
      <c r="B81" s="188">
        <f>IF('Historical Contributions'!B81=0," ",'Historical Contributions'!B81)</f>
        <v>116</v>
      </c>
      <c r="C81" s="166">
        <f>'Historical Contributions'!C81*Inflation!G$10</f>
        <v>31669247.569609102</v>
      </c>
      <c r="D81" s="166">
        <f>'Historical Contributions'!D81*Inflation!H$10</f>
        <v>26446273.728206344</v>
      </c>
      <c r="E81" s="166">
        <f>'Historical Contributions'!E81*Inflation!I$10</f>
        <v>27784202.681594077</v>
      </c>
      <c r="F81" s="166">
        <f>'Historical Contributions'!F81*Inflation!J$10</f>
        <v>25167399.156859469</v>
      </c>
      <c r="G81" s="158">
        <f ca="1">G61*'Forecast Expenditure-Volumes'!G106</f>
        <v>26179858.156410702</v>
      </c>
      <c r="H81" s="158">
        <f ca="1">H61*'Forecast Expenditure-Volumes'!H106</f>
        <v>25917901.538916618</v>
      </c>
      <c r="I81" s="233">
        <f>I61*('Gross Capex'!K22*1000-'Forecast Contributions'!I19)</f>
        <v>24115416.530154284</v>
      </c>
      <c r="J81" s="233">
        <f>J61*('Gross Capex'!L22*1000-'Forecast Contributions'!J19)</f>
        <v>21214824.586130466</v>
      </c>
      <c r="K81" s="233">
        <f>K61*('Gross Capex'!M22*1000-'Forecast Contributions'!K19)</f>
        <v>19611346.014943358</v>
      </c>
      <c r="L81" s="233">
        <f>L61*('Gross Capex'!N22*1000-'Forecast Contributions'!L19)</f>
        <v>18643587.061582249</v>
      </c>
      <c r="M81" s="233">
        <f>M61*('Gross Capex'!O22*1000-'Forecast Contributions'!M19)</f>
        <v>18579512.39578804</v>
      </c>
      <c r="N81" s="3"/>
      <c r="O81" s="3"/>
      <c r="P81" s="3"/>
      <c r="Q81" s="3"/>
      <c r="R81" s="3"/>
      <c r="S81" s="3"/>
      <c r="T81" s="3"/>
    </row>
    <row r="82" spans="1:20" x14ac:dyDescent="0.2">
      <c r="A82" s="3"/>
      <c r="B82" s="188">
        <f>IF('Historical Contributions'!B82=0," ",'Historical Contributions'!B82)</f>
        <v>118</v>
      </c>
      <c r="C82" s="166">
        <f>'Historical Contributions'!C82*Inflation!G$10</f>
        <v>4835449.0821437389</v>
      </c>
      <c r="D82" s="166">
        <f>'Historical Contributions'!D82*Inflation!H$10</f>
        <v>10517829.45375018</v>
      </c>
      <c r="E82" s="166">
        <f>'Historical Contributions'!E82*Inflation!I$10</f>
        <v>21726262.058888458</v>
      </c>
      <c r="F82" s="166">
        <f>'Historical Contributions'!F82*Inflation!J$10</f>
        <v>25679696.568863347</v>
      </c>
      <c r="G82" s="158">
        <f ca="1">G62*'Forecast Expenditure-Volumes'!G107</f>
        <v>23549255.318518218</v>
      </c>
      <c r="H82" s="158">
        <f ca="1">H62*'Forecast Expenditure-Volumes'!H107</f>
        <v>23549255.318518218</v>
      </c>
      <c r="I82" s="233">
        <f>I62*('Gross Capex'!K23*1000-'Forecast Contributions'!I20)</f>
        <v>22269033.913798794</v>
      </c>
      <c r="J82" s="233">
        <f>J62*('Gross Capex'!L23*1000-'Forecast Contributions'!J20)</f>
        <v>22894840.132149722</v>
      </c>
      <c r="K82" s="233">
        <f>K62*('Gross Capex'!M23*1000-'Forecast Contributions'!K20)</f>
        <v>23136711.967940819</v>
      </c>
      <c r="L82" s="233">
        <f>L62*('Gross Capex'!N23*1000-'Forecast Contributions'!L20)</f>
        <v>23098696.555989638</v>
      </c>
      <c r="M82" s="233">
        <f>M62*('Gross Capex'!O23*1000-'Forecast Contributions'!M20)</f>
        <v>22987344.428899396</v>
      </c>
      <c r="N82" s="3"/>
      <c r="O82" s="3"/>
      <c r="P82" s="3"/>
      <c r="Q82" s="3"/>
      <c r="R82" s="3"/>
      <c r="S82" s="3"/>
      <c r="T82" s="3"/>
    </row>
    <row r="83" spans="1:20" x14ac:dyDescent="0.2">
      <c r="A83" s="3"/>
      <c r="B83" s="71" t="s">
        <v>36</v>
      </c>
      <c r="C83" s="163">
        <f t="shared" ref="C83:M83" si="9">SUM(C70:C82)</f>
        <v>56806105.655244112</v>
      </c>
      <c r="D83" s="163">
        <f t="shared" si="9"/>
        <v>63831824.625201672</v>
      </c>
      <c r="E83" s="163">
        <f t="shared" si="9"/>
        <v>80182960.271301404</v>
      </c>
      <c r="F83" s="163">
        <f t="shared" si="9"/>
        <v>84233729.116680115</v>
      </c>
      <c r="G83" s="163">
        <f t="shared" ca="1" si="9"/>
        <v>79302216.682388261</v>
      </c>
      <c r="H83" s="163">
        <f t="shared" ca="1" si="9"/>
        <v>78853169.801756218</v>
      </c>
      <c r="I83" s="163">
        <f t="shared" si="9"/>
        <v>62288866.490164481</v>
      </c>
      <c r="J83" s="163">
        <f t="shared" si="9"/>
        <v>67755070.223159298</v>
      </c>
      <c r="K83" s="163">
        <f t="shared" si="9"/>
        <v>66710056.043239638</v>
      </c>
      <c r="L83" s="163">
        <f t="shared" si="9"/>
        <v>66016145.681427188</v>
      </c>
      <c r="M83" s="163">
        <f t="shared" si="9"/>
        <v>66069032.331964284</v>
      </c>
      <c r="N83" s="3"/>
      <c r="O83" s="3"/>
      <c r="P83" s="3"/>
      <c r="Q83" s="3"/>
      <c r="R83" s="3"/>
      <c r="S83" s="3"/>
      <c r="T83" s="3"/>
    </row>
    <row r="84" spans="1:20" x14ac:dyDescent="0.2">
      <c r="A84" s="3"/>
      <c r="B84" s="3" t="s">
        <v>231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3"/>
      <c r="O84" s="3"/>
      <c r="P84" s="3"/>
      <c r="Q84" s="3"/>
      <c r="R84" s="3"/>
      <c r="S84" s="3"/>
      <c r="T84" s="3"/>
    </row>
    <row r="85" spans="1:20" x14ac:dyDescent="0.2">
      <c r="A85" s="3"/>
      <c r="B85" s="3"/>
      <c r="C85" s="3"/>
      <c r="D85" s="3"/>
      <c r="E85" s="3"/>
      <c r="F85" s="3"/>
      <c r="G85" s="3"/>
      <c r="H85" s="3"/>
      <c r="I85" s="152"/>
      <c r="J85" s="152"/>
      <c r="K85" s="152"/>
      <c r="L85" s="152"/>
      <c r="M85" s="152"/>
      <c r="N85" s="3"/>
      <c r="O85" s="3"/>
      <c r="P85" s="3"/>
      <c r="Q85" s="3"/>
      <c r="R85" s="3"/>
      <c r="S85" s="3"/>
      <c r="T85" s="3"/>
    </row>
    <row r="86" spans="1:2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">
      <c r="A87" s="3"/>
      <c r="B87" s="34" t="s">
        <v>335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">
      <c r="A88" s="3"/>
      <c r="B88" s="49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">
      <c r="A89" s="3"/>
      <c r="B89" s="3"/>
      <c r="C89" s="281" t="str">
        <f>"$ "&amp;Inflation!$C$4</f>
        <v>$ 2021</v>
      </c>
      <c r="D89" s="262"/>
      <c r="E89" s="262"/>
      <c r="F89" s="262"/>
      <c r="G89" s="262"/>
      <c r="H89" s="262"/>
      <c r="I89" s="262"/>
      <c r="J89" s="262"/>
      <c r="K89" s="262"/>
      <c r="L89" s="262"/>
      <c r="M89" s="263"/>
      <c r="N89" s="3"/>
      <c r="O89" s="3"/>
      <c r="P89" s="3"/>
      <c r="Q89" s="3"/>
      <c r="R89" s="3"/>
      <c r="S89" s="3"/>
      <c r="T89" s="3"/>
    </row>
    <row r="90" spans="1:20" ht="25.5" x14ac:dyDescent="0.2">
      <c r="A90" s="3"/>
      <c r="B90" s="2" t="s">
        <v>35</v>
      </c>
      <c r="C90" s="2" t="s">
        <v>323</v>
      </c>
      <c r="D90" s="2" t="s">
        <v>324</v>
      </c>
      <c r="E90" s="2" t="s">
        <v>325</v>
      </c>
      <c r="F90" s="2" t="s">
        <v>326</v>
      </c>
      <c r="G90" s="136" t="s">
        <v>315</v>
      </c>
      <c r="H90" s="136" t="s">
        <v>316</v>
      </c>
      <c r="I90" s="136" t="s">
        <v>317</v>
      </c>
      <c r="J90" s="136" t="s">
        <v>318</v>
      </c>
      <c r="K90" s="136" t="s">
        <v>319</v>
      </c>
      <c r="L90" s="136" t="s">
        <v>320</v>
      </c>
      <c r="M90" s="136" t="s">
        <v>321</v>
      </c>
      <c r="N90" s="3"/>
      <c r="O90" s="3"/>
      <c r="P90" s="3"/>
      <c r="Q90" s="3"/>
      <c r="R90" s="3"/>
      <c r="S90" s="3"/>
      <c r="T90" s="3"/>
    </row>
    <row r="91" spans="1:20" x14ac:dyDescent="0.2">
      <c r="A91" s="3"/>
      <c r="B91" s="188">
        <f>IF('Historical Contributions'!B91=0," ",'Historical Contributions'!B91)</f>
        <v>102</v>
      </c>
      <c r="C91" s="166">
        <f>'Historical Contributions'!C91*Inflation!G$10</f>
        <v>5470566.0183095438</v>
      </c>
      <c r="D91" s="166">
        <f>'Historical Contributions'!D91*Inflation!H$10</f>
        <v>5536256.9404194634</v>
      </c>
      <c r="E91" s="166">
        <f>'Historical Contributions'!E91*Inflation!I$10</f>
        <v>6893759.7936389614</v>
      </c>
      <c r="F91" s="166">
        <f>'Historical Contributions'!F91*Inflation!J$10</f>
        <v>7928550.1566153858</v>
      </c>
      <c r="G91" s="158">
        <f t="shared" ref="G91:M103" ca="1" si="10">G70-G29+G8</f>
        <v>6722419.6633890364</v>
      </c>
      <c r="H91" s="158">
        <f t="shared" ca="1" si="10"/>
        <v>6732120.7905402211</v>
      </c>
      <c r="I91" s="158">
        <f t="shared" si="10"/>
        <v>3113708.7596685472</v>
      </c>
      <c r="J91" s="158">
        <f t="shared" si="10"/>
        <v>5685966.1516253725</v>
      </c>
      <c r="K91" s="158">
        <f t="shared" si="10"/>
        <v>5771678.2632410312</v>
      </c>
      <c r="L91" s="158">
        <f t="shared" si="10"/>
        <v>5833292.9942938015</v>
      </c>
      <c r="M91" s="158">
        <f t="shared" si="10"/>
        <v>5911288.7791192457</v>
      </c>
      <c r="N91" s="3"/>
      <c r="O91" s="3"/>
      <c r="P91" s="3"/>
      <c r="Q91" s="3"/>
      <c r="R91" s="3"/>
      <c r="S91" s="3"/>
      <c r="T91" s="3"/>
    </row>
    <row r="92" spans="1:20" x14ac:dyDescent="0.2">
      <c r="A92" s="3"/>
      <c r="B92" s="188">
        <f>IF('Historical Contributions'!B92=0," ",'Historical Contributions'!B92)</f>
        <v>104</v>
      </c>
      <c r="C92" s="166">
        <f>'Historical Contributions'!C92*Inflation!G$10</f>
        <v>7883417.4986002864</v>
      </c>
      <c r="D92" s="166">
        <f>'Historical Contributions'!D92*Inflation!H$10</f>
        <v>15610312.87895022</v>
      </c>
      <c r="E92" s="166">
        <f>'Historical Contributions'!E92*Inflation!I$10</f>
        <v>25703900.473866962</v>
      </c>
      <c r="F92" s="166">
        <f>'Historical Contributions'!F92*Inflation!J$10</f>
        <v>36104218.124942489</v>
      </c>
      <c r="G92" s="158">
        <f t="shared" ca="1" si="10"/>
        <v>25558396.614245445</v>
      </c>
      <c r="H92" s="158">
        <f t="shared" ca="1" si="10"/>
        <v>25563201.567023762</v>
      </c>
      <c r="I92" s="158">
        <f t="shared" si="10"/>
        <v>14408412.337281732</v>
      </c>
      <c r="J92" s="158">
        <f t="shared" si="10"/>
        <v>25716047.179934993</v>
      </c>
      <c r="K92" s="158">
        <f t="shared" si="10"/>
        <v>26096094.455518149</v>
      </c>
      <c r="L92" s="158">
        <f t="shared" si="10"/>
        <v>26179535.193350859</v>
      </c>
      <c r="M92" s="158">
        <f t="shared" si="10"/>
        <v>26108555.859608274</v>
      </c>
      <c r="N92" s="3"/>
      <c r="O92" s="3"/>
      <c r="P92" s="3"/>
      <c r="Q92" s="3"/>
      <c r="R92" s="3"/>
      <c r="S92" s="3"/>
      <c r="T92" s="3"/>
    </row>
    <row r="93" spans="1:20" x14ac:dyDescent="0.2">
      <c r="A93" s="3"/>
      <c r="B93" s="188">
        <f>IF('Historical Contributions'!B93=0," ",'Historical Contributions'!B93)</f>
        <v>105</v>
      </c>
      <c r="C93" s="166">
        <f>'Historical Contributions'!C93*Inflation!G$10</f>
        <v>2524570.6186629646</v>
      </c>
      <c r="D93" s="166">
        <f>'Historical Contributions'!D93*Inflation!H$10</f>
        <v>2898202.9745381474</v>
      </c>
      <c r="E93" s="166">
        <f>'Historical Contributions'!E93*Inflation!I$10</f>
        <v>2652887.8373332801</v>
      </c>
      <c r="F93" s="166">
        <f>'Historical Contributions'!F93*Inflation!J$10</f>
        <v>2900974.0258061155</v>
      </c>
      <c r="G93" s="158">
        <f t="shared" ca="1" si="10"/>
        <v>2902751.5019182018</v>
      </c>
      <c r="H93" s="158">
        <f t="shared" ca="1" si="10"/>
        <v>2822006.0070402878</v>
      </c>
      <c r="I93" s="158">
        <f t="shared" si="10"/>
        <v>2202525.4376613167</v>
      </c>
      <c r="J93" s="158">
        <f t="shared" si="10"/>
        <v>2057751.9857559807</v>
      </c>
      <c r="K93" s="158">
        <f t="shared" si="10"/>
        <v>2095500.6638858914</v>
      </c>
      <c r="L93" s="158">
        <f t="shared" si="10"/>
        <v>2208532.9787776619</v>
      </c>
      <c r="M93" s="158">
        <f t="shared" si="10"/>
        <v>2217386.8100533681</v>
      </c>
      <c r="N93" s="3"/>
      <c r="O93" s="3"/>
      <c r="P93" s="3"/>
      <c r="Q93" s="3"/>
      <c r="R93" s="3"/>
      <c r="S93" s="3"/>
      <c r="T93" s="3"/>
    </row>
    <row r="94" spans="1:20" x14ac:dyDescent="0.2">
      <c r="A94" s="3"/>
      <c r="B94" s="188">
        <f>IF('Historical Contributions'!B94=0," ",'Historical Contributions'!B94)</f>
        <v>106</v>
      </c>
      <c r="C94" s="166">
        <f>'Historical Contributions'!C94*Inflation!G$10</f>
        <v>909502.43791786861</v>
      </c>
      <c r="D94" s="166">
        <f>'Historical Contributions'!D94*Inflation!H$10</f>
        <v>1570354.6693069623</v>
      </c>
      <c r="E94" s="166">
        <f>'Historical Contributions'!E94*Inflation!I$10</f>
        <v>2093077.2243932891</v>
      </c>
      <c r="F94" s="166">
        <f>'Historical Contributions'!F94*Inflation!J$10</f>
        <v>1809543.6569697424</v>
      </c>
      <c r="G94" s="158">
        <f t="shared" ca="1" si="10"/>
        <v>1705413.7689512693</v>
      </c>
      <c r="H94" s="158">
        <f t="shared" ca="1" si="10"/>
        <v>1615436.5785351703</v>
      </c>
      <c r="I94" s="158">
        <f t="shared" si="10"/>
        <v>1233529.6868873592</v>
      </c>
      <c r="J94" s="158">
        <f t="shared" si="10"/>
        <v>1174285.1971427465</v>
      </c>
      <c r="K94" s="158">
        <f t="shared" si="10"/>
        <v>1202296.4102818852</v>
      </c>
      <c r="L94" s="158">
        <f t="shared" si="10"/>
        <v>1251619.0045278487</v>
      </c>
      <c r="M94" s="158">
        <f t="shared" si="10"/>
        <v>1234717.2895165861</v>
      </c>
      <c r="N94" s="3"/>
      <c r="O94" s="3"/>
      <c r="P94" s="3"/>
      <c r="Q94" s="3"/>
      <c r="R94" s="3"/>
      <c r="S94" s="3"/>
      <c r="T94" s="3"/>
    </row>
    <row r="95" spans="1:20" x14ac:dyDescent="0.2">
      <c r="A95" s="3"/>
      <c r="B95" s="188">
        <f>IF('Historical Contributions'!B95=0," ",'Historical Contributions'!B95)</f>
        <v>107</v>
      </c>
      <c r="C95" s="166">
        <f>'Historical Contributions'!C95*Inflation!G$10</f>
        <v>478892.58753991767</v>
      </c>
      <c r="D95" s="166">
        <f>'Historical Contributions'!D95*Inflation!H$10</f>
        <v>2973364.6148199881</v>
      </c>
      <c r="E95" s="166">
        <f>'Historical Contributions'!E95*Inflation!I$10</f>
        <v>2478691.0647479128</v>
      </c>
      <c r="F95" s="166">
        <f>'Historical Contributions'!F95*Inflation!J$10</f>
        <v>828669.01382419071</v>
      </c>
      <c r="G95" s="158">
        <f t="shared" ca="1" si="10"/>
        <v>1722202.6137728924</v>
      </c>
      <c r="H95" s="158">
        <f t="shared" ca="1" si="10"/>
        <v>1722202.6137728924</v>
      </c>
      <c r="I95" s="158">
        <f t="shared" si="10"/>
        <v>1633474.622550973</v>
      </c>
      <c r="J95" s="158">
        <f t="shared" si="10"/>
        <v>1679374.1797248493</v>
      </c>
      <c r="K95" s="158">
        <f t="shared" si="10"/>
        <v>1697111.2833532521</v>
      </c>
      <c r="L95" s="158">
        <f t="shared" si="10"/>
        <v>1694318.4235271234</v>
      </c>
      <c r="M95" s="158">
        <f t="shared" si="10"/>
        <v>1686150.4764802647</v>
      </c>
      <c r="N95" s="3"/>
      <c r="O95" s="3"/>
      <c r="P95" s="3"/>
      <c r="Q95" s="3"/>
      <c r="R95" s="3"/>
      <c r="S95" s="3"/>
      <c r="T95" s="3"/>
    </row>
    <row r="96" spans="1:20" x14ac:dyDescent="0.2">
      <c r="A96" s="3"/>
      <c r="B96" s="188">
        <f>IF('Historical Contributions'!B96=0," ",'Historical Contributions'!B96)</f>
        <v>108</v>
      </c>
      <c r="C96" s="166">
        <f>'Historical Contributions'!C96*Inflation!G$10</f>
        <v>1599947.1779048527</v>
      </c>
      <c r="D96" s="166">
        <f>'Historical Contributions'!D96*Inflation!H$10</f>
        <v>1765283.078802451</v>
      </c>
      <c r="E96" s="166">
        <f>'Historical Contributions'!E96*Inflation!I$10</f>
        <v>2135825.0316053801</v>
      </c>
      <c r="F96" s="166">
        <f>'Historical Contributions'!F96*Inflation!J$10</f>
        <v>2857991.1619014861</v>
      </c>
      <c r="G96" s="158">
        <f t="shared" ca="1" si="10"/>
        <v>2284520.6863922584</v>
      </c>
      <c r="H96" s="158">
        <f t="shared" ca="1" si="10"/>
        <v>2255335.9259206099</v>
      </c>
      <c r="I96" s="158">
        <f t="shared" si="10"/>
        <v>2115104.0720997863</v>
      </c>
      <c r="J96" s="158">
        <f t="shared" si="10"/>
        <v>2276506.1565263383</v>
      </c>
      <c r="K96" s="158">
        <f t="shared" si="10"/>
        <v>2315322.272827385</v>
      </c>
      <c r="L96" s="158">
        <f t="shared" si="10"/>
        <v>2311902.4782547033</v>
      </c>
      <c r="M96" s="158">
        <f t="shared" si="10"/>
        <v>2301054.6475711833</v>
      </c>
      <c r="N96" s="3"/>
      <c r="O96" s="3"/>
      <c r="P96" s="3"/>
      <c r="Q96" s="3"/>
      <c r="R96" s="3"/>
      <c r="S96" s="3"/>
      <c r="T96" s="3"/>
    </row>
    <row r="97" spans="1:20" x14ac:dyDescent="0.2">
      <c r="A97" s="3"/>
      <c r="B97" s="188">
        <f>IF('Historical Contributions'!B97=0," ",'Historical Contributions'!B97)</f>
        <v>109</v>
      </c>
      <c r="C97" s="166">
        <f>'Historical Contributions'!C97*Inflation!G$10</f>
        <v>7270663.5715035824</v>
      </c>
      <c r="D97" s="166">
        <f>'Historical Contributions'!D97*Inflation!H$10</f>
        <v>8757814.9316056035</v>
      </c>
      <c r="E97" s="166">
        <f>'Historical Contributions'!E97*Inflation!I$10</f>
        <v>9343575.6035449915</v>
      </c>
      <c r="F97" s="166">
        <f>'Historical Contributions'!F97*Inflation!J$10</f>
        <v>11456964.983779123</v>
      </c>
      <c r="G97" s="158">
        <f t="shared" ca="1" si="10"/>
        <v>9850938.0155935511</v>
      </c>
      <c r="H97" s="158">
        <f t="shared" ca="1" si="10"/>
        <v>9865251.4193818979</v>
      </c>
      <c r="I97" s="158">
        <f t="shared" si="10"/>
        <v>4559593.2182475617</v>
      </c>
      <c r="J97" s="158">
        <f t="shared" si="10"/>
        <v>8328457.6203481937</v>
      </c>
      <c r="K97" s="158">
        <f t="shared" si="10"/>
        <v>8454545.1814690884</v>
      </c>
      <c r="L97" s="158">
        <f t="shared" si="10"/>
        <v>8545823.7894284204</v>
      </c>
      <c r="M97" s="158">
        <f t="shared" si="10"/>
        <v>8661235.7923180629</v>
      </c>
      <c r="N97" s="3"/>
      <c r="O97" s="3"/>
      <c r="P97" s="3"/>
      <c r="Q97" s="3"/>
      <c r="R97" s="3"/>
      <c r="S97" s="3"/>
      <c r="T97" s="3"/>
    </row>
    <row r="98" spans="1:20" x14ac:dyDescent="0.2">
      <c r="A98" s="3"/>
      <c r="B98" s="188">
        <f>IF('Historical Contributions'!B98=0," ",'Historical Contributions'!B98)</f>
        <v>110</v>
      </c>
      <c r="C98" s="166">
        <f>'Historical Contributions'!C98*Inflation!G$10</f>
        <v>1707681.1480399084</v>
      </c>
      <c r="D98" s="166">
        <f>'Historical Contributions'!D98*Inflation!H$10</f>
        <v>2105173.9507544087</v>
      </c>
      <c r="E98" s="166">
        <f>'Historical Contributions'!E98*Inflation!I$10</f>
        <v>2903967.4353740839</v>
      </c>
      <c r="F98" s="166">
        <f>'Historical Contributions'!F98*Inflation!J$10</f>
        <v>3313279.4157411316</v>
      </c>
      <c r="G98" s="158">
        <f t="shared" ca="1" si="10"/>
        <v>2747346.5597828301</v>
      </c>
      <c r="H98" s="158">
        <f t="shared" ca="1" si="10"/>
        <v>2749565.1397129931</v>
      </c>
      <c r="I98" s="158">
        <f t="shared" si="10"/>
        <v>1396058.4797616964</v>
      </c>
      <c r="J98" s="158">
        <f t="shared" si="10"/>
        <v>2515521.6680504731</v>
      </c>
      <c r="K98" s="158">
        <f t="shared" si="10"/>
        <v>2550805.4257553276</v>
      </c>
      <c r="L98" s="158">
        <f t="shared" si="10"/>
        <v>2565582.3044443615</v>
      </c>
      <c r="M98" s="158">
        <f t="shared" si="10"/>
        <v>2577561.5097730197</v>
      </c>
      <c r="N98" s="3"/>
      <c r="O98" s="3"/>
      <c r="P98" s="3"/>
      <c r="Q98" s="3"/>
      <c r="R98" s="3"/>
      <c r="S98" s="3"/>
      <c r="T98" s="3"/>
    </row>
    <row r="99" spans="1:20" x14ac:dyDescent="0.2">
      <c r="A99" s="3"/>
      <c r="B99" s="188">
        <f>IF('Historical Contributions'!B99=0," ",'Historical Contributions'!B99)</f>
        <v>111</v>
      </c>
      <c r="C99" s="166">
        <f>'Historical Contributions'!C99*Inflation!G$10</f>
        <v>1204536.6324366566</v>
      </c>
      <c r="D99" s="166">
        <f>'Historical Contributions'!D99*Inflation!H$10</f>
        <v>1352324.6762837849</v>
      </c>
      <c r="E99" s="166">
        <f>'Historical Contributions'!E99*Inflation!I$10</f>
        <v>1561003.4401537902</v>
      </c>
      <c r="F99" s="166">
        <f>'Historical Contributions'!F99*Inflation!J$10</f>
        <v>1731920.1202843545</v>
      </c>
      <c r="G99" s="158">
        <f t="shared" ca="1" si="10"/>
        <v>1526126.0884079863</v>
      </c>
      <c r="H99" s="158">
        <f t="shared" ca="1" si="10"/>
        <v>1507905.2073876807</v>
      </c>
      <c r="I99" s="158">
        <f t="shared" si="10"/>
        <v>1225696.8600173839</v>
      </c>
      <c r="J99" s="158">
        <f t="shared" si="10"/>
        <v>1236263.1939625044</v>
      </c>
      <c r="K99" s="158">
        <f t="shared" si="10"/>
        <v>1260076.1955446443</v>
      </c>
      <c r="L99" s="158">
        <f t="shared" si="10"/>
        <v>1282535.623853262</v>
      </c>
      <c r="M99" s="158">
        <f t="shared" si="10"/>
        <v>1275247.9895369427</v>
      </c>
      <c r="N99" s="3"/>
      <c r="O99" s="3"/>
      <c r="P99" s="3"/>
      <c r="Q99" s="3"/>
      <c r="R99" s="3"/>
      <c r="S99" s="3"/>
      <c r="T99" s="3"/>
    </row>
    <row r="100" spans="1:20" x14ac:dyDescent="0.2">
      <c r="A100" s="3"/>
      <c r="B100" s="188">
        <f>IF('Historical Contributions'!B100=0," ",'Historical Contributions'!B100)</f>
        <v>114</v>
      </c>
      <c r="C100" s="166">
        <f>'Historical Contributions'!C100*Inflation!G$10</f>
        <v>0</v>
      </c>
      <c r="D100" s="166">
        <f>'Historical Contributions'!D100*Inflation!H$10</f>
        <v>0</v>
      </c>
      <c r="E100" s="166">
        <f>'Historical Contributions'!E100*Inflation!I$10</f>
        <v>0</v>
      </c>
      <c r="F100" s="166">
        <f>'Historical Contributions'!F100*Inflation!J$10</f>
        <v>0</v>
      </c>
      <c r="G100" s="158">
        <f t="shared" ca="1" si="10"/>
        <v>0</v>
      </c>
      <c r="H100" s="158">
        <f t="shared" ca="1" si="10"/>
        <v>0</v>
      </c>
      <c r="I100" s="158">
        <f t="shared" si="10"/>
        <v>0</v>
      </c>
      <c r="J100" s="158">
        <f t="shared" si="10"/>
        <v>0</v>
      </c>
      <c r="K100" s="158">
        <f t="shared" si="10"/>
        <v>0</v>
      </c>
      <c r="L100" s="158">
        <f t="shared" si="10"/>
        <v>0</v>
      </c>
      <c r="M100" s="158">
        <f t="shared" si="10"/>
        <v>0</v>
      </c>
      <c r="N100" s="3"/>
      <c r="O100" s="3"/>
      <c r="P100" s="3"/>
      <c r="Q100" s="3"/>
      <c r="R100" s="3"/>
      <c r="S100" s="3"/>
      <c r="T100" s="3"/>
    </row>
    <row r="101" spans="1:20" x14ac:dyDescent="0.2">
      <c r="A101" s="3"/>
      <c r="B101" s="188">
        <f>IF('Historical Contributions'!B101=0," ",'Historical Contributions'!B101)</f>
        <v>115</v>
      </c>
      <c r="C101" s="166">
        <f>'Historical Contributions'!C101*Inflation!G$10</f>
        <v>0</v>
      </c>
      <c r="D101" s="166">
        <f>'Historical Contributions'!D101*Inflation!H$10</f>
        <v>0</v>
      </c>
      <c r="E101" s="166">
        <f>'Historical Contributions'!E101*Inflation!I$10</f>
        <v>0</v>
      </c>
      <c r="F101" s="166">
        <f>'Historical Contributions'!F101*Inflation!J$10</f>
        <v>0</v>
      </c>
      <c r="G101" s="158">
        <f t="shared" ca="1" si="10"/>
        <v>0</v>
      </c>
      <c r="H101" s="158">
        <f t="shared" ca="1" si="10"/>
        <v>0</v>
      </c>
      <c r="I101" s="158">
        <f t="shared" si="10"/>
        <v>0</v>
      </c>
      <c r="J101" s="158">
        <f t="shared" si="10"/>
        <v>0</v>
      </c>
      <c r="K101" s="158">
        <f t="shared" si="10"/>
        <v>0</v>
      </c>
      <c r="L101" s="158">
        <f t="shared" si="10"/>
        <v>0</v>
      </c>
      <c r="M101" s="158">
        <f t="shared" si="10"/>
        <v>0</v>
      </c>
      <c r="N101" s="3"/>
      <c r="O101" s="3"/>
      <c r="P101" s="3"/>
      <c r="Q101" s="3"/>
      <c r="R101" s="3"/>
      <c r="S101" s="3"/>
      <c r="T101" s="3"/>
    </row>
    <row r="102" spans="1:20" x14ac:dyDescent="0.2">
      <c r="A102" s="3"/>
      <c r="B102" s="188">
        <f>IF('Historical Contributions'!B102=0," ",'Historical Contributions'!B102)</f>
        <v>116</v>
      </c>
      <c r="C102" s="166">
        <f>'Historical Contributions'!C102*Inflation!G$10</f>
        <v>32197296.433983408</v>
      </c>
      <c r="D102" s="166">
        <f>'Historical Contributions'!D102*Inflation!H$10</f>
        <v>26855534.695910353</v>
      </c>
      <c r="E102" s="166">
        <f>'Historical Contributions'!E102*Inflation!I$10</f>
        <v>27935164.243288372</v>
      </c>
      <c r="F102" s="166">
        <f>'Historical Contributions'!F102*Inflation!J$10</f>
        <v>25396467.722906567</v>
      </c>
      <c r="G102" s="158">
        <f t="shared" ca="1" si="10"/>
        <v>26442955.188225836</v>
      </c>
      <c r="H102" s="158">
        <f t="shared" ca="1" si="10"/>
        <v>26180998.570731752</v>
      </c>
      <c r="I102" s="158">
        <f t="shared" si="10"/>
        <v>24385509.571930345</v>
      </c>
      <c r="J102" s="158">
        <f t="shared" si="10"/>
        <v>21494234.055339359</v>
      </c>
      <c r="K102" s="158">
        <f t="shared" si="10"/>
        <v>19895476.942639314</v>
      </c>
      <c r="L102" s="158">
        <f t="shared" si="10"/>
        <v>18928936.428037215</v>
      </c>
      <c r="M102" s="158">
        <f t="shared" si="10"/>
        <v>18863535.710421</v>
      </c>
      <c r="N102" s="3"/>
      <c r="O102" s="3"/>
      <c r="P102" s="3"/>
      <c r="Q102" s="3"/>
      <c r="R102" s="3"/>
      <c r="S102" s="3"/>
      <c r="T102" s="3"/>
    </row>
    <row r="103" spans="1:20" x14ac:dyDescent="0.2">
      <c r="A103" s="3"/>
      <c r="B103" s="188">
        <f>IF('Historical Contributions'!B103=0," ",'Historical Contributions'!B103)</f>
        <v>118</v>
      </c>
      <c r="C103" s="166">
        <f>'Historical Contributions'!C103*Inflation!G$10</f>
        <v>4835449.0821437389</v>
      </c>
      <c r="D103" s="166">
        <f>'Historical Contributions'!D103*Inflation!H$10</f>
        <v>10517829.45375018</v>
      </c>
      <c r="E103" s="166">
        <f>'Historical Contributions'!E103*Inflation!I$10</f>
        <v>21726262.058888458</v>
      </c>
      <c r="F103" s="166">
        <f>'Historical Contributions'!F103*Inflation!J$10</f>
        <v>25679696.568863347</v>
      </c>
      <c r="G103" s="158">
        <f t="shared" ca="1" si="10"/>
        <v>23549255.318518218</v>
      </c>
      <c r="H103" s="158">
        <f t="shared" ca="1" si="10"/>
        <v>23549255.318518218</v>
      </c>
      <c r="I103" s="158">
        <f t="shared" si="10"/>
        <v>22269033.913798794</v>
      </c>
      <c r="J103" s="158">
        <f t="shared" si="10"/>
        <v>22894840.132149722</v>
      </c>
      <c r="K103" s="158">
        <f t="shared" si="10"/>
        <v>23136711.967940819</v>
      </c>
      <c r="L103" s="158">
        <f t="shared" si="10"/>
        <v>23098696.555989638</v>
      </c>
      <c r="M103" s="158">
        <f t="shared" si="10"/>
        <v>22987344.428899396</v>
      </c>
      <c r="N103" s="3"/>
      <c r="O103" s="3"/>
      <c r="P103" s="3"/>
      <c r="Q103" s="3"/>
      <c r="R103" s="3"/>
      <c r="S103" s="3"/>
      <c r="T103" s="3"/>
    </row>
    <row r="104" spans="1:20" x14ac:dyDescent="0.2">
      <c r="A104" s="3"/>
      <c r="B104" s="71" t="s">
        <v>36</v>
      </c>
      <c r="C104" s="163">
        <f t="shared" ref="C104:M104" si="11">SUM(C91:C103)</f>
        <v>66082523.207042724</v>
      </c>
      <c r="D104" s="163">
        <f t="shared" si="11"/>
        <v>79942452.865141556</v>
      </c>
      <c r="E104" s="163">
        <f t="shared" si="11"/>
        <v>105428114.20683548</v>
      </c>
      <c r="F104" s="163">
        <f t="shared" si="11"/>
        <v>120008274.95163392</v>
      </c>
      <c r="G104" s="163">
        <f t="shared" ca="1" si="11"/>
        <v>105012326.01919752</v>
      </c>
      <c r="H104" s="163">
        <f t="shared" ca="1" si="11"/>
        <v>104563279.13856548</v>
      </c>
      <c r="I104" s="163">
        <f t="shared" si="11"/>
        <v>78542646.95990549</v>
      </c>
      <c r="J104" s="163">
        <f t="shared" si="11"/>
        <v>95059247.520560548</v>
      </c>
      <c r="K104" s="163">
        <f t="shared" si="11"/>
        <v>94475619.062456802</v>
      </c>
      <c r="L104" s="163">
        <f t="shared" si="11"/>
        <v>93900775.774484903</v>
      </c>
      <c r="M104" s="163">
        <f t="shared" si="11"/>
        <v>93824079.293297336</v>
      </c>
      <c r="N104" s="3"/>
      <c r="O104" s="3"/>
      <c r="P104" s="3"/>
      <c r="Q104" s="3"/>
      <c r="R104" s="3"/>
      <c r="S104" s="3"/>
      <c r="T104" s="3"/>
    </row>
    <row r="105" spans="1:20" x14ac:dyDescent="0.2">
      <c r="A105" s="3"/>
      <c r="B105" s="3" t="s">
        <v>231</v>
      </c>
      <c r="C105" s="183">
        <f>C21-C42+C83-C104</f>
        <v>0</v>
      </c>
      <c r="D105" s="183">
        <f t="shared" ref="D105:M105" si="12">D21-D42+D83-D104</f>
        <v>0</v>
      </c>
      <c r="E105" s="183">
        <f t="shared" si="12"/>
        <v>0</v>
      </c>
      <c r="F105" s="183">
        <f t="shared" si="12"/>
        <v>0</v>
      </c>
      <c r="G105" s="183">
        <f t="shared" ca="1" si="12"/>
        <v>0</v>
      </c>
      <c r="H105" s="183">
        <f t="shared" ca="1" si="12"/>
        <v>0</v>
      </c>
      <c r="I105" s="183">
        <f t="shared" si="12"/>
        <v>0</v>
      </c>
      <c r="J105" s="183">
        <f t="shared" si="12"/>
        <v>0</v>
      </c>
      <c r="K105" s="183">
        <f t="shared" si="12"/>
        <v>0</v>
      </c>
      <c r="L105" s="183">
        <f t="shared" si="12"/>
        <v>0</v>
      </c>
      <c r="M105" s="183">
        <f t="shared" si="12"/>
        <v>0</v>
      </c>
      <c r="N105" s="3"/>
      <c r="O105" s="3"/>
      <c r="P105" s="3"/>
      <c r="Q105" s="3"/>
      <c r="R105" s="3"/>
      <c r="S105" s="3"/>
      <c r="T105" s="3"/>
    </row>
    <row r="106" spans="1:2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.75" x14ac:dyDescent="0.25">
      <c r="A108" s="28"/>
      <c r="B108" s="28" t="s">
        <v>309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3"/>
      <c r="R108" s="3"/>
      <c r="S108" s="3"/>
      <c r="T108" s="3"/>
    </row>
    <row r="109" spans="1:20" hidden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idden="1" x14ac:dyDescent="0.2"/>
    <row r="111" spans="1:20" hidden="1" x14ac:dyDescent="0.2"/>
    <row r="112" spans="1:20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</sheetData>
  <mergeCells count="5">
    <mergeCell ref="C68:M68"/>
    <mergeCell ref="C89:M89"/>
    <mergeCell ref="C48:M48"/>
    <mergeCell ref="C6:M6"/>
    <mergeCell ref="C27:M27"/>
  </mergeCells>
  <hyperlinks>
    <hyperlink ref="M1" location="Menu!A1" display="Menu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28"/>
  <sheetViews>
    <sheetView showGridLines="0" workbookViewId="0">
      <selection activeCell="C34" sqref="C34"/>
    </sheetView>
  </sheetViews>
  <sheetFormatPr defaultRowHeight="15" x14ac:dyDescent="0.25"/>
  <cols>
    <col min="1" max="2" width="3.7109375" style="208" customWidth="1"/>
    <col min="3" max="3" width="41.85546875" style="208" customWidth="1"/>
    <col min="4" max="8" width="8.7109375" style="208" customWidth="1"/>
    <col min="9" max="10" width="2.7109375" style="208" customWidth="1"/>
    <col min="11" max="11" width="54.5703125" style="208" customWidth="1"/>
    <col min="12" max="16384" width="9.140625" style="208"/>
  </cols>
  <sheetData>
    <row r="1" spans="1:11" x14ac:dyDescent="0.25">
      <c r="A1" s="207" t="s">
        <v>357</v>
      </c>
      <c r="B1" s="207"/>
    </row>
    <row r="2" spans="1:11" x14ac:dyDescent="0.25">
      <c r="A2" s="207"/>
      <c r="B2" s="207"/>
      <c r="K2" s="207"/>
    </row>
    <row r="3" spans="1:11" ht="3.95" customHeight="1" x14ac:dyDescent="0.25">
      <c r="A3" s="207"/>
      <c r="B3" s="209"/>
      <c r="C3" s="210"/>
      <c r="D3" s="210"/>
      <c r="E3" s="210"/>
      <c r="F3" s="210"/>
      <c r="G3" s="210"/>
      <c r="H3" s="210"/>
      <c r="I3" s="211"/>
    </row>
    <row r="4" spans="1:11" x14ac:dyDescent="0.25">
      <c r="B4" s="212"/>
      <c r="C4" s="231" t="s">
        <v>313</v>
      </c>
      <c r="D4" s="213" t="s">
        <v>358</v>
      </c>
      <c r="E4" s="213"/>
      <c r="F4" s="213"/>
      <c r="G4" s="214"/>
      <c r="H4" s="232">
        <f>E21/D21-1</f>
        <v>-0.18906493914546285</v>
      </c>
      <c r="I4" s="215"/>
    </row>
    <row r="5" spans="1:11" ht="3.95" customHeight="1" x14ac:dyDescent="0.25">
      <c r="B5" s="216"/>
      <c r="C5" s="217"/>
      <c r="D5" s="217"/>
      <c r="E5" s="217"/>
      <c r="F5" s="217"/>
      <c r="G5" s="217"/>
      <c r="H5" s="217"/>
      <c r="I5" s="218"/>
    </row>
    <row r="6" spans="1:11" x14ac:dyDescent="0.25">
      <c r="K6" s="207"/>
    </row>
    <row r="7" spans="1:11" x14ac:dyDescent="0.25">
      <c r="D7" s="282" t="s">
        <v>313</v>
      </c>
      <c r="E7" s="282"/>
      <c r="G7"/>
      <c r="H7"/>
    </row>
    <row r="8" spans="1:11" x14ac:dyDescent="0.25">
      <c r="D8" s="234" t="s">
        <v>359</v>
      </c>
      <c r="E8" s="234" t="s">
        <v>360</v>
      </c>
      <c r="G8"/>
      <c r="H8"/>
    </row>
    <row r="9" spans="1:11" x14ac:dyDescent="0.25">
      <c r="C9" s="208" t="s">
        <v>361</v>
      </c>
      <c r="D9" s="235">
        <v>0.57999999999999996</v>
      </c>
      <c r="E9" s="236">
        <f>D9</f>
        <v>0.57999999999999996</v>
      </c>
      <c r="G9" s="208" t="s">
        <v>362</v>
      </c>
      <c r="H9"/>
    </row>
    <row r="10" spans="1:11" x14ac:dyDescent="0.25">
      <c r="C10" s="208" t="s">
        <v>363</v>
      </c>
      <c r="D10" s="235">
        <v>0.35</v>
      </c>
      <c r="E10" s="237"/>
      <c r="G10" s="208" t="s">
        <v>364</v>
      </c>
      <c r="H10"/>
    </row>
    <row r="11" spans="1:11" x14ac:dyDescent="0.25">
      <c r="C11" s="208" t="s">
        <v>365</v>
      </c>
      <c r="D11" s="235">
        <v>0.43</v>
      </c>
      <c r="E11" s="237"/>
      <c r="G11" s="208" t="s">
        <v>366</v>
      </c>
      <c r="H11"/>
    </row>
    <row r="12" spans="1:11" x14ac:dyDescent="0.25">
      <c r="C12" s="208" t="s">
        <v>367</v>
      </c>
      <c r="D12" s="238">
        <v>4.19E-2</v>
      </c>
      <c r="E12" s="238">
        <v>2.4299999999999999E-2</v>
      </c>
      <c r="G12" s="208" t="s">
        <v>368</v>
      </c>
      <c r="H12"/>
      <c r="I12" s="220"/>
    </row>
    <row r="13" spans="1:11" x14ac:dyDescent="0.25">
      <c r="C13" s="208" t="s">
        <v>369</v>
      </c>
      <c r="D13" s="237"/>
      <c r="E13" s="238">
        <v>0.1028</v>
      </c>
      <c r="G13" s="208" t="s">
        <v>370</v>
      </c>
      <c r="H13"/>
      <c r="I13" s="220"/>
    </row>
    <row r="15" spans="1:11" x14ac:dyDescent="0.25">
      <c r="A15" s="207"/>
      <c r="B15" s="221" t="s">
        <v>371</v>
      </c>
      <c r="C15" s="222"/>
      <c r="D15" s="223"/>
      <c r="E15" s="223"/>
    </row>
    <row r="16" spans="1:11" x14ac:dyDescent="0.25">
      <c r="D16" s="219" t="s">
        <v>359</v>
      </c>
      <c r="E16" s="219" t="s">
        <v>360</v>
      </c>
    </row>
    <row r="17" spans="2:6" x14ac:dyDescent="0.25">
      <c r="C17" s="208" t="s">
        <v>372</v>
      </c>
      <c r="D17" s="224">
        <v>1000</v>
      </c>
      <c r="E17" s="225">
        <f>D17</f>
        <v>1000</v>
      </c>
    </row>
    <row r="18" spans="2:6" x14ac:dyDescent="0.25">
      <c r="C18" s="208" t="s">
        <v>373</v>
      </c>
      <c r="D18" s="225">
        <f>D17*$D$10</f>
        <v>350</v>
      </c>
      <c r="E18" s="225">
        <f>D18</f>
        <v>350</v>
      </c>
    </row>
    <row r="19" spans="2:6" x14ac:dyDescent="0.25">
      <c r="C19" s="208" t="s">
        <v>374</v>
      </c>
      <c r="D19" s="225">
        <f>D17*(1+D10-D11)</f>
        <v>920.00000000000011</v>
      </c>
      <c r="E19" s="225">
        <f>D19*(1+D28)</f>
        <v>1001.2979238325491</v>
      </c>
    </row>
    <row r="20" spans="2:6" x14ac:dyDescent="0.25">
      <c r="C20" s="208" t="s">
        <v>375</v>
      </c>
      <c r="D20" s="225">
        <f>D17+D18-D19</f>
        <v>429.99999999999989</v>
      </c>
      <c r="E20" s="225">
        <f>E17+E18-E19</f>
        <v>348.70207616745085</v>
      </c>
    </row>
    <row r="21" spans="2:6" x14ac:dyDescent="0.25">
      <c r="C21" s="208" t="s">
        <v>365</v>
      </c>
      <c r="D21" s="226">
        <f>D20/D17</f>
        <v>0.42999999999999988</v>
      </c>
      <c r="E21" s="226">
        <f>E20/E17</f>
        <v>0.34870207616745086</v>
      </c>
      <c r="F21" s="227"/>
    </row>
    <row r="22" spans="2:6" x14ac:dyDescent="0.25">
      <c r="D22" s="228"/>
    </row>
    <row r="23" spans="2:6" x14ac:dyDescent="0.25">
      <c r="B23" s="221" t="s">
        <v>376</v>
      </c>
      <c r="C23" s="223"/>
      <c r="D23" s="223"/>
      <c r="E23" s="223"/>
    </row>
    <row r="24" spans="2:6" x14ac:dyDescent="0.25">
      <c r="C24" s="229"/>
      <c r="D24" s="219" t="s">
        <v>359</v>
      </c>
      <c r="E24" s="219" t="s">
        <v>360</v>
      </c>
    </row>
    <row r="25" spans="2:6" x14ac:dyDescent="0.25">
      <c r="C25" s="208" t="s">
        <v>377</v>
      </c>
      <c r="D25" s="225">
        <f>PV(D$12,30,-1)</f>
        <v>16.900005733744734</v>
      </c>
      <c r="E25" s="225">
        <f>PV(E$12,30,-(1-E$13))</f>
        <v>18.955131649533516</v>
      </c>
    </row>
    <row r="26" spans="2:6" x14ac:dyDescent="0.25">
      <c r="C26" s="208" t="s">
        <v>378</v>
      </c>
      <c r="D26" s="225">
        <f>PV(D$12,15,-1)</f>
        <v>10.972118628810744</v>
      </c>
      <c r="E26" s="225">
        <f>PV(E$12,15,-(1-E$13))</f>
        <v>11.165989555886002</v>
      </c>
    </row>
    <row r="27" spans="2:6" x14ac:dyDescent="0.25">
      <c r="C27" s="208" t="s">
        <v>379</v>
      </c>
      <c r="D27" s="225">
        <f>D25*D$9+D26*(1-D$9)</f>
        <v>14.410293149672459</v>
      </c>
      <c r="E27" s="225">
        <f>E25*E$9+E26*(1-E$9)</f>
        <v>15.683691970201561</v>
      </c>
    </row>
    <row r="28" spans="2:6" x14ac:dyDescent="0.25">
      <c r="C28" s="208" t="s">
        <v>380</v>
      </c>
      <c r="D28" s="230">
        <f>E27/D27-1</f>
        <v>8.8367308513640275E-2</v>
      </c>
    </row>
  </sheetData>
  <mergeCells count="1">
    <mergeCell ref="D7:E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T120"/>
  <sheetViews>
    <sheetView zoomScale="80" zoomScaleNormal="80" workbookViewId="0"/>
  </sheetViews>
  <sheetFormatPr defaultColWidth="0" defaultRowHeight="12.75" zeroHeight="1" x14ac:dyDescent="0.2"/>
  <cols>
    <col min="1" max="1" width="3.7109375" style="147" customWidth="1"/>
    <col min="2" max="2" width="9.140625" style="147" customWidth="1"/>
    <col min="3" max="8" width="13.7109375" style="147" customWidth="1"/>
    <col min="9" max="13" width="15.140625" style="147" bestFit="1" customWidth="1"/>
    <col min="14" max="14" width="3.7109375" style="147" customWidth="1"/>
    <col min="15" max="15" width="3.7109375" style="147" hidden="1" customWidth="1"/>
    <col min="16" max="16384" width="9.140625" style="147" hidden="1"/>
  </cols>
  <sheetData>
    <row r="1" spans="1:20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48" t="s">
        <v>39</v>
      </c>
      <c r="N1" s="26"/>
      <c r="O1" s="26"/>
      <c r="P1" s="26"/>
      <c r="Q1" s="26"/>
      <c r="R1" s="26"/>
      <c r="S1" s="26"/>
      <c r="T1" s="26"/>
    </row>
    <row r="2" spans="1:20" ht="15.75" x14ac:dyDescent="0.25">
      <c r="A2" s="173" t="str">
        <f ca="1">RIGHT(CELL("filename", $A$1), LEN(CELL("filename", $A$1)) - SEARCH("]", CELL("filename", $A$1)))</f>
        <v>Forecast Contributions-AER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x14ac:dyDescent="0.2">
      <c r="A4" s="146"/>
      <c r="B4" s="144" t="s">
        <v>192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x14ac:dyDescent="0.2">
      <c r="A5" s="146"/>
      <c r="B5" s="149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x14ac:dyDescent="0.2">
      <c r="A6" s="146"/>
      <c r="B6" s="146"/>
      <c r="C6" s="283" t="s">
        <v>381</v>
      </c>
      <c r="D6" s="284"/>
      <c r="E6" s="284"/>
      <c r="F6" s="284"/>
      <c r="G6" s="284"/>
      <c r="H6" s="284"/>
      <c r="I6" s="284"/>
      <c r="J6" s="284"/>
      <c r="K6" s="284"/>
      <c r="L6" s="284"/>
      <c r="M6" s="263"/>
      <c r="N6" s="146"/>
      <c r="O6" s="146"/>
      <c r="P6" s="146"/>
      <c r="Q6" s="146"/>
      <c r="R6" s="146"/>
      <c r="S6" s="146"/>
      <c r="T6" s="146"/>
    </row>
    <row r="7" spans="1:20" ht="25.5" x14ac:dyDescent="0.2">
      <c r="A7" s="146"/>
      <c r="B7" s="141" t="s">
        <v>35</v>
      </c>
      <c r="C7" s="141" t="s">
        <v>323</v>
      </c>
      <c r="D7" s="141" t="s">
        <v>324</v>
      </c>
      <c r="E7" s="141" t="s">
        <v>325</v>
      </c>
      <c r="F7" s="141" t="s">
        <v>326</v>
      </c>
      <c r="G7" s="143" t="s">
        <v>315</v>
      </c>
      <c r="H7" s="143" t="s">
        <v>316</v>
      </c>
      <c r="I7" s="143" t="s">
        <v>317</v>
      </c>
      <c r="J7" s="143" t="s">
        <v>318</v>
      </c>
      <c r="K7" s="143" t="s">
        <v>319</v>
      </c>
      <c r="L7" s="143" t="s">
        <v>320</v>
      </c>
      <c r="M7" s="143" t="s">
        <v>321</v>
      </c>
      <c r="N7" s="146"/>
      <c r="O7" s="146"/>
      <c r="P7" s="146"/>
      <c r="Q7" s="146"/>
      <c r="R7" s="146"/>
      <c r="S7" s="146"/>
      <c r="T7" s="146"/>
    </row>
    <row r="8" spans="1:20" x14ac:dyDescent="0.2">
      <c r="A8" s="146"/>
      <c r="B8" s="188">
        <v>102</v>
      </c>
      <c r="C8" s="166">
        <v>262888.967133219</v>
      </c>
      <c r="D8" s="166">
        <v>239084.14917358785</v>
      </c>
      <c r="E8" s="166">
        <v>141136.99079189688</v>
      </c>
      <c r="F8" s="166">
        <v>33379.314182853072</v>
      </c>
      <c r="G8" s="158">
        <f>AVERAGE($D8:$F8)</f>
        <v>137866.81804944595</v>
      </c>
      <c r="H8" s="158">
        <f t="shared" ref="H8:H20" si="0">AVERAGE($D8:$F8)</f>
        <v>137866.81804944595</v>
      </c>
      <c r="I8" s="201">
        <v>82089.043096515132</v>
      </c>
      <c r="J8" s="201">
        <v>146414.78159959469</v>
      </c>
      <c r="K8" s="201">
        <v>148888.89715184309</v>
      </c>
      <c r="L8" s="201">
        <v>149527.37746282932</v>
      </c>
      <c r="M8" s="201">
        <v>148832.50628162501</v>
      </c>
      <c r="N8" s="146"/>
      <c r="O8" s="146"/>
      <c r="P8" s="146"/>
      <c r="Q8" s="146"/>
      <c r="R8" s="146"/>
      <c r="S8" s="146"/>
      <c r="T8" s="146"/>
    </row>
    <row r="9" spans="1:20" x14ac:dyDescent="0.2">
      <c r="A9" s="146"/>
      <c r="B9" s="188">
        <v>104</v>
      </c>
      <c r="C9" s="166">
        <v>26322974.663418122</v>
      </c>
      <c r="D9" s="166">
        <v>35500693.298623361</v>
      </c>
      <c r="E9" s="166">
        <v>40526170.935543276</v>
      </c>
      <c r="F9" s="166">
        <v>50100591.606474228</v>
      </c>
      <c r="G9" s="158">
        <f t="shared" ref="G9:G20" si="1">AVERAGE($D9:$F9)</f>
        <v>42042485.280213624</v>
      </c>
      <c r="H9" s="158">
        <f t="shared" si="0"/>
        <v>42042485.280213624</v>
      </c>
      <c r="I9" s="201">
        <v>25033053.165949445</v>
      </c>
      <c r="J9" s="201">
        <v>44649186.710024245</v>
      </c>
      <c r="K9" s="201">
        <v>45403668.231819034</v>
      </c>
      <c r="L9" s="201">
        <v>45598372.798560515</v>
      </c>
      <c r="M9" s="201">
        <v>45386471.836307593</v>
      </c>
      <c r="N9" s="146"/>
      <c r="O9" s="146"/>
      <c r="P9" s="146"/>
      <c r="Q9" s="146"/>
      <c r="R9" s="146"/>
      <c r="S9" s="146"/>
      <c r="T9" s="146"/>
    </row>
    <row r="10" spans="1:20" x14ac:dyDescent="0.2">
      <c r="A10" s="146"/>
      <c r="B10" s="188">
        <v>105</v>
      </c>
      <c r="C10" s="166">
        <v>229181.24307697397</v>
      </c>
      <c r="D10" s="166">
        <v>279430.13821391581</v>
      </c>
      <c r="E10" s="166">
        <v>105404.42081031309</v>
      </c>
      <c r="F10" s="166">
        <v>14788.478197440141</v>
      </c>
      <c r="G10" s="158">
        <f t="shared" si="1"/>
        <v>133207.67907388968</v>
      </c>
      <c r="H10" s="158">
        <f t="shared" si="0"/>
        <v>133207.67907388968</v>
      </c>
      <c r="I10" s="201">
        <v>79314.885648274605</v>
      </c>
      <c r="J10" s="201">
        <v>141466.76854467983</v>
      </c>
      <c r="K10" s="201">
        <v>143857.27262055851</v>
      </c>
      <c r="L10" s="201">
        <v>144474.17581426495</v>
      </c>
      <c r="M10" s="201">
        <v>143802.78745111031</v>
      </c>
      <c r="N10" s="146"/>
      <c r="O10" s="146"/>
      <c r="P10" s="146"/>
      <c r="Q10" s="146"/>
      <c r="R10" s="146"/>
      <c r="S10" s="146"/>
      <c r="T10" s="146"/>
    </row>
    <row r="11" spans="1:20" x14ac:dyDescent="0.2">
      <c r="A11" s="146"/>
      <c r="B11" s="188">
        <v>106</v>
      </c>
      <c r="C11" s="166">
        <v>218909.58422345057</v>
      </c>
      <c r="D11" s="166">
        <v>252595.26806400093</v>
      </c>
      <c r="E11" s="166">
        <v>149986.80847145489</v>
      </c>
      <c r="F11" s="166">
        <v>151089.53690739459</v>
      </c>
      <c r="G11" s="158">
        <f t="shared" si="1"/>
        <v>184557.20448095014</v>
      </c>
      <c r="H11" s="158">
        <f t="shared" si="0"/>
        <v>184557.20448095014</v>
      </c>
      <c r="I11" s="201">
        <v>109889.56245421924</v>
      </c>
      <c r="J11" s="201">
        <v>196000.0467771632</v>
      </c>
      <c r="K11" s="201">
        <v>199312.05365703508</v>
      </c>
      <c r="L11" s="201">
        <v>200166.76360812338</v>
      </c>
      <c r="M11" s="201">
        <v>199236.56528707818</v>
      </c>
      <c r="N11" s="146"/>
      <c r="O11" s="146"/>
      <c r="P11" s="146"/>
      <c r="Q11" s="146"/>
      <c r="R11" s="146"/>
      <c r="S11" s="146"/>
      <c r="T11" s="146"/>
    </row>
    <row r="12" spans="1:20" x14ac:dyDescent="0.2">
      <c r="A12" s="146"/>
      <c r="B12" s="188">
        <v>107</v>
      </c>
      <c r="C12" s="166">
        <v>0</v>
      </c>
      <c r="D12" s="166">
        <v>45744.426976744187</v>
      </c>
      <c r="E12" s="166">
        <v>45281.085635359115</v>
      </c>
      <c r="F12" s="166">
        <v>0</v>
      </c>
      <c r="G12" s="158">
        <f t="shared" si="1"/>
        <v>30341.83753736777</v>
      </c>
      <c r="H12" s="158">
        <f t="shared" si="0"/>
        <v>30341.83753736777</v>
      </c>
      <c r="I12" s="201">
        <v>18066.221041956171</v>
      </c>
      <c r="J12" s="201">
        <v>32223.080065362683</v>
      </c>
      <c r="K12" s="201">
        <v>32767.585358203145</v>
      </c>
      <c r="L12" s="201">
        <v>32908.10260623163</v>
      </c>
      <c r="M12" s="201">
        <v>32755.17481122052</v>
      </c>
      <c r="N12" s="146"/>
      <c r="O12" s="146"/>
      <c r="P12" s="146"/>
      <c r="Q12" s="146"/>
      <c r="R12" s="146"/>
      <c r="S12" s="146"/>
      <c r="T12" s="146"/>
    </row>
    <row r="13" spans="1:20" x14ac:dyDescent="0.2">
      <c r="A13" s="146"/>
      <c r="B13" s="188">
        <v>108</v>
      </c>
      <c r="C13" s="166">
        <v>2163447.1146916496</v>
      </c>
      <c r="D13" s="166">
        <v>2629535.3400552045</v>
      </c>
      <c r="E13" s="166">
        <v>3491471.3508287296</v>
      </c>
      <c r="F13" s="166">
        <v>3879499.9225482889</v>
      </c>
      <c r="G13" s="158">
        <f t="shared" si="1"/>
        <v>3333502.2044774075</v>
      </c>
      <c r="H13" s="158">
        <f t="shared" si="0"/>
        <v>3333502.2044774075</v>
      </c>
      <c r="I13" s="201">
        <v>1984843.1261214113</v>
      </c>
      <c r="J13" s="201">
        <v>3540184.6806624583</v>
      </c>
      <c r="K13" s="201">
        <v>3600006.6868872917</v>
      </c>
      <c r="L13" s="201">
        <v>3615444.5968521433</v>
      </c>
      <c r="M13" s="201">
        <v>3598643.2036877526</v>
      </c>
      <c r="N13" s="146"/>
      <c r="O13" s="146"/>
      <c r="P13" s="146"/>
      <c r="Q13" s="146"/>
      <c r="R13" s="146"/>
      <c r="S13" s="146"/>
      <c r="T13" s="146"/>
    </row>
    <row r="14" spans="1:20" x14ac:dyDescent="0.2">
      <c r="A14" s="146"/>
      <c r="B14" s="188">
        <v>109</v>
      </c>
      <c r="C14" s="166">
        <v>0</v>
      </c>
      <c r="D14" s="166">
        <v>0</v>
      </c>
      <c r="E14" s="166">
        <v>0</v>
      </c>
      <c r="F14" s="166">
        <v>0</v>
      </c>
      <c r="G14" s="158">
        <f t="shared" si="1"/>
        <v>0</v>
      </c>
      <c r="H14" s="158">
        <f t="shared" si="0"/>
        <v>0</v>
      </c>
      <c r="I14" s="201">
        <v>0</v>
      </c>
      <c r="J14" s="201">
        <v>0</v>
      </c>
      <c r="K14" s="201">
        <v>0</v>
      </c>
      <c r="L14" s="201">
        <v>0</v>
      </c>
      <c r="M14" s="201">
        <v>0</v>
      </c>
      <c r="N14" s="146"/>
      <c r="O14" s="146"/>
      <c r="P14" s="146"/>
      <c r="Q14" s="146"/>
      <c r="R14" s="146"/>
      <c r="S14" s="146"/>
      <c r="T14" s="146"/>
    </row>
    <row r="15" spans="1:20" x14ac:dyDescent="0.2">
      <c r="A15" s="146"/>
      <c r="B15" s="188">
        <v>110</v>
      </c>
      <c r="C15" s="166">
        <v>1216262.0091793064</v>
      </c>
      <c r="D15" s="166">
        <v>928753.60529321374</v>
      </c>
      <c r="E15" s="166">
        <v>1285015.7826887663</v>
      </c>
      <c r="F15" s="166">
        <v>1812884.0117902933</v>
      </c>
      <c r="G15" s="158">
        <f t="shared" si="1"/>
        <v>1342217.7999240912</v>
      </c>
      <c r="H15" s="158">
        <f t="shared" si="0"/>
        <v>1342217.7999240912</v>
      </c>
      <c r="I15" s="201">
        <v>799187.04429199116</v>
      </c>
      <c r="J15" s="201">
        <v>1425437.4534450499</v>
      </c>
      <c r="K15" s="201">
        <v>1449524.4816384898</v>
      </c>
      <c r="L15" s="201">
        <v>1455740.4779922999</v>
      </c>
      <c r="M15" s="201">
        <v>1448975.482025452</v>
      </c>
      <c r="N15" s="146"/>
      <c r="O15" s="146"/>
      <c r="P15" s="146"/>
      <c r="Q15" s="146"/>
      <c r="R15" s="146"/>
      <c r="S15" s="146"/>
      <c r="T15" s="146"/>
    </row>
    <row r="16" spans="1:20" x14ac:dyDescent="0.2">
      <c r="A16" s="146"/>
      <c r="B16" s="188">
        <v>111</v>
      </c>
      <c r="C16" s="166">
        <v>152129.09099903685</v>
      </c>
      <c r="D16" s="166">
        <v>282218.5166637646</v>
      </c>
      <c r="E16" s="166">
        <v>240594.98895027625</v>
      </c>
      <c r="F16" s="166">
        <v>77073.228585930192</v>
      </c>
      <c r="G16" s="158">
        <f t="shared" si="1"/>
        <v>199962.24473332369</v>
      </c>
      <c r="H16" s="158">
        <f t="shared" si="0"/>
        <v>199962.24473332369</v>
      </c>
      <c r="I16" s="201">
        <v>119062.07423821573</v>
      </c>
      <c r="J16" s="201">
        <v>212360.22420053199</v>
      </c>
      <c r="K16" s="201">
        <v>215948.68519902826</v>
      </c>
      <c r="L16" s="201">
        <v>216874.7380231171</v>
      </c>
      <c r="M16" s="201">
        <v>215866.89579421855</v>
      </c>
      <c r="N16" s="146"/>
      <c r="O16" s="146"/>
      <c r="P16" s="146"/>
      <c r="Q16" s="146"/>
      <c r="R16" s="146"/>
      <c r="S16" s="146"/>
      <c r="T16" s="146"/>
    </row>
    <row r="17" spans="1:20" x14ac:dyDescent="0.2">
      <c r="A17" s="146"/>
      <c r="B17" s="188">
        <v>114</v>
      </c>
      <c r="C17" s="166">
        <v>0</v>
      </c>
      <c r="D17" s="166">
        <v>0</v>
      </c>
      <c r="E17" s="166">
        <v>0</v>
      </c>
      <c r="F17" s="166">
        <v>0</v>
      </c>
      <c r="G17" s="158">
        <f t="shared" si="1"/>
        <v>0</v>
      </c>
      <c r="H17" s="158">
        <f t="shared" si="0"/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146"/>
      <c r="O17" s="146"/>
      <c r="P17" s="146"/>
      <c r="Q17" s="146"/>
      <c r="R17" s="146"/>
      <c r="S17" s="146"/>
      <c r="T17" s="146"/>
    </row>
    <row r="18" spans="1:20" x14ac:dyDescent="0.2">
      <c r="A18" s="146"/>
      <c r="B18" s="188">
        <v>115</v>
      </c>
      <c r="C18" s="166">
        <v>0</v>
      </c>
      <c r="D18" s="166">
        <v>0</v>
      </c>
      <c r="E18" s="166">
        <v>0</v>
      </c>
      <c r="F18" s="166">
        <v>0</v>
      </c>
      <c r="G18" s="158">
        <f t="shared" si="1"/>
        <v>0</v>
      </c>
      <c r="H18" s="158">
        <f t="shared" si="0"/>
        <v>0</v>
      </c>
      <c r="I18" s="201">
        <v>0</v>
      </c>
      <c r="J18" s="201">
        <v>0</v>
      </c>
      <c r="K18" s="201">
        <v>0</v>
      </c>
      <c r="L18" s="201">
        <v>0</v>
      </c>
      <c r="M18" s="201">
        <v>0</v>
      </c>
      <c r="N18" s="146"/>
      <c r="O18" s="146"/>
      <c r="P18" s="146"/>
      <c r="Q18" s="146"/>
      <c r="R18" s="146"/>
      <c r="S18" s="146"/>
      <c r="T18" s="146"/>
    </row>
    <row r="19" spans="1:20" x14ac:dyDescent="0.2">
      <c r="A19" s="146"/>
      <c r="B19" s="188">
        <v>116</v>
      </c>
      <c r="C19" s="166">
        <v>528048.86437430675</v>
      </c>
      <c r="D19" s="166">
        <v>409260.96770401328</v>
      </c>
      <c r="E19" s="166">
        <v>150961.56169429098</v>
      </c>
      <c r="F19" s="166">
        <v>229068.5660470989</v>
      </c>
      <c r="G19" s="158">
        <f t="shared" si="1"/>
        <v>263097.0318151344</v>
      </c>
      <c r="H19" s="158">
        <f t="shared" si="0"/>
        <v>263097.0318151344</v>
      </c>
      <c r="I19" s="201">
        <v>156653.96423011573</v>
      </c>
      <c r="J19" s="201">
        <v>279409.4692088915</v>
      </c>
      <c r="K19" s="201">
        <v>284130.92769595666</v>
      </c>
      <c r="L19" s="201">
        <v>285349.36645496701</v>
      </c>
      <c r="M19" s="201">
        <v>284023.31463296036</v>
      </c>
      <c r="N19" s="146"/>
      <c r="O19" s="146"/>
      <c r="P19" s="146"/>
      <c r="Q19" s="146"/>
      <c r="R19" s="146"/>
      <c r="S19" s="146"/>
      <c r="T19" s="146"/>
    </row>
    <row r="20" spans="1:20" x14ac:dyDescent="0.2">
      <c r="A20" s="146"/>
      <c r="B20" s="188">
        <v>118</v>
      </c>
      <c r="C20" s="166">
        <v>0</v>
      </c>
      <c r="D20" s="166">
        <v>0</v>
      </c>
      <c r="E20" s="166">
        <v>0</v>
      </c>
      <c r="F20" s="166">
        <v>0</v>
      </c>
      <c r="G20" s="158">
        <f t="shared" si="1"/>
        <v>0</v>
      </c>
      <c r="H20" s="158">
        <f t="shared" si="0"/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146"/>
      <c r="O20" s="146"/>
      <c r="P20" s="146"/>
      <c r="Q20" s="146"/>
      <c r="R20" s="146"/>
      <c r="S20" s="146"/>
      <c r="T20" s="146"/>
    </row>
    <row r="21" spans="1:20" x14ac:dyDescent="0.2">
      <c r="A21" s="146"/>
      <c r="B21" s="71" t="s">
        <v>36</v>
      </c>
      <c r="C21" s="163">
        <f t="shared" ref="C21:M21" si="2">SUM(C8:C20)</f>
        <v>31093841.537096061</v>
      </c>
      <c r="D21" s="163">
        <f t="shared" si="2"/>
        <v>40567315.710767813</v>
      </c>
      <c r="E21" s="163">
        <f t="shared" si="2"/>
        <v>46136023.925414361</v>
      </c>
      <c r="F21" s="163">
        <f t="shared" si="2"/>
        <v>56298374.664733529</v>
      </c>
      <c r="G21" s="163">
        <f t="shared" si="2"/>
        <v>47667238.100305244</v>
      </c>
      <c r="H21" s="163">
        <f t="shared" si="2"/>
        <v>47667238.100305244</v>
      </c>
      <c r="I21" s="163">
        <f t="shared" si="2"/>
        <v>28382159.087072145</v>
      </c>
      <c r="J21" s="163">
        <f t="shared" si="2"/>
        <v>50622683.214527979</v>
      </c>
      <c r="K21" s="163">
        <f t="shared" si="2"/>
        <v>51478104.822027445</v>
      </c>
      <c r="L21" s="163">
        <f t="shared" si="2"/>
        <v>51698858.397374488</v>
      </c>
      <c r="M21" s="163">
        <f t="shared" si="2"/>
        <v>51458607.766279005</v>
      </c>
      <c r="N21" s="146"/>
      <c r="O21" s="146"/>
      <c r="P21" s="146"/>
      <c r="Q21" s="146"/>
      <c r="R21" s="146"/>
      <c r="S21" s="146"/>
      <c r="T21" s="146"/>
    </row>
    <row r="22" spans="1:20" x14ac:dyDescent="0.2">
      <c r="A22" s="146"/>
      <c r="B22" s="146" t="s">
        <v>231</v>
      </c>
      <c r="C22" s="183">
        <v>0</v>
      </c>
      <c r="D22" s="183">
        <v>0</v>
      </c>
      <c r="E22" s="183">
        <v>0</v>
      </c>
      <c r="F22" s="183">
        <v>0</v>
      </c>
      <c r="G22" s="183">
        <f>AVERAGE($D$21:$F$21)-G21</f>
        <v>0</v>
      </c>
      <c r="H22" s="183">
        <f t="shared" ref="H22" si="3">AVERAGE($D$21:$F$21)-H21</f>
        <v>0</v>
      </c>
      <c r="I22" s="183"/>
      <c r="J22" s="183"/>
      <c r="K22" s="183"/>
      <c r="L22" s="183"/>
      <c r="M22" s="183"/>
      <c r="N22" s="146"/>
      <c r="O22" s="146"/>
      <c r="P22" s="146"/>
      <c r="Q22" s="146"/>
      <c r="R22" s="146"/>
      <c r="S22" s="146"/>
      <c r="T22" s="146"/>
    </row>
    <row r="23" spans="1:20" x14ac:dyDescent="0.2">
      <c r="A23" s="146"/>
      <c r="B23" s="146"/>
      <c r="C23" s="146"/>
      <c r="D23" s="146"/>
      <c r="E23" s="146"/>
      <c r="F23" s="146"/>
      <c r="G23" s="146"/>
      <c r="H23" s="146"/>
      <c r="I23" s="152"/>
      <c r="J23" s="152"/>
      <c r="K23" s="152"/>
      <c r="L23" s="152"/>
      <c r="M23" s="152"/>
      <c r="N23" s="146"/>
      <c r="O23" s="146"/>
      <c r="P23" s="146"/>
      <c r="Q23" s="146"/>
      <c r="R23" s="146"/>
      <c r="S23" s="146"/>
      <c r="T23" s="146"/>
    </row>
    <row r="24" spans="1:20" x14ac:dyDescent="0.2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</row>
    <row r="25" spans="1:20" x14ac:dyDescent="0.2">
      <c r="A25" s="146"/>
      <c r="B25" s="144" t="s">
        <v>193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</row>
    <row r="26" spans="1:20" x14ac:dyDescent="0.2">
      <c r="A26" s="146"/>
      <c r="B26" s="149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x14ac:dyDescent="0.2">
      <c r="A27" s="146"/>
      <c r="B27" s="146"/>
      <c r="C27" s="283" t="s">
        <v>381</v>
      </c>
      <c r="D27" s="284"/>
      <c r="E27" s="284"/>
      <c r="F27" s="284"/>
      <c r="G27" s="284"/>
      <c r="H27" s="284"/>
      <c r="I27" s="284"/>
      <c r="J27" s="284"/>
      <c r="K27" s="284"/>
      <c r="L27" s="284"/>
      <c r="M27" s="263"/>
      <c r="N27" s="146"/>
      <c r="O27" s="146"/>
      <c r="P27" s="146"/>
      <c r="Q27" s="146"/>
      <c r="R27" s="146"/>
      <c r="S27" s="146"/>
      <c r="T27" s="146"/>
    </row>
    <row r="28" spans="1:20" ht="25.5" x14ac:dyDescent="0.2">
      <c r="A28" s="146"/>
      <c r="B28" s="141" t="s">
        <v>35</v>
      </c>
      <c r="C28" s="141" t="s">
        <v>323</v>
      </c>
      <c r="D28" s="141" t="s">
        <v>324</v>
      </c>
      <c r="E28" s="141" t="s">
        <v>325</v>
      </c>
      <c r="F28" s="141" t="s">
        <v>326</v>
      </c>
      <c r="G28" s="143" t="s">
        <v>315</v>
      </c>
      <c r="H28" s="143" t="s">
        <v>316</v>
      </c>
      <c r="I28" s="143" t="s">
        <v>317</v>
      </c>
      <c r="J28" s="143" t="s">
        <v>318</v>
      </c>
      <c r="K28" s="143" t="s">
        <v>319</v>
      </c>
      <c r="L28" s="143" t="s">
        <v>320</v>
      </c>
      <c r="M28" s="143" t="s">
        <v>321</v>
      </c>
      <c r="N28" s="146"/>
      <c r="O28" s="146"/>
      <c r="P28" s="146"/>
      <c r="Q28" s="146"/>
      <c r="R28" s="146"/>
      <c r="S28" s="146"/>
      <c r="T28" s="146"/>
    </row>
    <row r="29" spans="1:20" x14ac:dyDescent="0.2">
      <c r="A29" s="146"/>
      <c r="B29" s="188">
        <v>102</v>
      </c>
      <c r="C29" s="166">
        <v>14624.302171860245</v>
      </c>
      <c r="D29" s="166">
        <v>68543.407441860472</v>
      </c>
      <c r="E29" s="166">
        <v>107347.50736648252</v>
      </c>
      <c r="F29" s="166">
        <v>100554.99295923188</v>
      </c>
      <c r="G29" s="158">
        <f t="shared" ref="G29:H41" si="4">AVERAGE($D29:$F29)</f>
        <v>92148.635922524962</v>
      </c>
      <c r="H29" s="158">
        <f t="shared" si="4"/>
        <v>92148.635922524962</v>
      </c>
      <c r="I29" s="202">
        <v>54867.396321689703</v>
      </c>
      <c r="J29" s="202">
        <v>97861.998950742287</v>
      </c>
      <c r="K29" s="202">
        <v>99515.67005507306</v>
      </c>
      <c r="L29" s="202">
        <v>99942.42313861537</v>
      </c>
      <c r="M29" s="202">
        <v>99477.979029468799</v>
      </c>
      <c r="N29" s="146"/>
      <c r="O29" s="146"/>
      <c r="P29" s="146"/>
      <c r="Q29" s="146"/>
      <c r="R29" s="146"/>
      <c r="S29" s="146"/>
      <c r="T29" s="146"/>
    </row>
    <row r="30" spans="1:20" x14ac:dyDescent="0.2">
      <c r="A30" s="146"/>
      <c r="B30" s="188">
        <v>104</v>
      </c>
      <c r="C30" s="166">
        <v>20100893.330330499</v>
      </c>
      <c r="D30" s="166">
        <v>22141857.10467907</v>
      </c>
      <c r="E30" s="166">
        <v>18441351.407918971</v>
      </c>
      <c r="F30" s="166">
        <v>18789936.213860765</v>
      </c>
      <c r="G30" s="158">
        <f t="shared" si="4"/>
        <v>19791048.242152933</v>
      </c>
      <c r="H30" s="158">
        <f t="shared" si="4"/>
        <v>19791048.242152933</v>
      </c>
      <c r="I30" s="202">
        <v>11784040.823315652</v>
      </c>
      <c r="J30" s="202">
        <v>21018124.933895282</v>
      </c>
      <c r="K30" s="202">
        <v>21373289.004147835</v>
      </c>
      <c r="L30" s="202">
        <v>21464944.08703994</v>
      </c>
      <c r="M30" s="202">
        <v>21365193.985718507</v>
      </c>
      <c r="N30" s="146"/>
      <c r="O30" s="146"/>
      <c r="P30" s="146"/>
      <c r="Q30" s="146"/>
      <c r="R30" s="146"/>
      <c r="S30" s="146"/>
      <c r="T30" s="146"/>
    </row>
    <row r="31" spans="1:20" x14ac:dyDescent="0.2">
      <c r="A31" s="146"/>
      <c r="B31" s="188">
        <v>105</v>
      </c>
      <c r="C31" s="166">
        <v>27694.333333333332</v>
      </c>
      <c r="D31" s="166">
        <v>70113.999069767437</v>
      </c>
      <c r="E31" s="166">
        <v>42398.020257826887</v>
      </c>
      <c r="F31" s="166">
        <v>0</v>
      </c>
      <c r="G31" s="158">
        <f t="shared" si="4"/>
        <v>37504.006442531441</v>
      </c>
      <c r="H31" s="158">
        <f t="shared" si="4"/>
        <v>37504.006442531441</v>
      </c>
      <c r="I31" s="202">
        <v>22330.739511582691</v>
      </c>
      <c r="J31" s="202">
        <v>39829.31491480158</v>
      </c>
      <c r="K31" s="202">
        <v>40502.350289983828</v>
      </c>
      <c r="L31" s="202">
        <v>40676.036533239749</v>
      </c>
      <c r="M31" s="202">
        <v>40487.010242321303</v>
      </c>
      <c r="N31" s="146"/>
      <c r="O31" s="146"/>
      <c r="P31" s="146"/>
      <c r="Q31" s="146"/>
      <c r="R31" s="146"/>
      <c r="S31" s="146"/>
      <c r="T31" s="146"/>
    </row>
    <row r="32" spans="1:20" x14ac:dyDescent="0.2">
      <c r="A32" s="146"/>
      <c r="B32" s="188">
        <v>106</v>
      </c>
      <c r="C32" s="166">
        <v>190858.77431539187</v>
      </c>
      <c r="D32" s="166">
        <v>210139.32279069768</v>
      </c>
      <c r="E32" s="166">
        <v>192548.5359116022</v>
      </c>
      <c r="F32" s="166">
        <v>255496.53516086654</v>
      </c>
      <c r="G32" s="158">
        <f t="shared" si="4"/>
        <v>219394.79795438881</v>
      </c>
      <c r="H32" s="158">
        <f t="shared" si="4"/>
        <v>219394.79795438881</v>
      </c>
      <c r="I32" s="202">
        <v>130632.65896199763</v>
      </c>
      <c r="J32" s="202">
        <v>232997.62684780505</v>
      </c>
      <c r="K32" s="202">
        <v>236934.81847506575</v>
      </c>
      <c r="L32" s="202">
        <v>237950.86614199917</v>
      </c>
      <c r="M32" s="202">
        <v>236845.08068497959</v>
      </c>
      <c r="N32" s="146"/>
      <c r="O32" s="146"/>
      <c r="P32" s="146"/>
      <c r="Q32" s="146"/>
      <c r="R32" s="146"/>
      <c r="S32" s="146"/>
      <c r="T32" s="146"/>
    </row>
    <row r="33" spans="1:20" x14ac:dyDescent="0.2">
      <c r="A33" s="146"/>
      <c r="B33" s="188">
        <v>107</v>
      </c>
      <c r="C33" s="166">
        <v>0</v>
      </c>
      <c r="D33" s="166">
        <v>23887.477209302328</v>
      </c>
      <c r="E33" s="166">
        <v>23645.523020257828</v>
      </c>
      <c r="F33" s="166">
        <v>0</v>
      </c>
      <c r="G33" s="158">
        <f t="shared" si="4"/>
        <v>15844.333409853387</v>
      </c>
      <c r="H33" s="158">
        <f t="shared" si="4"/>
        <v>15844.333409853387</v>
      </c>
      <c r="I33" s="202">
        <v>9434.0769339474591</v>
      </c>
      <c r="J33" s="202">
        <v>16826.707460259455</v>
      </c>
      <c r="K33" s="202">
        <v>17111.044998899593</v>
      </c>
      <c r="L33" s="202">
        <v>17184.422299297315</v>
      </c>
      <c r="M33" s="202">
        <v>17104.564282497722</v>
      </c>
      <c r="N33" s="146"/>
      <c r="O33" s="146"/>
      <c r="P33" s="146"/>
      <c r="Q33" s="146"/>
      <c r="R33" s="146"/>
      <c r="S33" s="146"/>
      <c r="T33" s="146"/>
    </row>
    <row r="34" spans="1:20" x14ac:dyDescent="0.2">
      <c r="A34" s="146"/>
      <c r="B34" s="188">
        <v>108</v>
      </c>
      <c r="C34" s="166">
        <v>1061895.2965155807</v>
      </c>
      <c r="D34" s="166">
        <v>1327670.5069860464</v>
      </c>
      <c r="E34" s="166">
        <v>1781025.1178729283</v>
      </c>
      <c r="F34" s="166">
        <v>1680607.6859788855</v>
      </c>
      <c r="G34" s="158">
        <f t="shared" si="4"/>
        <v>1596434.4369459534</v>
      </c>
      <c r="H34" s="158">
        <f t="shared" si="4"/>
        <v>1596434.4369459534</v>
      </c>
      <c r="I34" s="202">
        <v>950553.4192296816</v>
      </c>
      <c r="J34" s="202">
        <v>1695415.9291591269</v>
      </c>
      <c r="K34" s="202">
        <v>1724065.0510034878</v>
      </c>
      <c r="L34" s="202">
        <v>1731458.3597792424</v>
      </c>
      <c r="M34" s="202">
        <v>1723412.0706241685</v>
      </c>
      <c r="N34" s="146"/>
      <c r="O34" s="146"/>
      <c r="P34" s="146"/>
      <c r="Q34" s="146"/>
      <c r="R34" s="146"/>
      <c r="S34" s="146"/>
      <c r="T34" s="146"/>
    </row>
    <row r="35" spans="1:20" x14ac:dyDescent="0.2">
      <c r="A35" s="146"/>
      <c r="B35" s="188">
        <v>109</v>
      </c>
      <c r="C35" s="166">
        <v>352.22096317280449</v>
      </c>
      <c r="D35" s="166">
        <v>346.97860465116281</v>
      </c>
      <c r="E35" s="166">
        <v>0</v>
      </c>
      <c r="F35" s="166">
        <v>0</v>
      </c>
      <c r="G35" s="158">
        <f t="shared" si="4"/>
        <v>115.65953488372094</v>
      </c>
      <c r="H35" s="158">
        <f t="shared" si="4"/>
        <v>115.65953488372094</v>
      </c>
      <c r="I35" s="202">
        <v>68.866320974982557</v>
      </c>
      <c r="J35" s="202">
        <v>122.83061130661062</v>
      </c>
      <c r="K35" s="202">
        <v>124.90620177914188</v>
      </c>
      <c r="L35" s="202">
        <v>125.44183708897106</v>
      </c>
      <c r="M35" s="202">
        <v>124.85889422600192</v>
      </c>
      <c r="N35" s="146"/>
      <c r="O35" s="146"/>
      <c r="P35" s="146"/>
      <c r="Q35" s="146"/>
      <c r="R35" s="146"/>
      <c r="S35" s="146"/>
      <c r="T35" s="146"/>
    </row>
    <row r="36" spans="1:20" x14ac:dyDescent="0.2">
      <c r="A36" s="146"/>
      <c r="B36" s="188">
        <v>110</v>
      </c>
      <c r="C36" s="166">
        <v>347656.68423040595</v>
      </c>
      <c r="D36" s="166">
        <v>190708.84520930232</v>
      </c>
      <c r="E36" s="166">
        <v>109318.41344383059</v>
      </c>
      <c r="F36" s="166">
        <v>65331.25827879108</v>
      </c>
      <c r="G36" s="158">
        <f t="shared" si="4"/>
        <v>121786.17231064134</v>
      </c>
      <c r="H36" s="158">
        <f t="shared" si="4"/>
        <v>121786.17231064134</v>
      </c>
      <c r="I36" s="202">
        <v>72514.2604203886</v>
      </c>
      <c r="J36" s="202">
        <v>129337.11006747078</v>
      </c>
      <c r="K36" s="202">
        <v>131522.64729263904</v>
      </c>
      <c r="L36" s="202">
        <v>132086.65590813366</v>
      </c>
      <c r="M36" s="202">
        <v>131472.83379629315</v>
      </c>
      <c r="N36" s="146"/>
      <c r="O36" s="146"/>
      <c r="P36" s="146"/>
      <c r="Q36" s="146"/>
      <c r="R36" s="146"/>
      <c r="S36" s="146"/>
      <c r="T36" s="146"/>
    </row>
    <row r="37" spans="1:20" x14ac:dyDescent="0.2">
      <c r="A37" s="146"/>
      <c r="B37" s="188">
        <v>111</v>
      </c>
      <c r="C37" s="166">
        <v>73449.043437204906</v>
      </c>
      <c r="D37" s="166">
        <v>423419.82883720926</v>
      </c>
      <c r="E37" s="166">
        <v>193235.46408839777</v>
      </c>
      <c r="F37" s="166">
        <v>-368097.85645884305</v>
      </c>
      <c r="G37" s="158">
        <f t="shared" si="4"/>
        <v>82852.478822254678</v>
      </c>
      <c r="H37" s="158">
        <f t="shared" si="4"/>
        <v>82852.478822254678</v>
      </c>
      <c r="I37" s="202">
        <v>49332.252683556471</v>
      </c>
      <c r="J37" s="202">
        <v>87989.465219939579</v>
      </c>
      <c r="K37" s="202">
        <v>89476.310345522696</v>
      </c>
      <c r="L37" s="202">
        <v>89860.011639226577</v>
      </c>
      <c r="M37" s="202">
        <v>89442.421673494042</v>
      </c>
      <c r="N37" s="146"/>
      <c r="O37" s="146"/>
      <c r="P37" s="146"/>
      <c r="Q37" s="146"/>
      <c r="R37" s="146"/>
      <c r="S37" s="146"/>
      <c r="T37" s="146"/>
    </row>
    <row r="38" spans="1:20" x14ac:dyDescent="0.2">
      <c r="A38" s="146"/>
      <c r="B38" s="188">
        <v>114</v>
      </c>
      <c r="C38" s="166">
        <v>0</v>
      </c>
      <c r="D38" s="166">
        <v>0</v>
      </c>
      <c r="E38" s="166">
        <v>0</v>
      </c>
      <c r="F38" s="166">
        <v>0</v>
      </c>
      <c r="G38" s="158">
        <f t="shared" si="4"/>
        <v>0</v>
      </c>
      <c r="H38" s="158">
        <f t="shared" si="4"/>
        <v>0</v>
      </c>
      <c r="I38" s="202">
        <v>0</v>
      </c>
      <c r="J38" s="202">
        <v>0</v>
      </c>
      <c r="K38" s="202">
        <v>0</v>
      </c>
      <c r="L38" s="202">
        <v>0</v>
      </c>
      <c r="M38" s="202">
        <v>0</v>
      </c>
      <c r="N38" s="146"/>
      <c r="O38" s="146"/>
      <c r="P38" s="146"/>
      <c r="Q38" s="146"/>
      <c r="R38" s="146"/>
      <c r="S38" s="146"/>
      <c r="T38" s="146"/>
    </row>
    <row r="39" spans="1:20" x14ac:dyDescent="0.2">
      <c r="A39" s="146"/>
      <c r="B39" s="188">
        <v>115</v>
      </c>
      <c r="C39" s="166">
        <v>0</v>
      </c>
      <c r="D39" s="166">
        <v>0</v>
      </c>
      <c r="E39" s="166">
        <v>0</v>
      </c>
      <c r="F39" s="166">
        <v>0</v>
      </c>
      <c r="G39" s="158">
        <f t="shared" si="4"/>
        <v>0</v>
      </c>
      <c r="H39" s="158">
        <f t="shared" si="4"/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146"/>
      <c r="O39" s="146"/>
      <c r="P39" s="146"/>
      <c r="Q39" s="146"/>
      <c r="R39" s="146"/>
      <c r="S39" s="146"/>
      <c r="T39" s="146"/>
    </row>
    <row r="40" spans="1:20" x14ac:dyDescent="0.2">
      <c r="A40" s="146"/>
      <c r="B40" s="188">
        <v>116</v>
      </c>
      <c r="C40" s="166">
        <v>0</v>
      </c>
      <c r="D40" s="166">
        <v>0</v>
      </c>
      <c r="E40" s="166">
        <v>0</v>
      </c>
      <c r="F40" s="166">
        <v>0</v>
      </c>
      <c r="G40" s="158">
        <f t="shared" si="4"/>
        <v>0</v>
      </c>
      <c r="H40" s="158">
        <f t="shared" si="4"/>
        <v>0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146"/>
      <c r="O40" s="146"/>
      <c r="P40" s="146"/>
      <c r="Q40" s="146"/>
      <c r="R40" s="146"/>
      <c r="S40" s="146"/>
      <c r="T40" s="146"/>
    </row>
    <row r="41" spans="1:20" x14ac:dyDescent="0.2">
      <c r="A41" s="146"/>
      <c r="B41" s="188">
        <v>118</v>
      </c>
      <c r="C41" s="166">
        <v>0</v>
      </c>
      <c r="D41" s="166">
        <v>0</v>
      </c>
      <c r="E41" s="166">
        <v>0</v>
      </c>
      <c r="F41" s="166">
        <v>0</v>
      </c>
      <c r="G41" s="158">
        <f t="shared" si="4"/>
        <v>0</v>
      </c>
      <c r="H41" s="158">
        <f t="shared" si="4"/>
        <v>0</v>
      </c>
      <c r="I41" s="202">
        <v>0</v>
      </c>
      <c r="J41" s="202">
        <v>0</v>
      </c>
      <c r="K41" s="202">
        <v>0</v>
      </c>
      <c r="L41" s="202">
        <v>0</v>
      </c>
      <c r="M41" s="202">
        <v>0</v>
      </c>
      <c r="N41" s="146"/>
      <c r="O41" s="146"/>
      <c r="P41" s="146"/>
      <c r="Q41" s="146"/>
      <c r="R41" s="146"/>
      <c r="S41" s="146"/>
      <c r="T41" s="146"/>
    </row>
    <row r="42" spans="1:20" x14ac:dyDescent="0.2">
      <c r="A42" s="146"/>
      <c r="B42" s="71" t="s">
        <v>36</v>
      </c>
      <c r="C42" s="163">
        <f t="shared" ref="C42:M42" si="5">SUM(C29:C41)</f>
        <v>21817423.985297445</v>
      </c>
      <c r="D42" s="163">
        <f t="shared" si="5"/>
        <v>24456687.470827911</v>
      </c>
      <c r="E42" s="163">
        <f t="shared" si="5"/>
        <v>20890869.989880294</v>
      </c>
      <c r="F42" s="163">
        <f t="shared" si="5"/>
        <v>20523828.829779696</v>
      </c>
      <c r="G42" s="163">
        <f t="shared" si="5"/>
        <v>21957128.763495963</v>
      </c>
      <c r="H42" s="163">
        <f t="shared" si="5"/>
        <v>21957128.763495963</v>
      </c>
      <c r="I42" s="163">
        <f t="shared" si="5"/>
        <v>13073774.493699474</v>
      </c>
      <c r="J42" s="163">
        <f t="shared" si="5"/>
        <v>23318505.917126734</v>
      </c>
      <c r="K42" s="163">
        <f t="shared" si="5"/>
        <v>23712541.802810285</v>
      </c>
      <c r="L42" s="163">
        <f t="shared" si="5"/>
        <v>23814228.304316781</v>
      </c>
      <c r="M42" s="163">
        <f t="shared" si="5"/>
        <v>23703560.804945957</v>
      </c>
      <c r="N42" s="146"/>
      <c r="O42" s="146"/>
      <c r="P42" s="146"/>
      <c r="Q42" s="146"/>
      <c r="R42" s="146"/>
      <c r="S42" s="146"/>
      <c r="T42" s="146"/>
    </row>
    <row r="43" spans="1:20" x14ac:dyDescent="0.2">
      <c r="A43" s="146"/>
      <c r="B43" s="146" t="s">
        <v>231</v>
      </c>
      <c r="C43" s="183">
        <v>0</v>
      </c>
      <c r="D43" s="183">
        <v>0</v>
      </c>
      <c r="E43" s="183">
        <v>0</v>
      </c>
      <c r="F43" s="183">
        <v>0</v>
      </c>
      <c r="G43" s="183">
        <f>AVERAGE($D$42:$F$42)-G42</f>
        <v>0</v>
      </c>
      <c r="H43" s="183">
        <f t="shared" ref="H43" si="6">AVERAGE($D$42:$F$42)-H42</f>
        <v>0</v>
      </c>
      <c r="I43" s="183"/>
      <c r="J43" s="183"/>
      <c r="K43" s="183"/>
      <c r="L43" s="183"/>
      <c r="M43" s="183"/>
      <c r="N43" s="146"/>
      <c r="O43" s="146"/>
      <c r="P43" s="146"/>
      <c r="Q43" s="146"/>
      <c r="R43" s="146"/>
      <c r="S43" s="146"/>
      <c r="T43" s="146"/>
    </row>
    <row r="44" spans="1:20" x14ac:dyDescent="0.2">
      <c r="A44" s="146"/>
      <c r="B44" s="146"/>
      <c r="C44" s="146"/>
      <c r="D44" s="146"/>
      <c r="E44" s="146"/>
      <c r="F44" s="146"/>
      <c r="G44" s="146"/>
      <c r="H44" s="146"/>
      <c r="I44" s="152"/>
      <c r="J44" s="152"/>
      <c r="K44" s="152"/>
      <c r="L44" s="152"/>
      <c r="M44" s="152"/>
      <c r="N44" s="146"/>
      <c r="O44" s="146"/>
      <c r="P44" s="146"/>
      <c r="Q44" s="146"/>
      <c r="R44" s="146"/>
      <c r="S44" s="146"/>
      <c r="T44" s="146"/>
    </row>
    <row r="45" spans="1:20" x14ac:dyDescent="0.2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</row>
    <row r="46" spans="1:20" x14ac:dyDescent="0.2">
      <c r="A46" s="146"/>
      <c r="B46" s="144" t="s">
        <v>218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</row>
    <row r="47" spans="1:20" x14ac:dyDescent="0.2">
      <c r="A47" s="146"/>
      <c r="B47" s="149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x14ac:dyDescent="0.2">
      <c r="A48" s="146"/>
      <c r="B48" s="146"/>
      <c r="C48" s="256" t="s">
        <v>194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146"/>
      <c r="O48" s="146"/>
      <c r="P48" s="146"/>
      <c r="Q48" s="146"/>
      <c r="R48" s="146"/>
      <c r="S48" s="146"/>
      <c r="T48" s="146"/>
    </row>
    <row r="49" spans="1:20" ht="25.5" x14ac:dyDescent="0.2">
      <c r="A49" s="146"/>
      <c r="B49" s="141" t="s">
        <v>35</v>
      </c>
      <c r="C49" s="141" t="s">
        <v>323</v>
      </c>
      <c r="D49" s="141" t="s">
        <v>324</v>
      </c>
      <c r="E49" s="141" t="s">
        <v>325</v>
      </c>
      <c r="F49" s="141" t="s">
        <v>326</v>
      </c>
      <c r="G49" s="143" t="s">
        <v>315</v>
      </c>
      <c r="H49" s="143" t="s">
        <v>316</v>
      </c>
      <c r="I49" s="143" t="s">
        <v>317</v>
      </c>
      <c r="J49" s="143" t="s">
        <v>318</v>
      </c>
      <c r="K49" s="143" t="s">
        <v>319</v>
      </c>
      <c r="L49" s="143" t="s">
        <v>320</v>
      </c>
      <c r="M49" s="143" t="s">
        <v>321</v>
      </c>
      <c r="N49" s="146"/>
      <c r="O49" s="146"/>
      <c r="P49" s="146"/>
      <c r="Q49" s="146"/>
      <c r="R49" s="146"/>
      <c r="S49" s="146"/>
      <c r="T49" s="146"/>
    </row>
    <row r="50" spans="1:20" x14ac:dyDescent="0.2">
      <c r="A50" s="146"/>
      <c r="B50" s="188">
        <v>102</v>
      </c>
      <c r="C50" s="193">
        <v>0.50813750752841857</v>
      </c>
      <c r="D50" s="193">
        <v>0.58541255516697421</v>
      </c>
      <c r="E50" s="193">
        <v>0.65862779323986409</v>
      </c>
      <c r="F50" s="193">
        <v>0.68558692931616783</v>
      </c>
      <c r="G50" s="192">
        <f>AVERAGE($D50:$F50)</f>
        <v>0.64320909257433534</v>
      </c>
      <c r="H50" s="192">
        <f>AVERAGE($D50:$F50)</f>
        <v>0.64320909257433534</v>
      </c>
      <c r="I50" s="192">
        <f t="shared" ref="H50:M61" si="7">AVERAGE($D50:$F50)</f>
        <v>0.64320909257433534</v>
      </c>
      <c r="J50" s="192">
        <f t="shared" si="7"/>
        <v>0.64320909257433534</v>
      </c>
      <c r="K50" s="192">
        <f t="shared" si="7"/>
        <v>0.64320909257433534</v>
      </c>
      <c r="L50" s="192">
        <f t="shared" si="7"/>
        <v>0.64320909257433534</v>
      </c>
      <c r="M50" s="192">
        <f t="shared" si="7"/>
        <v>0.64320909257433534</v>
      </c>
      <c r="N50" s="146"/>
      <c r="O50" s="146"/>
      <c r="P50" s="146"/>
      <c r="Q50" s="146"/>
      <c r="R50" s="146"/>
      <c r="S50" s="146"/>
      <c r="T50" s="146"/>
    </row>
    <row r="51" spans="1:20" x14ac:dyDescent="0.2">
      <c r="A51" s="146"/>
      <c r="B51" s="188">
        <v>104</v>
      </c>
      <c r="C51" s="193">
        <v>0.14081701738598845</v>
      </c>
      <c r="D51" s="193">
        <v>0.17729875146809573</v>
      </c>
      <c r="E51" s="193">
        <v>0.24081269061001356</v>
      </c>
      <c r="F51" s="193">
        <v>0.28939301467221762</v>
      </c>
      <c r="G51" s="192">
        <f t="shared" ref="G51:G61" si="8">AVERAGE($D51:$F51)</f>
        <v>0.23583481891677563</v>
      </c>
      <c r="H51" s="192">
        <f t="shared" si="7"/>
        <v>0.23583481891677563</v>
      </c>
      <c r="I51" s="192">
        <f t="shared" si="7"/>
        <v>0.23583481891677563</v>
      </c>
      <c r="J51" s="192">
        <f t="shared" si="7"/>
        <v>0.23583481891677563</v>
      </c>
      <c r="K51" s="192">
        <f t="shared" si="7"/>
        <v>0.23583481891677563</v>
      </c>
      <c r="L51" s="192">
        <f t="shared" si="7"/>
        <v>0.23583481891677563</v>
      </c>
      <c r="M51" s="192">
        <f t="shared" si="7"/>
        <v>0.23583481891677563</v>
      </c>
      <c r="N51" s="146"/>
      <c r="O51" s="146"/>
      <c r="P51" s="146"/>
      <c r="Q51" s="146"/>
      <c r="R51" s="146"/>
      <c r="S51" s="146"/>
      <c r="T51" s="146"/>
    </row>
    <row r="52" spans="1:20" x14ac:dyDescent="0.2">
      <c r="A52" s="146"/>
      <c r="B52" s="188">
        <v>105</v>
      </c>
      <c r="C52" s="193">
        <v>0.29519695427115328</v>
      </c>
      <c r="D52" s="193">
        <v>0.39751024694048992</v>
      </c>
      <c r="E52" s="193">
        <v>0.39223320892796237</v>
      </c>
      <c r="F52" s="193">
        <v>0.3718645142189953</v>
      </c>
      <c r="G52" s="192">
        <f t="shared" si="8"/>
        <v>0.38720265669581583</v>
      </c>
      <c r="H52" s="192">
        <f t="shared" si="7"/>
        <v>0.38720265669581583</v>
      </c>
      <c r="I52" s="192">
        <f t="shared" si="7"/>
        <v>0.38720265669581583</v>
      </c>
      <c r="J52" s="192">
        <f t="shared" si="7"/>
        <v>0.38720265669581583</v>
      </c>
      <c r="K52" s="192">
        <f t="shared" si="7"/>
        <v>0.38720265669581583</v>
      </c>
      <c r="L52" s="192">
        <f t="shared" si="7"/>
        <v>0.38720265669581583</v>
      </c>
      <c r="M52" s="192">
        <f t="shared" si="7"/>
        <v>0.38720265669581583</v>
      </c>
      <c r="N52" s="146"/>
      <c r="O52" s="146"/>
      <c r="P52" s="146"/>
      <c r="Q52" s="146"/>
      <c r="R52" s="146"/>
      <c r="S52" s="146"/>
      <c r="T52" s="146"/>
    </row>
    <row r="53" spans="1:20" x14ac:dyDescent="0.2">
      <c r="A53" s="146"/>
      <c r="B53" s="188">
        <v>106</v>
      </c>
      <c r="C53" s="193">
        <v>0.13249542646644785</v>
      </c>
      <c r="D53" s="193">
        <v>0.19445505342731148</v>
      </c>
      <c r="E53" s="193">
        <v>0.23676896646783804</v>
      </c>
      <c r="F53" s="193">
        <v>0.19579461528440117</v>
      </c>
      <c r="G53" s="192">
        <f t="shared" si="8"/>
        <v>0.2090062117265169</v>
      </c>
      <c r="H53" s="192">
        <f t="shared" si="7"/>
        <v>0.2090062117265169</v>
      </c>
      <c r="I53" s="192">
        <f t="shared" si="7"/>
        <v>0.2090062117265169</v>
      </c>
      <c r="J53" s="192">
        <f t="shared" si="7"/>
        <v>0.2090062117265169</v>
      </c>
      <c r="K53" s="192">
        <f t="shared" si="7"/>
        <v>0.2090062117265169</v>
      </c>
      <c r="L53" s="192">
        <f t="shared" si="7"/>
        <v>0.2090062117265169</v>
      </c>
      <c r="M53" s="192">
        <f t="shared" si="7"/>
        <v>0.2090062117265169</v>
      </c>
      <c r="N53" s="146"/>
      <c r="O53" s="146"/>
      <c r="P53" s="146"/>
      <c r="Q53" s="146"/>
      <c r="R53" s="146"/>
      <c r="S53" s="146"/>
      <c r="T53" s="146"/>
    </row>
    <row r="54" spans="1:20" x14ac:dyDescent="0.2">
      <c r="A54" s="146"/>
      <c r="B54" s="188">
        <v>107</v>
      </c>
      <c r="C54" s="193">
        <v>0.36927214980620293</v>
      </c>
      <c r="D54" s="193">
        <v>0.53670515200860447</v>
      </c>
      <c r="E54" s="193">
        <v>0.47630244886504425</v>
      </c>
      <c r="F54" s="193">
        <v>0.48793046132777901</v>
      </c>
      <c r="G54" s="192">
        <f t="shared" si="8"/>
        <v>0.50031268740047585</v>
      </c>
      <c r="H54" s="192">
        <f t="shared" si="7"/>
        <v>0.50031268740047585</v>
      </c>
      <c r="I54" s="192">
        <f t="shared" si="7"/>
        <v>0.50031268740047585</v>
      </c>
      <c r="J54" s="192">
        <f t="shared" si="7"/>
        <v>0.50031268740047585</v>
      </c>
      <c r="K54" s="192">
        <f t="shared" si="7"/>
        <v>0.50031268740047585</v>
      </c>
      <c r="L54" s="192">
        <f t="shared" si="7"/>
        <v>0.50031268740047585</v>
      </c>
      <c r="M54" s="192">
        <f t="shared" si="7"/>
        <v>0.50031268740047585</v>
      </c>
      <c r="N54" s="146"/>
      <c r="O54" s="146"/>
      <c r="P54" s="146"/>
      <c r="Q54" s="146"/>
      <c r="R54" s="146"/>
      <c r="S54" s="146"/>
      <c r="T54" s="146"/>
    </row>
    <row r="55" spans="1:20" x14ac:dyDescent="0.2">
      <c r="A55" s="146"/>
      <c r="B55" s="188">
        <v>108</v>
      </c>
      <c r="C55" s="193">
        <v>0.29509326179766066</v>
      </c>
      <c r="D55" s="193">
        <v>0.30975466359256032</v>
      </c>
      <c r="E55" s="193">
        <v>0.35666230549684252</v>
      </c>
      <c r="F55" s="193">
        <v>0.47038239509661112</v>
      </c>
      <c r="G55" s="192">
        <f t="shared" si="8"/>
        <v>0.37893312139533797</v>
      </c>
      <c r="H55" s="192">
        <f t="shared" si="7"/>
        <v>0.37893312139533797</v>
      </c>
      <c r="I55" s="192">
        <f t="shared" si="7"/>
        <v>0.37893312139533797</v>
      </c>
      <c r="J55" s="192">
        <f t="shared" si="7"/>
        <v>0.37893312139533797</v>
      </c>
      <c r="K55" s="192">
        <f t="shared" si="7"/>
        <v>0.37893312139533797</v>
      </c>
      <c r="L55" s="192">
        <f t="shared" si="7"/>
        <v>0.37893312139533797</v>
      </c>
      <c r="M55" s="192">
        <f t="shared" si="7"/>
        <v>0.37893312139533797</v>
      </c>
      <c r="N55" s="146"/>
      <c r="O55" s="146"/>
      <c r="P55" s="146"/>
      <c r="Q55" s="146"/>
      <c r="R55" s="146"/>
      <c r="S55" s="146"/>
      <c r="T55" s="146"/>
    </row>
    <row r="56" spans="1:20" x14ac:dyDescent="0.2">
      <c r="A56" s="146"/>
      <c r="B56" s="188">
        <v>109</v>
      </c>
      <c r="C56" s="193">
        <v>0.59686722706577733</v>
      </c>
      <c r="D56" s="193">
        <v>0.74250258543246395</v>
      </c>
      <c r="E56" s="193">
        <v>0.80426758568847523</v>
      </c>
      <c r="F56" s="193">
        <v>0.89800671568727319</v>
      </c>
      <c r="G56" s="192">
        <f t="shared" si="8"/>
        <v>0.81492562893607079</v>
      </c>
      <c r="H56" s="192">
        <f t="shared" si="7"/>
        <v>0.81492562893607079</v>
      </c>
      <c r="I56" s="192">
        <f t="shared" si="7"/>
        <v>0.81492562893607079</v>
      </c>
      <c r="J56" s="192">
        <f t="shared" si="7"/>
        <v>0.81492562893607079</v>
      </c>
      <c r="K56" s="192">
        <f t="shared" si="7"/>
        <v>0.81492562893607079</v>
      </c>
      <c r="L56" s="192">
        <f t="shared" si="7"/>
        <v>0.81492562893607079</v>
      </c>
      <c r="M56" s="192">
        <f t="shared" si="7"/>
        <v>0.81492562893607079</v>
      </c>
      <c r="N56" s="146"/>
      <c r="O56" s="146"/>
      <c r="P56" s="146"/>
      <c r="Q56" s="146"/>
      <c r="R56" s="146"/>
      <c r="S56" s="146"/>
      <c r="T56" s="146"/>
    </row>
    <row r="57" spans="1:20" x14ac:dyDescent="0.2">
      <c r="A57" s="146"/>
      <c r="B57" s="188">
        <v>110</v>
      </c>
      <c r="C57" s="193">
        <v>0.42733399617410922</v>
      </c>
      <c r="D57" s="193">
        <v>0.71939862869509053</v>
      </c>
      <c r="E57" s="193">
        <v>0.79439872455287563</v>
      </c>
      <c r="F57" s="193">
        <v>0.70092694489759721</v>
      </c>
      <c r="G57" s="192">
        <f t="shared" si="8"/>
        <v>0.73824143271518794</v>
      </c>
      <c r="H57" s="192">
        <f t="shared" si="7"/>
        <v>0.73824143271518794</v>
      </c>
      <c r="I57" s="192">
        <f t="shared" si="7"/>
        <v>0.73824143271518794</v>
      </c>
      <c r="J57" s="192">
        <f t="shared" si="7"/>
        <v>0.73824143271518794</v>
      </c>
      <c r="K57" s="192">
        <f t="shared" si="7"/>
        <v>0.73824143271518794</v>
      </c>
      <c r="L57" s="192">
        <f t="shared" si="7"/>
        <v>0.73824143271518794</v>
      </c>
      <c r="M57" s="192">
        <f t="shared" si="7"/>
        <v>0.73824143271518794</v>
      </c>
      <c r="N57" s="146"/>
      <c r="O57" s="146"/>
      <c r="P57" s="146"/>
      <c r="Q57" s="146"/>
      <c r="R57" s="146"/>
      <c r="S57" s="146"/>
      <c r="T57" s="146"/>
    </row>
    <row r="58" spans="1:20" x14ac:dyDescent="0.2">
      <c r="A58" s="146"/>
      <c r="B58" s="188">
        <v>111</v>
      </c>
      <c r="C58" s="193">
        <v>0.14038424268268285</v>
      </c>
      <c r="D58" s="193">
        <v>0.14937061725501469</v>
      </c>
      <c r="E58" s="193">
        <v>0.1601750814651238</v>
      </c>
      <c r="F58" s="193">
        <v>0.17743398103025002</v>
      </c>
      <c r="G58" s="192">
        <f t="shared" si="8"/>
        <v>0.16232655991679615</v>
      </c>
      <c r="H58" s="192">
        <f t="shared" si="7"/>
        <v>0.16232655991679615</v>
      </c>
      <c r="I58" s="192">
        <f t="shared" si="7"/>
        <v>0.16232655991679615</v>
      </c>
      <c r="J58" s="192">
        <f t="shared" si="7"/>
        <v>0.16232655991679615</v>
      </c>
      <c r="K58" s="192">
        <f t="shared" si="7"/>
        <v>0.16232655991679615</v>
      </c>
      <c r="L58" s="192">
        <f t="shared" si="7"/>
        <v>0.16232655991679615</v>
      </c>
      <c r="M58" s="192">
        <f t="shared" si="7"/>
        <v>0.16232655991679615</v>
      </c>
      <c r="N58" s="146"/>
      <c r="O58" s="146"/>
      <c r="P58" s="146"/>
      <c r="Q58" s="146"/>
      <c r="R58" s="146"/>
      <c r="S58" s="146"/>
      <c r="T58" s="146"/>
    </row>
    <row r="59" spans="1:20" x14ac:dyDescent="0.2">
      <c r="A59" s="146"/>
      <c r="B59" s="188">
        <v>114</v>
      </c>
      <c r="C59" s="193">
        <v>0</v>
      </c>
      <c r="D59" s="193">
        <v>0</v>
      </c>
      <c r="E59" s="193">
        <v>0</v>
      </c>
      <c r="F59" s="193">
        <v>0</v>
      </c>
      <c r="G59" s="192">
        <f t="shared" si="8"/>
        <v>0</v>
      </c>
      <c r="H59" s="192">
        <f t="shared" si="7"/>
        <v>0</v>
      </c>
      <c r="I59" s="192">
        <f t="shared" si="7"/>
        <v>0</v>
      </c>
      <c r="J59" s="192">
        <f t="shared" si="7"/>
        <v>0</v>
      </c>
      <c r="K59" s="192">
        <f t="shared" si="7"/>
        <v>0</v>
      </c>
      <c r="L59" s="192">
        <f t="shared" si="7"/>
        <v>0</v>
      </c>
      <c r="M59" s="192">
        <f t="shared" si="7"/>
        <v>0</v>
      </c>
      <c r="N59" s="146"/>
      <c r="O59" s="146"/>
      <c r="P59" s="146"/>
      <c r="Q59" s="146"/>
      <c r="R59" s="146"/>
      <c r="S59" s="146"/>
      <c r="T59" s="146"/>
    </row>
    <row r="60" spans="1:20" x14ac:dyDescent="0.2">
      <c r="A60" s="146"/>
      <c r="B60" s="188">
        <v>115</v>
      </c>
      <c r="C60" s="193">
        <v>0</v>
      </c>
      <c r="D60" s="193">
        <v>0</v>
      </c>
      <c r="E60" s="193">
        <v>0</v>
      </c>
      <c r="F60" s="193">
        <v>0</v>
      </c>
      <c r="G60" s="192">
        <f t="shared" si="8"/>
        <v>0</v>
      </c>
      <c r="H60" s="192">
        <f t="shared" si="7"/>
        <v>0</v>
      </c>
      <c r="I60" s="192">
        <f t="shared" si="7"/>
        <v>0</v>
      </c>
      <c r="J60" s="192">
        <f t="shared" si="7"/>
        <v>0</v>
      </c>
      <c r="K60" s="192">
        <f t="shared" si="7"/>
        <v>0</v>
      </c>
      <c r="L60" s="192">
        <f t="shared" si="7"/>
        <v>0</v>
      </c>
      <c r="M60" s="192">
        <f t="shared" si="7"/>
        <v>0</v>
      </c>
      <c r="N60" s="146"/>
      <c r="O60" s="146"/>
      <c r="P60" s="146"/>
      <c r="Q60" s="146"/>
      <c r="R60" s="146"/>
      <c r="S60" s="146"/>
      <c r="T60" s="146"/>
    </row>
    <row r="61" spans="1:20" x14ac:dyDescent="0.2">
      <c r="A61" s="146"/>
      <c r="B61" s="188">
        <v>116</v>
      </c>
      <c r="C61" s="193">
        <v>1</v>
      </c>
      <c r="D61" s="193">
        <v>1</v>
      </c>
      <c r="E61" s="193">
        <v>0.88261953492923584</v>
      </c>
      <c r="F61" s="193">
        <v>0.68133220788794946</v>
      </c>
      <c r="G61" s="192">
        <f t="shared" si="8"/>
        <v>0.85465058093906177</v>
      </c>
      <c r="H61" s="192">
        <f t="shared" si="7"/>
        <v>0.85465058093906177</v>
      </c>
      <c r="I61" s="192">
        <f t="shared" si="7"/>
        <v>0.85465058093906177</v>
      </c>
      <c r="J61" s="192">
        <f t="shared" si="7"/>
        <v>0.85465058093906177</v>
      </c>
      <c r="K61" s="192">
        <f t="shared" si="7"/>
        <v>0.85465058093906177</v>
      </c>
      <c r="L61" s="192">
        <f t="shared" si="7"/>
        <v>0.85465058093906177</v>
      </c>
      <c r="M61" s="192">
        <f t="shared" si="7"/>
        <v>0.85465058093906177</v>
      </c>
      <c r="N61" s="146"/>
      <c r="O61" s="146"/>
      <c r="P61" s="146"/>
      <c r="Q61" s="146"/>
      <c r="R61" s="146"/>
      <c r="S61" s="146"/>
      <c r="T61" s="146"/>
    </row>
    <row r="62" spans="1:20" x14ac:dyDescent="0.2">
      <c r="A62" s="146"/>
      <c r="B62" s="188">
        <v>118</v>
      </c>
      <c r="C62" s="193">
        <v>1</v>
      </c>
      <c r="D62" s="193">
        <v>1</v>
      </c>
      <c r="E62" s="193">
        <v>1</v>
      </c>
      <c r="F62" s="193">
        <v>1</v>
      </c>
      <c r="G62" s="192">
        <f t="shared" ref="G62:M62" si="9">AVERAGE($F62)</f>
        <v>1</v>
      </c>
      <c r="H62" s="192">
        <f t="shared" si="9"/>
        <v>1</v>
      </c>
      <c r="I62" s="192">
        <f t="shared" si="9"/>
        <v>1</v>
      </c>
      <c r="J62" s="192">
        <f t="shared" si="9"/>
        <v>1</v>
      </c>
      <c r="K62" s="192">
        <f t="shared" si="9"/>
        <v>1</v>
      </c>
      <c r="L62" s="192">
        <f t="shared" si="9"/>
        <v>1</v>
      </c>
      <c r="M62" s="192">
        <f t="shared" si="9"/>
        <v>1</v>
      </c>
      <c r="N62" s="146"/>
      <c r="O62" s="146"/>
      <c r="P62" s="146"/>
      <c r="Q62" s="146"/>
      <c r="R62" s="146"/>
      <c r="S62" s="146"/>
      <c r="T62" s="146"/>
    </row>
    <row r="63" spans="1:20" x14ac:dyDescent="0.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</row>
    <row r="64" spans="1:20" x14ac:dyDescent="0.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</row>
    <row r="65" spans="1:20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</row>
    <row r="66" spans="1:20" x14ac:dyDescent="0.2">
      <c r="A66" s="146"/>
      <c r="B66" s="144" t="s">
        <v>226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</row>
    <row r="67" spans="1:20" x14ac:dyDescent="0.2">
      <c r="A67" s="146"/>
      <c r="B67" s="149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</row>
    <row r="68" spans="1:20" x14ac:dyDescent="0.2">
      <c r="A68" s="146"/>
      <c r="B68" s="146"/>
      <c r="C68" s="283" t="s">
        <v>381</v>
      </c>
      <c r="D68" s="284"/>
      <c r="E68" s="284"/>
      <c r="F68" s="284"/>
      <c r="G68" s="284"/>
      <c r="H68" s="284"/>
      <c r="I68" s="284"/>
      <c r="J68" s="284"/>
      <c r="K68" s="284"/>
      <c r="L68" s="284"/>
      <c r="M68" s="263"/>
      <c r="N68" s="146"/>
      <c r="O68" s="146"/>
      <c r="P68" s="146"/>
      <c r="Q68" s="146"/>
      <c r="R68" s="146"/>
      <c r="S68" s="146"/>
      <c r="T68" s="146"/>
    </row>
    <row r="69" spans="1:20" ht="25.5" x14ac:dyDescent="0.2">
      <c r="A69" s="146"/>
      <c r="B69" s="141" t="s">
        <v>35</v>
      </c>
      <c r="C69" s="141" t="s">
        <v>323</v>
      </c>
      <c r="D69" s="141" t="s">
        <v>324</v>
      </c>
      <c r="E69" s="141" t="s">
        <v>325</v>
      </c>
      <c r="F69" s="141" t="s">
        <v>326</v>
      </c>
      <c r="G69" s="143" t="s">
        <v>315</v>
      </c>
      <c r="H69" s="143" t="s">
        <v>316</v>
      </c>
      <c r="I69" s="143" t="s">
        <v>317</v>
      </c>
      <c r="J69" s="143" t="s">
        <v>318</v>
      </c>
      <c r="K69" s="143" t="s">
        <v>319</v>
      </c>
      <c r="L69" s="143" t="s">
        <v>320</v>
      </c>
      <c r="M69" s="143" t="s">
        <v>321</v>
      </c>
      <c r="N69" s="146"/>
      <c r="O69" s="146"/>
      <c r="P69" s="146"/>
      <c r="Q69" s="146"/>
      <c r="R69" s="146"/>
      <c r="S69" s="146"/>
      <c r="T69" s="146"/>
    </row>
    <row r="70" spans="1:20" x14ac:dyDescent="0.2">
      <c r="A70" s="146"/>
      <c r="B70" s="188">
        <v>102</v>
      </c>
      <c r="C70" s="166">
        <v>5222301.3533481853</v>
      </c>
      <c r="D70" s="166">
        <v>5365716.1986877359</v>
      </c>
      <c r="E70" s="166">
        <v>6859970.3102135463</v>
      </c>
      <c r="F70" s="166">
        <v>7995725.8353917636</v>
      </c>
      <c r="G70" s="158">
        <v>6676701.4812621158</v>
      </c>
      <c r="H70" s="158">
        <v>6686402.6084133005</v>
      </c>
      <c r="I70" s="203">
        <v>4124037.7586864512</v>
      </c>
      <c r="J70" s="203">
        <v>7579707.4808607353</v>
      </c>
      <c r="K70" s="203">
        <v>7742683.2017225409</v>
      </c>
      <c r="L70" s="203">
        <v>7872772.518117087</v>
      </c>
      <c r="M70" s="203">
        <v>7980484.644049936</v>
      </c>
      <c r="N70" s="146"/>
      <c r="O70" s="146"/>
      <c r="P70" s="146"/>
      <c r="Q70" s="146"/>
      <c r="R70" s="146"/>
      <c r="S70" s="146"/>
      <c r="T70" s="146"/>
    </row>
    <row r="71" spans="1:20" x14ac:dyDescent="0.2">
      <c r="A71" s="146"/>
      <c r="B71" s="188">
        <v>104</v>
      </c>
      <c r="C71" s="166">
        <v>1661336.1655126619</v>
      </c>
      <c r="D71" s="166">
        <v>2251476.6850059303</v>
      </c>
      <c r="E71" s="166">
        <v>3619080.9462426496</v>
      </c>
      <c r="F71" s="166">
        <v>4793562.7323290352</v>
      </c>
      <c r="G71" s="158">
        <v>3306959.5761847515</v>
      </c>
      <c r="H71" s="158">
        <v>3311764.5289630704</v>
      </c>
      <c r="I71" s="203">
        <v>2042629.3128291285</v>
      </c>
      <c r="J71" s="203">
        <v>3754217.0050372467</v>
      </c>
      <c r="K71" s="203">
        <v>3834938.6191908992</v>
      </c>
      <c r="L71" s="203">
        <v>3899371.64975511</v>
      </c>
      <c r="M71" s="203">
        <v>3952721.2936360771</v>
      </c>
      <c r="N71" s="146"/>
      <c r="O71" s="146"/>
      <c r="P71" s="146"/>
      <c r="Q71" s="146"/>
      <c r="R71" s="146"/>
      <c r="S71" s="146"/>
      <c r="T71" s="146"/>
    </row>
    <row r="72" spans="1:20" x14ac:dyDescent="0.2">
      <c r="A72" s="146"/>
      <c r="B72" s="188">
        <v>105</v>
      </c>
      <c r="C72" s="166">
        <v>2323083.7089193235</v>
      </c>
      <c r="D72" s="166">
        <v>2688886.8353939997</v>
      </c>
      <c r="E72" s="166">
        <v>2589881.4367807941</v>
      </c>
      <c r="F72" s="166">
        <v>2886185.5476086754</v>
      </c>
      <c r="G72" s="158">
        <v>2807047.8292868435</v>
      </c>
      <c r="H72" s="158">
        <v>2726302.3344089296</v>
      </c>
      <c r="I72" s="203">
        <v>1631055.5233854922</v>
      </c>
      <c r="J72" s="203">
        <v>2631202.8054025555</v>
      </c>
      <c r="K72" s="203">
        <v>2696805.593219148</v>
      </c>
      <c r="L72" s="203">
        <v>2866204.4029887263</v>
      </c>
      <c r="M72" s="203">
        <v>2879379.062553938</v>
      </c>
      <c r="N72" s="146"/>
      <c r="O72" s="146"/>
      <c r="P72" s="146"/>
      <c r="Q72" s="146"/>
      <c r="R72" s="146"/>
      <c r="S72" s="146"/>
      <c r="T72" s="146"/>
    </row>
    <row r="73" spans="1:20" x14ac:dyDescent="0.2">
      <c r="A73" s="146"/>
      <c r="B73" s="188">
        <v>106</v>
      </c>
      <c r="C73" s="166">
        <v>881451.62800980988</v>
      </c>
      <c r="D73" s="166">
        <v>1527898.7240336591</v>
      </c>
      <c r="E73" s="166">
        <v>2135638.9518334363</v>
      </c>
      <c r="F73" s="166">
        <v>1913950.6552232141</v>
      </c>
      <c r="G73" s="158">
        <v>1740251.3624247082</v>
      </c>
      <c r="H73" s="158">
        <v>1650274.1720086089</v>
      </c>
      <c r="I73" s="203">
        <v>984778.25099582493</v>
      </c>
      <c r="J73" s="203">
        <v>1630885.2140070461</v>
      </c>
      <c r="K73" s="203">
        <v>1680140.8462800453</v>
      </c>
      <c r="L73" s="203">
        <v>1757679.1921972025</v>
      </c>
      <c r="M73" s="203">
        <v>1734746.5671150337</v>
      </c>
      <c r="N73" s="146"/>
      <c r="O73" s="146"/>
      <c r="P73" s="146"/>
      <c r="Q73" s="146"/>
      <c r="R73" s="146"/>
      <c r="S73" s="146"/>
      <c r="T73" s="146"/>
    </row>
    <row r="74" spans="1:20" x14ac:dyDescent="0.2">
      <c r="A74" s="146"/>
      <c r="B74" s="188">
        <v>107</v>
      </c>
      <c r="C74" s="166">
        <v>478892.58753991767</v>
      </c>
      <c r="D74" s="166">
        <v>2951507.6650525467</v>
      </c>
      <c r="E74" s="166">
        <v>2457055.5021328116</v>
      </c>
      <c r="F74" s="166">
        <v>828669.01382419071</v>
      </c>
      <c r="G74" s="158">
        <v>1707705.1096453778</v>
      </c>
      <c r="H74" s="158">
        <v>1707705.1096453778</v>
      </c>
      <c r="I74" s="203">
        <v>1016806.5117129312</v>
      </c>
      <c r="J74" s="203">
        <v>1813585.5617960622</v>
      </c>
      <c r="K74" s="203">
        <v>1844231.5129408285</v>
      </c>
      <c r="L74" s="203">
        <v>1852140.1315983508</v>
      </c>
      <c r="M74" s="203">
        <v>1843533.0201593803</v>
      </c>
      <c r="N74" s="146"/>
      <c r="O74" s="146"/>
      <c r="P74" s="146"/>
      <c r="Q74" s="146"/>
      <c r="R74" s="146"/>
      <c r="S74" s="146"/>
      <c r="T74" s="146"/>
    </row>
    <row r="75" spans="1:20" x14ac:dyDescent="0.2">
      <c r="A75" s="146"/>
      <c r="B75" s="188">
        <v>108</v>
      </c>
      <c r="C75" s="166">
        <v>498395.35972878389</v>
      </c>
      <c r="D75" s="166">
        <v>463418.24573329336</v>
      </c>
      <c r="E75" s="166">
        <v>425378.79864957894</v>
      </c>
      <c r="F75" s="166">
        <v>659098.92533208244</v>
      </c>
      <c r="G75" s="158">
        <v>547452.91886080417</v>
      </c>
      <c r="H75" s="158">
        <v>518268.15838915581</v>
      </c>
      <c r="I75" s="203">
        <v>319839.28612510278</v>
      </c>
      <c r="J75" s="203">
        <v>591487.65918084327</v>
      </c>
      <c r="K75" s="203">
        <v>614163.95512969093</v>
      </c>
      <c r="L75" s="203">
        <v>613876.8160448001</v>
      </c>
      <c r="M75" s="203">
        <v>611253.21824360511</v>
      </c>
      <c r="N75" s="146"/>
      <c r="O75" s="146"/>
      <c r="P75" s="146"/>
      <c r="Q75" s="146"/>
      <c r="R75" s="146"/>
      <c r="S75" s="146"/>
      <c r="T75" s="146"/>
    </row>
    <row r="76" spans="1:20" x14ac:dyDescent="0.2">
      <c r="A76" s="146"/>
      <c r="B76" s="188">
        <v>109</v>
      </c>
      <c r="C76" s="166">
        <v>7271015.792466755</v>
      </c>
      <c r="D76" s="166">
        <v>8758161.9102102555</v>
      </c>
      <c r="E76" s="166">
        <v>9343575.6035449915</v>
      </c>
      <c r="F76" s="166">
        <v>11456964.983779123</v>
      </c>
      <c r="G76" s="158">
        <v>9851053.6751284357</v>
      </c>
      <c r="H76" s="158">
        <v>9865367.0789167825</v>
      </c>
      <c r="I76" s="203">
        <v>6084758.6840735823</v>
      </c>
      <c r="J76" s="203">
        <v>11183382.310154883</v>
      </c>
      <c r="K76" s="203">
        <v>11423842.749858249</v>
      </c>
      <c r="L76" s="203">
        <v>11615781.36534974</v>
      </c>
      <c r="M76" s="203">
        <v>11774703.841815786</v>
      </c>
      <c r="N76" s="146"/>
      <c r="O76" s="146"/>
      <c r="P76" s="146"/>
      <c r="Q76" s="146"/>
      <c r="R76" s="146"/>
      <c r="S76" s="146"/>
      <c r="T76" s="146"/>
    </row>
    <row r="77" spans="1:20" x14ac:dyDescent="0.2">
      <c r="A77" s="146"/>
      <c r="B77" s="188">
        <v>110</v>
      </c>
      <c r="C77" s="166">
        <v>839075.82309100777</v>
      </c>
      <c r="D77" s="166">
        <v>1367129.1906704972</v>
      </c>
      <c r="E77" s="166">
        <v>1728270.0661291485</v>
      </c>
      <c r="F77" s="166">
        <v>1565726.6622296297</v>
      </c>
      <c r="G77" s="158">
        <v>1526914.9321693804</v>
      </c>
      <c r="H77" s="158">
        <v>1529133.5120995434</v>
      </c>
      <c r="I77" s="203">
        <v>943138.59204894933</v>
      </c>
      <c r="J77" s="203">
        <v>1733426.0886880974</v>
      </c>
      <c r="K77" s="203">
        <v>1770697.4962032225</v>
      </c>
      <c r="L77" s="203">
        <v>1800448.0130229427</v>
      </c>
      <c r="M77" s="203">
        <v>1825081.0228892888</v>
      </c>
      <c r="N77" s="146"/>
      <c r="O77" s="146"/>
      <c r="P77" s="146"/>
      <c r="Q77" s="146"/>
      <c r="R77" s="146"/>
      <c r="S77" s="146"/>
      <c r="T77" s="146"/>
    </row>
    <row r="78" spans="1:20" x14ac:dyDescent="0.2">
      <c r="A78" s="146"/>
      <c r="B78" s="188">
        <v>111</v>
      </c>
      <c r="C78" s="166">
        <v>1125856.5848748246</v>
      </c>
      <c r="D78" s="166">
        <v>1493525.9884572295</v>
      </c>
      <c r="E78" s="166">
        <v>1513643.9152919117</v>
      </c>
      <c r="F78" s="166">
        <v>1286749.0352395815</v>
      </c>
      <c r="G78" s="158">
        <v>1409016.3224969173</v>
      </c>
      <c r="H78" s="158">
        <v>1390795.4414766117</v>
      </c>
      <c r="I78" s="203">
        <v>857116.34726990887</v>
      </c>
      <c r="J78" s="203">
        <v>1495901.9415893713</v>
      </c>
      <c r="K78" s="203">
        <v>1534881.5023259369</v>
      </c>
      <c r="L78" s="203">
        <v>1574010.2273611885</v>
      </c>
      <c r="M78" s="203">
        <v>1565170.5158859373</v>
      </c>
      <c r="N78" s="146"/>
      <c r="O78" s="146"/>
      <c r="P78" s="146"/>
      <c r="Q78" s="146"/>
      <c r="R78" s="146"/>
      <c r="S78" s="146"/>
      <c r="T78" s="146"/>
    </row>
    <row r="79" spans="1:20" x14ac:dyDescent="0.2">
      <c r="A79" s="146"/>
      <c r="B79" s="188">
        <v>114</v>
      </c>
      <c r="C79" s="166">
        <v>0</v>
      </c>
      <c r="D79" s="166">
        <v>0</v>
      </c>
      <c r="E79" s="166">
        <v>0</v>
      </c>
      <c r="F79" s="166">
        <v>0</v>
      </c>
      <c r="G79" s="158">
        <v>0</v>
      </c>
      <c r="H79" s="158">
        <v>0</v>
      </c>
      <c r="I79" s="203">
        <v>0</v>
      </c>
      <c r="J79" s="203">
        <v>0</v>
      </c>
      <c r="K79" s="203">
        <v>0</v>
      </c>
      <c r="L79" s="203">
        <v>0</v>
      </c>
      <c r="M79" s="203">
        <v>0</v>
      </c>
      <c r="N79" s="146"/>
      <c r="O79" s="146"/>
      <c r="P79" s="146"/>
      <c r="Q79" s="146"/>
      <c r="R79" s="146"/>
      <c r="S79" s="146"/>
      <c r="T79" s="146"/>
    </row>
    <row r="80" spans="1:20" x14ac:dyDescent="0.2">
      <c r="A80" s="146"/>
      <c r="B80" s="188">
        <v>115</v>
      </c>
      <c r="C80" s="166">
        <v>0</v>
      </c>
      <c r="D80" s="166">
        <v>0</v>
      </c>
      <c r="E80" s="166">
        <v>0</v>
      </c>
      <c r="F80" s="166">
        <v>0</v>
      </c>
      <c r="G80" s="158">
        <v>0</v>
      </c>
      <c r="H80" s="158">
        <v>0</v>
      </c>
      <c r="I80" s="203">
        <v>0</v>
      </c>
      <c r="J80" s="203">
        <v>0</v>
      </c>
      <c r="K80" s="203">
        <v>0</v>
      </c>
      <c r="L80" s="203">
        <v>0</v>
      </c>
      <c r="M80" s="203">
        <v>0</v>
      </c>
      <c r="N80" s="146"/>
      <c r="O80" s="146"/>
      <c r="P80" s="146"/>
      <c r="Q80" s="146"/>
      <c r="R80" s="146"/>
      <c r="S80" s="146"/>
      <c r="T80" s="146"/>
    </row>
    <row r="81" spans="1:20" x14ac:dyDescent="0.2">
      <c r="A81" s="146"/>
      <c r="B81" s="188">
        <v>116</v>
      </c>
      <c r="C81" s="166">
        <v>31669247.569609102</v>
      </c>
      <c r="D81" s="166">
        <v>26446273.728206344</v>
      </c>
      <c r="E81" s="166">
        <v>27784202.681594077</v>
      </c>
      <c r="F81" s="166">
        <v>25167399.156859469</v>
      </c>
      <c r="G81" s="158">
        <v>26179858.156410702</v>
      </c>
      <c r="H81" s="158">
        <v>25917901.538916618</v>
      </c>
      <c r="I81" s="203">
        <v>15153462.744820744</v>
      </c>
      <c r="J81" s="203">
        <v>23131469.455784988</v>
      </c>
      <c r="K81" s="203">
        <v>21520632.188954737</v>
      </c>
      <c r="L81" s="203">
        <v>20582904.031177834</v>
      </c>
      <c r="M81" s="203">
        <v>20515754.586525574</v>
      </c>
      <c r="N81" s="146"/>
      <c r="O81" s="146"/>
      <c r="P81" s="146"/>
      <c r="Q81" s="146"/>
      <c r="R81" s="146"/>
      <c r="S81" s="146"/>
      <c r="T81" s="146"/>
    </row>
    <row r="82" spans="1:20" x14ac:dyDescent="0.2">
      <c r="A82" s="146"/>
      <c r="B82" s="188">
        <v>118</v>
      </c>
      <c r="C82" s="166">
        <v>4835449.0821437389</v>
      </c>
      <c r="D82" s="166">
        <v>10517829.45375018</v>
      </c>
      <c r="E82" s="166">
        <v>21726262.058888458</v>
      </c>
      <c r="F82" s="166">
        <v>25679696.568863347</v>
      </c>
      <c r="G82" s="158">
        <v>23549255.318518218</v>
      </c>
      <c r="H82" s="158">
        <v>23549255.318518218</v>
      </c>
      <c r="I82" s="203">
        <v>14021762.901928734</v>
      </c>
      <c r="J82" s="203">
        <v>25009346.868782651</v>
      </c>
      <c r="K82" s="203">
        <v>25431954.56838531</v>
      </c>
      <c r="L82" s="203">
        <v>25541014.428270292</v>
      </c>
      <c r="M82" s="203">
        <v>25422322.352169782</v>
      </c>
      <c r="N82" s="146"/>
      <c r="O82" s="146"/>
      <c r="P82" s="146"/>
      <c r="Q82" s="146"/>
      <c r="R82" s="146"/>
      <c r="S82" s="146"/>
      <c r="T82" s="146"/>
    </row>
    <row r="83" spans="1:20" x14ac:dyDescent="0.2">
      <c r="A83" s="146"/>
      <c r="B83" s="71" t="s">
        <v>36</v>
      </c>
      <c r="C83" s="163">
        <f t="shared" ref="C83:M83" si="10">SUM(C70:C82)</f>
        <v>56806105.655244112</v>
      </c>
      <c r="D83" s="163">
        <f t="shared" si="10"/>
        <v>63831824.625201672</v>
      </c>
      <c r="E83" s="163">
        <f t="shared" si="10"/>
        <v>80182960.271301404</v>
      </c>
      <c r="F83" s="163">
        <f t="shared" si="10"/>
        <v>84233729.116680115</v>
      </c>
      <c r="G83" s="163">
        <f t="shared" si="10"/>
        <v>79302216.682388261</v>
      </c>
      <c r="H83" s="163">
        <f t="shared" si="10"/>
        <v>78853169.801756218</v>
      </c>
      <c r="I83" s="163">
        <f t="shared" si="10"/>
        <v>47179385.913876846</v>
      </c>
      <c r="J83" s="163">
        <f t="shared" si="10"/>
        <v>80554612.391284481</v>
      </c>
      <c r="K83" s="163">
        <f t="shared" si="10"/>
        <v>80094972.23421061</v>
      </c>
      <c r="L83" s="163">
        <f t="shared" si="10"/>
        <v>79976202.775883272</v>
      </c>
      <c r="M83" s="163">
        <f t="shared" si="10"/>
        <v>80105150.125044346</v>
      </c>
      <c r="N83" s="146"/>
      <c r="O83" s="146"/>
      <c r="P83" s="146"/>
      <c r="Q83" s="146"/>
      <c r="R83" s="146"/>
      <c r="S83" s="146"/>
      <c r="T83" s="146"/>
    </row>
    <row r="84" spans="1:20" x14ac:dyDescent="0.2">
      <c r="A84" s="146"/>
      <c r="B84" s="146" t="s">
        <v>231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46"/>
      <c r="O84" s="146"/>
      <c r="P84" s="146"/>
      <c r="Q84" s="146"/>
      <c r="R84" s="146"/>
      <c r="S84" s="146"/>
      <c r="T84" s="146"/>
    </row>
    <row r="85" spans="1:20" x14ac:dyDescent="0.2">
      <c r="A85" s="146"/>
      <c r="B85" s="146"/>
      <c r="C85" s="146"/>
      <c r="D85" s="146"/>
      <c r="E85" s="146"/>
      <c r="F85" s="146"/>
      <c r="G85" s="146"/>
      <c r="H85" s="146"/>
      <c r="I85" s="152"/>
      <c r="J85" s="152"/>
      <c r="K85" s="152"/>
      <c r="L85" s="152"/>
      <c r="M85" s="152"/>
      <c r="N85" s="146"/>
      <c r="O85" s="146"/>
      <c r="P85" s="146"/>
      <c r="Q85" s="146"/>
      <c r="R85" s="146"/>
      <c r="S85" s="146"/>
      <c r="T85" s="146"/>
    </row>
    <row r="86" spans="1:20" x14ac:dyDescent="0.2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</row>
    <row r="87" spans="1:20" x14ac:dyDescent="0.2">
      <c r="A87" s="146"/>
      <c r="B87" s="144" t="s">
        <v>335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</row>
    <row r="88" spans="1:20" x14ac:dyDescent="0.2">
      <c r="A88" s="146"/>
      <c r="B88" s="149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</row>
    <row r="89" spans="1:20" x14ac:dyDescent="0.2">
      <c r="A89" s="146"/>
      <c r="B89" s="146"/>
      <c r="C89" s="283" t="s">
        <v>381</v>
      </c>
      <c r="D89" s="284"/>
      <c r="E89" s="284"/>
      <c r="F89" s="284"/>
      <c r="G89" s="284"/>
      <c r="H89" s="284"/>
      <c r="I89" s="284"/>
      <c r="J89" s="284"/>
      <c r="K89" s="284"/>
      <c r="L89" s="284"/>
      <c r="M89" s="263"/>
      <c r="N89" s="146"/>
      <c r="O89" s="146"/>
      <c r="P89" s="146"/>
      <c r="Q89" s="146"/>
      <c r="R89" s="146"/>
      <c r="S89" s="146"/>
      <c r="T89" s="146"/>
    </row>
    <row r="90" spans="1:20" ht="25.5" x14ac:dyDescent="0.2">
      <c r="A90" s="146"/>
      <c r="B90" s="141" t="s">
        <v>35</v>
      </c>
      <c r="C90" s="141" t="s">
        <v>323</v>
      </c>
      <c r="D90" s="141" t="s">
        <v>324</v>
      </c>
      <c r="E90" s="141" t="s">
        <v>325</v>
      </c>
      <c r="F90" s="141" t="s">
        <v>326</v>
      </c>
      <c r="G90" s="143" t="s">
        <v>315</v>
      </c>
      <c r="H90" s="143" t="s">
        <v>316</v>
      </c>
      <c r="I90" s="143" t="s">
        <v>317</v>
      </c>
      <c r="J90" s="143" t="s">
        <v>318</v>
      </c>
      <c r="K90" s="143" t="s">
        <v>319</v>
      </c>
      <c r="L90" s="143" t="s">
        <v>320</v>
      </c>
      <c r="M90" s="143" t="s">
        <v>321</v>
      </c>
      <c r="N90" s="146"/>
      <c r="O90" s="146"/>
      <c r="P90" s="146"/>
      <c r="Q90" s="146"/>
      <c r="R90" s="146"/>
      <c r="S90" s="146"/>
      <c r="T90" s="146"/>
    </row>
    <row r="91" spans="1:20" x14ac:dyDescent="0.2">
      <c r="A91" s="146"/>
      <c r="B91" s="188">
        <v>102</v>
      </c>
      <c r="C91" s="166">
        <v>5470566.0183095438</v>
      </c>
      <c r="D91" s="166">
        <v>5536256.9404194634</v>
      </c>
      <c r="E91" s="166">
        <v>6893759.7936389614</v>
      </c>
      <c r="F91" s="166">
        <v>7928550.1566153858</v>
      </c>
      <c r="G91" s="158">
        <f t="shared" ref="G91:M103" si="11">G70-G29+G8</f>
        <v>6722419.6633890364</v>
      </c>
      <c r="H91" s="158">
        <f t="shared" si="11"/>
        <v>6732120.7905402211</v>
      </c>
      <c r="I91" s="158">
        <f t="shared" si="11"/>
        <v>4151259.4054612769</v>
      </c>
      <c r="J91" s="158">
        <f t="shared" si="11"/>
        <v>7628260.2635095874</v>
      </c>
      <c r="K91" s="158">
        <f t="shared" si="11"/>
        <v>7792056.4288193109</v>
      </c>
      <c r="L91" s="158">
        <f t="shared" si="11"/>
        <v>7922357.4724413007</v>
      </c>
      <c r="M91" s="158">
        <f t="shared" si="11"/>
        <v>8029839.1713020913</v>
      </c>
      <c r="N91" s="146"/>
      <c r="O91" s="146"/>
      <c r="P91" s="146"/>
      <c r="Q91" s="146"/>
      <c r="R91" s="146"/>
      <c r="S91" s="146"/>
      <c r="T91" s="146"/>
    </row>
    <row r="92" spans="1:20" x14ac:dyDescent="0.2">
      <c r="A92" s="146"/>
      <c r="B92" s="188">
        <v>104</v>
      </c>
      <c r="C92" s="166">
        <v>7883417.4986002864</v>
      </c>
      <c r="D92" s="166">
        <v>15610312.87895022</v>
      </c>
      <c r="E92" s="166">
        <v>25703900.473866962</v>
      </c>
      <c r="F92" s="166">
        <v>36104218.124942489</v>
      </c>
      <c r="G92" s="158">
        <f t="shared" si="11"/>
        <v>25558396.614245445</v>
      </c>
      <c r="H92" s="158">
        <f t="shared" si="11"/>
        <v>25563201.567023762</v>
      </c>
      <c r="I92" s="158">
        <f t="shared" si="11"/>
        <v>15291641.655462921</v>
      </c>
      <c r="J92" s="158">
        <f t="shared" si="11"/>
        <v>27385278.781166211</v>
      </c>
      <c r="K92" s="158">
        <f t="shared" si="11"/>
        <v>27865317.846862096</v>
      </c>
      <c r="L92" s="158">
        <f t="shared" si="11"/>
        <v>28032800.361275684</v>
      </c>
      <c r="M92" s="158">
        <f t="shared" si="11"/>
        <v>27973999.144225162</v>
      </c>
      <c r="N92" s="146"/>
      <c r="O92" s="146"/>
      <c r="P92" s="146"/>
      <c r="Q92" s="146"/>
      <c r="R92" s="146"/>
      <c r="S92" s="146"/>
      <c r="T92" s="146"/>
    </row>
    <row r="93" spans="1:20" x14ac:dyDescent="0.2">
      <c r="A93" s="146"/>
      <c r="B93" s="188">
        <v>105</v>
      </c>
      <c r="C93" s="166">
        <v>2524570.6186629646</v>
      </c>
      <c r="D93" s="166">
        <v>2898202.9745381474</v>
      </c>
      <c r="E93" s="166">
        <v>2652887.8373332801</v>
      </c>
      <c r="F93" s="166">
        <v>2900974.0258061155</v>
      </c>
      <c r="G93" s="158">
        <f t="shared" si="11"/>
        <v>2902751.5019182018</v>
      </c>
      <c r="H93" s="158">
        <f t="shared" si="11"/>
        <v>2822006.0070402878</v>
      </c>
      <c r="I93" s="158">
        <f t="shared" si="11"/>
        <v>1688039.6695221839</v>
      </c>
      <c r="J93" s="158">
        <f t="shared" si="11"/>
        <v>2732840.2590324339</v>
      </c>
      <c r="K93" s="158">
        <f t="shared" si="11"/>
        <v>2800160.5155497231</v>
      </c>
      <c r="L93" s="158">
        <f t="shared" si="11"/>
        <v>2970002.5422697514</v>
      </c>
      <c r="M93" s="158">
        <f t="shared" si="11"/>
        <v>2982694.8397627268</v>
      </c>
      <c r="N93" s="146"/>
      <c r="O93" s="146"/>
      <c r="P93" s="146"/>
      <c r="Q93" s="146"/>
      <c r="R93" s="146"/>
      <c r="S93" s="146"/>
      <c r="T93" s="146"/>
    </row>
    <row r="94" spans="1:20" x14ac:dyDescent="0.2">
      <c r="A94" s="146"/>
      <c r="B94" s="188">
        <v>106</v>
      </c>
      <c r="C94" s="166">
        <v>909502.43791786861</v>
      </c>
      <c r="D94" s="166">
        <v>1570354.6693069623</v>
      </c>
      <c r="E94" s="166">
        <v>2093077.2243932891</v>
      </c>
      <c r="F94" s="166">
        <v>1809543.6569697424</v>
      </c>
      <c r="G94" s="158">
        <f t="shared" si="11"/>
        <v>1705413.7689512693</v>
      </c>
      <c r="H94" s="158">
        <f t="shared" si="11"/>
        <v>1615436.5785351703</v>
      </c>
      <c r="I94" s="158">
        <f t="shared" si="11"/>
        <v>964035.15448804654</v>
      </c>
      <c r="J94" s="158">
        <f t="shared" si="11"/>
        <v>1593887.6339364043</v>
      </c>
      <c r="K94" s="158">
        <f t="shared" si="11"/>
        <v>1642518.0814620147</v>
      </c>
      <c r="L94" s="158">
        <f t="shared" si="11"/>
        <v>1719895.0896633267</v>
      </c>
      <c r="M94" s="158">
        <f t="shared" si="11"/>
        <v>1697138.0517171323</v>
      </c>
      <c r="N94" s="146"/>
      <c r="O94" s="146"/>
      <c r="P94" s="146"/>
      <c r="Q94" s="146"/>
      <c r="R94" s="146"/>
      <c r="S94" s="146"/>
      <c r="T94" s="146"/>
    </row>
    <row r="95" spans="1:20" x14ac:dyDescent="0.2">
      <c r="A95" s="146"/>
      <c r="B95" s="188">
        <v>107</v>
      </c>
      <c r="C95" s="166">
        <v>478892.58753991767</v>
      </c>
      <c r="D95" s="166">
        <v>2973364.6148199881</v>
      </c>
      <c r="E95" s="166">
        <v>2478691.0647479128</v>
      </c>
      <c r="F95" s="166">
        <v>828669.01382419071</v>
      </c>
      <c r="G95" s="158">
        <f t="shared" si="11"/>
        <v>1722202.6137728924</v>
      </c>
      <c r="H95" s="158">
        <f t="shared" si="11"/>
        <v>1722202.6137728924</v>
      </c>
      <c r="I95" s="158">
        <f t="shared" si="11"/>
        <v>1025438.6558209399</v>
      </c>
      <c r="J95" s="158">
        <f t="shared" si="11"/>
        <v>1828981.9344011652</v>
      </c>
      <c r="K95" s="158">
        <f t="shared" si="11"/>
        <v>1859888.053300132</v>
      </c>
      <c r="L95" s="158">
        <f t="shared" si="11"/>
        <v>1867863.8119052851</v>
      </c>
      <c r="M95" s="158">
        <f t="shared" si="11"/>
        <v>1859183.6306881031</v>
      </c>
      <c r="N95" s="146"/>
      <c r="O95" s="146"/>
      <c r="P95" s="146"/>
      <c r="Q95" s="146"/>
      <c r="R95" s="146"/>
      <c r="S95" s="146"/>
      <c r="T95" s="146"/>
    </row>
    <row r="96" spans="1:20" x14ac:dyDescent="0.2">
      <c r="A96" s="146"/>
      <c r="B96" s="188">
        <v>108</v>
      </c>
      <c r="C96" s="166">
        <v>1599947.1779048527</v>
      </c>
      <c r="D96" s="166">
        <v>1765283.078802451</v>
      </c>
      <c r="E96" s="166">
        <v>2135825.0316053801</v>
      </c>
      <c r="F96" s="166">
        <v>2857991.1619014861</v>
      </c>
      <c r="G96" s="158">
        <f t="shared" si="11"/>
        <v>2284520.6863922584</v>
      </c>
      <c r="H96" s="158">
        <f t="shared" si="11"/>
        <v>2255335.9259206099</v>
      </c>
      <c r="I96" s="158">
        <f t="shared" si="11"/>
        <v>1354128.9930168325</v>
      </c>
      <c r="J96" s="158">
        <f t="shared" si="11"/>
        <v>2436256.4106841749</v>
      </c>
      <c r="K96" s="158">
        <f t="shared" si="11"/>
        <v>2490105.5910134949</v>
      </c>
      <c r="L96" s="158">
        <f t="shared" si="11"/>
        <v>2497863.0531177009</v>
      </c>
      <c r="M96" s="158">
        <f t="shared" si="11"/>
        <v>2486484.3513071891</v>
      </c>
      <c r="N96" s="146"/>
      <c r="O96" s="146"/>
      <c r="P96" s="146"/>
      <c r="Q96" s="146"/>
      <c r="R96" s="146"/>
      <c r="S96" s="146"/>
      <c r="T96" s="146"/>
    </row>
    <row r="97" spans="1:20" x14ac:dyDescent="0.2">
      <c r="A97" s="146"/>
      <c r="B97" s="188">
        <v>109</v>
      </c>
      <c r="C97" s="166">
        <v>7270663.5715035824</v>
      </c>
      <c r="D97" s="166">
        <v>8757814.9316056035</v>
      </c>
      <c r="E97" s="166">
        <v>9343575.6035449915</v>
      </c>
      <c r="F97" s="166">
        <v>11456964.983779123</v>
      </c>
      <c r="G97" s="158">
        <f t="shared" si="11"/>
        <v>9850938.0155935511</v>
      </c>
      <c r="H97" s="158">
        <f t="shared" si="11"/>
        <v>9865251.4193818979</v>
      </c>
      <c r="I97" s="158">
        <f t="shared" si="11"/>
        <v>6084689.8177526072</v>
      </c>
      <c r="J97" s="158">
        <f t="shared" si="11"/>
        <v>11183259.479543576</v>
      </c>
      <c r="K97" s="158">
        <f t="shared" si="11"/>
        <v>11423717.843656469</v>
      </c>
      <c r="L97" s="158">
        <f t="shared" si="11"/>
        <v>11615655.923512651</v>
      </c>
      <c r="M97" s="158">
        <f t="shared" si="11"/>
        <v>11774578.982921561</v>
      </c>
      <c r="N97" s="146"/>
      <c r="O97" s="146"/>
      <c r="P97" s="146"/>
      <c r="Q97" s="146"/>
      <c r="R97" s="146"/>
      <c r="S97" s="146"/>
      <c r="T97" s="146"/>
    </row>
    <row r="98" spans="1:20" x14ac:dyDescent="0.2">
      <c r="A98" s="146"/>
      <c r="B98" s="188">
        <v>110</v>
      </c>
      <c r="C98" s="166">
        <v>1707681.1480399084</v>
      </c>
      <c r="D98" s="166">
        <v>2105173.9507544087</v>
      </c>
      <c r="E98" s="166">
        <v>2903967.4353740839</v>
      </c>
      <c r="F98" s="166">
        <v>3313279.4157411316</v>
      </c>
      <c r="G98" s="158">
        <f t="shared" si="11"/>
        <v>2747346.5597828301</v>
      </c>
      <c r="H98" s="158">
        <f t="shared" si="11"/>
        <v>2749565.1397129931</v>
      </c>
      <c r="I98" s="158">
        <f t="shared" si="11"/>
        <v>1669811.3759205518</v>
      </c>
      <c r="J98" s="158">
        <f t="shared" si="11"/>
        <v>3029526.4320656769</v>
      </c>
      <c r="K98" s="158">
        <f t="shared" si="11"/>
        <v>3088699.3305490734</v>
      </c>
      <c r="L98" s="158">
        <f t="shared" si="11"/>
        <v>3124101.835107109</v>
      </c>
      <c r="M98" s="158">
        <f t="shared" si="11"/>
        <v>3142583.6711184476</v>
      </c>
      <c r="N98" s="146"/>
      <c r="O98" s="146"/>
      <c r="P98" s="146"/>
      <c r="Q98" s="146"/>
      <c r="R98" s="146"/>
      <c r="S98" s="146"/>
      <c r="T98" s="146"/>
    </row>
    <row r="99" spans="1:20" x14ac:dyDescent="0.2">
      <c r="A99" s="146"/>
      <c r="B99" s="188">
        <v>111</v>
      </c>
      <c r="C99" s="166">
        <v>1204536.6324366566</v>
      </c>
      <c r="D99" s="166">
        <v>1352324.6762837849</v>
      </c>
      <c r="E99" s="166">
        <v>1561003.4401537902</v>
      </c>
      <c r="F99" s="166">
        <v>1731920.1202843545</v>
      </c>
      <c r="G99" s="158">
        <f t="shared" si="11"/>
        <v>1526126.0884079863</v>
      </c>
      <c r="H99" s="158">
        <f t="shared" si="11"/>
        <v>1507905.2073876807</v>
      </c>
      <c r="I99" s="158">
        <f t="shared" si="11"/>
        <v>926846.16882456804</v>
      </c>
      <c r="J99" s="158">
        <f t="shared" si="11"/>
        <v>1620272.7005699638</v>
      </c>
      <c r="K99" s="158">
        <f t="shared" si="11"/>
        <v>1661353.8771794427</v>
      </c>
      <c r="L99" s="158">
        <f t="shared" si="11"/>
        <v>1701024.9537450792</v>
      </c>
      <c r="M99" s="158">
        <f t="shared" si="11"/>
        <v>1691594.9900066617</v>
      </c>
      <c r="N99" s="146"/>
      <c r="O99" s="146"/>
      <c r="P99" s="146"/>
      <c r="Q99" s="146"/>
      <c r="R99" s="146"/>
      <c r="S99" s="146"/>
      <c r="T99" s="146"/>
    </row>
    <row r="100" spans="1:20" x14ac:dyDescent="0.2">
      <c r="A100" s="146"/>
      <c r="B100" s="188">
        <v>114</v>
      </c>
      <c r="C100" s="166">
        <v>0</v>
      </c>
      <c r="D100" s="166">
        <v>0</v>
      </c>
      <c r="E100" s="166">
        <v>0</v>
      </c>
      <c r="F100" s="166">
        <v>0</v>
      </c>
      <c r="G100" s="158">
        <f t="shared" si="11"/>
        <v>0</v>
      </c>
      <c r="H100" s="158">
        <f t="shared" si="11"/>
        <v>0</v>
      </c>
      <c r="I100" s="158">
        <f t="shared" si="11"/>
        <v>0</v>
      </c>
      <c r="J100" s="158">
        <f t="shared" si="11"/>
        <v>0</v>
      </c>
      <c r="K100" s="158">
        <f t="shared" si="11"/>
        <v>0</v>
      </c>
      <c r="L100" s="158">
        <f t="shared" si="11"/>
        <v>0</v>
      </c>
      <c r="M100" s="158">
        <f t="shared" si="11"/>
        <v>0</v>
      </c>
      <c r="N100" s="146"/>
      <c r="O100" s="146"/>
      <c r="P100" s="146"/>
      <c r="Q100" s="146"/>
      <c r="R100" s="146"/>
      <c r="S100" s="146"/>
      <c r="T100" s="146"/>
    </row>
    <row r="101" spans="1:20" x14ac:dyDescent="0.2">
      <c r="A101" s="146"/>
      <c r="B101" s="188">
        <v>115</v>
      </c>
      <c r="C101" s="166">
        <v>0</v>
      </c>
      <c r="D101" s="166">
        <v>0</v>
      </c>
      <c r="E101" s="166">
        <v>0</v>
      </c>
      <c r="F101" s="166">
        <v>0</v>
      </c>
      <c r="G101" s="158">
        <f t="shared" si="11"/>
        <v>0</v>
      </c>
      <c r="H101" s="158">
        <f t="shared" si="11"/>
        <v>0</v>
      </c>
      <c r="I101" s="158">
        <f t="shared" si="11"/>
        <v>0</v>
      </c>
      <c r="J101" s="158">
        <f t="shared" si="11"/>
        <v>0</v>
      </c>
      <c r="K101" s="158">
        <f t="shared" si="11"/>
        <v>0</v>
      </c>
      <c r="L101" s="158">
        <f t="shared" si="11"/>
        <v>0</v>
      </c>
      <c r="M101" s="158">
        <f t="shared" si="11"/>
        <v>0</v>
      </c>
      <c r="N101" s="146"/>
      <c r="O101" s="146"/>
      <c r="P101" s="146"/>
      <c r="Q101" s="146"/>
      <c r="R101" s="146"/>
      <c r="S101" s="146"/>
      <c r="T101" s="146"/>
    </row>
    <row r="102" spans="1:20" x14ac:dyDescent="0.2">
      <c r="A102" s="146"/>
      <c r="B102" s="188">
        <v>116</v>
      </c>
      <c r="C102" s="166">
        <v>32197296.433983408</v>
      </c>
      <c r="D102" s="166">
        <v>26855534.695910353</v>
      </c>
      <c r="E102" s="166">
        <v>27935164.243288372</v>
      </c>
      <c r="F102" s="166">
        <v>25396467.722906567</v>
      </c>
      <c r="G102" s="158">
        <f t="shared" si="11"/>
        <v>26442955.188225836</v>
      </c>
      <c r="H102" s="158">
        <f t="shared" si="11"/>
        <v>26180998.570731752</v>
      </c>
      <c r="I102" s="158">
        <f t="shared" si="11"/>
        <v>15310116.70905086</v>
      </c>
      <c r="J102" s="158">
        <f t="shared" si="11"/>
        <v>23410878.92499388</v>
      </c>
      <c r="K102" s="158">
        <f t="shared" si="11"/>
        <v>21804763.116650693</v>
      </c>
      <c r="L102" s="158">
        <f t="shared" si="11"/>
        <v>20868253.3976328</v>
      </c>
      <c r="M102" s="158">
        <f t="shared" si="11"/>
        <v>20799777.901158534</v>
      </c>
      <c r="N102" s="146"/>
      <c r="O102" s="146"/>
      <c r="P102" s="146"/>
      <c r="Q102" s="146"/>
      <c r="R102" s="146"/>
      <c r="S102" s="146"/>
      <c r="T102" s="146"/>
    </row>
    <row r="103" spans="1:20" x14ac:dyDescent="0.2">
      <c r="A103" s="146"/>
      <c r="B103" s="188">
        <v>118</v>
      </c>
      <c r="C103" s="166">
        <v>4835449.0821437389</v>
      </c>
      <c r="D103" s="166">
        <v>10517829.45375018</v>
      </c>
      <c r="E103" s="166">
        <v>21726262.058888458</v>
      </c>
      <c r="F103" s="166">
        <v>25679696.568863347</v>
      </c>
      <c r="G103" s="158">
        <f t="shared" si="11"/>
        <v>23549255.318518218</v>
      </c>
      <c r="H103" s="158">
        <f t="shared" si="11"/>
        <v>23549255.318518218</v>
      </c>
      <c r="I103" s="158">
        <f t="shared" si="11"/>
        <v>14021762.901928734</v>
      </c>
      <c r="J103" s="158">
        <f t="shared" si="11"/>
        <v>25009346.868782651</v>
      </c>
      <c r="K103" s="158">
        <f t="shared" si="11"/>
        <v>25431954.56838531</v>
      </c>
      <c r="L103" s="158">
        <f t="shared" si="11"/>
        <v>25541014.428270292</v>
      </c>
      <c r="M103" s="158">
        <f t="shared" si="11"/>
        <v>25422322.352169782</v>
      </c>
      <c r="N103" s="146"/>
      <c r="O103" s="146"/>
      <c r="P103" s="146"/>
      <c r="Q103" s="146"/>
      <c r="R103" s="146"/>
      <c r="S103" s="146"/>
      <c r="T103" s="146"/>
    </row>
    <row r="104" spans="1:20" x14ac:dyDescent="0.2">
      <c r="A104" s="146"/>
      <c r="B104" s="71" t="s">
        <v>36</v>
      </c>
      <c r="C104" s="163">
        <f t="shared" ref="C104:M104" si="12">SUM(C91:C103)</f>
        <v>66082523.207042724</v>
      </c>
      <c r="D104" s="163">
        <f t="shared" si="12"/>
        <v>79942452.865141556</v>
      </c>
      <c r="E104" s="163">
        <f t="shared" si="12"/>
        <v>105428114.20683548</v>
      </c>
      <c r="F104" s="163">
        <f t="shared" si="12"/>
        <v>120008274.95163392</v>
      </c>
      <c r="G104" s="163">
        <f t="shared" si="12"/>
        <v>105012326.01919752</v>
      </c>
      <c r="H104" s="163">
        <f t="shared" si="12"/>
        <v>104563279.13856548</v>
      </c>
      <c r="I104" s="163">
        <f t="shared" si="12"/>
        <v>62487770.507249519</v>
      </c>
      <c r="J104" s="163">
        <f t="shared" si="12"/>
        <v>107858789.68868573</v>
      </c>
      <c r="K104" s="163">
        <f t="shared" si="12"/>
        <v>107860535.25342774</v>
      </c>
      <c r="L104" s="163">
        <f t="shared" si="12"/>
        <v>107860832.86894099</v>
      </c>
      <c r="M104" s="163">
        <f t="shared" si="12"/>
        <v>107860197.08637738</v>
      </c>
      <c r="N104" s="146"/>
      <c r="O104" s="146"/>
      <c r="P104" s="146"/>
      <c r="Q104" s="146"/>
      <c r="R104" s="146"/>
      <c r="S104" s="146"/>
      <c r="T104" s="146"/>
    </row>
    <row r="105" spans="1:20" x14ac:dyDescent="0.2">
      <c r="A105" s="146"/>
      <c r="B105" s="146" t="s">
        <v>231</v>
      </c>
      <c r="C105" s="183">
        <f>C21-C42+C83-C104</f>
        <v>0</v>
      </c>
      <c r="D105" s="183">
        <f t="shared" ref="D105:M105" si="13">D21-D42+D83-D104</f>
        <v>0</v>
      </c>
      <c r="E105" s="183">
        <f t="shared" si="13"/>
        <v>0</v>
      </c>
      <c r="F105" s="183">
        <f t="shared" si="13"/>
        <v>0</v>
      </c>
      <c r="G105" s="183">
        <f t="shared" si="13"/>
        <v>0</v>
      </c>
      <c r="H105" s="183">
        <f t="shared" si="13"/>
        <v>0</v>
      </c>
      <c r="I105" s="183">
        <f t="shared" si="13"/>
        <v>0</v>
      </c>
      <c r="J105" s="183">
        <f t="shared" si="13"/>
        <v>0</v>
      </c>
      <c r="K105" s="183">
        <f t="shared" si="13"/>
        <v>0</v>
      </c>
      <c r="L105" s="183">
        <f t="shared" si="13"/>
        <v>0</v>
      </c>
      <c r="M105" s="183">
        <f t="shared" si="13"/>
        <v>0</v>
      </c>
      <c r="N105" s="146"/>
      <c r="O105" s="146"/>
      <c r="P105" s="146"/>
      <c r="Q105" s="146"/>
      <c r="R105" s="146"/>
      <c r="S105" s="146"/>
      <c r="T105" s="146"/>
    </row>
    <row r="106" spans="1:20" x14ac:dyDescent="0.2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</row>
    <row r="107" spans="1:20" x14ac:dyDescent="0.2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</row>
    <row r="108" spans="1:20" ht="15.75" x14ac:dyDescent="0.25">
      <c r="A108" s="28"/>
      <c r="B108" s="28" t="s">
        <v>309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146"/>
      <c r="R108" s="146"/>
      <c r="S108" s="146"/>
      <c r="T108" s="146"/>
    </row>
    <row r="109" spans="1:20" hidden="1" x14ac:dyDescent="0.2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</row>
    <row r="110" spans="1:20" hidden="1" x14ac:dyDescent="0.2"/>
    <row r="111" spans="1:20" hidden="1" x14ac:dyDescent="0.2"/>
    <row r="112" spans="1:20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</sheetData>
  <mergeCells count="5">
    <mergeCell ref="C6:M6"/>
    <mergeCell ref="C27:M27"/>
    <mergeCell ref="C48:M48"/>
    <mergeCell ref="C68:M68"/>
    <mergeCell ref="C89:M89"/>
  </mergeCells>
  <hyperlinks>
    <hyperlink ref="M1" location="Menu!A1" display="Menu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theme="1"/>
  </sheetPr>
  <dimension ref="A1:R54"/>
  <sheetViews>
    <sheetView workbookViewId="0"/>
  </sheetViews>
  <sheetFormatPr defaultColWidth="0" defaultRowHeight="12.75" zeroHeight="1" x14ac:dyDescent="0.2"/>
  <cols>
    <col min="1" max="1" width="3.7109375" customWidth="1"/>
    <col min="2" max="2" width="15.85546875" customWidth="1"/>
    <col min="3" max="3" width="81.5703125" customWidth="1"/>
    <col min="4" max="4" width="6.28515625" bestFit="1" customWidth="1"/>
    <col min="5" max="5" width="11.28515625" bestFit="1" customWidth="1"/>
    <col min="6" max="6" width="12.28515625" bestFit="1" customWidth="1"/>
    <col min="7" max="15" width="12.28515625" customWidth="1"/>
    <col min="16" max="16" width="3.7109375" style="130" customWidth="1"/>
    <col min="17" max="17" width="3.7109375" hidden="1" customWidth="1"/>
    <col min="18" max="16384" width="9.140625" hidden="1"/>
  </cols>
  <sheetData>
    <row r="1" spans="1:18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0" t="s">
        <v>39</v>
      </c>
      <c r="P1" s="26"/>
      <c r="Q1" s="26"/>
      <c r="R1" s="26"/>
    </row>
    <row r="2" spans="1:18" ht="15.75" x14ac:dyDescent="0.25">
      <c r="A2" s="173" t="str">
        <f ca="1">RIGHT(CELL("filename", $A$1), LEN(CELL("filename", $A$1)) - SEARCH("]", CELL("filename", $A$1)))</f>
        <v>Expenditure &amp; Volume Output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8" t="s">
        <v>82</v>
      </c>
      <c r="O2" s="172" t="str">
        <f ca="1">IF(SUM(E23:P23,E43:P43)=0,"OK","Check!")</f>
        <v>OK</v>
      </c>
      <c r="P2" s="28"/>
      <c r="Q2" s="28"/>
      <c r="R2" s="28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3"/>
      <c r="B4" s="34" t="s">
        <v>273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3"/>
      <c r="B5" s="49"/>
      <c r="C5" s="3"/>
      <c r="D5" s="3"/>
      <c r="E5" s="273" t="str">
        <f>"$ "&amp;Inflation!$C$4</f>
        <v>$ 2021</v>
      </c>
      <c r="F5" s="274"/>
      <c r="G5" s="274"/>
      <c r="H5" s="274"/>
      <c r="I5" s="274"/>
      <c r="J5" s="274"/>
      <c r="K5" s="274"/>
      <c r="L5" s="274"/>
      <c r="M5" s="274"/>
      <c r="N5" s="274"/>
      <c r="O5" s="275"/>
      <c r="P5" s="3"/>
      <c r="Q5" s="3"/>
      <c r="R5" s="3"/>
    </row>
    <row r="6" spans="1:18" ht="25.5" customHeight="1" x14ac:dyDescent="0.2">
      <c r="A6" s="3"/>
      <c r="B6" s="79" t="s">
        <v>32</v>
      </c>
      <c r="C6" s="83" t="s">
        <v>33</v>
      </c>
      <c r="D6" s="80" t="s">
        <v>81</v>
      </c>
      <c r="E6" s="2" t="s">
        <v>323</v>
      </c>
      <c r="F6" s="2" t="s">
        <v>324</v>
      </c>
      <c r="G6" s="2" t="s">
        <v>325</v>
      </c>
      <c r="H6" s="2" t="s">
        <v>326</v>
      </c>
      <c r="I6" s="136" t="s">
        <v>315</v>
      </c>
      <c r="J6" s="136" t="s">
        <v>316</v>
      </c>
      <c r="K6" s="136" t="s">
        <v>317</v>
      </c>
      <c r="L6" s="136" t="s">
        <v>318</v>
      </c>
      <c r="M6" s="136" t="s">
        <v>319</v>
      </c>
      <c r="N6" s="136" t="s">
        <v>320</v>
      </c>
      <c r="O6" s="136" t="s">
        <v>321</v>
      </c>
      <c r="P6" s="3"/>
      <c r="Q6" s="3"/>
      <c r="R6" s="3"/>
    </row>
    <row r="7" spans="1:18" x14ac:dyDescent="0.2">
      <c r="A7" s="3"/>
      <c r="B7" s="278" t="s">
        <v>44</v>
      </c>
      <c r="C7" s="81" t="s">
        <v>198</v>
      </c>
      <c r="D7" s="85" t="s">
        <v>46</v>
      </c>
      <c r="E7" s="159">
        <f>'Historical Expenditure-Volumes'!D52*Inflation!G$10</f>
        <v>2265594.96128423</v>
      </c>
      <c r="F7" s="159">
        <f>'Historical Expenditure-Volumes'!E52*Inflation!H$10</f>
        <v>0</v>
      </c>
      <c r="G7" s="159">
        <f>'Historical Expenditure-Volumes'!F52*Inflation!I$10</f>
        <v>0</v>
      </c>
      <c r="H7" s="159">
        <f>'Historical Expenditure-Volumes'!G52*Inflation!J$10</f>
        <v>0</v>
      </c>
      <c r="I7" s="159">
        <f ca="1">'Forecast Expenditure-Volumes'!S160</f>
        <v>0</v>
      </c>
      <c r="J7" s="159">
        <f ca="1">'Forecast Expenditure-Volumes'!T160</f>
        <v>0</v>
      </c>
      <c r="K7" s="159">
        <f ca="1">'Forecast Expenditure-Volumes'!U160</f>
        <v>0</v>
      </c>
      <c r="L7" s="159">
        <f ca="1">'Forecast Expenditure-Volumes'!V160</f>
        <v>0</v>
      </c>
      <c r="M7" s="159">
        <f ca="1">'Forecast Expenditure-Volumes'!W160</f>
        <v>0</v>
      </c>
      <c r="N7" s="159">
        <f ca="1">'Forecast Expenditure-Volumes'!X160</f>
        <v>0</v>
      </c>
      <c r="O7" s="159">
        <f ca="1">'Forecast Expenditure-Volumes'!Y160</f>
        <v>0</v>
      </c>
      <c r="P7" s="3"/>
      <c r="Q7" s="3"/>
      <c r="R7" s="3"/>
    </row>
    <row r="8" spans="1:18" x14ac:dyDescent="0.2">
      <c r="A8" s="3"/>
      <c r="B8" s="278"/>
      <c r="C8" s="81" t="s">
        <v>199</v>
      </c>
      <c r="D8" s="85" t="s">
        <v>48</v>
      </c>
      <c r="E8" s="159">
        <f>'Historical Expenditure-Volumes'!D53*Inflation!G$10</f>
        <v>17350401.90273843</v>
      </c>
      <c r="F8" s="159">
        <f>'Historical Expenditure-Volumes'!E53*Inflation!H$10</f>
        <v>16397929.435348839</v>
      </c>
      <c r="G8" s="159">
        <f>'Historical Expenditure-Volumes'!F53*Inflation!I$10</f>
        <v>16815036.053509392</v>
      </c>
      <c r="H8" s="159">
        <f>'Historical Expenditure-Volumes'!G53*Inflation!J$10</f>
        <v>18589106.988795094</v>
      </c>
      <c r="I8" s="159">
        <f ca="1">'Forecast Expenditure-Volumes'!S161</f>
        <v>17288314.841694683</v>
      </c>
      <c r="J8" s="159">
        <f ca="1">'Forecast Expenditure-Volumes'!T161</f>
        <v>17306862.383254398</v>
      </c>
      <c r="K8" s="159">
        <f ca="1">'Forecast Expenditure-Volumes'!U161</f>
        <v>17921067.620879874</v>
      </c>
      <c r="L8" s="159">
        <f ca="1">'Forecast Expenditure-Volumes'!V161</f>
        <v>18440155.218068786</v>
      </c>
      <c r="M8" s="159">
        <f ca="1">'Forecast Expenditure-Volumes'!W161</f>
        <v>18524283.240200087</v>
      </c>
      <c r="N8" s="159">
        <f ca="1">'Forecast Expenditure-Volumes'!X161</f>
        <v>18763957.471547358</v>
      </c>
      <c r="O8" s="159">
        <f ca="1">'Forecast Expenditure-Volumes'!Y161</f>
        <v>19107613.560887054</v>
      </c>
      <c r="P8" s="3"/>
      <c r="Q8" s="3"/>
      <c r="R8" s="3"/>
    </row>
    <row r="9" spans="1:18" x14ac:dyDescent="0.2">
      <c r="A9" s="3"/>
      <c r="B9" s="278"/>
      <c r="C9" s="81" t="s">
        <v>200</v>
      </c>
      <c r="D9" s="85" t="s">
        <v>50</v>
      </c>
      <c r="E9" s="159">
        <f>'Historical Expenditure-Volumes'!D54*Inflation!G$10</f>
        <v>5736857.6411709152</v>
      </c>
      <c r="F9" s="159">
        <f>'Historical Expenditure-Volumes'!E54*Inflation!H$10</f>
        <v>5104380.0939534884</v>
      </c>
      <c r="G9" s="159">
        <f>'Historical Expenditure-Volumes'!F54*Inflation!I$10</f>
        <v>5746212.0765528549</v>
      </c>
      <c r="H9" s="159">
        <f>'Historical Expenditure-Volumes'!G54*Inflation!J$10</f>
        <v>6452621.2861756971</v>
      </c>
      <c r="I9" s="159">
        <f ca="1">'Forecast Expenditure-Volumes'!S162</f>
        <v>5760232.357146414</v>
      </c>
      <c r="J9" s="159">
        <f ca="1">'Forecast Expenditure-Volumes'!T162</f>
        <v>5757648.4229431963</v>
      </c>
      <c r="K9" s="159">
        <f ca="1">'Forecast Expenditure-Volumes'!U162</f>
        <v>5953221.0587095097</v>
      </c>
      <c r="L9" s="159">
        <f ca="1">'Forecast Expenditure-Volumes'!V162</f>
        <v>6089969.2482856289</v>
      </c>
      <c r="M9" s="159">
        <f ca="1">'Forecast Expenditure-Volumes'!W162</f>
        <v>6118618.5864232071</v>
      </c>
      <c r="N9" s="159">
        <f ca="1">'Forecast Expenditure-Volumes'!X162</f>
        <v>6209629.7555545019</v>
      </c>
      <c r="O9" s="159">
        <f ca="1">'Forecast Expenditure-Volumes'!Y162</f>
        <v>6320860.8960870374</v>
      </c>
      <c r="P9" s="3"/>
      <c r="Q9" s="3"/>
      <c r="R9" s="3"/>
    </row>
    <row r="10" spans="1:18" x14ac:dyDescent="0.2">
      <c r="A10" s="3"/>
      <c r="B10" s="276" t="s">
        <v>176</v>
      </c>
      <c r="C10" s="82" t="s">
        <v>198</v>
      </c>
      <c r="D10" s="86" t="s">
        <v>51</v>
      </c>
      <c r="E10" s="159">
        <f>'Historical Expenditure-Volumes'!D55*Inflation!G$10</f>
        <v>368817.5930122757</v>
      </c>
      <c r="F10" s="159">
        <f>'Historical Expenditure-Volumes'!E55*Inflation!H$10</f>
        <v>0</v>
      </c>
      <c r="G10" s="159">
        <f>'Historical Expenditure-Volumes'!F55*Inflation!I$10</f>
        <v>0</v>
      </c>
      <c r="H10" s="159">
        <f>'Historical Expenditure-Volumes'!G55*Inflation!J$10</f>
        <v>0</v>
      </c>
      <c r="I10" s="159">
        <f ca="1">'Forecast Expenditure-Volumes'!S163</f>
        <v>0</v>
      </c>
      <c r="J10" s="159">
        <f ca="1">'Forecast Expenditure-Volumes'!T163</f>
        <v>0</v>
      </c>
      <c r="K10" s="159">
        <f ca="1">'Forecast Expenditure-Volumes'!U163</f>
        <v>0</v>
      </c>
      <c r="L10" s="159">
        <f ca="1">'Forecast Expenditure-Volumes'!V163</f>
        <v>0</v>
      </c>
      <c r="M10" s="159">
        <f ca="1">'Forecast Expenditure-Volumes'!W163</f>
        <v>0</v>
      </c>
      <c r="N10" s="159">
        <f ca="1">'Forecast Expenditure-Volumes'!X163</f>
        <v>0</v>
      </c>
      <c r="O10" s="159">
        <f ca="1">'Forecast Expenditure-Volumes'!Y163</f>
        <v>0</v>
      </c>
      <c r="P10" s="3"/>
      <c r="Q10" s="3"/>
      <c r="R10" s="3"/>
    </row>
    <row r="11" spans="1:18" x14ac:dyDescent="0.2">
      <c r="A11" s="3"/>
      <c r="B11" s="276"/>
      <c r="C11" s="82" t="s">
        <v>201</v>
      </c>
      <c r="D11" s="86" t="s">
        <v>53</v>
      </c>
      <c r="E11" s="159">
        <f>'Historical Expenditure-Volumes'!D56*Inflation!G$10</f>
        <v>0</v>
      </c>
      <c r="F11" s="159">
        <f>'Historical Expenditure-Volumes'!E56*Inflation!H$10</f>
        <v>0</v>
      </c>
      <c r="G11" s="159">
        <f>'Historical Expenditure-Volumes'!F56*Inflation!I$10</f>
        <v>0</v>
      </c>
      <c r="H11" s="159">
        <f>'Historical Expenditure-Volumes'!G56*Inflation!J$10</f>
        <v>0</v>
      </c>
      <c r="I11" s="159">
        <f ca="1">'Forecast Expenditure-Volumes'!S164</f>
        <v>0</v>
      </c>
      <c r="J11" s="159">
        <f ca="1">'Forecast Expenditure-Volumes'!T164</f>
        <v>0</v>
      </c>
      <c r="K11" s="159">
        <f ca="1">'Forecast Expenditure-Volumes'!U164</f>
        <v>0</v>
      </c>
      <c r="L11" s="159">
        <f ca="1">'Forecast Expenditure-Volumes'!V164</f>
        <v>0</v>
      </c>
      <c r="M11" s="159">
        <f ca="1">'Forecast Expenditure-Volumes'!W164</f>
        <v>0</v>
      </c>
      <c r="N11" s="159">
        <f ca="1">'Forecast Expenditure-Volumes'!X164</f>
        <v>0</v>
      </c>
      <c r="O11" s="159">
        <f ca="1">'Forecast Expenditure-Volumes'!Y164</f>
        <v>0</v>
      </c>
      <c r="P11" s="3"/>
      <c r="Q11" s="3"/>
      <c r="R11" s="3"/>
    </row>
    <row r="12" spans="1:18" x14ac:dyDescent="0.2">
      <c r="A12" s="3"/>
      <c r="B12" s="276"/>
      <c r="C12" s="82" t="s">
        <v>202</v>
      </c>
      <c r="D12" s="86" t="s">
        <v>55</v>
      </c>
      <c r="E12" s="159">
        <f>'Historical Expenditure-Volumes'!D57*Inflation!G$10</f>
        <v>23741346.49102927</v>
      </c>
      <c r="F12" s="159">
        <f>'Historical Expenditure-Volumes'!E57*Inflation!H$10</f>
        <v>25580488.509767443</v>
      </c>
      <c r="G12" s="159">
        <f>'Historical Expenditure-Volumes'!F57*Inflation!I$10</f>
        <v>25737236.673915658</v>
      </c>
      <c r="H12" s="159">
        <f>'Historical Expenditure-Volumes'!G57*Inflation!J$10</f>
        <v>25568962.320530921</v>
      </c>
      <c r="I12" s="159">
        <f ca="1">'Forecast Expenditure-Volumes'!S165</f>
        <v>25120762.679966211</v>
      </c>
      <c r="J12" s="159">
        <f ca="1">'Forecast Expenditure-Volumes'!T165</f>
        <v>24309143.413803726</v>
      </c>
      <c r="K12" s="159">
        <f ca="1">'Forecast Expenditure-Volumes'!U165</f>
        <v>24707457.343411032</v>
      </c>
      <c r="L12" s="159">
        <f ca="1">'Forecast Expenditure-Volumes'!V165</f>
        <v>23381455.957049791</v>
      </c>
      <c r="M12" s="159">
        <f ca="1">'Forecast Expenditure-Volumes'!W165</f>
        <v>23633242.104569085</v>
      </c>
      <c r="N12" s="159">
        <f ca="1">'Forecast Expenditure-Volumes'!X165</f>
        <v>24467043.596548695</v>
      </c>
      <c r="O12" s="159">
        <f ca="1">'Forecast Expenditure-Volumes'!Y165</f>
        <v>24451776.775069721</v>
      </c>
      <c r="P12" s="3"/>
      <c r="Q12" s="3"/>
      <c r="R12" s="3"/>
    </row>
    <row r="13" spans="1:18" x14ac:dyDescent="0.2">
      <c r="A13" s="3"/>
      <c r="B13" s="276"/>
      <c r="C13" s="82" t="s">
        <v>203</v>
      </c>
      <c r="D13" s="86" t="s">
        <v>57</v>
      </c>
      <c r="E13" s="159">
        <f>'Historical Expenditure-Volumes'!D58*Inflation!G$10</f>
        <v>1296855.0925401321</v>
      </c>
      <c r="F13" s="159">
        <f>'Historical Expenditure-Volumes'!E58*Inflation!H$10</f>
        <v>1682441.964651163</v>
      </c>
      <c r="G13" s="159">
        <f>'Historical Expenditure-Volumes'!F58*Inflation!I$10</f>
        <v>1380397.0440147328</v>
      </c>
      <c r="H13" s="159">
        <f>'Historical Expenditure-Volumes'!G58*Inflation!J$10</f>
        <v>1698334.2494526331</v>
      </c>
      <c r="I13" s="159">
        <f ca="1">'Forecast Expenditure-Volumes'!S166</f>
        <v>3413275.6427150993</v>
      </c>
      <c r="J13" s="159">
        <f ca="1">'Forecast Expenditure-Volumes'!T166</f>
        <v>3413275.6427150993</v>
      </c>
      <c r="K13" s="159">
        <f ca="1">'Forecast Expenditure-Volumes'!U166</f>
        <v>3413275.6427150993</v>
      </c>
      <c r="L13" s="159">
        <f ca="1">'Forecast Expenditure-Volumes'!V166</f>
        <v>3413275.6427150993</v>
      </c>
      <c r="M13" s="159">
        <f ca="1">'Forecast Expenditure-Volumes'!W166</f>
        <v>3413275.6427150993</v>
      </c>
      <c r="N13" s="159">
        <f ca="1">'Forecast Expenditure-Volumes'!X166</f>
        <v>3413275.6427150993</v>
      </c>
      <c r="O13" s="159">
        <f ca="1">'Forecast Expenditure-Volumes'!Y166</f>
        <v>3413275.6427150993</v>
      </c>
      <c r="P13" s="3"/>
      <c r="Q13" s="3"/>
      <c r="R13" s="3"/>
    </row>
    <row r="14" spans="1:18" x14ac:dyDescent="0.2">
      <c r="A14" s="3"/>
      <c r="B14" s="276"/>
      <c r="C14" s="82" t="s">
        <v>204</v>
      </c>
      <c r="D14" s="86" t="s">
        <v>59</v>
      </c>
      <c r="E14" s="159">
        <f>'Historical Expenditure-Volumes'!D59*Inflation!G$10</f>
        <v>0</v>
      </c>
      <c r="F14" s="159">
        <f>'Historical Expenditure-Volumes'!E59*Inflation!H$10</f>
        <v>3816867.3395348839</v>
      </c>
      <c r="G14" s="159">
        <f>'Historical Expenditure-Volumes'!F59*Inflation!I$10</f>
        <v>3778206.6206261511</v>
      </c>
      <c r="H14" s="159">
        <f>'Historical Expenditure-Volumes'!G59*Inflation!J$10</f>
        <v>0</v>
      </c>
      <c r="I14" s="159">
        <f ca="1">'Forecast Expenditure-Volumes'!S167</f>
        <v>0</v>
      </c>
      <c r="J14" s="159">
        <f ca="1">'Forecast Expenditure-Volumes'!T167</f>
        <v>0</v>
      </c>
      <c r="K14" s="159">
        <f ca="1">'Forecast Expenditure-Volumes'!U167</f>
        <v>0</v>
      </c>
      <c r="L14" s="159">
        <f ca="1">'Forecast Expenditure-Volumes'!V167</f>
        <v>0</v>
      </c>
      <c r="M14" s="159">
        <f ca="1">'Forecast Expenditure-Volumes'!W167</f>
        <v>0</v>
      </c>
      <c r="N14" s="159">
        <f ca="1">'Forecast Expenditure-Volumes'!X167</f>
        <v>0</v>
      </c>
      <c r="O14" s="159">
        <f ca="1">'Forecast Expenditure-Volumes'!Y167</f>
        <v>0</v>
      </c>
      <c r="P14" s="3"/>
      <c r="Q14" s="3"/>
      <c r="R14" s="3"/>
    </row>
    <row r="15" spans="1:18" x14ac:dyDescent="0.2">
      <c r="A15" s="3"/>
      <c r="B15" s="278" t="s">
        <v>60</v>
      </c>
      <c r="C15" s="81" t="s">
        <v>199</v>
      </c>
      <c r="D15" s="85" t="s">
        <v>61</v>
      </c>
      <c r="E15" s="159">
        <f>'Historical Expenditure-Volumes'!D60*Inflation!G$10</f>
        <v>0</v>
      </c>
      <c r="F15" s="159">
        <f>'Historical Expenditure-Volumes'!E60*Inflation!H$10</f>
        <v>0</v>
      </c>
      <c r="G15" s="159">
        <f>'Historical Expenditure-Volumes'!F60*Inflation!I$10</f>
        <v>0</v>
      </c>
      <c r="H15" s="159">
        <f>'Historical Expenditure-Volumes'!G60*Inflation!J$10</f>
        <v>0</v>
      </c>
      <c r="I15" s="159">
        <f ca="1">'Forecast Expenditure-Volumes'!S168</f>
        <v>0</v>
      </c>
      <c r="J15" s="159">
        <f ca="1">'Forecast Expenditure-Volumes'!T168</f>
        <v>0</v>
      </c>
      <c r="K15" s="159">
        <f ca="1">'Forecast Expenditure-Volumes'!U168</f>
        <v>0</v>
      </c>
      <c r="L15" s="159">
        <f ca="1">'Forecast Expenditure-Volumes'!V168</f>
        <v>0</v>
      </c>
      <c r="M15" s="159">
        <f ca="1">'Forecast Expenditure-Volumes'!W168</f>
        <v>0</v>
      </c>
      <c r="N15" s="159">
        <f ca="1">'Forecast Expenditure-Volumes'!X168</f>
        <v>0</v>
      </c>
      <c r="O15" s="159">
        <f ca="1">'Forecast Expenditure-Volumes'!Y168</f>
        <v>0</v>
      </c>
      <c r="P15" s="3"/>
      <c r="Q15" s="3"/>
      <c r="R15" s="3"/>
    </row>
    <row r="16" spans="1:18" x14ac:dyDescent="0.2">
      <c r="A16" s="3"/>
      <c r="B16" s="278"/>
      <c r="C16" s="81" t="s">
        <v>209</v>
      </c>
      <c r="D16" s="85" t="s">
        <v>63</v>
      </c>
      <c r="E16" s="159">
        <f>'Historical Expenditure-Volumes'!D61*Inflation!G$10</f>
        <v>0</v>
      </c>
      <c r="F16" s="159">
        <f>'Historical Expenditure-Volumes'!E61*Inflation!H$10</f>
        <v>0</v>
      </c>
      <c r="G16" s="159">
        <f>'Historical Expenditure-Volumes'!F61*Inflation!I$10</f>
        <v>0</v>
      </c>
      <c r="H16" s="159">
        <f>'Historical Expenditure-Volumes'!G61*Inflation!J$10</f>
        <v>0</v>
      </c>
      <c r="I16" s="159">
        <f ca="1">'Forecast Expenditure-Volumes'!S169</f>
        <v>0</v>
      </c>
      <c r="J16" s="159">
        <f ca="1">'Forecast Expenditure-Volumes'!T169</f>
        <v>0</v>
      </c>
      <c r="K16" s="159">
        <f ca="1">'Forecast Expenditure-Volumes'!U169</f>
        <v>0</v>
      </c>
      <c r="L16" s="159">
        <f ca="1">'Forecast Expenditure-Volumes'!V169</f>
        <v>0</v>
      </c>
      <c r="M16" s="159">
        <f ca="1">'Forecast Expenditure-Volumes'!W169</f>
        <v>0</v>
      </c>
      <c r="N16" s="159">
        <f ca="1">'Forecast Expenditure-Volumes'!X169</f>
        <v>0</v>
      </c>
      <c r="O16" s="159">
        <f ca="1">'Forecast Expenditure-Volumes'!Y169</f>
        <v>0</v>
      </c>
      <c r="P16" s="3"/>
      <c r="Q16" s="3"/>
      <c r="R16" s="3"/>
    </row>
    <row r="17" spans="1:18" x14ac:dyDescent="0.2">
      <c r="A17" s="3"/>
      <c r="B17" s="278"/>
      <c r="C17" s="81" t="s">
        <v>206</v>
      </c>
      <c r="D17" s="85" t="s">
        <v>65</v>
      </c>
      <c r="E17" s="159">
        <f>'Historical Expenditure-Volumes'!D62*Inflation!G$10</f>
        <v>13761349.839471199</v>
      </c>
      <c r="F17" s="159">
        <f>'Historical Expenditure-Volumes'!E62*Inflation!H$10</f>
        <v>14599151.273488373</v>
      </c>
      <c r="G17" s="159">
        <f>'Historical Expenditure-Volumes'!F62*Inflation!I$10</f>
        <v>17204183.757182322</v>
      </c>
      <c r="H17" s="159">
        <f>'Historical Expenditure-Volumes'!G62*Inflation!J$10</f>
        <v>18797990.770245604</v>
      </c>
      <c r="I17" s="159">
        <f ca="1">'Forecast Expenditure-Volumes'!S170</f>
        <v>16090668.886958376</v>
      </c>
      <c r="J17" s="159">
        <f ca="1">'Forecast Expenditure-Volumes'!T170</f>
        <v>16114048.339410769</v>
      </c>
      <c r="K17" s="159">
        <f ca="1">'Forecast Expenditure-Volumes'!U170</f>
        <v>16692036.699516948</v>
      </c>
      <c r="L17" s="159">
        <f ca="1">'Forecast Expenditure-Volumes'!V170</f>
        <v>17200434.296336304</v>
      </c>
      <c r="M17" s="159">
        <f ca="1">'Forecast Expenditure-Volumes'!W170</f>
        <v>17278302.303838145</v>
      </c>
      <c r="N17" s="159">
        <f ca="1">'Forecast Expenditure-Volumes'!X170</f>
        <v>17493587.336945876</v>
      </c>
      <c r="O17" s="159">
        <f ca="1">'Forecast Expenditure-Volumes'!Y170</f>
        <v>17815719.332494948</v>
      </c>
      <c r="P17" s="3"/>
      <c r="Q17" s="3"/>
      <c r="R17" s="3"/>
    </row>
    <row r="18" spans="1:18" x14ac:dyDescent="0.2">
      <c r="A18" s="3"/>
      <c r="B18" s="277" t="s">
        <v>66</v>
      </c>
      <c r="C18" s="82" t="s">
        <v>210</v>
      </c>
      <c r="D18" s="87" t="s">
        <v>67</v>
      </c>
      <c r="E18" s="159">
        <f>'Historical Expenditure-Volumes'!D63*Inflation!G$10</f>
        <v>0</v>
      </c>
      <c r="F18" s="159">
        <f>'Historical Expenditure-Volumes'!E63*Inflation!H$10</f>
        <v>0</v>
      </c>
      <c r="G18" s="159">
        <f>'Historical Expenditure-Volumes'!F63*Inflation!I$10</f>
        <v>0</v>
      </c>
      <c r="H18" s="159">
        <f>'Historical Expenditure-Volumes'!G63*Inflation!J$10</f>
        <v>0</v>
      </c>
      <c r="I18" s="159">
        <f ca="1">'Forecast Expenditure-Volumes'!S171</f>
        <v>0</v>
      </c>
      <c r="J18" s="159">
        <f ca="1">'Forecast Expenditure-Volumes'!T171</f>
        <v>0</v>
      </c>
      <c r="K18" s="159">
        <f ca="1">'Forecast Expenditure-Volumes'!U171</f>
        <v>0</v>
      </c>
      <c r="L18" s="159">
        <f ca="1">'Forecast Expenditure-Volumes'!V171</f>
        <v>0</v>
      </c>
      <c r="M18" s="159">
        <f ca="1">'Forecast Expenditure-Volumes'!W171</f>
        <v>0</v>
      </c>
      <c r="N18" s="159">
        <f ca="1">'Forecast Expenditure-Volumes'!X171</f>
        <v>0</v>
      </c>
      <c r="O18" s="159">
        <f ca="1">'Forecast Expenditure-Volumes'!Y171</f>
        <v>0</v>
      </c>
      <c r="P18" s="3"/>
      <c r="Q18" s="3"/>
      <c r="R18" s="3"/>
    </row>
    <row r="19" spans="1:18" x14ac:dyDescent="0.2">
      <c r="A19" s="3"/>
      <c r="B19" s="277"/>
      <c r="C19" s="82" t="s">
        <v>211</v>
      </c>
      <c r="D19" s="87" t="s">
        <v>69</v>
      </c>
      <c r="E19" s="159">
        <f>'Historical Expenditure-Volumes'!D64*Inflation!G$10</f>
        <v>770971.63833805465</v>
      </c>
      <c r="F19" s="159">
        <f>'Historical Expenditure-Volumes'!E64*Inflation!H$10</f>
        <v>1982506.0353488373</v>
      </c>
      <c r="G19" s="159">
        <f>'Historical Expenditure-Volumes'!F64*Inflation!I$10</f>
        <v>2568120.2251749528</v>
      </c>
      <c r="H19" s="159">
        <f>'Historical Expenditure-Volumes'!G64*Inflation!J$10</f>
        <v>21900807.446221944</v>
      </c>
      <c r="I19" s="159">
        <f ca="1">'Forecast Expenditure-Volumes'!S172</f>
        <v>21900807.446221944</v>
      </c>
      <c r="J19" s="159">
        <f ca="1">'Forecast Expenditure-Volumes'!T172</f>
        <v>21900807.446221944</v>
      </c>
      <c r="K19" s="159">
        <f ca="1">'Forecast Expenditure-Volumes'!U172</f>
        <v>21900807.446221944</v>
      </c>
      <c r="L19" s="159">
        <f ca="1">'Forecast Expenditure-Volumes'!V172</f>
        <v>21900807.446221944</v>
      </c>
      <c r="M19" s="159">
        <f ca="1">'Forecast Expenditure-Volumes'!W172</f>
        <v>21900807.446221944</v>
      </c>
      <c r="N19" s="159">
        <f ca="1">'Forecast Expenditure-Volumes'!X172</f>
        <v>21900807.446221944</v>
      </c>
      <c r="O19" s="159">
        <f ca="1">'Forecast Expenditure-Volumes'!Y172</f>
        <v>21900807.446221944</v>
      </c>
      <c r="P19" s="3"/>
      <c r="Q19" s="3"/>
      <c r="R19" s="3"/>
    </row>
    <row r="20" spans="1:18" x14ac:dyDescent="0.2">
      <c r="A20" s="3"/>
      <c r="B20" s="277"/>
      <c r="C20" s="82" t="s">
        <v>212</v>
      </c>
      <c r="D20" s="87" t="s">
        <v>71</v>
      </c>
      <c r="E20" s="159">
        <f>'Historical Expenditure-Volumes'!D65*Inflation!G$10</f>
        <v>3310221.4400377711</v>
      </c>
      <c r="F20" s="159">
        <f>'Historical Expenditure-Volumes'!E65*Inflation!H$10</f>
        <v>6549597.326511628</v>
      </c>
      <c r="G20" s="159">
        <f>'Historical Expenditure-Volumes'!F65*Inflation!I$10</f>
        <v>17446087.17311234</v>
      </c>
      <c r="H20" s="159">
        <f>'Historical Expenditure-Volumes'!G65*Inflation!J$10</f>
        <v>1648447.8722962756</v>
      </c>
      <c r="I20" s="159">
        <f ca="1">'Forecast Expenditure-Volumes'!S173</f>
        <v>1648447.8722962753</v>
      </c>
      <c r="J20" s="159">
        <f ca="1">'Forecast Expenditure-Volumes'!T173</f>
        <v>1648447.8722962753</v>
      </c>
      <c r="K20" s="159">
        <f ca="1">'Forecast Expenditure-Volumes'!U173</f>
        <v>1648447.8722962753</v>
      </c>
      <c r="L20" s="159">
        <f ca="1">'Forecast Expenditure-Volumes'!V173</f>
        <v>1648447.8722962753</v>
      </c>
      <c r="M20" s="159">
        <f ca="1">'Forecast Expenditure-Volumes'!W173</f>
        <v>1648447.8722962753</v>
      </c>
      <c r="N20" s="159">
        <f ca="1">'Forecast Expenditure-Volumes'!X173</f>
        <v>1648447.8722962753</v>
      </c>
      <c r="O20" s="159">
        <f ca="1">'Forecast Expenditure-Volumes'!Y173</f>
        <v>1648447.8722962753</v>
      </c>
      <c r="P20" s="3"/>
      <c r="Q20" s="3"/>
      <c r="R20" s="3"/>
    </row>
    <row r="21" spans="1:18" s="130" customFormat="1" x14ac:dyDescent="0.2">
      <c r="A21" s="3"/>
      <c r="B21" s="137" t="s">
        <v>306</v>
      </c>
      <c r="C21" s="138" t="s">
        <v>307</v>
      </c>
      <c r="D21" s="87"/>
      <c r="E21" s="159">
        <f>'Historical Expenditure-Volumes'!D74*Inflation!G$10</f>
        <v>27769102.645779032</v>
      </c>
      <c r="F21" s="159">
        <f>'Historical Expenditure-Volumes'!E74*Inflation!H$10</f>
        <v>26342075.351330236</v>
      </c>
      <c r="G21" s="159">
        <f>'Historical Expenditure-Volumes'!F74*Inflation!I$10</f>
        <v>31479252.012633517</v>
      </c>
      <c r="H21" s="159">
        <f>'Historical Expenditure-Volumes'!G74*Inflation!J$10</f>
        <v>36938513.790321872</v>
      </c>
      <c r="I21" s="159">
        <f ca="1">'Forecast Expenditure-Volumes'!G106</f>
        <v>30632235.840342071</v>
      </c>
      <c r="J21" s="159">
        <f ca="1">'Forecast Expenditure-Volumes'!H106</f>
        <v>30325728.569023944</v>
      </c>
      <c r="K21" s="159">
        <f ca="1">'Forecast Expenditure-Volumes'!I106</f>
        <v>29778159.547743946</v>
      </c>
      <c r="L21" s="159">
        <f ca="1">'Forecast Expenditure-Volumes'!J106</f>
        <v>25485282.897668667</v>
      </c>
      <c r="M21" s="159">
        <f ca="1">'Forecast Expenditure-Volumes'!K106</f>
        <v>23316527.502179664</v>
      </c>
      <c r="N21" s="159">
        <f ca="1">'Forecast Expenditure-Volumes'!L106</f>
        <v>22205322.898371566</v>
      </c>
      <c r="O21" s="159">
        <f ca="1">'Forecast Expenditure-Volumes'!M106</f>
        <v>22236214.778136183</v>
      </c>
      <c r="P21" s="3"/>
      <c r="Q21" s="3"/>
      <c r="R21" s="3"/>
    </row>
    <row r="22" spans="1:18" x14ac:dyDescent="0.2">
      <c r="A22" s="3"/>
      <c r="B22" s="3"/>
      <c r="C22" s="3"/>
      <c r="D22" s="71" t="s">
        <v>36</v>
      </c>
      <c r="E22" s="168">
        <f t="shared" ref="E22:O22" si="0">SUM(E7:E21)</f>
        <v>96371519.245401308</v>
      </c>
      <c r="F22" s="168">
        <f t="shared" si="0"/>
        <v>102055437.32993488</v>
      </c>
      <c r="G22" s="168">
        <f t="shared" si="0"/>
        <v>122154731.63672192</v>
      </c>
      <c r="H22" s="168">
        <f t="shared" si="0"/>
        <v>131594784.72404005</v>
      </c>
      <c r="I22" s="168">
        <f t="shared" ca="1" si="0"/>
        <v>121854745.56734107</v>
      </c>
      <c r="J22" s="168">
        <f t="shared" ca="1" si="0"/>
        <v>120775962.08966935</v>
      </c>
      <c r="K22" s="168">
        <f t="shared" ca="1" si="0"/>
        <v>122014473.23149464</v>
      </c>
      <c r="L22" s="168">
        <f t="shared" ca="1" si="0"/>
        <v>117559828.57864249</v>
      </c>
      <c r="M22" s="168">
        <f t="shared" ca="1" si="0"/>
        <v>115833504.69844352</v>
      </c>
      <c r="N22" s="168">
        <f t="shared" ca="1" si="0"/>
        <v>116102072.02020131</v>
      </c>
      <c r="O22" s="168">
        <f t="shared" ca="1" si="0"/>
        <v>116894716.30390826</v>
      </c>
      <c r="P22" s="3"/>
      <c r="Q22" s="3"/>
      <c r="R22" s="3"/>
    </row>
    <row r="23" spans="1:18" x14ac:dyDescent="0.2">
      <c r="A23" s="3"/>
      <c r="B23" s="3"/>
      <c r="C23" s="3"/>
      <c r="D23" s="3"/>
      <c r="E23" s="169">
        <f>E22-'Historical Expenditure-Volumes'!D23*Inflation!G$10</f>
        <v>0</v>
      </c>
      <c r="F23" s="169">
        <f>F22-'Historical Expenditure-Volumes'!E23*Inflation!H$10</f>
        <v>0</v>
      </c>
      <c r="G23" s="169">
        <f>G22-'Historical Expenditure-Volumes'!F23*Inflation!I$10</f>
        <v>0</v>
      </c>
      <c r="H23" s="169">
        <f>H22-'Historical Expenditure-Volumes'!G23*Inflation!J$10</f>
        <v>0</v>
      </c>
      <c r="I23" s="169">
        <f ca="1">I22-'Forecast Expenditure-Volumes'!S175</f>
        <v>0</v>
      </c>
      <c r="J23" s="169">
        <f ca="1">J22-'Forecast Expenditure-Volumes'!T175</f>
        <v>0</v>
      </c>
      <c r="K23" s="169">
        <f ca="1">K22-'Forecast Expenditure-Volumes'!U175</f>
        <v>0</v>
      </c>
      <c r="L23" s="169">
        <f ca="1">L22-'Forecast Expenditure-Volumes'!V175</f>
        <v>0</v>
      </c>
      <c r="M23" s="169">
        <f ca="1">M22-'Forecast Expenditure-Volumes'!W175</f>
        <v>0</v>
      </c>
      <c r="N23" s="169">
        <f ca="1">N22-'Forecast Expenditure-Volumes'!X175</f>
        <v>0</v>
      </c>
      <c r="O23" s="169">
        <f ca="1">O22-'Forecast Expenditure-Volumes'!Y175</f>
        <v>0</v>
      </c>
      <c r="P23" s="3"/>
      <c r="Q23" s="3"/>
      <c r="R23" s="3"/>
    </row>
    <row r="24" spans="1:18" x14ac:dyDescent="0.2">
      <c r="A24" s="3"/>
      <c r="B24" s="34" t="s">
        <v>213</v>
      </c>
      <c r="C24" s="3"/>
      <c r="D24" s="3"/>
      <c r="E24" s="3"/>
      <c r="F24" s="3"/>
      <c r="G24" s="3"/>
      <c r="H24" s="3"/>
      <c r="I24" s="3"/>
      <c r="J24" s="3"/>
      <c r="K24" s="125"/>
      <c r="L24" s="125"/>
      <c r="M24" s="125"/>
      <c r="N24" s="125"/>
      <c r="O24" s="125"/>
      <c r="P24" s="3"/>
      <c r="Q24" s="3"/>
      <c r="R24" s="3"/>
    </row>
    <row r="25" spans="1:18" x14ac:dyDescent="0.2">
      <c r="A25" s="3"/>
      <c r="B25" s="49"/>
      <c r="C25" s="3"/>
      <c r="D25" s="3"/>
      <c r="E25" s="280" t="s">
        <v>191</v>
      </c>
      <c r="F25" s="274"/>
      <c r="G25" s="274"/>
      <c r="H25" s="274"/>
      <c r="I25" s="274"/>
      <c r="J25" s="274"/>
      <c r="K25" s="274"/>
      <c r="L25" s="274"/>
      <c r="M25" s="274"/>
      <c r="N25" s="274"/>
      <c r="O25" s="275"/>
      <c r="P25" s="3"/>
      <c r="Q25" s="3"/>
      <c r="R25" s="3"/>
    </row>
    <row r="26" spans="1:18" ht="25.5" customHeight="1" x14ac:dyDescent="0.2">
      <c r="A26" s="3"/>
      <c r="B26" s="79" t="s">
        <v>32</v>
      </c>
      <c r="C26" s="83" t="s">
        <v>33</v>
      </c>
      <c r="D26" s="78" t="s">
        <v>81</v>
      </c>
      <c r="E26" s="2" t="s">
        <v>323</v>
      </c>
      <c r="F26" s="2" t="s">
        <v>324</v>
      </c>
      <c r="G26" s="2" t="s">
        <v>325</v>
      </c>
      <c r="H26" s="2" t="s">
        <v>326</v>
      </c>
      <c r="I26" s="136" t="s">
        <v>315</v>
      </c>
      <c r="J26" s="136" t="s">
        <v>316</v>
      </c>
      <c r="K26" s="136" t="s">
        <v>317</v>
      </c>
      <c r="L26" s="136" t="s">
        <v>318</v>
      </c>
      <c r="M26" s="136" t="s">
        <v>319</v>
      </c>
      <c r="N26" s="136" t="s">
        <v>320</v>
      </c>
      <c r="O26" s="136" t="s">
        <v>321</v>
      </c>
      <c r="P26" s="3"/>
      <c r="Q26" s="3"/>
      <c r="R26" s="3"/>
    </row>
    <row r="27" spans="1:18" x14ac:dyDescent="0.2">
      <c r="A27" s="3"/>
      <c r="B27" s="278" t="s">
        <v>44</v>
      </c>
      <c r="C27" s="81" t="s">
        <v>198</v>
      </c>
      <c r="D27" s="55" t="s">
        <v>46</v>
      </c>
      <c r="E27" s="159">
        <f>'Forecast Expenditure-Volumes'!O29</f>
        <v>6511.5</v>
      </c>
      <c r="F27" s="171">
        <f>'Forecast Expenditure-Volumes'!P29</f>
        <v>0</v>
      </c>
      <c r="G27" s="171">
        <f>'Forecast Expenditure-Volumes'!Q29</f>
        <v>0</v>
      </c>
      <c r="H27" s="171">
        <f>'Forecast Expenditure-Volumes'!R29</f>
        <v>0</v>
      </c>
      <c r="I27" s="171">
        <f>'Forecast Expenditure-Volumes'!S29</f>
        <v>0</v>
      </c>
      <c r="J27" s="171">
        <f>'Forecast Expenditure-Volumes'!T29</f>
        <v>0</v>
      </c>
      <c r="K27" s="171">
        <f>'Forecast Expenditure-Volumes'!U29</f>
        <v>0</v>
      </c>
      <c r="L27" s="171">
        <f>'Forecast Expenditure-Volumes'!V29</f>
        <v>0</v>
      </c>
      <c r="M27" s="171">
        <f>'Forecast Expenditure-Volumes'!W29</f>
        <v>0</v>
      </c>
      <c r="N27" s="171">
        <f>'Forecast Expenditure-Volumes'!X29</f>
        <v>0</v>
      </c>
      <c r="O27" s="171">
        <f>'Forecast Expenditure-Volumes'!Y29</f>
        <v>0</v>
      </c>
      <c r="P27" s="3"/>
      <c r="Q27" s="3"/>
      <c r="R27" s="3"/>
    </row>
    <row r="28" spans="1:18" x14ac:dyDescent="0.2">
      <c r="A28" s="3"/>
      <c r="B28" s="278"/>
      <c r="C28" s="81" t="s">
        <v>199</v>
      </c>
      <c r="D28" s="55" t="s">
        <v>48</v>
      </c>
      <c r="E28" s="170">
        <f>'Forecast Expenditure-Volumes'!O30</f>
        <v>2333.37</v>
      </c>
      <c r="F28" s="170">
        <f>'Forecast Expenditure-Volumes'!P30</f>
        <v>2102.605</v>
      </c>
      <c r="G28" s="170">
        <f>'Forecast Expenditure-Volumes'!Q30</f>
        <v>2215.5050000000001</v>
      </c>
      <c r="H28" s="170">
        <f>'Forecast Expenditure-Volumes'!R30</f>
        <v>2540.0262921390868</v>
      </c>
      <c r="I28" s="170">
        <f>'Forecast Expenditure-Volumes'!S30</f>
        <v>2297.8765730347718</v>
      </c>
      <c r="J28" s="170">
        <f>'Forecast Expenditure-Volumes'!T30</f>
        <v>2301.0519122534192</v>
      </c>
      <c r="K28" s="170">
        <f>'Forecast Expenditure-Volumes'!U30</f>
        <v>2383.424098426693</v>
      </c>
      <c r="L28" s="170">
        <f>'Forecast Expenditure-Volumes'!V30</f>
        <v>2455.3521725616774</v>
      </c>
      <c r="M28" s="170">
        <f>'Forecast Expenditure-Volumes'!W30</f>
        <v>2466.483892650755</v>
      </c>
      <c r="N28" s="170">
        <f>'Forecast Expenditure-Volumes'!X30</f>
        <v>2497.4363502198858</v>
      </c>
      <c r="O28" s="170">
        <f>'Forecast Expenditure-Volumes'!Y30</f>
        <v>2543.3783931235166</v>
      </c>
      <c r="P28" s="3"/>
      <c r="Q28" s="3"/>
      <c r="R28" s="3"/>
    </row>
    <row r="29" spans="1:18" x14ac:dyDescent="0.2">
      <c r="A29" s="3"/>
      <c r="B29" s="278"/>
      <c r="C29" s="81" t="s">
        <v>200</v>
      </c>
      <c r="D29" s="55" t="s">
        <v>50</v>
      </c>
      <c r="E29" s="170">
        <f>'Forecast Expenditure-Volumes'!O31</f>
        <v>183.89</v>
      </c>
      <c r="F29" s="170">
        <f>'Forecast Expenditure-Volumes'!P31</f>
        <v>176.95500000000001</v>
      </c>
      <c r="G29" s="170">
        <f>'Forecast Expenditure-Volumes'!Q31</f>
        <v>238.33500000000001</v>
      </c>
      <c r="H29" s="170">
        <f>'Forecast Expenditure-Volumes'!R31</f>
        <v>291.73699467763646</v>
      </c>
      <c r="I29" s="170">
        <f>'Forecast Expenditure-Volumes'!S31</f>
        <v>222.72924866940912</v>
      </c>
      <c r="J29" s="170">
        <f>'Forecast Expenditure-Volumes'!T31</f>
        <v>222.78048008197342</v>
      </c>
      <c r="K29" s="170">
        <f>'Forecast Expenditure-Volumes'!U31</f>
        <v>230.49909528989764</v>
      </c>
      <c r="L29" s="170">
        <f>'Forecast Expenditure-Volumes'!V31</f>
        <v>236.41110411979639</v>
      </c>
      <c r="M29" s="170">
        <f>'Forecast Expenditure-Volumes'!W31</f>
        <v>237.50820389715179</v>
      </c>
      <c r="N29" s="170">
        <f>'Forecast Expenditure-Volumes'!X31</f>
        <v>240.83492245571392</v>
      </c>
      <c r="O29" s="170">
        <f>'Forecast Expenditure-Volumes'!Y31</f>
        <v>245.19226822090738</v>
      </c>
      <c r="P29" s="3"/>
      <c r="Q29" s="3"/>
      <c r="R29" s="3"/>
    </row>
    <row r="30" spans="1:18" x14ac:dyDescent="0.2">
      <c r="A30" s="3"/>
      <c r="B30" s="276" t="s">
        <v>176</v>
      </c>
      <c r="C30" s="82" t="s">
        <v>198</v>
      </c>
      <c r="D30" s="56" t="s">
        <v>51</v>
      </c>
      <c r="E30" s="159">
        <f>'Forecast Expenditure-Volumes'!O32</f>
        <v>911.5</v>
      </c>
      <c r="F30" s="171">
        <f>'Forecast Expenditure-Volumes'!P32</f>
        <v>0</v>
      </c>
      <c r="G30" s="171">
        <f>'Forecast Expenditure-Volumes'!Q32</f>
        <v>0</v>
      </c>
      <c r="H30" s="171">
        <f>'Forecast Expenditure-Volumes'!R32</f>
        <v>0</v>
      </c>
      <c r="I30" s="171">
        <f>'Forecast Expenditure-Volumes'!S32</f>
        <v>0</v>
      </c>
      <c r="J30" s="171">
        <f>'Forecast Expenditure-Volumes'!T32</f>
        <v>0</v>
      </c>
      <c r="K30" s="171">
        <f>'Forecast Expenditure-Volumes'!U32</f>
        <v>0</v>
      </c>
      <c r="L30" s="171">
        <f>'Forecast Expenditure-Volumes'!V32</f>
        <v>0</v>
      </c>
      <c r="M30" s="171">
        <f>'Forecast Expenditure-Volumes'!W32</f>
        <v>0</v>
      </c>
      <c r="N30" s="171">
        <f>'Forecast Expenditure-Volumes'!X32</f>
        <v>0</v>
      </c>
      <c r="O30" s="171">
        <f>'Forecast Expenditure-Volumes'!Y32</f>
        <v>0</v>
      </c>
      <c r="P30" s="3"/>
      <c r="Q30" s="3"/>
      <c r="R30" s="3"/>
    </row>
    <row r="31" spans="1:18" x14ac:dyDescent="0.2">
      <c r="A31" s="3"/>
      <c r="B31" s="276"/>
      <c r="C31" s="82" t="s">
        <v>201</v>
      </c>
      <c r="D31" s="56" t="s">
        <v>53</v>
      </c>
      <c r="E31" s="171">
        <f>'Forecast Expenditure-Volumes'!O33</f>
        <v>0</v>
      </c>
      <c r="F31" s="171">
        <f>'Forecast Expenditure-Volumes'!P33</f>
        <v>0</v>
      </c>
      <c r="G31" s="171">
        <f>'Forecast Expenditure-Volumes'!Q33</f>
        <v>0</v>
      </c>
      <c r="H31" s="171">
        <f>'Forecast Expenditure-Volumes'!R33</f>
        <v>0</v>
      </c>
      <c r="I31" s="171">
        <f>'Forecast Expenditure-Volumes'!S33</f>
        <v>0</v>
      </c>
      <c r="J31" s="171">
        <f>'Forecast Expenditure-Volumes'!T33</f>
        <v>0</v>
      </c>
      <c r="K31" s="171">
        <f>'Forecast Expenditure-Volumes'!U33</f>
        <v>0</v>
      </c>
      <c r="L31" s="171">
        <f>'Forecast Expenditure-Volumes'!V33</f>
        <v>0</v>
      </c>
      <c r="M31" s="171">
        <f>'Forecast Expenditure-Volumes'!W33</f>
        <v>0</v>
      </c>
      <c r="N31" s="171">
        <f>'Forecast Expenditure-Volumes'!X33</f>
        <v>0</v>
      </c>
      <c r="O31" s="171">
        <f>'Forecast Expenditure-Volumes'!Y33</f>
        <v>0</v>
      </c>
      <c r="P31" s="3"/>
      <c r="Q31" s="3"/>
      <c r="R31" s="3"/>
    </row>
    <row r="32" spans="1:18" x14ac:dyDescent="0.2">
      <c r="A32" s="3"/>
      <c r="B32" s="276"/>
      <c r="C32" s="82" t="s">
        <v>202</v>
      </c>
      <c r="D32" s="56" t="s">
        <v>55</v>
      </c>
      <c r="E32" s="159">
        <f>'Forecast Expenditure-Volumes'!O34</f>
        <v>290.74</v>
      </c>
      <c r="F32" s="159">
        <f>'Forecast Expenditure-Volumes'!P34</f>
        <v>331.44</v>
      </c>
      <c r="G32" s="159">
        <f>'Forecast Expenditure-Volumes'!Q34</f>
        <v>378.65999999999997</v>
      </c>
      <c r="H32" s="159">
        <f>'Forecast Expenditure-Volumes'!R34</f>
        <v>406.01544671363217</v>
      </c>
      <c r="I32" s="159">
        <f>'Forecast Expenditure-Volumes'!S34</f>
        <v>351.71386167840808</v>
      </c>
      <c r="J32" s="159">
        <f>'Forecast Expenditure-Volumes'!T34</f>
        <v>339.79373777632196</v>
      </c>
      <c r="K32" s="159">
        <f>'Forecast Expenditure-Volumes'!U34</f>
        <v>344.08523758586733</v>
      </c>
      <c r="L32" s="159">
        <f>'Forecast Expenditure-Volumes'!V34</f>
        <v>322.27637132097937</v>
      </c>
      <c r="M32" s="159">
        <f>'Forecast Expenditure-Volumes'!W34</f>
        <v>325.72868052515844</v>
      </c>
      <c r="N32" s="159">
        <f>'Forecast Expenditure-Volumes'!X34</f>
        <v>338.8793127566156</v>
      </c>
      <c r="O32" s="159">
        <f>'Forecast Expenditure-Volumes'!Y34</f>
        <v>339.57476016269186</v>
      </c>
      <c r="P32" s="3"/>
      <c r="Q32" s="3"/>
      <c r="R32" s="3"/>
    </row>
    <row r="33" spans="1:18" x14ac:dyDescent="0.2">
      <c r="A33" s="3"/>
      <c r="B33" s="276"/>
      <c r="C33" s="82" t="s">
        <v>203</v>
      </c>
      <c r="D33" s="56" t="s">
        <v>57</v>
      </c>
      <c r="E33" s="170">
        <f>'Forecast Expenditure-Volumes'!O35</f>
        <v>8</v>
      </c>
      <c r="F33" s="170">
        <f>'Forecast Expenditure-Volumes'!P35</f>
        <v>9.5</v>
      </c>
      <c r="G33" s="170">
        <f>'Forecast Expenditure-Volumes'!Q35</f>
        <v>5</v>
      </c>
      <c r="H33" s="170">
        <f>'Forecast Expenditure-Volumes'!R35</f>
        <v>2.7980161761974549</v>
      </c>
      <c r="I33" s="170">
        <f>'Forecast Expenditure-Volumes'!S35</f>
        <v>6.3245040440493634</v>
      </c>
      <c r="J33" s="170">
        <f>'Forecast Expenditure-Volumes'!T35</f>
        <v>6.0132719223344564</v>
      </c>
      <c r="K33" s="170">
        <f>'Forecast Expenditure-Volumes'!U35</f>
        <v>6.3840057174578879</v>
      </c>
      <c r="L33" s="170">
        <f>'Forecast Expenditure-Volumes'!V35</f>
        <v>6.8312595300942496</v>
      </c>
      <c r="M33" s="170">
        <f>'Forecast Expenditure-Volumes'!W35</f>
        <v>7.0975828159578249</v>
      </c>
      <c r="N33" s="170">
        <f>'Forecast Expenditure-Volumes'!X35</f>
        <v>7.0472910032712388</v>
      </c>
      <c r="O33" s="170">
        <f>'Forecast Expenditure-Volumes'!Y35</f>
        <v>6.9959834197265263</v>
      </c>
      <c r="P33" s="3"/>
      <c r="Q33" s="3"/>
      <c r="R33" s="3"/>
    </row>
    <row r="34" spans="1:18" x14ac:dyDescent="0.2">
      <c r="A34" s="3"/>
      <c r="B34" s="276"/>
      <c r="C34" s="82" t="s">
        <v>204</v>
      </c>
      <c r="D34" s="56" t="s">
        <v>59</v>
      </c>
      <c r="E34" s="171">
        <f>'Forecast Expenditure-Volumes'!O36</f>
        <v>0</v>
      </c>
      <c r="F34" s="171">
        <f>'Forecast Expenditure-Volumes'!P36</f>
        <v>0</v>
      </c>
      <c r="G34" s="171">
        <f>'Forecast Expenditure-Volumes'!Q36</f>
        <v>0</v>
      </c>
      <c r="H34" s="171">
        <f>'Forecast Expenditure-Volumes'!R36</f>
        <v>0</v>
      </c>
      <c r="I34" s="171">
        <f>'Forecast Expenditure-Volumes'!S36</f>
        <v>0</v>
      </c>
      <c r="J34" s="171">
        <f>'Forecast Expenditure-Volumes'!T36</f>
        <v>0</v>
      </c>
      <c r="K34" s="171">
        <f>'Forecast Expenditure-Volumes'!U36</f>
        <v>0</v>
      </c>
      <c r="L34" s="171">
        <f>'Forecast Expenditure-Volumes'!V36</f>
        <v>0</v>
      </c>
      <c r="M34" s="171">
        <f>'Forecast Expenditure-Volumes'!W36</f>
        <v>0</v>
      </c>
      <c r="N34" s="171">
        <f>'Forecast Expenditure-Volumes'!X36</f>
        <v>0</v>
      </c>
      <c r="O34" s="171">
        <f>'Forecast Expenditure-Volumes'!Y36</f>
        <v>0</v>
      </c>
      <c r="P34" s="3"/>
      <c r="Q34" s="3"/>
      <c r="R34" s="3"/>
    </row>
    <row r="35" spans="1:18" x14ac:dyDescent="0.2">
      <c r="A35" s="3"/>
      <c r="B35" s="278" t="s">
        <v>60</v>
      </c>
      <c r="C35" s="81" t="s">
        <v>199</v>
      </c>
      <c r="D35" s="55" t="s">
        <v>61</v>
      </c>
      <c r="E35" s="171">
        <f>'Forecast Expenditure-Volumes'!O37</f>
        <v>0</v>
      </c>
      <c r="F35" s="171">
        <f>'Forecast Expenditure-Volumes'!P37</f>
        <v>0</v>
      </c>
      <c r="G35" s="171">
        <f>'Forecast Expenditure-Volumes'!Q37</f>
        <v>0</v>
      </c>
      <c r="H35" s="171">
        <f>'Forecast Expenditure-Volumes'!R37</f>
        <v>0</v>
      </c>
      <c r="I35" s="171">
        <f>'Forecast Expenditure-Volumes'!S37</f>
        <v>0</v>
      </c>
      <c r="J35" s="171">
        <f>'Forecast Expenditure-Volumes'!T37</f>
        <v>0</v>
      </c>
      <c r="K35" s="171">
        <f>'Forecast Expenditure-Volumes'!U37</f>
        <v>0</v>
      </c>
      <c r="L35" s="171">
        <f>'Forecast Expenditure-Volumes'!V37</f>
        <v>0</v>
      </c>
      <c r="M35" s="171">
        <f>'Forecast Expenditure-Volumes'!W37</f>
        <v>0</v>
      </c>
      <c r="N35" s="171">
        <f>'Forecast Expenditure-Volumes'!X37</f>
        <v>0</v>
      </c>
      <c r="O35" s="171">
        <f>'Forecast Expenditure-Volumes'!Y37</f>
        <v>0</v>
      </c>
      <c r="P35" s="3"/>
      <c r="Q35" s="3"/>
      <c r="R35" s="3"/>
    </row>
    <row r="36" spans="1:18" x14ac:dyDescent="0.2">
      <c r="A36" s="3"/>
      <c r="B36" s="278"/>
      <c r="C36" s="81" t="s">
        <v>209</v>
      </c>
      <c r="D36" s="55" t="s">
        <v>63</v>
      </c>
      <c r="E36" s="171">
        <f>'Forecast Expenditure-Volumes'!O38</f>
        <v>0</v>
      </c>
      <c r="F36" s="171">
        <f>'Forecast Expenditure-Volumes'!P38</f>
        <v>0</v>
      </c>
      <c r="G36" s="171">
        <f>'Forecast Expenditure-Volumes'!Q38</f>
        <v>0</v>
      </c>
      <c r="H36" s="171">
        <f>'Forecast Expenditure-Volumes'!R38</f>
        <v>0</v>
      </c>
      <c r="I36" s="171">
        <f>'Forecast Expenditure-Volumes'!S38</f>
        <v>0</v>
      </c>
      <c r="J36" s="171">
        <f>'Forecast Expenditure-Volumes'!T38</f>
        <v>0</v>
      </c>
      <c r="K36" s="171">
        <f>'Forecast Expenditure-Volumes'!U38</f>
        <v>0</v>
      </c>
      <c r="L36" s="171">
        <f>'Forecast Expenditure-Volumes'!V38</f>
        <v>0</v>
      </c>
      <c r="M36" s="171">
        <f>'Forecast Expenditure-Volumes'!W38</f>
        <v>0</v>
      </c>
      <c r="N36" s="171">
        <f>'Forecast Expenditure-Volumes'!X38</f>
        <v>0</v>
      </c>
      <c r="O36" s="171">
        <f>'Forecast Expenditure-Volumes'!Y38</f>
        <v>0</v>
      </c>
      <c r="P36" s="3"/>
      <c r="Q36" s="3"/>
      <c r="R36" s="3"/>
    </row>
    <row r="37" spans="1:18" x14ac:dyDescent="0.2">
      <c r="A37" s="3"/>
      <c r="B37" s="278"/>
      <c r="C37" s="81" t="s">
        <v>206</v>
      </c>
      <c r="D37" s="55" t="s">
        <v>65</v>
      </c>
      <c r="E37" s="170">
        <f>'Forecast Expenditure-Volumes'!O39</f>
        <v>355</v>
      </c>
      <c r="F37" s="170">
        <f>'Forecast Expenditure-Volumes'!P39</f>
        <v>388</v>
      </c>
      <c r="G37" s="170">
        <f>'Forecast Expenditure-Volumes'!Q39</f>
        <v>516</v>
      </c>
      <c r="H37" s="170">
        <f>'Forecast Expenditure-Volumes'!R39</f>
        <v>605.65006723721297</v>
      </c>
      <c r="I37" s="170">
        <f>'Forecast Expenditure-Volumes'!S39</f>
        <v>466.16251680930327</v>
      </c>
      <c r="J37" s="170">
        <f>'Forecast Expenditure-Volumes'!T39</f>
        <v>466.83984256085512</v>
      </c>
      <c r="K37" s="170">
        <f>'Forecast Expenditure-Volumes'!U39</f>
        <v>483.58473430690054</v>
      </c>
      <c r="L37" s="170">
        <f>'Forecast Expenditure-Volumes'!V39</f>
        <v>498.31351313754311</v>
      </c>
      <c r="M37" s="170">
        <f>'Forecast Expenditure-Volumes'!W39</f>
        <v>500.56942596571679</v>
      </c>
      <c r="N37" s="170">
        <f>'Forecast Expenditure-Volumes'!X39</f>
        <v>506.80644529474012</v>
      </c>
      <c r="O37" s="170">
        <f>'Forecast Expenditure-Volumes'!Y39</f>
        <v>516.13892630251655</v>
      </c>
      <c r="P37" s="3"/>
      <c r="Q37" s="3"/>
      <c r="R37" s="3"/>
    </row>
    <row r="38" spans="1:18" x14ac:dyDescent="0.2">
      <c r="A38" s="3"/>
      <c r="B38" s="277" t="s">
        <v>66</v>
      </c>
      <c r="C38" s="82" t="s">
        <v>210</v>
      </c>
      <c r="D38" s="57" t="s">
        <v>67</v>
      </c>
      <c r="E38" s="171">
        <f>'Forecast Expenditure-Volumes'!O40</f>
        <v>0</v>
      </c>
      <c r="F38" s="171">
        <f>'Forecast Expenditure-Volumes'!P40</f>
        <v>0</v>
      </c>
      <c r="G38" s="171">
        <f>'Forecast Expenditure-Volumes'!Q40</f>
        <v>0</v>
      </c>
      <c r="H38" s="171">
        <f>'Forecast Expenditure-Volumes'!R40</f>
        <v>0</v>
      </c>
      <c r="I38" s="171">
        <f>'Forecast Expenditure-Volumes'!S40</f>
        <v>0</v>
      </c>
      <c r="J38" s="171">
        <f>'Forecast Expenditure-Volumes'!T40</f>
        <v>0</v>
      </c>
      <c r="K38" s="171">
        <f>'Forecast Expenditure-Volumes'!U40</f>
        <v>0</v>
      </c>
      <c r="L38" s="171">
        <f>'Forecast Expenditure-Volumes'!V40</f>
        <v>0</v>
      </c>
      <c r="M38" s="171">
        <f>'Forecast Expenditure-Volumes'!W40</f>
        <v>0</v>
      </c>
      <c r="N38" s="171">
        <f>'Forecast Expenditure-Volumes'!X40</f>
        <v>0</v>
      </c>
      <c r="O38" s="171">
        <f>'Forecast Expenditure-Volumes'!Y40</f>
        <v>0</v>
      </c>
      <c r="P38" s="3"/>
      <c r="Q38" s="3"/>
      <c r="R38" s="3"/>
    </row>
    <row r="39" spans="1:18" x14ac:dyDescent="0.2">
      <c r="A39" s="3"/>
      <c r="B39" s="277"/>
      <c r="C39" s="82" t="s">
        <v>211</v>
      </c>
      <c r="D39" s="57" t="s">
        <v>69</v>
      </c>
      <c r="E39" s="159">
        <f>'Forecast Expenditure-Volumes'!O41</f>
        <v>33.015000000000001</v>
      </c>
      <c r="F39" s="159">
        <f>'Forecast Expenditure-Volumes'!P41</f>
        <v>45.105000000000004</v>
      </c>
      <c r="G39" s="159">
        <f>'Forecast Expenditure-Volumes'!Q41</f>
        <v>36.270000000000003</v>
      </c>
      <c r="H39" s="159">
        <f>'Forecast Expenditure-Volumes'!R41</f>
        <v>10.604387843165085</v>
      </c>
      <c r="I39" s="159">
        <f>'Forecast Expenditure-Volumes'!S41</f>
        <v>31.248596960791271</v>
      </c>
      <c r="J39" s="159">
        <f>'Forecast Expenditure-Volumes'!T41</f>
        <v>31.248596960791271</v>
      </c>
      <c r="K39" s="159">
        <f>'Forecast Expenditure-Volumes'!U41</f>
        <v>31.248596960791271</v>
      </c>
      <c r="L39" s="159">
        <f>'Forecast Expenditure-Volumes'!V41</f>
        <v>31.248596960791271</v>
      </c>
      <c r="M39" s="159">
        <f>'Forecast Expenditure-Volumes'!W41</f>
        <v>31.248596960791271</v>
      </c>
      <c r="N39" s="159">
        <f>'Forecast Expenditure-Volumes'!X41</f>
        <v>31.248596960791271</v>
      </c>
      <c r="O39" s="159">
        <f>'Forecast Expenditure-Volumes'!Y41</f>
        <v>31.248596960791271</v>
      </c>
      <c r="P39" s="3"/>
      <c r="Q39" s="3"/>
      <c r="R39" s="3"/>
    </row>
    <row r="40" spans="1:18" x14ac:dyDescent="0.2">
      <c r="A40" s="3"/>
      <c r="B40" s="277"/>
      <c r="C40" s="82" t="s">
        <v>212</v>
      </c>
      <c r="D40" s="57" t="s">
        <v>71</v>
      </c>
      <c r="E40" s="159">
        <f>'Forecast Expenditure-Volumes'!O42</f>
        <v>2.4850000000000003</v>
      </c>
      <c r="F40" s="159">
        <f>'Forecast Expenditure-Volumes'!P42</f>
        <v>3.3950000000000005</v>
      </c>
      <c r="G40" s="159">
        <f>'Forecast Expenditure-Volumes'!Q42</f>
        <v>2.7300000000000004</v>
      </c>
      <c r="H40" s="159">
        <f>'Forecast Expenditure-Volumes'!R42</f>
        <v>0.79817973013070542</v>
      </c>
      <c r="I40" s="159">
        <f>'Forecast Expenditure-Volumes'!S42</f>
        <v>2.3520449325326767</v>
      </c>
      <c r="J40" s="159">
        <f>'Forecast Expenditure-Volumes'!T42</f>
        <v>2.3520449325326767</v>
      </c>
      <c r="K40" s="159">
        <f>'Forecast Expenditure-Volumes'!U42</f>
        <v>2.3520449325326767</v>
      </c>
      <c r="L40" s="159">
        <f>'Forecast Expenditure-Volumes'!V42</f>
        <v>2.3520449325326767</v>
      </c>
      <c r="M40" s="159">
        <f>'Forecast Expenditure-Volumes'!W42</f>
        <v>2.3520449325326767</v>
      </c>
      <c r="N40" s="159">
        <f>'Forecast Expenditure-Volumes'!X42</f>
        <v>2.3520449325326767</v>
      </c>
      <c r="O40" s="159">
        <f>'Forecast Expenditure-Volumes'!Y42</f>
        <v>2.3520449325326767</v>
      </c>
      <c r="P40" s="3"/>
      <c r="Q40" s="3"/>
      <c r="R40" s="3"/>
    </row>
    <row r="41" spans="1:18" s="130" customFormat="1" x14ac:dyDescent="0.2">
      <c r="A41" s="3"/>
      <c r="B41" s="137" t="s">
        <v>306</v>
      </c>
      <c r="C41" s="138" t="s">
        <v>307</v>
      </c>
      <c r="D41" s="57"/>
      <c r="E41" s="159">
        <f>'Forecast Expenditure-Volumes'!O43</f>
        <v>325.5</v>
      </c>
      <c r="F41" s="159">
        <f>'Forecast Expenditure-Volumes'!P43</f>
        <v>305.5</v>
      </c>
      <c r="G41" s="159">
        <f>'Forecast Expenditure-Volumes'!Q43</f>
        <v>399.5</v>
      </c>
      <c r="H41" s="159">
        <f>'Forecast Expenditure-Volumes'!R43</f>
        <v>535.34601849635692</v>
      </c>
      <c r="I41" s="159">
        <f>'Forecast Expenditure-Volumes'!S43</f>
        <v>391.46150462408923</v>
      </c>
      <c r="J41" s="159">
        <f>'Forecast Expenditure-Volumes'!T43</f>
        <v>387.5445265022899</v>
      </c>
      <c r="K41" s="159">
        <f>'Forecast Expenditure-Volumes'!U43</f>
        <v>380.54692456186899</v>
      </c>
      <c r="L41" s="159">
        <f>'Forecast Expenditure-Volumes'!V43</f>
        <v>325.68654932308516</v>
      </c>
      <c r="M41" s="159">
        <f>'Forecast Expenditure-Volumes'!W43</f>
        <v>297.97116299919037</v>
      </c>
      <c r="N41" s="159">
        <f>'Forecast Expenditure-Volumes'!X43</f>
        <v>283.77063815277825</v>
      </c>
      <c r="O41" s="159">
        <f>'Forecast Expenditure-Volumes'!Y43</f>
        <v>284.16541775020477</v>
      </c>
      <c r="P41" s="3"/>
      <c r="Q41" s="3"/>
      <c r="R41" s="3"/>
    </row>
    <row r="42" spans="1:18" x14ac:dyDescent="0.2">
      <c r="A42" s="3"/>
      <c r="B42" s="3"/>
      <c r="C42" s="3"/>
      <c r="D42" s="71" t="s">
        <v>36</v>
      </c>
      <c r="E42" s="168">
        <f t="shared" ref="E42:O42" si="1">SUM(E27:E41)</f>
        <v>10954.999999999998</v>
      </c>
      <c r="F42" s="168">
        <f t="shared" si="1"/>
        <v>3362.5</v>
      </c>
      <c r="G42" s="168">
        <f t="shared" si="1"/>
        <v>3792</v>
      </c>
      <c r="H42" s="168">
        <f t="shared" si="1"/>
        <v>4392.9754030134191</v>
      </c>
      <c r="I42" s="168">
        <f t="shared" si="1"/>
        <v>3769.8688507533552</v>
      </c>
      <c r="J42" s="168">
        <f t="shared" si="1"/>
        <v>3757.6244129905185</v>
      </c>
      <c r="K42" s="168">
        <f t="shared" si="1"/>
        <v>3862.1247377820091</v>
      </c>
      <c r="L42" s="168">
        <f t="shared" si="1"/>
        <v>3878.4716118864999</v>
      </c>
      <c r="M42" s="168">
        <f t="shared" si="1"/>
        <v>3868.9595907472544</v>
      </c>
      <c r="N42" s="168">
        <f t="shared" si="1"/>
        <v>3908.3756017763294</v>
      </c>
      <c r="O42" s="168">
        <f t="shared" si="1"/>
        <v>3969.046390872888</v>
      </c>
      <c r="P42" s="3"/>
      <c r="Q42" s="3"/>
      <c r="R42" s="3"/>
    </row>
    <row r="43" spans="1:18" x14ac:dyDescent="0.2">
      <c r="A43" s="3"/>
      <c r="B43" s="3"/>
      <c r="C43" s="3"/>
      <c r="D43" s="3"/>
      <c r="E43" s="169">
        <f>E42-'Forecast Expenditure-Volumes'!O44</f>
        <v>0</v>
      </c>
      <c r="F43" s="169">
        <f>F42-'Forecast Expenditure-Volumes'!P44</f>
        <v>0</v>
      </c>
      <c r="G43" s="169">
        <f>G42-'Forecast Expenditure-Volumes'!Q44</f>
        <v>0</v>
      </c>
      <c r="H43" s="169">
        <f>H42-'Forecast Expenditure-Volumes'!R44</f>
        <v>0</v>
      </c>
      <c r="I43" s="169">
        <f>I42-'Forecast Expenditure-Volumes'!S44</f>
        <v>0</v>
      </c>
      <c r="J43" s="169">
        <f>J42-'Forecast Expenditure-Volumes'!T44</f>
        <v>0</v>
      </c>
      <c r="K43" s="169">
        <f>K42-'Forecast Expenditure-Volumes'!U44</f>
        <v>0</v>
      </c>
      <c r="L43" s="169">
        <f>L42-'Forecast Expenditure-Volumes'!V44</f>
        <v>0</v>
      </c>
      <c r="M43" s="169">
        <f>M42-'Forecast Expenditure-Volumes'!W44</f>
        <v>0</v>
      </c>
      <c r="N43" s="169">
        <f>N42-'Forecast Expenditure-Volumes'!X44</f>
        <v>0</v>
      </c>
      <c r="O43" s="169">
        <f>O42-'Forecast Expenditure-Volumes'!Y44</f>
        <v>0</v>
      </c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2.75" customHeight="1" x14ac:dyDescent="0.25">
      <c r="A45" s="28"/>
      <c r="B45" s="28" t="s">
        <v>309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idden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idden="1" x14ac:dyDescent="0.2">
      <c r="A48" s="3"/>
      <c r="B48" s="3"/>
      <c r="C48" s="3"/>
      <c r="D48" s="3"/>
      <c r="E48" s="3"/>
      <c r="F48" s="3"/>
      <c r="G48" s="3"/>
      <c r="H48" s="3"/>
      <c r="I48" s="3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10">
    <mergeCell ref="E5:O5"/>
    <mergeCell ref="B35:B37"/>
    <mergeCell ref="B38:B40"/>
    <mergeCell ref="B30:B34"/>
    <mergeCell ref="B27:B29"/>
    <mergeCell ref="E25:O25"/>
    <mergeCell ref="B15:B17"/>
    <mergeCell ref="B18:B20"/>
    <mergeCell ref="B10:B14"/>
    <mergeCell ref="B7:B9"/>
  </mergeCells>
  <conditionalFormatting sqref="O2">
    <cfRule type="expression" dxfId="2" priority="1">
      <formula>O2="Check!"</formula>
    </cfRule>
  </conditionalFormatting>
  <hyperlinks>
    <hyperlink ref="O1" location="Menu!A1" display="Menu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tabColor theme="1"/>
  </sheetPr>
  <dimension ref="A1:T110"/>
  <sheetViews>
    <sheetView zoomScale="80" zoomScaleNormal="80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3.7109375" style="130" customWidth="1"/>
    <col min="2" max="2" width="9.140625" style="130" customWidth="1"/>
    <col min="3" max="3" width="34.5703125" style="130" bestFit="1" customWidth="1"/>
    <col min="4" max="5" width="4.28515625" style="130" customWidth="1"/>
    <col min="6" max="10" width="11.28515625" style="130" customWidth="1"/>
    <col min="11" max="15" width="10.85546875" style="130" customWidth="1"/>
    <col min="16" max="16" width="3.7109375" style="130" customWidth="1"/>
    <col min="17" max="17" width="11.140625" style="130" hidden="1" customWidth="1"/>
    <col min="18" max="18" width="11.7109375" style="130" hidden="1" customWidth="1"/>
    <col min="19" max="16384" width="9.140625" style="130" hidden="1"/>
  </cols>
  <sheetData>
    <row r="1" spans="1:20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39" t="s">
        <v>351</v>
      </c>
      <c r="J1" s="239"/>
      <c r="K1" s="26"/>
      <c r="L1" s="26"/>
      <c r="M1" s="26"/>
      <c r="N1" s="26"/>
      <c r="O1" s="30" t="s">
        <v>39</v>
      </c>
      <c r="P1" s="26"/>
      <c r="Q1" s="26"/>
      <c r="R1" s="26"/>
      <c r="S1" s="26"/>
      <c r="T1" s="26"/>
    </row>
    <row r="2" spans="1:20" ht="15.75" x14ac:dyDescent="0.25">
      <c r="A2" s="28" t="str">
        <f ca="1">RIGHT(CELL("filename", $A$1), LEN(CELL("filename", $A$1)) - SEARCH("]", CELL("filename", $A$1)))</f>
        <v>Gross Capex</v>
      </c>
      <c r="B2" s="28"/>
      <c r="C2" s="28"/>
      <c r="D2" s="28"/>
      <c r="E2" s="28"/>
      <c r="F2" s="28"/>
      <c r="G2" s="28"/>
      <c r="H2" s="28"/>
      <c r="I2" s="240" t="s">
        <v>352</v>
      </c>
      <c r="J2" s="240"/>
      <c r="K2" s="28"/>
      <c r="L2" s="28"/>
      <c r="M2" s="28"/>
      <c r="N2" s="38"/>
      <c r="O2" s="40"/>
      <c r="P2" s="28"/>
      <c r="Q2" s="28"/>
      <c r="R2" s="28"/>
      <c r="S2" s="28"/>
      <c r="T2" s="28"/>
    </row>
    <row r="3" spans="1:20" x14ac:dyDescent="0.2">
      <c r="A3" s="3"/>
      <c r="B3" s="3"/>
      <c r="C3" s="119"/>
      <c r="D3" s="3"/>
      <c r="E3" s="3"/>
      <c r="F3" s="3"/>
      <c r="G3" s="3"/>
      <c r="H3" s="3"/>
      <c r="I3" s="3"/>
      <c r="J3" s="3"/>
      <c r="K3" s="146"/>
      <c r="L3" s="146"/>
      <c r="M3" s="146"/>
      <c r="N3" s="3"/>
      <c r="O3" s="3"/>
      <c r="P3" s="3"/>
      <c r="Q3" s="3"/>
      <c r="R3" s="3"/>
      <c r="S3" s="3"/>
      <c r="T3" s="3"/>
    </row>
    <row r="4" spans="1:20" x14ac:dyDescent="0.2">
      <c r="A4" s="3"/>
      <c r="B4" s="34" t="s">
        <v>271</v>
      </c>
      <c r="C4" s="3"/>
      <c r="D4" s="3"/>
      <c r="E4" s="3"/>
      <c r="F4" s="3"/>
      <c r="G4" s="3"/>
      <c r="H4" s="3"/>
      <c r="I4" s="3"/>
      <c r="J4" s="3"/>
      <c r="K4" s="146"/>
      <c r="L4" s="146"/>
      <c r="M4" s="146"/>
      <c r="N4" s="3"/>
      <c r="O4" s="3"/>
      <c r="P4" s="3"/>
      <c r="Q4" s="3"/>
      <c r="R4" s="3"/>
      <c r="S4" s="3"/>
      <c r="T4" s="3"/>
    </row>
    <row r="5" spans="1:20" x14ac:dyDescent="0.2">
      <c r="A5" s="3"/>
      <c r="B5" s="3"/>
      <c r="C5" s="3"/>
      <c r="D5" s="3"/>
      <c r="E5" s="3"/>
      <c r="F5" s="2" t="s">
        <v>324</v>
      </c>
      <c r="G5" s="2" t="s">
        <v>325</v>
      </c>
      <c r="H5" s="2" t="s">
        <v>326</v>
      </c>
      <c r="I5" s="2" t="s">
        <v>315</v>
      </c>
      <c r="J5" s="2" t="s">
        <v>316</v>
      </c>
      <c r="K5" s="2" t="s">
        <v>317</v>
      </c>
      <c r="L5" s="2" t="s">
        <v>318</v>
      </c>
      <c r="M5" s="2" t="s">
        <v>319</v>
      </c>
      <c r="N5" s="2" t="s">
        <v>320</v>
      </c>
      <c r="O5" s="2" t="s">
        <v>321</v>
      </c>
      <c r="P5" s="3"/>
      <c r="Q5" s="3"/>
      <c r="R5" s="3"/>
      <c r="S5" s="3"/>
      <c r="T5" s="3"/>
    </row>
    <row r="6" spans="1:20" x14ac:dyDescent="0.2">
      <c r="A6" s="3"/>
      <c r="B6" s="285" t="s">
        <v>35</v>
      </c>
      <c r="C6" s="285" t="s">
        <v>75</v>
      </c>
      <c r="D6" s="3"/>
      <c r="E6" s="3"/>
      <c r="F6" s="2" t="s">
        <v>166</v>
      </c>
      <c r="G6" s="2" t="s">
        <v>166</v>
      </c>
      <c r="H6" s="2" t="s">
        <v>166</v>
      </c>
      <c r="I6" s="2" t="s">
        <v>322</v>
      </c>
      <c r="J6" s="2" t="s">
        <v>322</v>
      </c>
      <c r="K6" s="2" t="s">
        <v>322</v>
      </c>
      <c r="L6" s="2" t="s">
        <v>322</v>
      </c>
      <c r="M6" s="2" t="s">
        <v>322</v>
      </c>
      <c r="N6" s="2" t="s">
        <v>322</v>
      </c>
      <c r="O6" s="2" t="s">
        <v>322</v>
      </c>
      <c r="P6" s="3"/>
      <c r="Q6" s="3"/>
      <c r="R6" s="3"/>
      <c r="S6" s="3"/>
      <c r="T6" s="3"/>
    </row>
    <row r="7" spans="1:20" x14ac:dyDescent="0.2">
      <c r="A7" s="3"/>
      <c r="B7" s="286"/>
      <c r="C7" s="286"/>
      <c r="D7" s="3"/>
      <c r="E7" s="3"/>
      <c r="F7" s="2" t="s">
        <v>167</v>
      </c>
      <c r="G7" s="2" t="s">
        <v>167</v>
      </c>
      <c r="H7" s="2" t="s">
        <v>168</v>
      </c>
      <c r="I7" s="2" t="s">
        <v>168</v>
      </c>
      <c r="J7" s="2" t="s">
        <v>168</v>
      </c>
      <c r="K7" s="2" t="s">
        <v>168</v>
      </c>
      <c r="L7" s="2" t="s">
        <v>168</v>
      </c>
      <c r="M7" s="2" t="s">
        <v>168</v>
      </c>
      <c r="N7" s="2" t="s">
        <v>168</v>
      </c>
      <c r="O7" s="2" t="s">
        <v>168</v>
      </c>
      <c r="P7" s="3"/>
      <c r="Q7" s="3"/>
      <c r="R7" s="3"/>
      <c r="S7" s="3"/>
      <c r="T7" s="3"/>
    </row>
    <row r="8" spans="1:20" x14ac:dyDescent="0.2">
      <c r="A8" s="3"/>
      <c r="B8" s="43">
        <v>102</v>
      </c>
      <c r="C8" s="44" t="s">
        <v>83</v>
      </c>
      <c r="D8" s="3"/>
      <c r="E8" s="3"/>
      <c r="F8" s="159">
        <f>SUMIF('Historical Expenditure-Volumes'!$B$9:$B$22,'Gross Capex'!$B8,'Historical Expenditure-Volumes'!E$9:E$22)/1000
+SUMIF('Historical Contributions'!$B$8:$B$21,'Gross Capex'!$B8,'Historical Contributions'!D$8:D$21)/1000</f>
        <v>8700.6399208275434</v>
      </c>
      <c r="G8" s="159">
        <f>SUMIF('Historical Expenditure-Volumes'!$B$9:$B$22,'Gross Capex'!$B8,'Historical Expenditure-Volumes'!F$9:F$22)/1000
+SUMIF('Historical Contributions'!$B$8:$B$21,'Gross Capex'!$B8,'Historical Contributions'!E$8:E$21)/1000</f>
        <v>9866.2318499999983</v>
      </c>
      <c r="H8" s="159">
        <f>SUMIF('Historical Expenditure-Volumes'!$B$9:$B$22,'Gross Capex'!$B8,'Historical Expenditure-Volumes'!G$9:G$22)/1000
+SUMIF('Historical Contributions'!$B$8:$B$21,'Gross Capex'!$B8,'Historical Contributions'!F$8:F$21)/1000</f>
        <v>11142.38264911809</v>
      </c>
      <c r="I8" s="91">
        <f ca="1">SUMIF('Forecast Expenditure-Volumes'!$B$95:$B$108,'Gross Capex'!$B8,'Forecast Expenditure-Volumes'!G$95:G$108)/1000
+SUMIF('Forecast Contributions'!$B$8:$B$20,'Gross Capex'!$B8,'Forecast Contributions'!G$8:G$20)/1000</f>
        <v>10518.163922587801</v>
      </c>
      <c r="J8" s="91">
        <f ca="1">SUMIF('Forecast Expenditure-Volumes'!$B$95:$B$108,'Gross Capex'!$B8,'Forecast Expenditure-Volumes'!H$95:H$108)/1000
+SUMIF('Forecast Contributions'!$B$8:$B$20,'Gross Capex'!$B8,'Forecast Contributions'!H$8:H$20)/1000</f>
        <v>10533.246307559004</v>
      </c>
      <c r="K8" s="204">
        <v>5999.424839940787</v>
      </c>
      <c r="L8" s="204">
        <v>10954.322512851435</v>
      </c>
      <c r="M8" s="204">
        <v>11119.548806725434</v>
      </c>
      <c r="N8" s="204">
        <v>11237.907588233051</v>
      </c>
      <c r="O8" s="204">
        <v>11387.186051454866</v>
      </c>
      <c r="P8" s="3"/>
      <c r="Q8" s="3"/>
      <c r="R8" s="3"/>
      <c r="S8" s="3"/>
      <c r="T8" s="3"/>
    </row>
    <row r="9" spans="1:20" x14ac:dyDescent="0.2">
      <c r="A9" s="3"/>
      <c r="B9" s="36">
        <v>103</v>
      </c>
      <c r="C9" s="33" t="s">
        <v>84</v>
      </c>
      <c r="D9" s="3"/>
      <c r="E9" s="3"/>
      <c r="F9" s="159">
        <f>SUMIF('Historical Expenditure-Volumes'!$B$9:$B$22,'Gross Capex'!$B9,'Historical Expenditure-Volumes'!E$9:E$22)/1000
+SUMIF('Historical Contributions'!$B$8:$B$21,'Gross Capex'!$B9,'Historical Contributions'!D$8:D$21)/1000</f>
        <v>0</v>
      </c>
      <c r="G9" s="159">
        <f>SUMIF('Historical Expenditure-Volumes'!$B$9:$B$22,'Gross Capex'!$B9,'Historical Expenditure-Volumes'!F$9:F$22)/1000
+SUMIF('Historical Contributions'!$B$8:$B$21,'Gross Capex'!$B9,'Historical Contributions'!E$8:E$21)/1000</f>
        <v>0</v>
      </c>
      <c r="H9" s="159">
        <f>SUMIF('Historical Expenditure-Volumes'!$B$9:$B$22,'Gross Capex'!$B9,'Historical Expenditure-Volumes'!G$9:G$22)/1000
+SUMIF('Historical Contributions'!$B$8:$B$21,'Gross Capex'!$B9,'Historical Contributions'!F$8:F$21)/1000</f>
        <v>0</v>
      </c>
      <c r="I9" s="91">
        <f>SUMIF('Forecast Expenditure-Volumes'!$B$95:$B$108,'Gross Capex'!$B9,'Forecast Expenditure-Volumes'!G$95:G$108)/1000
+SUMIF('Forecast Contributions'!$B$8:$B$20,'Gross Capex'!$B9,'Forecast Contributions'!G$8:G$20)/1000</f>
        <v>0</v>
      </c>
      <c r="J9" s="91">
        <f>SUMIF('Forecast Expenditure-Volumes'!$B$95:$B$108,'Gross Capex'!$B9,'Forecast Expenditure-Volumes'!H$95:H$108)/1000
+SUMIF('Forecast Contributions'!$B$8:$B$20,'Gross Capex'!$B9,'Forecast Contributions'!H$8:H$20)/1000</f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3"/>
      <c r="Q9" s="3"/>
      <c r="R9" s="3"/>
      <c r="S9" s="3"/>
      <c r="T9" s="3"/>
    </row>
    <row r="10" spans="1:20" x14ac:dyDescent="0.2">
      <c r="A10" s="3"/>
      <c r="B10" s="36">
        <v>104</v>
      </c>
      <c r="C10" s="33" t="s">
        <v>85</v>
      </c>
      <c r="D10" s="3"/>
      <c r="E10" s="3"/>
      <c r="F10" s="159">
        <f>SUMIF('Historical Expenditure-Volumes'!$B$9:$B$22,'Gross Capex'!$B10,'Historical Expenditure-Volumes'!E$9:E$22)/1000
+SUMIF('Historical Contributions'!$B$8:$B$21,'Gross Capex'!$B10,'Historical Contributions'!D$8:D$21)/1000</f>
        <v>44590.728741901985</v>
      </c>
      <c r="G10" s="159">
        <f>SUMIF('Historical Expenditure-Volumes'!$B$9:$B$22,'Gross Capex'!$B10,'Historical Expenditure-Volumes'!F$9:F$22)/1000
+SUMIF('Historical Contributions'!$B$8:$B$21,'Gross Capex'!$B10,'Historical Contributions'!E$8:E$21)/1000</f>
        <v>51921.253284999999</v>
      </c>
      <c r="H10" s="159">
        <f>SUMIF('Historical Expenditure-Volumes'!$B$9:$B$22,'Gross Capex'!$B10,'Historical Expenditure-Volumes'!G$9:G$22)/1000
+SUMIF('Historical Contributions'!$B$8:$B$21,'Gross Capex'!$B10,'Historical Contributions'!F$8:F$21)/1000</f>
        <v>63509.397870154164</v>
      </c>
      <c r="I10" s="91">
        <f ca="1">SUMIF('Forecast Expenditure-Volumes'!$B$95:$B$108,'Gross Capex'!$B10,'Forecast Expenditure-Volumes'!G$95:G$108)/1000
+SUMIF('Forecast Contributions'!$B$8:$B$20,'Gross Capex'!$B10,'Forecast Contributions'!G$8:G$20)/1000</f>
        <v>56064.840381865317</v>
      </c>
      <c r="J10" s="91">
        <f ca="1">SUMIF('Forecast Expenditure-Volumes'!$B$95:$B$108,'Gross Capex'!$B10,'Forecast Expenditure-Volumes'!H$95:H$108)/1000
+SUMIF('Forecast Contributions'!$B$8:$B$20,'Gross Capex'!$B10,'Forecast Contributions'!H$8:H$20)/1000</f>
        <v>56085.214611592666</v>
      </c>
      <c r="K10" s="204">
        <v>31095.379228677564</v>
      </c>
      <c r="L10" s="204">
        <v>55551.257964336444</v>
      </c>
      <c r="M10" s="204">
        <v>56204.978669769873</v>
      </c>
      <c r="N10" s="204">
        <v>56297.152088863433</v>
      </c>
      <c r="O10" s="204">
        <v>56300.530774248764</v>
      </c>
      <c r="P10" s="3"/>
      <c r="Q10" s="3"/>
      <c r="R10" s="3"/>
      <c r="S10" s="3"/>
      <c r="T10" s="3"/>
    </row>
    <row r="11" spans="1:20" x14ac:dyDescent="0.2">
      <c r="A11" s="3"/>
      <c r="B11" s="36">
        <v>105</v>
      </c>
      <c r="C11" s="33" t="s">
        <v>86</v>
      </c>
      <c r="D11" s="3"/>
      <c r="E11" s="3"/>
      <c r="F11" s="159">
        <f>SUMIF('Historical Expenditure-Volumes'!$B$9:$B$22,'Gross Capex'!$B11,'Historical Expenditure-Volumes'!E$9:E$22)/1000
+SUMIF('Historical Contributions'!$B$8:$B$21,'Gross Capex'!$B11,'Historical Contributions'!D$8:D$21)/1000</f>
        <v>6516.378888863992</v>
      </c>
      <c r="G11" s="159">
        <f>SUMIF('Historical Expenditure-Volumes'!$B$9:$B$22,'Gross Capex'!$B11,'Historical Expenditure-Volumes'!F$9:F$22)/1000
+SUMIF('Historical Contributions'!$B$8:$B$21,'Gross Capex'!$B11,'Historical Contributions'!E$8:E$21)/1000</f>
        <v>6269.5626849999908</v>
      </c>
      <c r="H11" s="159">
        <f>SUMIF('Historical Expenditure-Volumes'!$B$9:$B$22,'Gross Capex'!$B11,'Historical Expenditure-Volumes'!G$9:G$22)/1000
+SUMIF('Historical Contributions'!$B$8:$B$21,'Gross Capex'!$B11,'Historical Contributions'!F$8:F$21)/1000</f>
        <v>7408.1150185513061</v>
      </c>
      <c r="I11" s="91">
        <f ca="1">SUMIF('Forecast Expenditure-Volumes'!$B$95:$B$108,'Gross Capex'!$B11,'Forecast Expenditure-Volumes'!G$95:G$108)/1000
+SUMIF('Forecast Contributions'!$B$8:$B$20,'Gross Capex'!$B11,'Forecast Contributions'!G$8:G$20)/1000</f>
        <v>7382.7649348032683</v>
      </c>
      <c r="J11" s="91">
        <f ca="1">SUMIF('Forecast Expenditure-Volumes'!$B$95:$B$108,'Gross Capex'!$B11,'Forecast Expenditure-Volumes'!H$95:H$108)/1000
+SUMIF('Forecast Contributions'!$B$8:$B$20,'Gross Capex'!$B11,'Forecast Contributions'!H$8:H$20)/1000</f>
        <v>7174.2294470384022</v>
      </c>
      <c r="K11" s="199">
        <f>3966.2427177419/'Forecast Contributions'!L4</f>
        <v>6838.3495133481038</v>
      </c>
      <c r="L11" s="204">
        <v>6371.2060775283262</v>
      </c>
      <c r="M11" s="204">
        <v>6488.3470412756169</v>
      </c>
      <c r="N11" s="204">
        <v>6847.5322786280076</v>
      </c>
      <c r="O11" s="204">
        <v>6876.594348986584</v>
      </c>
      <c r="P11" s="3"/>
      <c r="Q11" s="73"/>
      <c r="R11" s="3"/>
      <c r="S11" s="3"/>
      <c r="T11" s="3"/>
    </row>
    <row r="12" spans="1:20" x14ac:dyDescent="0.2">
      <c r="A12" s="3"/>
      <c r="B12" s="36">
        <v>106</v>
      </c>
      <c r="C12" s="33" t="s">
        <v>87</v>
      </c>
      <c r="D12" s="3"/>
      <c r="E12" s="3"/>
      <c r="F12" s="159">
        <f>SUMIF('Historical Expenditure-Volumes'!$B$9:$B$22,'Gross Capex'!$B12,'Historical Expenditure-Volumes'!E$9:E$22)/1000
+SUMIF('Historical Contributions'!$B$8:$B$21,'Gross Capex'!$B12,'Historical Contributions'!D$8:D$21)/1000</f>
        <v>7502.7334699215171</v>
      </c>
      <c r="G12" s="159">
        <f>SUMIF('Historical Expenditure-Volumes'!$B$9:$B$22,'Gross Capex'!$B12,'Historical Expenditure-Volumes'!F$9:F$22)/1000
+SUMIF('Historical Contributions'!$B$8:$B$21,'Gross Capex'!$B12,'Historical Contributions'!E$8:E$21)/1000</f>
        <v>8570.1610349999992</v>
      </c>
      <c r="H12" s="159">
        <f>SUMIF('Historical Expenditure-Volumes'!$B$9:$B$22,'Gross Capex'!$B12,'Historical Expenditure-Volumes'!G$9:G$22)/1000
+SUMIF('Historical Contributions'!$B$8:$B$21,'Gross Capex'!$B12,'Historical Contributions'!F$8:F$21)/1000</f>
        <v>9456.5496444648161</v>
      </c>
      <c r="I12" s="91">
        <f ca="1">SUMIF('Forecast Expenditure-Volumes'!$B$95:$B$108,'Gross Capex'!$B12,'Forecast Expenditure-Volumes'!G$95:G$108)/1000
+SUMIF('Forecast Contributions'!$B$8:$B$20,'Gross Capex'!$B12,'Forecast Contributions'!G$8:G$20)/1000</f>
        <v>8510.8712793076575</v>
      </c>
      <c r="J12" s="91">
        <f ca="1">SUMIF('Forecast Expenditure-Volumes'!$B$95:$B$108,'Gross Capex'!$B12,'Forecast Expenditure-Volumes'!H$95:H$108)/1000
+SUMIF('Forecast Contributions'!$B$8:$B$20,'Gross Capex'!$B12,'Forecast Contributions'!H$8:H$20)/1000</f>
        <v>8080.3712014734447</v>
      </c>
      <c r="K12" s="199">
        <f>4453.43959514802/'Forecast Contributions'!L4</f>
        <v>7678.3441295655521</v>
      </c>
      <c r="L12" s="204">
        <v>7342.6131440491945</v>
      </c>
      <c r="M12" s="204">
        <v>7514.8809555062307</v>
      </c>
      <c r="N12" s="204">
        <v>7807.6926906173312</v>
      </c>
      <c r="O12" s="204">
        <v>7706.0057792583239</v>
      </c>
      <c r="P12" s="3"/>
      <c r="Q12" s="73"/>
      <c r="R12" s="3"/>
      <c r="S12" s="3"/>
      <c r="T12" s="3"/>
    </row>
    <row r="13" spans="1:20" x14ac:dyDescent="0.2">
      <c r="A13" s="3"/>
      <c r="B13" s="36">
        <v>107</v>
      </c>
      <c r="C13" s="33" t="s">
        <v>88</v>
      </c>
      <c r="D13" s="3"/>
      <c r="E13" s="3"/>
      <c r="F13" s="159">
        <f>SUMIF('Historical Expenditure-Volumes'!$B$9:$B$22,'Gross Capex'!$B13,'Historical Expenditure-Volumes'!E$9:E$22)/1000
+SUMIF('Historical Contributions'!$B$8:$B$21,'Gross Capex'!$B13,'Historical Contributions'!D$8:D$21)/1000</f>
        <v>5129.8905499999992</v>
      </c>
      <c r="G13" s="159">
        <f>SUMIF('Historical Expenditure-Volumes'!$B$9:$B$22,'Gross Capex'!$B13,'Historical Expenditure-Volumes'!F$9:F$22)/1000
+SUMIF('Historical Contributions'!$B$8:$B$21,'Gross Capex'!$B13,'Historical Contributions'!E$8:E$21)/1000</f>
        <v>4863.52729</v>
      </c>
      <c r="H13" s="159">
        <f>SUMIF('Historical Expenditure-Volumes'!$B$9:$B$22,'Gross Capex'!$B13,'Historical Expenditure-Volumes'!G$9:G$22)/1000
+SUMIF('Historical Contributions'!$B$8:$B$21,'Gross Capex'!$B13,'Historical Contributions'!F$8:F$21)/1000</f>
        <v>1617.9483770602967</v>
      </c>
      <c r="I13" s="91">
        <f ca="1">SUMIF('Forecast Expenditure-Volumes'!$B$95:$B$108,'Gross Capex'!$B13,'Forecast Expenditure-Volumes'!G$95:G$108)/1000
+SUMIF('Forecast Contributions'!$B$8:$B$20,'Gross Capex'!$B13,'Forecast Contributions'!G$8:G$20)/1000</f>
        <v>3443.617480252467</v>
      </c>
      <c r="J13" s="91">
        <f ca="1">SUMIF('Forecast Expenditure-Volumes'!$B$95:$B$108,'Gross Capex'!$B13,'Forecast Expenditure-Volumes'!H$95:H$108)/1000
+SUMIF('Forecast Contributions'!$B$8:$B$20,'Gross Capex'!$B13,'Forecast Contributions'!H$8:H$20)/1000</f>
        <v>3443.617480252467</v>
      </c>
      <c r="K13" s="199">
        <f>1894.45904619553/'Forecast Contributions'!L4</f>
        <v>3266.3087003371206</v>
      </c>
      <c r="L13" s="204">
        <v>3358.0987754538614</v>
      </c>
      <c r="M13" s="204">
        <v>3393.5753068862123</v>
      </c>
      <c r="N13" s="204">
        <v>3387.999399494644</v>
      </c>
      <c r="O13" s="204">
        <v>3371.6668354991066</v>
      </c>
      <c r="P13" s="3"/>
      <c r="Q13" s="73"/>
      <c r="R13" s="3"/>
      <c r="S13" s="3"/>
      <c r="T13" s="3"/>
    </row>
    <row r="14" spans="1:20" x14ac:dyDescent="0.2">
      <c r="A14" s="3"/>
      <c r="B14" s="36">
        <v>108</v>
      </c>
      <c r="C14" s="33" t="s">
        <v>89</v>
      </c>
      <c r="D14" s="3"/>
      <c r="E14" s="3"/>
      <c r="F14" s="159">
        <f>SUMIF('Historical Expenditure-Volumes'!$B$9:$B$22,'Gross Capex'!$B14,'Historical Expenditure-Volumes'!E$9:E$22)/1000
+SUMIF('Historical Contributions'!$B$8:$B$21,'Gross Capex'!$B14,'Historical Contributions'!D$8:D$21)/1000</f>
        <v>3816.7282154297286</v>
      </c>
      <c r="G14" s="159">
        <f>SUMIF('Historical Expenditure-Volumes'!$B$9:$B$22,'Gross Capex'!$B14,'Historical Expenditure-Volumes'!F$9:F$22)/1000
+SUMIF('Historical Contributions'!$B$8:$B$21,'Gross Capex'!$B14,'Historical Contributions'!E$8:E$21)/1000</f>
        <v>4377.7732649999998</v>
      </c>
      <c r="H14" s="159">
        <f>SUMIF('Historical Expenditure-Volumes'!$B$9:$B$22,'Gross Capex'!$B14,'Historical Expenditure-Volumes'!G$9:G$22)/1000
+SUMIF('Historical Contributions'!$B$8:$B$21,'Gross Capex'!$B14,'Historical Contributions'!F$8:F$21)/1000</f>
        <v>5030.7510564119784</v>
      </c>
      <c r="I14" s="91">
        <f ca="1">SUMIF('Forecast Expenditure-Volumes'!$B$95:$B$108,'Gross Capex'!$B14,'Forecast Expenditure-Volumes'!G$95:G$108)/1000
+SUMIF('Forecast Contributions'!$B$8:$B$20,'Gross Capex'!$B14,'Forecast Contributions'!G$8:G$20)/1000</f>
        <v>4778.2239454667651</v>
      </c>
      <c r="J14" s="91">
        <f ca="1">SUMIF('Forecast Expenditure-Volumes'!$B$95:$B$108,'Gross Capex'!$B14,'Forecast Expenditure-Volumes'!H$95:H$108)/1000
+SUMIF('Forecast Contributions'!$B$8:$B$20,'Gross Capex'!$B14,'Forecast Contributions'!H$8:H$20)/1000</f>
        <v>4701.2057097311763</v>
      </c>
      <c r="K14" s="199">
        <f>2611.19139178943/'Forecast Contributions'!L4</f>
        <v>4502.0541237748794</v>
      </c>
      <c r="L14" s="204">
        <v>4679.5345570554982</v>
      </c>
      <c r="M14" s="204">
        <v>4759.5269614034351</v>
      </c>
      <c r="N14" s="204">
        <v>4744.7104673205122</v>
      </c>
      <c r="O14" s="204">
        <v>4722.3863933556222</v>
      </c>
      <c r="P14" s="3"/>
      <c r="Q14" s="73"/>
      <c r="R14" s="3"/>
      <c r="S14" s="3"/>
      <c r="T14" s="3"/>
    </row>
    <row r="15" spans="1:20" x14ac:dyDescent="0.2">
      <c r="A15" s="3"/>
      <c r="B15" s="36">
        <v>109</v>
      </c>
      <c r="C15" s="33" t="s">
        <v>90</v>
      </c>
      <c r="D15" s="3"/>
      <c r="E15" s="3"/>
      <c r="F15" s="159">
        <f>SUMIF('Historical Expenditure-Volumes'!$B$9:$B$22,'Gross Capex'!$B15,'Historical Expenditure-Volumes'!E$9:E$22)/1000
+SUMIF('Historical Contributions'!$B$8:$B$21,'Gross Capex'!$B15,'Historical Contributions'!D$8:D$21)/1000</f>
        <v>10912.326094999999</v>
      </c>
      <c r="G15" s="159">
        <f>SUMIF('Historical Expenditure-Volumes'!$B$9:$B$22,'Gross Capex'!$B15,'Historical Expenditure-Volumes'!F$9:F$22)/1000
+SUMIF('Historical Contributions'!$B$8:$B$21,'Gross Capex'!$B15,'Historical Contributions'!E$8:E$21)/1000</f>
        <v>10857.659940000001</v>
      </c>
      <c r="H15" s="159">
        <f>SUMIF('Historical Expenditure-Volumes'!$B$9:$B$22,'Gross Capex'!$B15,'Historical Expenditure-Volumes'!G$9:G$22)/1000
+SUMIF('Historical Contributions'!$B$8:$B$21,'Gross Capex'!$B15,'Historical Contributions'!F$8:F$21)/1000</f>
        <v>12154.343165595958</v>
      </c>
      <c r="I15" s="91">
        <f ca="1">SUMIF('Forecast Expenditure-Volumes'!$B$95:$B$108,'Gross Capex'!$B15,'Forecast Expenditure-Volumes'!G$95:G$108)/1000
+SUMIF('Forecast Contributions'!$B$8:$B$20,'Gross Capex'!$B15,'Forecast Contributions'!G$8:G$20)/1000</f>
        <v>12088.285513844394</v>
      </c>
      <c r="J15" s="91">
        <f ca="1">SUMIF('Forecast Expenditure-Volumes'!$B$95:$B$108,'Gross Capex'!$B15,'Forecast Expenditure-Volumes'!H$95:H$108)/1000
+SUMIF('Forecast Contributions'!$B$8:$B$20,'Gross Capex'!$B15,'Forecast Contributions'!H$8:H$20)/1000</f>
        <v>12105.849575250873</v>
      </c>
      <c r="K15" s="204">
        <v>6899.6745254441894</v>
      </c>
      <c r="L15" s="204">
        <v>12602.796721510862</v>
      </c>
      <c r="M15" s="204">
        <v>12793.595389965754</v>
      </c>
      <c r="N15" s="204">
        <v>12931.718867118974</v>
      </c>
      <c r="O15" s="204">
        <v>13106.35927234705</v>
      </c>
      <c r="P15" s="3"/>
      <c r="Q15" s="73"/>
      <c r="R15" s="73"/>
      <c r="S15" s="3"/>
      <c r="T15" s="3"/>
    </row>
    <row r="16" spans="1:20" x14ac:dyDescent="0.2">
      <c r="A16" s="3"/>
      <c r="B16" s="36">
        <v>110</v>
      </c>
      <c r="C16" s="33" t="s">
        <v>91</v>
      </c>
      <c r="D16" s="3"/>
      <c r="E16" s="3"/>
      <c r="F16" s="159">
        <f>SUMIF('Historical Expenditure-Volumes'!$B$9:$B$22,'Gross Capex'!$B16,'Historical Expenditure-Volumes'!E$9:E$22)/1000
+SUMIF('Historical Contributions'!$B$8:$B$21,'Gross Capex'!$B16,'Historical Contributions'!D$8:D$21)/1000</f>
        <v>2617.3117656370096</v>
      </c>
      <c r="G16" s="159">
        <f>SUMIF('Historical Expenditure-Volumes'!$B$9:$B$22,'Gross Capex'!$B16,'Historical Expenditure-Volumes'!F$9:F$22)/1000
+SUMIF('Historical Contributions'!$B$8:$B$21,'Gross Capex'!$B16,'Historical Contributions'!E$8:E$21)/1000</f>
        <v>3234.2480249999999</v>
      </c>
      <c r="H16" s="159">
        <f>SUMIF('Historical Expenditure-Volumes'!$B$9:$B$22,'Gross Capex'!$B16,'Historical Expenditure-Volumes'!G$9:G$22)/1000
+SUMIF('Historical Contributions'!$B$8:$B$21,'Gross Capex'!$B16,'Historical Contributions'!F$8:F$21)/1000</f>
        <v>3855.1402469548721</v>
      </c>
      <c r="I16" s="91">
        <f ca="1">SUMIF('Forecast Expenditure-Volumes'!$B$95:$B$108,'Gross Capex'!$B16,'Forecast Expenditure-Volumes'!G$95:G$108)/1000
+SUMIF('Forecast Contributions'!$B$8:$B$20,'Gross Capex'!$B16,'Forecast Contributions'!G$8:G$20)/1000</f>
        <v>3410.5315852307758</v>
      </c>
      <c r="J16" s="91">
        <f ca="1">SUMIF('Forecast Expenditure-Volumes'!$B$95:$B$108,'Gross Capex'!$B16,'Forecast Expenditure-Volumes'!H$95:H$108)/1000
+SUMIF('Forecast Contributions'!$B$8:$B$20,'Gross Capex'!$B16,'Forecast Contributions'!H$8:H$20)/1000</f>
        <v>3413.5368079558175</v>
      </c>
      <c r="K16" s="204">
        <v>1917.3161031100983</v>
      </c>
      <c r="L16" s="204">
        <v>3462.335502552899</v>
      </c>
      <c r="M16" s="204">
        <v>3508.7760130554161</v>
      </c>
      <c r="N16" s="204">
        <v>3530.2340526634935</v>
      </c>
      <c r="O16" s="204">
        <v>3553.7536951899901</v>
      </c>
      <c r="P16" s="3"/>
      <c r="Q16" s="3"/>
      <c r="R16" s="3"/>
      <c r="S16" s="3"/>
      <c r="T16" s="3"/>
    </row>
    <row r="17" spans="1:20" x14ac:dyDescent="0.2">
      <c r="A17" s="3"/>
      <c r="B17" s="36">
        <v>111</v>
      </c>
      <c r="C17" s="33" t="s">
        <v>92</v>
      </c>
      <c r="D17" s="3"/>
      <c r="E17" s="3"/>
      <c r="F17" s="159">
        <f>SUMIF('Historical Expenditure-Volumes'!$B$9:$B$22,'Gross Capex'!$B17,'Historical Expenditure-Volumes'!E$9:E$22)/1000
+SUMIF('Historical Contributions'!$B$8:$B$21,'Gross Capex'!$B17,'Historical Contributions'!D$8:D$21)/1000</f>
        <v>9511.2634638756863</v>
      </c>
      <c r="G17" s="159">
        <f>SUMIF('Historical Expenditure-Volumes'!$B$9:$B$22,'Gross Capex'!$B17,'Historical Expenditure-Volumes'!F$9:F$22)/1000
+SUMIF('Historical Contributions'!$B$8:$B$21,'Gross Capex'!$B17,'Historical Contributions'!E$8:E$21)/1000</f>
        <v>9056.7248350000009</v>
      </c>
      <c r="H17" s="159">
        <f>SUMIF('Historical Expenditure-Volumes'!$B$9:$B$22,'Gross Capex'!$B17,'Historical Expenditure-Volumes'!G$9:G$22)/1000
+SUMIF('Historical Contributions'!$B$8:$B$21,'Gross Capex'!$B17,'Historical Contributions'!F$8:F$21)/1000</f>
        <v>6982.160385864262</v>
      </c>
      <c r="I17" s="91">
        <f ca="1">SUMIF('Forecast Expenditure-Volumes'!$B$95:$B$108,'Gross Capex'!$B17,'Forecast Expenditure-Volumes'!G$95:G$108)/1000
+SUMIF('Forecast Contributions'!$B$8:$B$20,'Gross Capex'!$B17,'Forecast Contributions'!G$8:G$20)/1000</f>
        <v>8880.0964336124453</v>
      </c>
      <c r="J17" s="91">
        <f ca="1">SUMIF('Forecast Expenditure-Volumes'!$B$95:$B$108,'Gross Capex'!$B17,'Forecast Expenditure-Volumes'!H$95:H$108)/1000
+SUMIF('Forecast Contributions'!$B$8:$B$20,'Gross Capex'!$B17,'Forecast Contributions'!H$8:H$20)/1000</f>
        <v>8767.8481297634316</v>
      </c>
      <c r="K17" s="199">
        <f>4989.864150649/'Forecast Contributions'!L4</f>
        <v>8603.2140528431046</v>
      </c>
      <c r="L17" s="204">
        <v>8659.0610627024944</v>
      </c>
      <c r="M17" s="204">
        <v>8827.5841649535414</v>
      </c>
      <c r="N17" s="204">
        <v>8995.007430076068</v>
      </c>
      <c r="O17" s="204">
        <v>8943.1216604287147</v>
      </c>
      <c r="P17" s="3"/>
      <c r="Q17" s="73"/>
      <c r="R17" s="3"/>
      <c r="S17" s="3"/>
      <c r="T17" s="3"/>
    </row>
    <row r="18" spans="1:20" x14ac:dyDescent="0.2">
      <c r="A18" s="3"/>
      <c r="B18" s="36">
        <v>112</v>
      </c>
      <c r="C18" s="33" t="s">
        <v>93</v>
      </c>
      <c r="D18" s="3"/>
      <c r="E18" s="3"/>
      <c r="F18" s="159">
        <f>SUMIF('Historical Expenditure-Volumes'!$B$9:$B$22,'Gross Capex'!$B18,'Historical Expenditure-Volumes'!E$9:E$22)/1000
+SUMIF('Historical Contributions'!$B$8:$B$21,'Gross Capex'!$B18,'Historical Contributions'!D$8:D$21)/1000</f>
        <v>0</v>
      </c>
      <c r="G18" s="159">
        <f>SUMIF('Historical Expenditure-Volumes'!$B$9:$B$22,'Gross Capex'!$B18,'Historical Expenditure-Volumes'!F$9:F$22)/1000
+SUMIF('Historical Contributions'!$B$8:$B$21,'Gross Capex'!$B18,'Historical Contributions'!E$8:E$21)/1000</f>
        <v>0</v>
      </c>
      <c r="H18" s="159">
        <f>SUMIF('Historical Expenditure-Volumes'!$B$9:$B$22,'Gross Capex'!$B18,'Historical Expenditure-Volumes'!G$9:G$22)/1000
+SUMIF('Historical Contributions'!$B$8:$B$21,'Gross Capex'!$B18,'Historical Contributions'!F$8:F$21)/1000</f>
        <v>0</v>
      </c>
      <c r="I18" s="91">
        <f>SUMIF('Forecast Expenditure-Volumes'!$B$95:$B$108,'Gross Capex'!$B18,'Forecast Expenditure-Volumes'!G$95:G$108)/1000
+SUMIF('Forecast Contributions'!$B$8:$B$20,'Gross Capex'!$B18,'Forecast Contributions'!G$8:G$20)/1000</f>
        <v>0</v>
      </c>
      <c r="J18" s="91">
        <f>SUMIF('Forecast Expenditure-Volumes'!$B$95:$B$108,'Gross Capex'!$B18,'Forecast Expenditure-Volumes'!H$95:H$108)/1000
+SUMIF('Forecast Contributions'!$B$8:$B$20,'Gross Capex'!$B18,'Forecast Contributions'!H$8:H$20)/1000</f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3"/>
      <c r="Q18" s="114"/>
      <c r="R18" s="3"/>
      <c r="S18" s="3"/>
      <c r="T18" s="3"/>
    </row>
    <row r="19" spans="1:20" x14ac:dyDescent="0.2">
      <c r="A19" s="3"/>
      <c r="B19" s="36">
        <v>113</v>
      </c>
      <c r="C19" s="33" t="s">
        <v>94</v>
      </c>
      <c r="D19" s="3"/>
      <c r="E19" s="3"/>
      <c r="F19" s="159">
        <f>SUMIF('Historical Expenditure-Volumes'!$B$9:$B$22,'Gross Capex'!$B19,'Historical Expenditure-Volumes'!E$9:E$22)/1000
+SUMIF('Historical Contributions'!$B$8:$B$21,'Gross Capex'!$B19,'Historical Contributions'!D$8:D$21)/1000</f>
        <v>0</v>
      </c>
      <c r="G19" s="159">
        <f>SUMIF('Historical Expenditure-Volumes'!$B$9:$B$22,'Gross Capex'!$B19,'Historical Expenditure-Volumes'!F$9:F$22)/1000
+SUMIF('Historical Contributions'!$B$8:$B$21,'Gross Capex'!$B19,'Historical Contributions'!E$8:E$21)/1000</f>
        <v>0</v>
      </c>
      <c r="H19" s="159">
        <f>SUMIF('Historical Expenditure-Volumes'!$B$9:$B$22,'Gross Capex'!$B19,'Historical Expenditure-Volumes'!G$9:G$22)/1000
+SUMIF('Historical Contributions'!$B$8:$B$21,'Gross Capex'!$B19,'Historical Contributions'!F$8:F$21)/1000</f>
        <v>0</v>
      </c>
      <c r="I19" s="91">
        <f>SUMIF('Forecast Expenditure-Volumes'!$B$95:$B$108,'Gross Capex'!$B19,'Forecast Expenditure-Volumes'!G$95:G$108)/1000
+SUMIF('Forecast Contributions'!$B$8:$B$20,'Gross Capex'!$B19,'Forecast Contributions'!G$8:G$20)/1000</f>
        <v>0</v>
      </c>
      <c r="J19" s="91">
        <f>SUMIF('Forecast Expenditure-Volumes'!$B$95:$B$108,'Gross Capex'!$B19,'Forecast Expenditure-Volumes'!H$95:H$108)/1000
+SUMIF('Forecast Contributions'!$B$8:$B$20,'Gross Capex'!$B19,'Forecast Contributions'!H$8:H$20)/1000</f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3"/>
      <c r="Q19" s="93"/>
      <c r="R19" s="93"/>
      <c r="S19" s="3"/>
      <c r="T19" s="3"/>
    </row>
    <row r="20" spans="1:20" x14ac:dyDescent="0.2">
      <c r="A20" s="3"/>
      <c r="B20" s="36">
        <v>114</v>
      </c>
      <c r="C20" s="33" t="s">
        <v>95</v>
      </c>
      <c r="D20" s="3"/>
      <c r="E20" s="3"/>
      <c r="F20" s="159">
        <f>SUMIF('Historical Expenditure-Volumes'!$B$9:$B$22,'Gross Capex'!$B20,'Historical Expenditure-Volumes'!E$9:E$22)/1000
+SUMIF('Historical Contributions'!$B$8:$B$21,'Gross Capex'!$B20,'Historical Contributions'!D$8:D$21)/1000</f>
        <v>0</v>
      </c>
      <c r="G20" s="159">
        <f>SUMIF('Historical Expenditure-Volumes'!$B$9:$B$22,'Gross Capex'!$B20,'Historical Expenditure-Volumes'!F$9:F$22)/1000
+SUMIF('Historical Contributions'!$B$8:$B$21,'Gross Capex'!$B20,'Historical Contributions'!E$8:E$21)/1000</f>
        <v>0</v>
      </c>
      <c r="H20" s="159">
        <f>SUMIF('Historical Expenditure-Volumes'!$B$9:$B$22,'Gross Capex'!$B20,'Historical Expenditure-Volumes'!G$9:G$22)/1000
+SUMIF('Historical Contributions'!$B$8:$B$21,'Gross Capex'!$B20,'Historical Contributions'!F$8:F$21)/1000</f>
        <v>0</v>
      </c>
      <c r="I20" s="91">
        <f ca="1">SUMIF('Forecast Expenditure-Volumes'!$B$95:$B$108,'Gross Capex'!$B20,'Forecast Expenditure-Volumes'!G$95:G$108)/1000
+SUMIF('Forecast Contributions'!$B$8:$B$20,'Gross Capex'!$B20,'Forecast Contributions'!G$8:G$20)/1000</f>
        <v>0</v>
      </c>
      <c r="J20" s="91">
        <f ca="1">SUMIF('Forecast Expenditure-Volumes'!$B$95:$B$108,'Gross Capex'!$B20,'Forecast Expenditure-Volumes'!H$95:H$108)/1000
+SUMIF('Forecast Contributions'!$B$8:$B$20,'Gross Capex'!$B20,'Forecast Contributions'!H$8:H$20)/1000</f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3"/>
      <c r="Q20" s="3"/>
      <c r="R20" s="3"/>
      <c r="S20" s="3"/>
      <c r="T20" s="3"/>
    </row>
    <row r="21" spans="1:20" x14ac:dyDescent="0.2">
      <c r="A21" s="3"/>
      <c r="B21" s="36">
        <v>115</v>
      </c>
      <c r="C21" s="33" t="s">
        <v>96</v>
      </c>
      <c r="D21" s="3"/>
      <c r="E21" s="3"/>
      <c r="F21" s="159">
        <f>SUMIF('Historical Expenditure-Volumes'!$B$9:$B$22,'Gross Capex'!$B21,'Historical Expenditure-Volumes'!E$9:E$22)/1000
+SUMIF('Historical Contributions'!$B$8:$B$21,'Gross Capex'!$B21,'Historical Contributions'!D$8:D$21)/1000</f>
        <v>0</v>
      </c>
      <c r="G21" s="159">
        <f>SUMIF('Historical Expenditure-Volumes'!$B$9:$B$22,'Gross Capex'!$B21,'Historical Expenditure-Volumes'!F$9:F$22)/1000
+SUMIF('Historical Contributions'!$B$8:$B$21,'Gross Capex'!$B21,'Historical Contributions'!E$8:E$21)/1000</f>
        <v>0</v>
      </c>
      <c r="H21" s="159">
        <f>SUMIF('Historical Expenditure-Volumes'!$B$9:$B$22,'Gross Capex'!$B21,'Historical Expenditure-Volumes'!G$9:G$22)/1000
+SUMIF('Historical Contributions'!$B$8:$B$21,'Gross Capex'!$B21,'Historical Contributions'!F$8:F$21)/1000</f>
        <v>0</v>
      </c>
      <c r="I21" s="91">
        <f ca="1">SUMIF('Forecast Expenditure-Volumes'!$B$95:$B$108,'Gross Capex'!$B21,'Forecast Expenditure-Volumes'!G$95:G$108)/1000
+SUMIF('Forecast Contributions'!$B$8:$B$20,'Gross Capex'!$B21,'Forecast Contributions'!G$8:G$20)/1000</f>
        <v>0</v>
      </c>
      <c r="J21" s="91">
        <f ca="1">SUMIF('Forecast Expenditure-Volumes'!$B$95:$B$108,'Gross Capex'!$B21,'Forecast Expenditure-Volumes'!H$95:H$108)/1000
+SUMIF('Forecast Contributions'!$B$8:$B$20,'Gross Capex'!$B21,'Forecast Contributions'!H$8:H$20)/1000</f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3"/>
      <c r="Q21" s="73"/>
      <c r="R21" s="3"/>
      <c r="S21" s="3"/>
      <c r="T21" s="3"/>
    </row>
    <row r="22" spans="1:20" x14ac:dyDescent="0.2">
      <c r="A22" s="3"/>
      <c r="B22" s="36">
        <v>116</v>
      </c>
      <c r="C22" s="33" t="s">
        <v>97</v>
      </c>
      <c r="D22" s="3"/>
      <c r="E22" s="3"/>
      <c r="F22" s="159">
        <f>SUMIF('Historical Expenditure-Volumes'!$B$9:$B$22,'Gross Capex'!$B22,'Historical Expenditure-Volumes'!E$9:E$22)/1000
+SUMIF('Historical Contributions'!$B$8:$B$21,'Gross Capex'!$B22,'Historical Contributions'!D$8:D$21)/1000</f>
        <v>24748.439175715852</v>
      </c>
      <c r="G22" s="159">
        <f>SUMIF('Historical Expenditure-Volumes'!$B$9:$B$22,'Gross Capex'!$B22,'Historical Expenditure-Volumes'!F$9:F$22)/1000
+SUMIF('Historical Contributions'!$B$8:$B$21,'Gross Capex'!$B22,'Historical Contributions'!E$8:E$21)/1000</f>
        <v>29561.455965000005</v>
      </c>
      <c r="H22" s="159">
        <f>SUMIF('Historical Expenditure-Volumes'!$B$9:$B$22,'Gross Capex'!$B22,'Historical Expenditure-Volumes'!G$9:G$22)/1000
+SUMIF('Historical Contributions'!$B$8:$B$21,'Gross Capex'!$B22,'Historical Contributions'!F$8:F$21)/1000</f>
        <v>35408.359439329128</v>
      </c>
      <c r="I22" s="91">
        <f ca="1">SUMIF('Forecast Expenditure-Volumes'!$B$95:$B$108,'Gross Capex'!$B22,'Forecast Expenditure-Volumes'!G$95:G$108)/1000
+SUMIF('Forecast Contributions'!$B$8:$B$20,'Gross Capex'!$B22,'Forecast Contributions'!G$8:G$20)/1000</f>
        <v>30895.332872157203</v>
      </c>
      <c r="J22" s="91">
        <f ca="1">SUMIF('Forecast Expenditure-Volumes'!$B$95:$B$108,'Gross Capex'!$B22,'Forecast Expenditure-Volumes'!H$95:H$108)/1000
+SUMIF('Forecast Contributions'!$B$8:$B$20,'Gross Capex'!$B22,'Forecast Contributions'!H$8:H$20)/1000</f>
        <v>30588.825600839078</v>
      </c>
      <c r="K22" s="199">
        <f>16522.3382560738/'Forecast Contributions'!L4</f>
        <v>28486.790096678968</v>
      </c>
      <c r="L22" s="204">
        <v>25102.214319841907</v>
      </c>
      <c r="M22" s="204">
        <v>23230.755492550354</v>
      </c>
      <c r="N22" s="204">
        <v>22099.629351027485</v>
      </c>
      <c r="O22" s="204">
        <v>22023.331530364219</v>
      </c>
      <c r="P22" s="3"/>
      <c r="Q22" s="73"/>
      <c r="R22" s="73"/>
      <c r="S22" s="3"/>
      <c r="T22" s="3"/>
    </row>
    <row r="23" spans="1:20" x14ac:dyDescent="0.2">
      <c r="A23" s="3"/>
      <c r="B23" s="36">
        <v>118</v>
      </c>
      <c r="C23" s="33" t="s">
        <v>98</v>
      </c>
      <c r="D23" s="3"/>
      <c r="E23" s="3"/>
      <c r="F23" s="159">
        <f>SUMIF('Historical Expenditure-Volumes'!$B$9:$B$22,'Gross Capex'!$B23,'Historical Expenditure-Volumes'!E$9:E$22)/1000
+SUMIF('Historical Contributions'!$B$8:$B$21,'Gross Capex'!$B23,'Historical Contributions'!D$8:D$21)/1000</f>
        <v>7893.2972550000004</v>
      </c>
      <c r="G23" s="159">
        <f>SUMIF('Historical Expenditure-Volumes'!$B$9:$B$22,'Gross Capex'!$B23,'Historical Expenditure-Volumes'!F$9:F$22)/1000
+SUMIF('Historical Contributions'!$B$8:$B$21,'Gross Capex'!$B23,'Historical Contributions'!E$8:E$21)/1000</f>
        <v>18705.188865000004</v>
      </c>
      <c r="H23" s="159">
        <f>SUMIF('Historical Expenditure-Volumes'!$B$9:$B$22,'Gross Capex'!$B23,'Historical Expenditure-Volumes'!G$9:G$22)/1000
+SUMIF('Historical Contributions'!$B$8:$B$21,'Gross Capex'!$B23,'Historical Contributions'!F$8:F$21)/1000</f>
        <v>22434.617588295754</v>
      </c>
      <c r="I23" s="91">
        <f ca="1">SUMIF('Forecast Expenditure-Volumes'!$B$95:$B$108,'Gross Capex'!$B23,'Forecast Expenditure-Volumes'!G$95:G$108)/1000
+SUMIF('Forecast Contributions'!$B$8:$B$20,'Gross Capex'!$B23,'Forecast Contributions'!G$8:G$20)/1000</f>
        <v>23549.255318518219</v>
      </c>
      <c r="J23" s="91">
        <f ca="1">SUMIF('Forecast Expenditure-Volumes'!$B$95:$B$108,'Gross Capex'!$B23,'Forecast Expenditure-Volumes'!H$95:H$108)/1000
+SUMIF('Forecast Contributions'!$B$8:$B$20,'Gross Capex'!$B23,'Forecast Contributions'!H$8:H$20)/1000</f>
        <v>23549.255318518219</v>
      </c>
      <c r="K23" s="199">
        <f>12916.0396700033/'Forecast Contributions'!L4</f>
        <v>22269.033913798794</v>
      </c>
      <c r="L23" s="204">
        <v>22894.840132149722</v>
      </c>
      <c r="M23" s="204">
        <v>23136.711967940817</v>
      </c>
      <c r="N23" s="204">
        <v>23098.696555989638</v>
      </c>
      <c r="O23" s="204">
        <v>22987.344428899396</v>
      </c>
      <c r="P23" s="3"/>
      <c r="Q23" s="74"/>
      <c r="R23" s="3"/>
      <c r="S23" s="3"/>
      <c r="T23" s="3"/>
    </row>
    <row r="24" spans="1:20" x14ac:dyDescent="0.2">
      <c r="A24" s="3"/>
      <c r="B24" s="36">
        <v>119</v>
      </c>
      <c r="C24" s="33" t="s">
        <v>99</v>
      </c>
      <c r="D24" s="3"/>
      <c r="E24" s="3"/>
      <c r="F24" s="159">
        <f>SUMIF('Historical Expenditure-Volumes'!$B$9:$B$22,'Gross Capex'!$B24,'Historical Expenditure-Volumes'!E$9:E$22)/1000
+SUMIF('Historical Contributions'!$B$8:$B$21,'Gross Capex'!$B24,'Historical Contributions'!D$8:D$21)/1000</f>
        <v>0</v>
      </c>
      <c r="G24" s="159">
        <f>SUMIF('Historical Expenditure-Volumes'!$B$9:$B$22,'Gross Capex'!$B24,'Historical Expenditure-Volumes'!F$9:F$22)/1000
+SUMIF('Historical Contributions'!$B$8:$B$21,'Gross Capex'!$B24,'Historical Contributions'!E$8:E$21)/1000</f>
        <v>0</v>
      </c>
      <c r="H24" s="159">
        <f>SUMIF('Historical Expenditure-Volumes'!$B$9:$B$22,'Gross Capex'!$B24,'Historical Expenditure-Volumes'!G$9:G$22)/1000
+SUMIF('Historical Contributions'!$B$8:$B$21,'Gross Capex'!$B24,'Historical Contributions'!F$8:F$21)/1000</f>
        <v>0</v>
      </c>
      <c r="I24" s="91">
        <f>SUMIF('Forecast Expenditure-Volumes'!$B$95:$B$108,'Gross Capex'!$B24,'Forecast Expenditure-Volumes'!G$95:G$108)/1000
+SUMIF('Forecast Contributions'!$B$8:$B$20,'Gross Capex'!$B24,'Forecast Contributions'!G$8:G$20)/1000</f>
        <v>0</v>
      </c>
      <c r="J24" s="91">
        <f>SUMIF('Forecast Expenditure-Volumes'!$B$95:$B$108,'Gross Capex'!$B24,'Forecast Expenditure-Volumes'!H$95:H$108)/1000
+SUMIF('Forecast Contributions'!$B$8:$B$20,'Gross Capex'!$B24,'Forecast Contributions'!H$8:H$20)/1000</f>
        <v>0</v>
      </c>
      <c r="K24" s="91">
        <f>SUMIF('Forecast Expenditure-Volumes'!$B$95:$B$108,'Gross Capex'!$B24,'Forecast Expenditure-Volumes'!I$95:I$108)/1000
+SUMIF('Forecast Contributions'!$B$8:$B$20,'Gross Capex'!$B24,'Forecast Contributions'!I$8:I$20)/1000</f>
        <v>0</v>
      </c>
      <c r="L24" s="91">
        <f>SUMIF('Forecast Expenditure-Volumes'!$B$95:$B$108,'Gross Capex'!$B24,'Forecast Expenditure-Volumes'!J$95:J$108)/1000
+SUMIF('Forecast Contributions'!$B$8:$B$20,'Gross Capex'!$B24,'Forecast Contributions'!J$8:J$20)/1000</f>
        <v>0</v>
      </c>
      <c r="M24" s="91">
        <f>SUMIF('Forecast Expenditure-Volumes'!$B$95:$B$108,'Gross Capex'!$B24,'Forecast Expenditure-Volumes'!K$95:K$108)/1000
+SUMIF('Forecast Contributions'!$B$8:$B$20,'Gross Capex'!$B24,'Forecast Contributions'!K$8:K$20)/1000</f>
        <v>0</v>
      </c>
      <c r="N24" s="91">
        <f>SUMIF('Forecast Expenditure-Volumes'!$B$95:$B$108,'Gross Capex'!$B24,'Forecast Expenditure-Volumes'!L$95:L$108)/1000
+SUMIF('Forecast Contributions'!$B$8:$B$20,'Gross Capex'!$B24,'Forecast Contributions'!L$8:L$20)/1000</f>
        <v>0</v>
      </c>
      <c r="O24" s="91">
        <f>SUMIF('Forecast Expenditure-Volumes'!$B$95:$B$108,'Gross Capex'!$B24,'Forecast Expenditure-Volumes'!M$95:M$108)/1000
+SUMIF('Forecast Contributions'!$B$8:$B$20,'Gross Capex'!$B24,'Forecast Contributions'!M$8:M$20)/1000</f>
        <v>0</v>
      </c>
      <c r="P24" s="3"/>
      <c r="Q24" s="73"/>
      <c r="R24" s="3"/>
      <c r="S24" s="3"/>
      <c r="T24" s="3"/>
    </row>
    <row r="25" spans="1:20" x14ac:dyDescent="0.2">
      <c r="A25" s="3"/>
      <c r="B25" s="36">
        <v>120</v>
      </c>
      <c r="C25" s="33" t="s">
        <v>100</v>
      </c>
      <c r="D25" s="3"/>
      <c r="E25" s="3"/>
      <c r="F25" s="159">
        <f>SUMIF('Historical Expenditure-Volumes'!$B$9:$B$22,'Gross Capex'!$B25,'Historical Expenditure-Volumes'!E$9:E$22)/1000
+SUMIF('Historical Contributions'!$B$8:$B$21,'Gross Capex'!$B25,'Historical Contributions'!D$8:D$21)/1000</f>
        <v>0</v>
      </c>
      <c r="G25" s="159">
        <f>SUMIF('Historical Expenditure-Volumes'!$B$9:$B$22,'Gross Capex'!$B25,'Historical Expenditure-Volumes'!F$9:F$22)/1000
+SUMIF('Historical Contributions'!$B$8:$B$21,'Gross Capex'!$B25,'Historical Contributions'!E$8:E$21)/1000</f>
        <v>0</v>
      </c>
      <c r="H25" s="159">
        <f>SUMIF('Historical Expenditure-Volumes'!$B$9:$B$22,'Gross Capex'!$B25,'Historical Expenditure-Volumes'!G$9:G$22)/1000
+SUMIF('Historical Contributions'!$B$8:$B$21,'Gross Capex'!$B25,'Historical Contributions'!F$8:F$21)/1000</f>
        <v>0</v>
      </c>
      <c r="I25" s="91">
        <f>SUMIF('Forecast Expenditure-Volumes'!$B$95:$B$108,'Gross Capex'!$B25,'Forecast Expenditure-Volumes'!G$95:G$108)/1000
+SUMIF('Forecast Contributions'!$B$8:$B$20,'Gross Capex'!$B25,'Forecast Contributions'!G$8:G$20)/1000</f>
        <v>0</v>
      </c>
      <c r="J25" s="91">
        <f>SUMIF('Forecast Expenditure-Volumes'!$B$95:$B$108,'Gross Capex'!$B25,'Forecast Expenditure-Volumes'!H$95:H$108)/1000
+SUMIF('Forecast Contributions'!$B$8:$B$20,'Gross Capex'!$B25,'Forecast Contributions'!H$8:H$20)/1000</f>
        <v>0</v>
      </c>
      <c r="K25" s="91">
        <f>SUMIF('Forecast Expenditure-Volumes'!$B$95:$B$108,'Gross Capex'!$B25,'Forecast Expenditure-Volumes'!I$95:I$108)/1000
+SUMIF('Forecast Contributions'!$B$8:$B$20,'Gross Capex'!$B25,'Forecast Contributions'!I$8:I$20)/1000</f>
        <v>0</v>
      </c>
      <c r="L25" s="91">
        <f>SUMIF('Forecast Expenditure-Volumes'!$B$95:$B$108,'Gross Capex'!$B25,'Forecast Expenditure-Volumes'!J$95:J$108)/1000
+SUMIF('Forecast Contributions'!$B$8:$B$20,'Gross Capex'!$B25,'Forecast Contributions'!J$8:J$20)/1000</f>
        <v>0</v>
      </c>
      <c r="M25" s="91">
        <f>SUMIF('Forecast Expenditure-Volumes'!$B$95:$B$108,'Gross Capex'!$B25,'Forecast Expenditure-Volumes'!K$95:K$108)/1000
+SUMIF('Forecast Contributions'!$B$8:$B$20,'Gross Capex'!$B25,'Forecast Contributions'!K$8:K$20)/1000</f>
        <v>0</v>
      </c>
      <c r="N25" s="91">
        <f>SUMIF('Forecast Expenditure-Volumes'!$B$95:$B$108,'Gross Capex'!$B25,'Forecast Expenditure-Volumes'!L$95:L$108)/1000
+SUMIF('Forecast Contributions'!$B$8:$B$20,'Gross Capex'!$B25,'Forecast Contributions'!L$8:L$20)/1000</f>
        <v>0</v>
      </c>
      <c r="O25" s="91">
        <f>SUMIF('Forecast Expenditure-Volumes'!$B$95:$B$108,'Gross Capex'!$B25,'Forecast Expenditure-Volumes'!M$95:M$108)/1000
+SUMIF('Forecast Contributions'!$B$8:$B$20,'Gross Capex'!$B25,'Forecast Contributions'!M$8:M$20)/1000</f>
        <v>0</v>
      </c>
      <c r="P25" s="3"/>
      <c r="Q25" s="3"/>
      <c r="R25" s="3"/>
      <c r="S25" s="3"/>
      <c r="T25" s="3"/>
    </row>
    <row r="26" spans="1:20" x14ac:dyDescent="0.2">
      <c r="A26" s="3"/>
      <c r="B26" s="36">
        <v>121</v>
      </c>
      <c r="C26" s="33" t="s">
        <v>101</v>
      </c>
      <c r="D26" s="3"/>
      <c r="E26" s="3"/>
      <c r="F26" s="159">
        <f>SUMIF('Historical Expenditure-Volumes'!$B$9:$B$22,'Gross Capex'!$B26,'Historical Expenditure-Volumes'!E$9:E$22)/1000
+SUMIF('Historical Contributions'!$B$8:$B$21,'Gross Capex'!$B26,'Historical Contributions'!D$8:D$21)/1000</f>
        <v>0</v>
      </c>
      <c r="G26" s="159">
        <f>SUMIF('Historical Expenditure-Volumes'!$B$9:$B$22,'Gross Capex'!$B26,'Historical Expenditure-Volumes'!F$9:F$22)/1000
+SUMIF('Historical Contributions'!$B$8:$B$21,'Gross Capex'!$B26,'Historical Contributions'!E$8:E$21)/1000</f>
        <v>0</v>
      </c>
      <c r="H26" s="159">
        <f>SUMIF('Historical Expenditure-Volumes'!$B$9:$B$22,'Gross Capex'!$B26,'Historical Expenditure-Volumes'!G$9:G$22)/1000
+SUMIF('Historical Contributions'!$B$8:$B$21,'Gross Capex'!$B26,'Historical Contributions'!F$8:F$21)/1000</f>
        <v>0</v>
      </c>
      <c r="I26" s="91">
        <f>SUMIF('Forecast Expenditure-Volumes'!$B$95:$B$108,'Gross Capex'!$B26,'Forecast Expenditure-Volumes'!G$95:G$108)/1000
+SUMIF('Forecast Contributions'!$B$8:$B$20,'Gross Capex'!$B26,'Forecast Contributions'!G$8:G$20)/1000</f>
        <v>0</v>
      </c>
      <c r="J26" s="91">
        <f>SUMIF('Forecast Expenditure-Volumes'!$B$95:$B$108,'Gross Capex'!$B26,'Forecast Expenditure-Volumes'!H$95:H$108)/1000
+SUMIF('Forecast Contributions'!$B$8:$B$20,'Gross Capex'!$B26,'Forecast Contributions'!H$8:H$20)/1000</f>
        <v>0</v>
      </c>
      <c r="K26" s="91">
        <f>SUMIF('Forecast Expenditure-Volumes'!$B$95:$B$108,'Gross Capex'!$B26,'Forecast Expenditure-Volumes'!I$95:I$108)/1000
+SUMIF('Forecast Contributions'!$B$8:$B$20,'Gross Capex'!$B26,'Forecast Contributions'!I$8:I$20)/1000</f>
        <v>0</v>
      </c>
      <c r="L26" s="91">
        <f>SUMIF('Forecast Expenditure-Volumes'!$B$95:$B$108,'Gross Capex'!$B26,'Forecast Expenditure-Volumes'!J$95:J$108)/1000
+SUMIF('Forecast Contributions'!$B$8:$B$20,'Gross Capex'!$B26,'Forecast Contributions'!J$8:J$20)/1000</f>
        <v>0</v>
      </c>
      <c r="M26" s="91">
        <f>SUMIF('Forecast Expenditure-Volumes'!$B$95:$B$108,'Gross Capex'!$B26,'Forecast Expenditure-Volumes'!K$95:K$108)/1000
+SUMIF('Forecast Contributions'!$B$8:$B$20,'Gross Capex'!$B26,'Forecast Contributions'!K$8:K$20)/1000</f>
        <v>0</v>
      </c>
      <c r="N26" s="91">
        <f>SUMIF('Forecast Expenditure-Volumes'!$B$95:$B$108,'Gross Capex'!$B26,'Forecast Expenditure-Volumes'!L$95:L$108)/1000
+SUMIF('Forecast Contributions'!$B$8:$B$20,'Gross Capex'!$B26,'Forecast Contributions'!L$8:L$20)/1000</f>
        <v>0</v>
      </c>
      <c r="O26" s="91">
        <f>SUMIF('Forecast Expenditure-Volumes'!$B$95:$B$108,'Gross Capex'!$B26,'Forecast Expenditure-Volumes'!M$95:M$108)/1000
+SUMIF('Forecast Contributions'!$B$8:$B$20,'Gross Capex'!$B26,'Forecast Contributions'!M$8:M$20)/1000</f>
        <v>0</v>
      </c>
      <c r="P26" s="3"/>
      <c r="Q26" s="94"/>
      <c r="R26" s="3"/>
      <c r="S26" s="3"/>
      <c r="T26" s="3"/>
    </row>
    <row r="27" spans="1:20" x14ac:dyDescent="0.2">
      <c r="A27" s="3"/>
      <c r="B27" s="36">
        <v>122</v>
      </c>
      <c r="C27" s="33" t="s">
        <v>102</v>
      </c>
      <c r="D27" s="3"/>
      <c r="E27" s="3"/>
      <c r="F27" s="159">
        <f>SUMIF('Historical Expenditure-Volumes'!$B$9:$B$22,'Gross Capex'!$B27,'Historical Expenditure-Volumes'!E$9:E$22)/1000
+SUMIF('Historical Contributions'!$B$8:$B$21,'Gross Capex'!$B27,'Historical Contributions'!D$8:D$21)/1000</f>
        <v>0</v>
      </c>
      <c r="G27" s="159">
        <f>SUMIF('Historical Expenditure-Volumes'!$B$9:$B$22,'Gross Capex'!$B27,'Historical Expenditure-Volumes'!F$9:F$22)/1000
+SUMIF('Historical Contributions'!$B$8:$B$21,'Gross Capex'!$B27,'Historical Contributions'!E$8:E$21)/1000</f>
        <v>0</v>
      </c>
      <c r="H27" s="159">
        <f>SUMIF('Historical Expenditure-Volumes'!$B$9:$B$22,'Gross Capex'!$B27,'Historical Expenditure-Volumes'!G$9:G$22)/1000
+SUMIF('Historical Contributions'!$B$8:$B$21,'Gross Capex'!$B27,'Historical Contributions'!F$8:F$21)/1000</f>
        <v>0</v>
      </c>
      <c r="I27" s="91">
        <f>SUMIF('Forecast Expenditure-Volumes'!$B$95:$B$108,'Gross Capex'!$B27,'Forecast Expenditure-Volumes'!G$95:G$108)/1000
+SUMIF('Forecast Contributions'!$B$8:$B$20,'Gross Capex'!$B27,'Forecast Contributions'!G$8:G$20)/1000</f>
        <v>0</v>
      </c>
      <c r="J27" s="91">
        <f>SUMIF('Forecast Expenditure-Volumes'!$B$95:$B$108,'Gross Capex'!$B27,'Forecast Expenditure-Volumes'!H$95:H$108)/1000
+SUMIF('Forecast Contributions'!$B$8:$B$20,'Gross Capex'!$B27,'Forecast Contributions'!H$8:H$20)/1000</f>
        <v>0</v>
      </c>
      <c r="K27" s="91">
        <f>SUMIF('Forecast Expenditure-Volumes'!$B$95:$B$108,'Gross Capex'!$B27,'Forecast Expenditure-Volumes'!I$95:I$108)/1000
+SUMIF('Forecast Contributions'!$B$8:$B$20,'Gross Capex'!$B27,'Forecast Contributions'!I$8:I$20)/1000</f>
        <v>0</v>
      </c>
      <c r="L27" s="91">
        <f>SUMIF('Forecast Expenditure-Volumes'!$B$95:$B$108,'Gross Capex'!$B27,'Forecast Expenditure-Volumes'!J$95:J$108)/1000
+SUMIF('Forecast Contributions'!$B$8:$B$20,'Gross Capex'!$B27,'Forecast Contributions'!J$8:J$20)/1000</f>
        <v>0</v>
      </c>
      <c r="M27" s="91">
        <f>SUMIF('Forecast Expenditure-Volumes'!$B$95:$B$108,'Gross Capex'!$B27,'Forecast Expenditure-Volumes'!K$95:K$108)/1000
+SUMIF('Forecast Contributions'!$B$8:$B$20,'Gross Capex'!$B27,'Forecast Contributions'!K$8:K$20)/1000</f>
        <v>0</v>
      </c>
      <c r="N27" s="91">
        <f>SUMIF('Forecast Expenditure-Volumes'!$B$95:$B$108,'Gross Capex'!$B27,'Forecast Expenditure-Volumes'!L$95:L$108)/1000
+SUMIF('Forecast Contributions'!$B$8:$B$20,'Gross Capex'!$B27,'Forecast Contributions'!L$8:L$20)/1000</f>
        <v>0</v>
      </c>
      <c r="O27" s="91">
        <f>SUMIF('Forecast Expenditure-Volumes'!$B$95:$B$108,'Gross Capex'!$B27,'Forecast Expenditure-Volumes'!M$95:M$108)/1000
+SUMIF('Forecast Contributions'!$B$8:$B$20,'Gross Capex'!$B27,'Forecast Contributions'!M$8:M$20)/1000</f>
        <v>0</v>
      </c>
      <c r="P27" s="3"/>
      <c r="Q27" s="3"/>
      <c r="R27" s="3"/>
      <c r="S27" s="3"/>
      <c r="T27" s="3"/>
    </row>
    <row r="28" spans="1:20" x14ac:dyDescent="0.2">
      <c r="A28" s="3"/>
      <c r="B28" s="36">
        <v>123</v>
      </c>
      <c r="C28" s="33" t="s">
        <v>103</v>
      </c>
      <c r="D28" s="3"/>
      <c r="E28" s="3"/>
      <c r="F28" s="159">
        <f>SUMIF('Historical Expenditure-Volumes'!$B$9:$B$22,'Gross Capex'!$B28,'Historical Expenditure-Volumes'!E$9:E$22)/1000
+SUMIF('Historical Contributions'!$B$8:$B$21,'Gross Capex'!$B28,'Historical Contributions'!D$8:D$21)/1000</f>
        <v>0</v>
      </c>
      <c r="G28" s="159">
        <f>SUMIF('Historical Expenditure-Volumes'!$B$9:$B$22,'Gross Capex'!$B28,'Historical Expenditure-Volumes'!F$9:F$22)/1000
+SUMIF('Historical Contributions'!$B$8:$B$21,'Gross Capex'!$B28,'Historical Contributions'!E$8:E$21)/1000</f>
        <v>0</v>
      </c>
      <c r="H28" s="159">
        <f>SUMIF('Historical Expenditure-Volumes'!$B$9:$B$22,'Gross Capex'!$B28,'Historical Expenditure-Volumes'!G$9:G$22)/1000
+SUMIF('Historical Contributions'!$B$8:$B$21,'Gross Capex'!$B28,'Historical Contributions'!F$8:F$21)/1000</f>
        <v>0</v>
      </c>
      <c r="I28" s="91">
        <f>SUMIF('Forecast Expenditure-Volumes'!$B$95:$B$108,'Gross Capex'!$B28,'Forecast Expenditure-Volumes'!G$95:G$108)/1000
+SUMIF('Forecast Contributions'!$B$8:$B$20,'Gross Capex'!$B28,'Forecast Contributions'!G$8:G$20)/1000</f>
        <v>0</v>
      </c>
      <c r="J28" s="91">
        <f>SUMIF('Forecast Expenditure-Volumes'!$B$95:$B$108,'Gross Capex'!$B28,'Forecast Expenditure-Volumes'!H$95:H$108)/1000
+SUMIF('Forecast Contributions'!$B$8:$B$20,'Gross Capex'!$B28,'Forecast Contributions'!H$8:H$20)/1000</f>
        <v>0</v>
      </c>
      <c r="K28" s="91">
        <f>SUMIF('Forecast Expenditure-Volumes'!$B$95:$B$108,'Gross Capex'!$B28,'Forecast Expenditure-Volumes'!I$95:I$108)/1000
+SUMIF('Forecast Contributions'!$B$8:$B$20,'Gross Capex'!$B28,'Forecast Contributions'!I$8:I$20)/1000</f>
        <v>0</v>
      </c>
      <c r="L28" s="91">
        <f>SUMIF('Forecast Expenditure-Volumes'!$B$95:$B$108,'Gross Capex'!$B28,'Forecast Expenditure-Volumes'!J$95:J$108)/1000
+SUMIF('Forecast Contributions'!$B$8:$B$20,'Gross Capex'!$B28,'Forecast Contributions'!J$8:J$20)/1000</f>
        <v>0</v>
      </c>
      <c r="M28" s="91">
        <f>SUMIF('Forecast Expenditure-Volumes'!$B$95:$B$108,'Gross Capex'!$B28,'Forecast Expenditure-Volumes'!K$95:K$108)/1000
+SUMIF('Forecast Contributions'!$B$8:$B$20,'Gross Capex'!$B28,'Forecast Contributions'!K$8:K$20)/1000</f>
        <v>0</v>
      </c>
      <c r="N28" s="91">
        <f>SUMIF('Forecast Expenditure-Volumes'!$B$95:$B$108,'Gross Capex'!$B28,'Forecast Expenditure-Volumes'!L$95:L$108)/1000
+SUMIF('Forecast Contributions'!$B$8:$B$20,'Gross Capex'!$B28,'Forecast Contributions'!L$8:L$20)/1000</f>
        <v>0</v>
      </c>
      <c r="O28" s="91">
        <f>SUMIF('Forecast Expenditure-Volumes'!$B$95:$B$108,'Gross Capex'!$B28,'Forecast Expenditure-Volumes'!M$95:M$108)/1000
+SUMIF('Forecast Contributions'!$B$8:$B$20,'Gross Capex'!$B28,'Forecast Contributions'!M$8:M$20)/1000</f>
        <v>0</v>
      </c>
      <c r="P28" s="3"/>
      <c r="Q28" s="3"/>
      <c r="R28" s="3"/>
      <c r="S28" s="3"/>
      <c r="T28" s="3"/>
    </row>
    <row r="29" spans="1:20" x14ac:dyDescent="0.2">
      <c r="A29" s="3"/>
      <c r="B29" s="36">
        <v>124</v>
      </c>
      <c r="C29" s="33" t="s">
        <v>104</v>
      </c>
      <c r="D29" s="3"/>
      <c r="E29" s="3"/>
      <c r="F29" s="159">
        <f>SUMIF('Historical Expenditure-Volumes'!$B$9:$B$22,'Gross Capex'!$B29,'Historical Expenditure-Volumes'!E$9:E$22)/1000
+SUMIF('Historical Contributions'!$B$8:$B$21,'Gross Capex'!$B29,'Historical Contributions'!D$8:D$21)/1000</f>
        <v>0</v>
      </c>
      <c r="G29" s="159">
        <f>SUMIF('Historical Expenditure-Volumes'!$B$9:$B$22,'Gross Capex'!$B29,'Historical Expenditure-Volumes'!F$9:F$22)/1000
+SUMIF('Historical Contributions'!$B$8:$B$21,'Gross Capex'!$B29,'Historical Contributions'!E$8:E$21)/1000</f>
        <v>0</v>
      </c>
      <c r="H29" s="159">
        <f>SUMIF('Historical Expenditure-Volumes'!$B$9:$B$22,'Gross Capex'!$B29,'Historical Expenditure-Volumes'!G$9:G$22)/1000
+SUMIF('Historical Contributions'!$B$8:$B$21,'Gross Capex'!$B29,'Historical Contributions'!F$8:F$21)/1000</f>
        <v>0</v>
      </c>
      <c r="I29" s="91">
        <f>SUMIF('Forecast Expenditure-Volumes'!$B$95:$B$108,'Gross Capex'!$B29,'Forecast Expenditure-Volumes'!G$95:G$108)/1000
+SUMIF('Forecast Contributions'!$B$8:$B$20,'Gross Capex'!$B29,'Forecast Contributions'!G$8:G$20)/1000</f>
        <v>0</v>
      </c>
      <c r="J29" s="91">
        <f>SUMIF('Forecast Expenditure-Volumes'!$B$95:$B$108,'Gross Capex'!$B29,'Forecast Expenditure-Volumes'!H$95:H$108)/1000
+SUMIF('Forecast Contributions'!$B$8:$B$20,'Gross Capex'!$B29,'Forecast Contributions'!H$8:H$20)/1000</f>
        <v>0</v>
      </c>
      <c r="K29" s="91">
        <f>SUMIF('Forecast Expenditure-Volumes'!$B$95:$B$108,'Gross Capex'!$B29,'Forecast Expenditure-Volumes'!I$95:I$108)/1000
+SUMIF('Forecast Contributions'!$B$8:$B$20,'Gross Capex'!$B29,'Forecast Contributions'!I$8:I$20)/1000</f>
        <v>0</v>
      </c>
      <c r="L29" s="91">
        <f>SUMIF('Forecast Expenditure-Volumes'!$B$95:$B$108,'Gross Capex'!$B29,'Forecast Expenditure-Volumes'!J$95:J$108)/1000
+SUMIF('Forecast Contributions'!$B$8:$B$20,'Gross Capex'!$B29,'Forecast Contributions'!J$8:J$20)/1000</f>
        <v>0</v>
      </c>
      <c r="M29" s="91">
        <f>SUMIF('Forecast Expenditure-Volumes'!$B$95:$B$108,'Gross Capex'!$B29,'Forecast Expenditure-Volumes'!K$95:K$108)/1000
+SUMIF('Forecast Contributions'!$B$8:$B$20,'Gross Capex'!$B29,'Forecast Contributions'!K$8:K$20)/1000</f>
        <v>0</v>
      </c>
      <c r="N29" s="91">
        <f>SUMIF('Forecast Expenditure-Volumes'!$B$95:$B$108,'Gross Capex'!$B29,'Forecast Expenditure-Volumes'!L$95:L$108)/1000
+SUMIF('Forecast Contributions'!$B$8:$B$20,'Gross Capex'!$B29,'Forecast Contributions'!L$8:L$20)/1000</f>
        <v>0</v>
      </c>
      <c r="O29" s="91">
        <f>SUMIF('Forecast Expenditure-Volumes'!$B$95:$B$108,'Gross Capex'!$B29,'Forecast Expenditure-Volumes'!M$95:M$108)/1000
+SUMIF('Forecast Contributions'!$B$8:$B$20,'Gross Capex'!$B29,'Forecast Contributions'!M$8:M$20)/1000</f>
        <v>0</v>
      </c>
      <c r="P29" s="3"/>
      <c r="Q29" s="3"/>
      <c r="R29" s="3"/>
      <c r="S29" s="3"/>
      <c r="T29" s="3"/>
    </row>
    <row r="30" spans="1:20" x14ac:dyDescent="0.2">
      <c r="A30" s="3"/>
      <c r="B30" s="36">
        <v>125</v>
      </c>
      <c r="C30" s="33" t="s">
        <v>105</v>
      </c>
      <c r="D30" s="3"/>
      <c r="E30" s="3"/>
      <c r="F30" s="159">
        <f>SUMIF('Historical Expenditure-Volumes'!$B$9:$B$22,'Gross Capex'!$B30,'Historical Expenditure-Volumes'!E$9:E$22)/1000
+SUMIF('Historical Contributions'!$B$8:$B$21,'Gross Capex'!$B30,'Historical Contributions'!D$8:D$21)/1000</f>
        <v>0</v>
      </c>
      <c r="G30" s="159">
        <f>SUMIF('Historical Expenditure-Volumes'!$B$9:$B$22,'Gross Capex'!$B30,'Historical Expenditure-Volumes'!F$9:F$22)/1000
+SUMIF('Historical Contributions'!$B$8:$B$21,'Gross Capex'!$B30,'Historical Contributions'!E$8:E$21)/1000</f>
        <v>0</v>
      </c>
      <c r="H30" s="159">
        <f>SUMIF('Historical Expenditure-Volumes'!$B$9:$B$22,'Gross Capex'!$B30,'Historical Expenditure-Volumes'!G$9:G$22)/1000
+SUMIF('Historical Contributions'!$B$8:$B$21,'Gross Capex'!$B30,'Historical Contributions'!F$8:F$21)/1000</f>
        <v>0</v>
      </c>
      <c r="I30" s="91">
        <f>SUMIF('Forecast Expenditure-Volumes'!$B$95:$B$108,'Gross Capex'!$B30,'Forecast Expenditure-Volumes'!G$95:G$108)/1000
+SUMIF('Forecast Contributions'!$B$8:$B$20,'Gross Capex'!$B30,'Forecast Contributions'!G$8:G$20)/1000</f>
        <v>0</v>
      </c>
      <c r="J30" s="91">
        <f>SUMIF('Forecast Expenditure-Volumes'!$B$95:$B$108,'Gross Capex'!$B30,'Forecast Expenditure-Volumes'!H$95:H$108)/1000
+SUMIF('Forecast Contributions'!$B$8:$B$20,'Gross Capex'!$B30,'Forecast Contributions'!H$8:H$20)/1000</f>
        <v>0</v>
      </c>
      <c r="K30" s="91">
        <f>SUMIF('Forecast Expenditure-Volumes'!$B$95:$B$108,'Gross Capex'!$B30,'Forecast Expenditure-Volumes'!I$95:I$108)/1000
+SUMIF('Forecast Contributions'!$B$8:$B$20,'Gross Capex'!$B30,'Forecast Contributions'!I$8:I$20)/1000</f>
        <v>0</v>
      </c>
      <c r="L30" s="91">
        <f>SUMIF('Forecast Expenditure-Volumes'!$B$95:$B$108,'Gross Capex'!$B30,'Forecast Expenditure-Volumes'!J$95:J$108)/1000
+SUMIF('Forecast Contributions'!$B$8:$B$20,'Gross Capex'!$B30,'Forecast Contributions'!J$8:J$20)/1000</f>
        <v>0</v>
      </c>
      <c r="M30" s="91">
        <f>SUMIF('Forecast Expenditure-Volumes'!$B$95:$B$108,'Gross Capex'!$B30,'Forecast Expenditure-Volumes'!K$95:K$108)/1000
+SUMIF('Forecast Contributions'!$B$8:$B$20,'Gross Capex'!$B30,'Forecast Contributions'!K$8:K$20)/1000</f>
        <v>0</v>
      </c>
      <c r="N30" s="91">
        <f>SUMIF('Forecast Expenditure-Volumes'!$B$95:$B$108,'Gross Capex'!$B30,'Forecast Expenditure-Volumes'!L$95:L$108)/1000
+SUMIF('Forecast Contributions'!$B$8:$B$20,'Gross Capex'!$B30,'Forecast Contributions'!L$8:L$20)/1000</f>
        <v>0</v>
      </c>
      <c r="O30" s="91">
        <f>SUMIF('Forecast Expenditure-Volumes'!$B$95:$B$108,'Gross Capex'!$B30,'Forecast Expenditure-Volumes'!M$95:M$108)/1000
+SUMIF('Forecast Contributions'!$B$8:$B$20,'Gross Capex'!$B30,'Forecast Contributions'!M$8:M$20)/1000</f>
        <v>0</v>
      </c>
      <c r="P30" s="3"/>
      <c r="Q30" s="3"/>
      <c r="R30" s="3"/>
      <c r="S30" s="3"/>
      <c r="T30" s="3"/>
    </row>
    <row r="31" spans="1:20" x14ac:dyDescent="0.2">
      <c r="A31" s="3"/>
      <c r="B31" s="36">
        <v>126</v>
      </c>
      <c r="C31" s="33" t="s">
        <v>106</v>
      </c>
      <c r="D31" s="3"/>
      <c r="E31" s="3"/>
      <c r="F31" s="159">
        <f>SUMIF('Historical Expenditure-Volumes'!$B$9:$B$22,'Gross Capex'!$B31,'Historical Expenditure-Volumes'!E$9:E$22)/1000
+SUMIF('Historical Contributions'!$B$8:$B$21,'Gross Capex'!$B31,'Historical Contributions'!D$8:D$21)/1000</f>
        <v>0</v>
      </c>
      <c r="G31" s="159">
        <f>SUMIF('Historical Expenditure-Volumes'!$B$9:$B$22,'Gross Capex'!$B31,'Historical Expenditure-Volumes'!F$9:F$22)/1000
+SUMIF('Historical Contributions'!$B$8:$B$21,'Gross Capex'!$B31,'Historical Contributions'!E$8:E$21)/1000</f>
        <v>0</v>
      </c>
      <c r="H31" s="159">
        <f>SUMIF('Historical Expenditure-Volumes'!$B$9:$B$22,'Gross Capex'!$B31,'Historical Expenditure-Volumes'!G$9:G$22)/1000
+SUMIF('Historical Contributions'!$B$8:$B$21,'Gross Capex'!$B31,'Historical Contributions'!F$8:F$21)/1000</f>
        <v>0</v>
      </c>
      <c r="I31" s="91">
        <f>SUMIF('Forecast Expenditure-Volumes'!$B$95:$B$108,'Gross Capex'!$B31,'Forecast Expenditure-Volumes'!G$95:G$108)/1000
+SUMIF('Forecast Contributions'!$B$8:$B$20,'Gross Capex'!$B31,'Forecast Contributions'!G$8:G$20)/1000</f>
        <v>0</v>
      </c>
      <c r="J31" s="91">
        <f>SUMIF('Forecast Expenditure-Volumes'!$B$95:$B$108,'Gross Capex'!$B31,'Forecast Expenditure-Volumes'!H$95:H$108)/1000
+SUMIF('Forecast Contributions'!$B$8:$B$20,'Gross Capex'!$B31,'Forecast Contributions'!H$8:H$20)/1000</f>
        <v>0</v>
      </c>
      <c r="K31" s="91">
        <f>SUMIF('Forecast Expenditure-Volumes'!$B$95:$B$108,'Gross Capex'!$B31,'Forecast Expenditure-Volumes'!I$95:I$108)/1000
+SUMIF('Forecast Contributions'!$B$8:$B$20,'Gross Capex'!$B31,'Forecast Contributions'!I$8:I$20)/1000</f>
        <v>0</v>
      </c>
      <c r="L31" s="91">
        <f>SUMIF('Forecast Expenditure-Volumes'!$B$95:$B$108,'Gross Capex'!$B31,'Forecast Expenditure-Volumes'!J$95:J$108)/1000
+SUMIF('Forecast Contributions'!$B$8:$B$20,'Gross Capex'!$B31,'Forecast Contributions'!J$8:J$20)/1000</f>
        <v>0</v>
      </c>
      <c r="M31" s="91">
        <f>SUMIF('Forecast Expenditure-Volumes'!$B$95:$B$108,'Gross Capex'!$B31,'Forecast Expenditure-Volumes'!K$95:K$108)/1000
+SUMIF('Forecast Contributions'!$B$8:$B$20,'Gross Capex'!$B31,'Forecast Contributions'!K$8:K$20)/1000</f>
        <v>0</v>
      </c>
      <c r="N31" s="91">
        <f>SUMIF('Forecast Expenditure-Volumes'!$B$95:$B$108,'Gross Capex'!$B31,'Forecast Expenditure-Volumes'!L$95:L$108)/1000
+SUMIF('Forecast Contributions'!$B$8:$B$20,'Gross Capex'!$B31,'Forecast Contributions'!L$8:L$20)/1000</f>
        <v>0</v>
      </c>
      <c r="O31" s="91">
        <f>SUMIF('Forecast Expenditure-Volumes'!$B$95:$B$108,'Gross Capex'!$B31,'Forecast Expenditure-Volumes'!M$95:M$108)/1000
+SUMIF('Forecast Contributions'!$B$8:$B$20,'Gross Capex'!$B31,'Forecast Contributions'!M$8:M$20)/1000</f>
        <v>0</v>
      </c>
      <c r="P31" s="3"/>
      <c r="Q31" s="3"/>
      <c r="R31" s="3"/>
      <c r="S31" s="3"/>
      <c r="T31" s="3"/>
    </row>
    <row r="32" spans="1:20" x14ac:dyDescent="0.2">
      <c r="A32" s="3"/>
      <c r="B32" s="36">
        <v>130</v>
      </c>
      <c r="C32" s="33" t="s">
        <v>107</v>
      </c>
      <c r="D32" s="3"/>
      <c r="E32" s="3"/>
      <c r="F32" s="159">
        <f>SUMIF('Historical Expenditure-Volumes'!$B$9:$B$22,'Gross Capex'!$B32,'Historical Expenditure-Volumes'!E$9:E$22)/1000
+SUMIF('Historical Contributions'!$B$8:$B$21,'Gross Capex'!$B32,'Historical Contributions'!D$8:D$21)/1000</f>
        <v>0</v>
      </c>
      <c r="G32" s="159">
        <f>SUMIF('Historical Expenditure-Volumes'!$B$9:$B$22,'Gross Capex'!$B32,'Historical Expenditure-Volumes'!F$9:F$22)/1000
+SUMIF('Historical Contributions'!$B$8:$B$21,'Gross Capex'!$B32,'Historical Contributions'!E$8:E$21)/1000</f>
        <v>0</v>
      </c>
      <c r="H32" s="159">
        <f>SUMIF('Historical Expenditure-Volumes'!$B$9:$B$22,'Gross Capex'!$B32,'Historical Expenditure-Volumes'!G$9:G$22)/1000
+SUMIF('Historical Contributions'!$B$8:$B$21,'Gross Capex'!$B32,'Historical Contributions'!F$8:F$21)/1000</f>
        <v>0</v>
      </c>
      <c r="I32" s="91">
        <f>SUMIF('Forecast Expenditure-Volumes'!$B$95:$B$108,'Gross Capex'!$B32,'Forecast Expenditure-Volumes'!G$95:G$108)/1000
+SUMIF('Forecast Contributions'!$B$8:$B$20,'Gross Capex'!$B32,'Forecast Contributions'!G$8:G$20)/1000</f>
        <v>0</v>
      </c>
      <c r="J32" s="91">
        <f>SUMIF('Forecast Expenditure-Volumes'!$B$95:$B$108,'Gross Capex'!$B32,'Forecast Expenditure-Volumes'!H$95:H$108)/1000
+SUMIF('Forecast Contributions'!$B$8:$B$20,'Gross Capex'!$B32,'Forecast Contributions'!H$8:H$20)/1000</f>
        <v>0</v>
      </c>
      <c r="K32" s="91">
        <f>SUMIF('Forecast Expenditure-Volumes'!$B$95:$B$108,'Gross Capex'!$B32,'Forecast Expenditure-Volumes'!I$95:I$108)/1000
+SUMIF('Forecast Contributions'!$B$8:$B$20,'Gross Capex'!$B32,'Forecast Contributions'!I$8:I$20)/1000</f>
        <v>0</v>
      </c>
      <c r="L32" s="91">
        <f>SUMIF('Forecast Expenditure-Volumes'!$B$95:$B$108,'Gross Capex'!$B32,'Forecast Expenditure-Volumes'!J$95:J$108)/1000
+SUMIF('Forecast Contributions'!$B$8:$B$20,'Gross Capex'!$B32,'Forecast Contributions'!J$8:J$20)/1000</f>
        <v>0</v>
      </c>
      <c r="M32" s="91">
        <f>SUMIF('Forecast Expenditure-Volumes'!$B$95:$B$108,'Gross Capex'!$B32,'Forecast Expenditure-Volumes'!K$95:K$108)/1000
+SUMIF('Forecast Contributions'!$B$8:$B$20,'Gross Capex'!$B32,'Forecast Contributions'!K$8:K$20)/1000</f>
        <v>0</v>
      </c>
      <c r="N32" s="91">
        <f>SUMIF('Forecast Expenditure-Volumes'!$B$95:$B$108,'Gross Capex'!$B32,'Forecast Expenditure-Volumes'!L$95:L$108)/1000
+SUMIF('Forecast Contributions'!$B$8:$B$20,'Gross Capex'!$B32,'Forecast Contributions'!L$8:L$20)/1000</f>
        <v>0</v>
      </c>
      <c r="O32" s="91">
        <f>SUMIF('Forecast Expenditure-Volumes'!$B$95:$B$108,'Gross Capex'!$B32,'Forecast Expenditure-Volumes'!M$95:M$108)/1000
+SUMIF('Forecast Contributions'!$B$8:$B$20,'Gross Capex'!$B32,'Forecast Contributions'!M$8:M$20)/1000</f>
        <v>0</v>
      </c>
      <c r="P32" s="3"/>
      <c r="Q32" s="3"/>
      <c r="R32" s="3"/>
      <c r="S32" s="3"/>
      <c r="T32" s="3"/>
    </row>
    <row r="33" spans="1:20" x14ac:dyDescent="0.2">
      <c r="A33" s="3"/>
      <c r="B33" s="36">
        <v>131</v>
      </c>
      <c r="C33" s="33" t="s">
        <v>108</v>
      </c>
      <c r="D33" s="3"/>
      <c r="E33" s="3"/>
      <c r="F33" s="159">
        <f>SUMIF('Historical Expenditure-Volumes'!$B$9:$B$22,'Gross Capex'!$B33,'Historical Expenditure-Volumes'!E$9:E$22)/1000
+SUMIF('Historical Contributions'!$B$8:$B$21,'Gross Capex'!$B33,'Historical Contributions'!D$8:D$21)/1000</f>
        <v>0</v>
      </c>
      <c r="G33" s="159">
        <f>SUMIF('Historical Expenditure-Volumes'!$B$9:$B$22,'Gross Capex'!$B33,'Historical Expenditure-Volumes'!F$9:F$22)/1000
+SUMIF('Historical Contributions'!$B$8:$B$21,'Gross Capex'!$B33,'Historical Contributions'!E$8:E$21)/1000</f>
        <v>0</v>
      </c>
      <c r="H33" s="159">
        <f>SUMIF('Historical Expenditure-Volumes'!$B$9:$B$22,'Gross Capex'!$B33,'Historical Expenditure-Volumes'!G$9:G$22)/1000
+SUMIF('Historical Contributions'!$B$8:$B$21,'Gross Capex'!$B33,'Historical Contributions'!F$8:F$21)/1000</f>
        <v>0</v>
      </c>
      <c r="I33" s="91">
        <f>SUMIF('Forecast Expenditure-Volumes'!$B$95:$B$108,'Gross Capex'!$B33,'Forecast Expenditure-Volumes'!G$95:G$108)/1000
+SUMIF('Forecast Contributions'!$B$8:$B$20,'Gross Capex'!$B33,'Forecast Contributions'!G$8:G$20)/1000</f>
        <v>0</v>
      </c>
      <c r="J33" s="91">
        <f>SUMIF('Forecast Expenditure-Volumes'!$B$95:$B$108,'Gross Capex'!$B33,'Forecast Expenditure-Volumes'!H$95:H$108)/1000
+SUMIF('Forecast Contributions'!$B$8:$B$20,'Gross Capex'!$B33,'Forecast Contributions'!H$8:H$20)/1000</f>
        <v>0</v>
      </c>
      <c r="K33" s="91">
        <f>SUMIF('Forecast Expenditure-Volumes'!$B$95:$B$108,'Gross Capex'!$B33,'Forecast Expenditure-Volumes'!I$95:I$108)/1000
+SUMIF('Forecast Contributions'!$B$8:$B$20,'Gross Capex'!$B33,'Forecast Contributions'!I$8:I$20)/1000</f>
        <v>0</v>
      </c>
      <c r="L33" s="91">
        <f>SUMIF('Forecast Expenditure-Volumes'!$B$95:$B$108,'Gross Capex'!$B33,'Forecast Expenditure-Volumes'!J$95:J$108)/1000
+SUMIF('Forecast Contributions'!$B$8:$B$20,'Gross Capex'!$B33,'Forecast Contributions'!J$8:J$20)/1000</f>
        <v>0</v>
      </c>
      <c r="M33" s="91">
        <f>SUMIF('Forecast Expenditure-Volumes'!$B$95:$B$108,'Gross Capex'!$B33,'Forecast Expenditure-Volumes'!K$95:K$108)/1000
+SUMIF('Forecast Contributions'!$B$8:$B$20,'Gross Capex'!$B33,'Forecast Contributions'!K$8:K$20)/1000</f>
        <v>0</v>
      </c>
      <c r="N33" s="91">
        <f>SUMIF('Forecast Expenditure-Volumes'!$B$95:$B$108,'Gross Capex'!$B33,'Forecast Expenditure-Volumes'!L$95:L$108)/1000
+SUMIF('Forecast Contributions'!$B$8:$B$20,'Gross Capex'!$B33,'Forecast Contributions'!L$8:L$20)/1000</f>
        <v>0</v>
      </c>
      <c r="O33" s="91">
        <f>SUMIF('Forecast Expenditure-Volumes'!$B$95:$B$108,'Gross Capex'!$B33,'Forecast Expenditure-Volumes'!M$95:M$108)/1000
+SUMIF('Forecast Contributions'!$B$8:$B$20,'Gross Capex'!$B33,'Forecast Contributions'!M$8:M$20)/1000</f>
        <v>0</v>
      </c>
      <c r="P33" s="3"/>
      <c r="Q33" s="3"/>
      <c r="R33" s="3"/>
      <c r="S33" s="3"/>
      <c r="T33" s="3"/>
    </row>
    <row r="34" spans="1:20" x14ac:dyDescent="0.2">
      <c r="A34" s="3"/>
      <c r="B34" s="36">
        <v>132</v>
      </c>
      <c r="C34" s="33" t="s">
        <v>109</v>
      </c>
      <c r="D34" s="3"/>
      <c r="E34" s="3"/>
      <c r="F34" s="159">
        <f>SUMIF('Historical Expenditure-Volumes'!$B$9:$B$22,'Gross Capex'!$B34,'Historical Expenditure-Volumes'!E$9:E$22)/1000
+SUMIF('Historical Contributions'!$B$8:$B$21,'Gross Capex'!$B34,'Historical Contributions'!D$8:D$21)/1000</f>
        <v>0</v>
      </c>
      <c r="G34" s="159">
        <f>SUMIF('Historical Expenditure-Volumes'!$B$9:$B$22,'Gross Capex'!$B34,'Historical Expenditure-Volumes'!F$9:F$22)/1000
+SUMIF('Historical Contributions'!$B$8:$B$21,'Gross Capex'!$B34,'Historical Contributions'!E$8:E$21)/1000</f>
        <v>0</v>
      </c>
      <c r="H34" s="159">
        <f>SUMIF('Historical Expenditure-Volumes'!$B$9:$B$22,'Gross Capex'!$B34,'Historical Expenditure-Volumes'!G$9:G$22)/1000
+SUMIF('Historical Contributions'!$B$8:$B$21,'Gross Capex'!$B34,'Historical Contributions'!F$8:F$21)/1000</f>
        <v>0</v>
      </c>
      <c r="I34" s="91">
        <f>SUMIF('Forecast Expenditure-Volumes'!$B$95:$B$108,'Gross Capex'!$B34,'Forecast Expenditure-Volumes'!G$95:G$108)/1000
+SUMIF('Forecast Contributions'!$B$8:$B$20,'Gross Capex'!$B34,'Forecast Contributions'!G$8:G$20)/1000</f>
        <v>0</v>
      </c>
      <c r="J34" s="91">
        <f>SUMIF('Forecast Expenditure-Volumes'!$B$95:$B$108,'Gross Capex'!$B34,'Forecast Expenditure-Volumes'!H$95:H$108)/1000
+SUMIF('Forecast Contributions'!$B$8:$B$20,'Gross Capex'!$B34,'Forecast Contributions'!H$8:H$20)/1000</f>
        <v>0</v>
      </c>
      <c r="K34" s="91">
        <f>SUMIF('Forecast Expenditure-Volumes'!$B$95:$B$108,'Gross Capex'!$B34,'Forecast Expenditure-Volumes'!I$95:I$108)/1000
+SUMIF('Forecast Contributions'!$B$8:$B$20,'Gross Capex'!$B34,'Forecast Contributions'!I$8:I$20)/1000</f>
        <v>0</v>
      </c>
      <c r="L34" s="91">
        <f>SUMIF('Forecast Expenditure-Volumes'!$B$95:$B$108,'Gross Capex'!$B34,'Forecast Expenditure-Volumes'!J$95:J$108)/1000
+SUMIF('Forecast Contributions'!$B$8:$B$20,'Gross Capex'!$B34,'Forecast Contributions'!J$8:J$20)/1000</f>
        <v>0</v>
      </c>
      <c r="M34" s="91">
        <f>SUMIF('Forecast Expenditure-Volumes'!$B$95:$B$108,'Gross Capex'!$B34,'Forecast Expenditure-Volumes'!K$95:K$108)/1000
+SUMIF('Forecast Contributions'!$B$8:$B$20,'Gross Capex'!$B34,'Forecast Contributions'!K$8:K$20)/1000</f>
        <v>0</v>
      </c>
      <c r="N34" s="91">
        <f>SUMIF('Forecast Expenditure-Volumes'!$B$95:$B$108,'Gross Capex'!$B34,'Forecast Expenditure-Volumes'!L$95:L$108)/1000
+SUMIF('Forecast Contributions'!$B$8:$B$20,'Gross Capex'!$B34,'Forecast Contributions'!L$8:L$20)/1000</f>
        <v>0</v>
      </c>
      <c r="O34" s="91">
        <f>SUMIF('Forecast Expenditure-Volumes'!$B$95:$B$108,'Gross Capex'!$B34,'Forecast Expenditure-Volumes'!M$95:M$108)/1000
+SUMIF('Forecast Contributions'!$B$8:$B$20,'Gross Capex'!$B34,'Forecast Contributions'!M$8:M$20)/1000</f>
        <v>0</v>
      </c>
      <c r="P34" s="3"/>
      <c r="Q34" s="3"/>
      <c r="R34" s="3"/>
      <c r="S34" s="3"/>
      <c r="T34" s="3"/>
    </row>
    <row r="35" spans="1:20" x14ac:dyDescent="0.2">
      <c r="A35" s="3"/>
      <c r="B35" s="36">
        <v>133</v>
      </c>
      <c r="C35" s="33" t="s">
        <v>110</v>
      </c>
      <c r="D35" s="3"/>
      <c r="E35" s="3"/>
      <c r="F35" s="159">
        <f>SUMIF('Historical Expenditure-Volumes'!$B$9:$B$22,'Gross Capex'!$B35,'Historical Expenditure-Volumes'!E$9:E$22)/1000
+SUMIF('Historical Contributions'!$B$8:$B$21,'Gross Capex'!$B35,'Historical Contributions'!D$8:D$21)/1000</f>
        <v>0</v>
      </c>
      <c r="G35" s="159">
        <f>SUMIF('Historical Expenditure-Volumes'!$B$9:$B$22,'Gross Capex'!$B35,'Historical Expenditure-Volumes'!F$9:F$22)/1000
+SUMIF('Historical Contributions'!$B$8:$B$21,'Gross Capex'!$B35,'Historical Contributions'!E$8:E$21)/1000</f>
        <v>0</v>
      </c>
      <c r="H35" s="159">
        <f>SUMIF('Historical Expenditure-Volumes'!$B$9:$B$22,'Gross Capex'!$B35,'Historical Expenditure-Volumes'!G$9:G$22)/1000
+SUMIF('Historical Contributions'!$B$8:$B$21,'Gross Capex'!$B35,'Historical Contributions'!F$8:F$21)/1000</f>
        <v>0</v>
      </c>
      <c r="I35" s="91">
        <f>SUMIF('Forecast Expenditure-Volumes'!$B$95:$B$108,'Gross Capex'!$B35,'Forecast Expenditure-Volumes'!G$95:G$108)/1000
+SUMIF('Forecast Contributions'!$B$8:$B$20,'Gross Capex'!$B35,'Forecast Contributions'!G$8:G$20)/1000</f>
        <v>0</v>
      </c>
      <c r="J35" s="91">
        <f>SUMIF('Forecast Expenditure-Volumes'!$B$95:$B$108,'Gross Capex'!$B35,'Forecast Expenditure-Volumes'!H$95:H$108)/1000
+SUMIF('Forecast Contributions'!$B$8:$B$20,'Gross Capex'!$B35,'Forecast Contributions'!H$8:H$20)/1000</f>
        <v>0</v>
      </c>
      <c r="K35" s="91">
        <f>SUMIF('Forecast Expenditure-Volumes'!$B$95:$B$108,'Gross Capex'!$B35,'Forecast Expenditure-Volumes'!I$95:I$108)/1000
+SUMIF('Forecast Contributions'!$B$8:$B$20,'Gross Capex'!$B35,'Forecast Contributions'!I$8:I$20)/1000</f>
        <v>0</v>
      </c>
      <c r="L35" s="91">
        <f>SUMIF('Forecast Expenditure-Volumes'!$B$95:$B$108,'Gross Capex'!$B35,'Forecast Expenditure-Volumes'!J$95:J$108)/1000
+SUMIF('Forecast Contributions'!$B$8:$B$20,'Gross Capex'!$B35,'Forecast Contributions'!J$8:J$20)/1000</f>
        <v>0</v>
      </c>
      <c r="M35" s="91">
        <f>SUMIF('Forecast Expenditure-Volumes'!$B$95:$B$108,'Gross Capex'!$B35,'Forecast Expenditure-Volumes'!K$95:K$108)/1000
+SUMIF('Forecast Contributions'!$B$8:$B$20,'Gross Capex'!$B35,'Forecast Contributions'!K$8:K$20)/1000</f>
        <v>0</v>
      </c>
      <c r="N35" s="91">
        <f>SUMIF('Forecast Expenditure-Volumes'!$B$95:$B$108,'Gross Capex'!$B35,'Forecast Expenditure-Volumes'!L$95:L$108)/1000
+SUMIF('Forecast Contributions'!$B$8:$B$20,'Gross Capex'!$B35,'Forecast Contributions'!L$8:L$20)/1000</f>
        <v>0</v>
      </c>
      <c r="O35" s="91">
        <f>SUMIF('Forecast Expenditure-Volumes'!$B$95:$B$108,'Gross Capex'!$B35,'Forecast Expenditure-Volumes'!M$95:M$108)/1000
+SUMIF('Forecast Contributions'!$B$8:$B$20,'Gross Capex'!$B35,'Forecast Contributions'!M$8:M$20)/1000</f>
        <v>0</v>
      </c>
      <c r="P35" s="3"/>
      <c r="Q35" s="3"/>
      <c r="R35" s="3"/>
      <c r="S35" s="3"/>
      <c r="T35" s="3"/>
    </row>
    <row r="36" spans="1:20" x14ac:dyDescent="0.2">
      <c r="A36" s="3"/>
      <c r="B36" s="36">
        <v>134</v>
      </c>
      <c r="C36" s="33" t="s">
        <v>111</v>
      </c>
      <c r="D36" s="3"/>
      <c r="E36" s="3"/>
      <c r="F36" s="159">
        <f>SUMIF('Historical Expenditure-Volumes'!$B$9:$B$22,'Gross Capex'!$B36,'Historical Expenditure-Volumes'!E$9:E$22)/1000
+SUMIF('Historical Contributions'!$B$8:$B$21,'Gross Capex'!$B36,'Historical Contributions'!D$8:D$21)/1000</f>
        <v>0</v>
      </c>
      <c r="G36" s="159">
        <f>SUMIF('Historical Expenditure-Volumes'!$B$9:$B$22,'Gross Capex'!$B36,'Historical Expenditure-Volumes'!F$9:F$22)/1000
+SUMIF('Historical Contributions'!$B$8:$B$21,'Gross Capex'!$B36,'Historical Contributions'!E$8:E$21)/1000</f>
        <v>0</v>
      </c>
      <c r="H36" s="159">
        <f>SUMIF('Historical Expenditure-Volumes'!$B$9:$B$22,'Gross Capex'!$B36,'Historical Expenditure-Volumes'!G$9:G$22)/1000
+SUMIF('Historical Contributions'!$B$8:$B$21,'Gross Capex'!$B36,'Historical Contributions'!F$8:F$21)/1000</f>
        <v>0</v>
      </c>
      <c r="I36" s="91">
        <f>SUMIF('Forecast Expenditure-Volumes'!$B$95:$B$108,'Gross Capex'!$B36,'Forecast Expenditure-Volumes'!G$95:G$108)/1000
+SUMIF('Forecast Contributions'!$B$8:$B$20,'Gross Capex'!$B36,'Forecast Contributions'!G$8:G$20)/1000</f>
        <v>0</v>
      </c>
      <c r="J36" s="91">
        <f>SUMIF('Forecast Expenditure-Volumes'!$B$95:$B$108,'Gross Capex'!$B36,'Forecast Expenditure-Volumes'!H$95:H$108)/1000
+SUMIF('Forecast Contributions'!$B$8:$B$20,'Gross Capex'!$B36,'Forecast Contributions'!H$8:H$20)/1000</f>
        <v>0</v>
      </c>
      <c r="K36" s="91">
        <f>SUMIF('Forecast Expenditure-Volumes'!$B$95:$B$108,'Gross Capex'!$B36,'Forecast Expenditure-Volumes'!I$95:I$108)/1000
+SUMIF('Forecast Contributions'!$B$8:$B$20,'Gross Capex'!$B36,'Forecast Contributions'!I$8:I$20)/1000</f>
        <v>0</v>
      </c>
      <c r="L36" s="91">
        <f>SUMIF('Forecast Expenditure-Volumes'!$B$95:$B$108,'Gross Capex'!$B36,'Forecast Expenditure-Volumes'!J$95:J$108)/1000
+SUMIF('Forecast Contributions'!$B$8:$B$20,'Gross Capex'!$B36,'Forecast Contributions'!J$8:J$20)/1000</f>
        <v>0</v>
      </c>
      <c r="M36" s="91">
        <f>SUMIF('Forecast Expenditure-Volumes'!$B$95:$B$108,'Gross Capex'!$B36,'Forecast Expenditure-Volumes'!K$95:K$108)/1000
+SUMIF('Forecast Contributions'!$B$8:$B$20,'Gross Capex'!$B36,'Forecast Contributions'!K$8:K$20)/1000</f>
        <v>0</v>
      </c>
      <c r="N36" s="91">
        <f>SUMIF('Forecast Expenditure-Volumes'!$B$95:$B$108,'Gross Capex'!$B36,'Forecast Expenditure-Volumes'!L$95:L$108)/1000
+SUMIF('Forecast Contributions'!$B$8:$B$20,'Gross Capex'!$B36,'Forecast Contributions'!L$8:L$20)/1000</f>
        <v>0</v>
      </c>
      <c r="O36" s="91">
        <f>SUMIF('Forecast Expenditure-Volumes'!$B$95:$B$108,'Gross Capex'!$B36,'Forecast Expenditure-Volumes'!M$95:M$108)/1000
+SUMIF('Forecast Contributions'!$B$8:$B$20,'Gross Capex'!$B36,'Forecast Contributions'!M$8:M$20)/1000</f>
        <v>0</v>
      </c>
      <c r="P36" s="3"/>
      <c r="Q36" s="3"/>
      <c r="R36" s="3"/>
      <c r="S36" s="3"/>
      <c r="T36" s="3"/>
    </row>
    <row r="37" spans="1:20" x14ac:dyDescent="0.2">
      <c r="A37" s="3"/>
      <c r="B37" s="36">
        <v>135</v>
      </c>
      <c r="C37" s="33" t="s">
        <v>112</v>
      </c>
      <c r="D37" s="3"/>
      <c r="E37" s="3"/>
      <c r="F37" s="159">
        <f>SUMIF('Historical Expenditure-Volumes'!$B$9:$B$22,'Gross Capex'!$B37,'Historical Expenditure-Volumes'!E$9:E$22)/1000
+SUMIF('Historical Contributions'!$B$8:$B$21,'Gross Capex'!$B37,'Historical Contributions'!D$8:D$21)/1000</f>
        <v>0</v>
      </c>
      <c r="G37" s="159">
        <f>SUMIF('Historical Expenditure-Volumes'!$B$9:$B$22,'Gross Capex'!$B37,'Historical Expenditure-Volumes'!F$9:F$22)/1000
+SUMIF('Historical Contributions'!$B$8:$B$21,'Gross Capex'!$B37,'Historical Contributions'!E$8:E$21)/1000</f>
        <v>0</v>
      </c>
      <c r="H37" s="159">
        <f>SUMIF('Historical Expenditure-Volumes'!$B$9:$B$22,'Gross Capex'!$B37,'Historical Expenditure-Volumes'!G$9:G$22)/1000
+SUMIF('Historical Contributions'!$B$8:$B$21,'Gross Capex'!$B37,'Historical Contributions'!F$8:F$21)/1000</f>
        <v>0</v>
      </c>
      <c r="I37" s="91">
        <f>SUMIF('Forecast Expenditure-Volumes'!$B$95:$B$108,'Gross Capex'!$B37,'Forecast Expenditure-Volumes'!G$95:G$108)/1000
+SUMIF('Forecast Contributions'!$B$8:$B$20,'Gross Capex'!$B37,'Forecast Contributions'!G$8:G$20)/1000</f>
        <v>0</v>
      </c>
      <c r="J37" s="91">
        <f>SUMIF('Forecast Expenditure-Volumes'!$B$95:$B$108,'Gross Capex'!$B37,'Forecast Expenditure-Volumes'!H$95:H$108)/1000
+SUMIF('Forecast Contributions'!$B$8:$B$20,'Gross Capex'!$B37,'Forecast Contributions'!H$8:H$20)/1000</f>
        <v>0</v>
      </c>
      <c r="K37" s="91">
        <f>SUMIF('Forecast Expenditure-Volumes'!$B$95:$B$108,'Gross Capex'!$B37,'Forecast Expenditure-Volumes'!I$95:I$108)/1000
+SUMIF('Forecast Contributions'!$B$8:$B$20,'Gross Capex'!$B37,'Forecast Contributions'!I$8:I$20)/1000</f>
        <v>0</v>
      </c>
      <c r="L37" s="91">
        <f>SUMIF('Forecast Expenditure-Volumes'!$B$95:$B$108,'Gross Capex'!$B37,'Forecast Expenditure-Volumes'!J$95:J$108)/1000
+SUMIF('Forecast Contributions'!$B$8:$B$20,'Gross Capex'!$B37,'Forecast Contributions'!J$8:J$20)/1000</f>
        <v>0</v>
      </c>
      <c r="M37" s="91">
        <f>SUMIF('Forecast Expenditure-Volumes'!$B$95:$B$108,'Gross Capex'!$B37,'Forecast Expenditure-Volumes'!K$95:K$108)/1000
+SUMIF('Forecast Contributions'!$B$8:$B$20,'Gross Capex'!$B37,'Forecast Contributions'!K$8:K$20)/1000</f>
        <v>0</v>
      </c>
      <c r="N37" s="91">
        <f>SUMIF('Forecast Expenditure-Volumes'!$B$95:$B$108,'Gross Capex'!$B37,'Forecast Expenditure-Volumes'!L$95:L$108)/1000
+SUMIF('Forecast Contributions'!$B$8:$B$20,'Gross Capex'!$B37,'Forecast Contributions'!L$8:L$20)/1000</f>
        <v>0</v>
      </c>
      <c r="O37" s="91">
        <f>SUMIF('Forecast Expenditure-Volumes'!$B$95:$B$108,'Gross Capex'!$B37,'Forecast Expenditure-Volumes'!M$95:M$108)/1000
+SUMIF('Forecast Contributions'!$B$8:$B$20,'Gross Capex'!$B37,'Forecast Contributions'!M$8:M$20)/1000</f>
        <v>0</v>
      </c>
      <c r="P37" s="3"/>
      <c r="Q37" s="3"/>
      <c r="R37" s="3"/>
      <c r="S37" s="3"/>
      <c r="T37" s="3"/>
    </row>
    <row r="38" spans="1:20" x14ac:dyDescent="0.2">
      <c r="A38" s="3"/>
      <c r="B38" s="36">
        <v>136</v>
      </c>
      <c r="C38" s="33" t="s">
        <v>113</v>
      </c>
      <c r="D38" s="3"/>
      <c r="E38" s="3"/>
      <c r="F38" s="159">
        <f>SUMIF('Historical Expenditure-Volumes'!$B$9:$B$22,'Gross Capex'!$B38,'Historical Expenditure-Volumes'!E$9:E$22)/1000
+SUMIF('Historical Contributions'!$B$8:$B$21,'Gross Capex'!$B38,'Historical Contributions'!D$8:D$21)/1000</f>
        <v>0</v>
      </c>
      <c r="G38" s="159">
        <f>SUMIF('Historical Expenditure-Volumes'!$B$9:$B$22,'Gross Capex'!$B38,'Historical Expenditure-Volumes'!F$9:F$22)/1000
+SUMIF('Historical Contributions'!$B$8:$B$21,'Gross Capex'!$B38,'Historical Contributions'!E$8:E$21)/1000</f>
        <v>0</v>
      </c>
      <c r="H38" s="159">
        <f>SUMIF('Historical Expenditure-Volumes'!$B$9:$B$22,'Gross Capex'!$B38,'Historical Expenditure-Volumes'!G$9:G$22)/1000
+SUMIF('Historical Contributions'!$B$8:$B$21,'Gross Capex'!$B38,'Historical Contributions'!F$8:F$21)/1000</f>
        <v>0</v>
      </c>
      <c r="I38" s="91">
        <f>SUMIF('Forecast Expenditure-Volumes'!$B$95:$B$108,'Gross Capex'!$B38,'Forecast Expenditure-Volumes'!G$95:G$108)/1000
+SUMIF('Forecast Contributions'!$B$8:$B$20,'Gross Capex'!$B38,'Forecast Contributions'!G$8:G$20)/1000</f>
        <v>0</v>
      </c>
      <c r="J38" s="91">
        <f>SUMIF('Forecast Expenditure-Volumes'!$B$95:$B$108,'Gross Capex'!$B38,'Forecast Expenditure-Volumes'!H$95:H$108)/1000
+SUMIF('Forecast Contributions'!$B$8:$B$20,'Gross Capex'!$B38,'Forecast Contributions'!H$8:H$20)/1000</f>
        <v>0</v>
      </c>
      <c r="K38" s="91">
        <f>SUMIF('Forecast Expenditure-Volumes'!$B$95:$B$108,'Gross Capex'!$B38,'Forecast Expenditure-Volumes'!I$95:I$108)/1000
+SUMIF('Forecast Contributions'!$B$8:$B$20,'Gross Capex'!$B38,'Forecast Contributions'!I$8:I$20)/1000</f>
        <v>0</v>
      </c>
      <c r="L38" s="91">
        <f>SUMIF('Forecast Expenditure-Volumes'!$B$95:$B$108,'Gross Capex'!$B38,'Forecast Expenditure-Volumes'!J$95:J$108)/1000
+SUMIF('Forecast Contributions'!$B$8:$B$20,'Gross Capex'!$B38,'Forecast Contributions'!J$8:J$20)/1000</f>
        <v>0</v>
      </c>
      <c r="M38" s="91">
        <f>SUMIF('Forecast Expenditure-Volumes'!$B$95:$B$108,'Gross Capex'!$B38,'Forecast Expenditure-Volumes'!K$95:K$108)/1000
+SUMIF('Forecast Contributions'!$B$8:$B$20,'Gross Capex'!$B38,'Forecast Contributions'!K$8:K$20)/1000</f>
        <v>0</v>
      </c>
      <c r="N38" s="91">
        <f>SUMIF('Forecast Expenditure-Volumes'!$B$95:$B$108,'Gross Capex'!$B38,'Forecast Expenditure-Volumes'!L$95:L$108)/1000
+SUMIF('Forecast Contributions'!$B$8:$B$20,'Gross Capex'!$B38,'Forecast Contributions'!L$8:L$20)/1000</f>
        <v>0</v>
      </c>
      <c r="O38" s="91">
        <f>SUMIF('Forecast Expenditure-Volumes'!$B$95:$B$108,'Gross Capex'!$B38,'Forecast Expenditure-Volumes'!M$95:M$108)/1000
+SUMIF('Forecast Contributions'!$B$8:$B$20,'Gross Capex'!$B38,'Forecast Contributions'!M$8:M$20)/1000</f>
        <v>0</v>
      </c>
      <c r="P38" s="3"/>
      <c r="Q38" s="3"/>
      <c r="R38" s="3"/>
      <c r="S38" s="3"/>
      <c r="T38" s="3"/>
    </row>
    <row r="39" spans="1:20" x14ac:dyDescent="0.2">
      <c r="A39" s="3"/>
      <c r="B39" s="36">
        <v>137</v>
      </c>
      <c r="C39" s="33" t="s">
        <v>114</v>
      </c>
      <c r="D39" s="3"/>
      <c r="E39" s="3"/>
      <c r="F39" s="159">
        <f>SUMIF('Historical Expenditure-Volumes'!$B$9:$B$22,'Gross Capex'!$B39,'Historical Expenditure-Volumes'!E$9:E$22)/1000
+SUMIF('Historical Contributions'!$B$8:$B$21,'Gross Capex'!$B39,'Historical Contributions'!D$8:D$21)/1000</f>
        <v>0</v>
      </c>
      <c r="G39" s="159">
        <f>SUMIF('Historical Expenditure-Volumes'!$B$9:$B$22,'Gross Capex'!$B39,'Historical Expenditure-Volumes'!F$9:F$22)/1000
+SUMIF('Historical Contributions'!$B$8:$B$21,'Gross Capex'!$B39,'Historical Contributions'!E$8:E$21)/1000</f>
        <v>0</v>
      </c>
      <c r="H39" s="159">
        <f>SUMIF('Historical Expenditure-Volumes'!$B$9:$B$22,'Gross Capex'!$B39,'Historical Expenditure-Volumes'!G$9:G$22)/1000
+SUMIF('Historical Contributions'!$B$8:$B$21,'Gross Capex'!$B39,'Historical Contributions'!F$8:F$21)/1000</f>
        <v>0</v>
      </c>
      <c r="I39" s="91">
        <f>SUMIF('Forecast Expenditure-Volumes'!$B$95:$B$108,'Gross Capex'!$B39,'Forecast Expenditure-Volumes'!G$95:G$108)/1000
+SUMIF('Forecast Contributions'!$B$8:$B$20,'Gross Capex'!$B39,'Forecast Contributions'!G$8:G$20)/1000</f>
        <v>0</v>
      </c>
      <c r="J39" s="91">
        <f>SUMIF('Forecast Expenditure-Volumes'!$B$95:$B$108,'Gross Capex'!$B39,'Forecast Expenditure-Volumes'!H$95:H$108)/1000
+SUMIF('Forecast Contributions'!$B$8:$B$20,'Gross Capex'!$B39,'Forecast Contributions'!H$8:H$20)/1000</f>
        <v>0</v>
      </c>
      <c r="K39" s="91">
        <f>SUMIF('Forecast Expenditure-Volumes'!$B$95:$B$108,'Gross Capex'!$B39,'Forecast Expenditure-Volumes'!I$95:I$108)/1000
+SUMIF('Forecast Contributions'!$B$8:$B$20,'Gross Capex'!$B39,'Forecast Contributions'!I$8:I$20)/1000</f>
        <v>0</v>
      </c>
      <c r="L39" s="91">
        <f>SUMIF('Forecast Expenditure-Volumes'!$B$95:$B$108,'Gross Capex'!$B39,'Forecast Expenditure-Volumes'!J$95:J$108)/1000
+SUMIF('Forecast Contributions'!$B$8:$B$20,'Gross Capex'!$B39,'Forecast Contributions'!J$8:J$20)/1000</f>
        <v>0</v>
      </c>
      <c r="M39" s="91">
        <f>SUMIF('Forecast Expenditure-Volumes'!$B$95:$B$108,'Gross Capex'!$B39,'Forecast Expenditure-Volumes'!K$95:K$108)/1000
+SUMIF('Forecast Contributions'!$B$8:$B$20,'Gross Capex'!$B39,'Forecast Contributions'!K$8:K$20)/1000</f>
        <v>0</v>
      </c>
      <c r="N39" s="91">
        <f>SUMIF('Forecast Expenditure-Volumes'!$B$95:$B$108,'Gross Capex'!$B39,'Forecast Expenditure-Volumes'!L$95:L$108)/1000
+SUMIF('Forecast Contributions'!$B$8:$B$20,'Gross Capex'!$B39,'Forecast Contributions'!L$8:L$20)/1000</f>
        <v>0</v>
      </c>
      <c r="O39" s="91">
        <f>SUMIF('Forecast Expenditure-Volumes'!$B$95:$B$108,'Gross Capex'!$B39,'Forecast Expenditure-Volumes'!M$95:M$108)/1000
+SUMIF('Forecast Contributions'!$B$8:$B$20,'Gross Capex'!$B39,'Forecast Contributions'!M$8:M$20)/1000</f>
        <v>0</v>
      </c>
      <c r="P39" s="3"/>
      <c r="Q39" s="3"/>
      <c r="R39" s="3"/>
      <c r="S39" s="3"/>
      <c r="T39" s="3"/>
    </row>
    <row r="40" spans="1:20" x14ac:dyDescent="0.2">
      <c r="A40" s="3"/>
      <c r="B40" s="36">
        <v>138</v>
      </c>
      <c r="C40" s="33" t="s">
        <v>115</v>
      </c>
      <c r="D40" s="3"/>
      <c r="E40" s="3"/>
      <c r="F40" s="159">
        <f>SUMIF('Historical Expenditure-Volumes'!$B$9:$B$22,'Gross Capex'!$B40,'Historical Expenditure-Volumes'!E$9:E$22)/1000
+SUMIF('Historical Contributions'!$B$8:$B$21,'Gross Capex'!$B40,'Historical Contributions'!D$8:D$21)/1000</f>
        <v>0</v>
      </c>
      <c r="G40" s="159">
        <f>SUMIF('Historical Expenditure-Volumes'!$B$9:$B$22,'Gross Capex'!$B40,'Historical Expenditure-Volumes'!F$9:F$22)/1000
+SUMIF('Historical Contributions'!$B$8:$B$21,'Gross Capex'!$B40,'Historical Contributions'!E$8:E$21)/1000</f>
        <v>0</v>
      </c>
      <c r="H40" s="159">
        <f>SUMIF('Historical Expenditure-Volumes'!$B$9:$B$22,'Gross Capex'!$B40,'Historical Expenditure-Volumes'!G$9:G$22)/1000
+SUMIF('Historical Contributions'!$B$8:$B$21,'Gross Capex'!$B40,'Historical Contributions'!F$8:F$21)/1000</f>
        <v>0</v>
      </c>
      <c r="I40" s="91">
        <f>SUMIF('Forecast Expenditure-Volumes'!$B$95:$B$108,'Gross Capex'!$B40,'Forecast Expenditure-Volumes'!G$95:G$108)/1000
+SUMIF('Forecast Contributions'!$B$8:$B$20,'Gross Capex'!$B40,'Forecast Contributions'!G$8:G$20)/1000</f>
        <v>0</v>
      </c>
      <c r="J40" s="91">
        <f>SUMIF('Forecast Expenditure-Volumes'!$B$95:$B$108,'Gross Capex'!$B40,'Forecast Expenditure-Volumes'!H$95:H$108)/1000
+SUMIF('Forecast Contributions'!$B$8:$B$20,'Gross Capex'!$B40,'Forecast Contributions'!H$8:H$20)/1000</f>
        <v>0</v>
      </c>
      <c r="K40" s="91">
        <f>SUMIF('Forecast Expenditure-Volumes'!$B$95:$B$108,'Gross Capex'!$B40,'Forecast Expenditure-Volumes'!I$95:I$108)/1000
+SUMIF('Forecast Contributions'!$B$8:$B$20,'Gross Capex'!$B40,'Forecast Contributions'!I$8:I$20)/1000</f>
        <v>0</v>
      </c>
      <c r="L40" s="91">
        <f>SUMIF('Forecast Expenditure-Volumes'!$B$95:$B$108,'Gross Capex'!$B40,'Forecast Expenditure-Volumes'!J$95:J$108)/1000
+SUMIF('Forecast Contributions'!$B$8:$B$20,'Gross Capex'!$B40,'Forecast Contributions'!J$8:J$20)/1000</f>
        <v>0</v>
      </c>
      <c r="M40" s="91">
        <f>SUMIF('Forecast Expenditure-Volumes'!$B$95:$B$108,'Gross Capex'!$B40,'Forecast Expenditure-Volumes'!K$95:K$108)/1000
+SUMIF('Forecast Contributions'!$B$8:$B$20,'Gross Capex'!$B40,'Forecast Contributions'!K$8:K$20)/1000</f>
        <v>0</v>
      </c>
      <c r="N40" s="91">
        <f>SUMIF('Forecast Expenditure-Volumes'!$B$95:$B$108,'Gross Capex'!$B40,'Forecast Expenditure-Volumes'!L$95:L$108)/1000
+SUMIF('Forecast Contributions'!$B$8:$B$20,'Gross Capex'!$B40,'Forecast Contributions'!L$8:L$20)/1000</f>
        <v>0</v>
      </c>
      <c r="O40" s="91">
        <f>SUMIF('Forecast Expenditure-Volumes'!$B$95:$B$108,'Gross Capex'!$B40,'Forecast Expenditure-Volumes'!M$95:M$108)/1000
+SUMIF('Forecast Contributions'!$B$8:$B$20,'Gross Capex'!$B40,'Forecast Contributions'!M$8:M$20)/1000</f>
        <v>0</v>
      </c>
      <c r="P40" s="3"/>
      <c r="Q40" s="3"/>
      <c r="R40" s="3"/>
      <c r="S40" s="3"/>
      <c r="T40" s="3"/>
    </row>
    <row r="41" spans="1:20" x14ac:dyDescent="0.2">
      <c r="A41" s="3"/>
      <c r="B41" s="36">
        <v>139</v>
      </c>
      <c r="C41" s="33" t="s">
        <v>116</v>
      </c>
      <c r="D41" s="3"/>
      <c r="E41" s="3"/>
      <c r="F41" s="159">
        <f>SUMIF('Historical Expenditure-Volumes'!$B$9:$B$22,'Gross Capex'!$B41,'Historical Expenditure-Volumes'!E$9:E$22)/1000
+SUMIF('Historical Contributions'!$B$8:$B$21,'Gross Capex'!$B41,'Historical Contributions'!D$8:D$21)/1000</f>
        <v>0</v>
      </c>
      <c r="G41" s="159">
        <f>SUMIF('Historical Expenditure-Volumes'!$B$9:$B$22,'Gross Capex'!$B41,'Historical Expenditure-Volumes'!F$9:F$22)/1000
+SUMIF('Historical Contributions'!$B$8:$B$21,'Gross Capex'!$B41,'Historical Contributions'!E$8:E$21)/1000</f>
        <v>0</v>
      </c>
      <c r="H41" s="159">
        <f>SUMIF('Historical Expenditure-Volumes'!$B$9:$B$22,'Gross Capex'!$B41,'Historical Expenditure-Volumes'!G$9:G$22)/1000
+SUMIF('Historical Contributions'!$B$8:$B$21,'Gross Capex'!$B41,'Historical Contributions'!F$8:F$21)/1000</f>
        <v>0</v>
      </c>
      <c r="I41" s="91">
        <f>SUMIF('Forecast Expenditure-Volumes'!$B$95:$B$108,'Gross Capex'!$B41,'Forecast Expenditure-Volumes'!G$95:G$108)/1000
+SUMIF('Forecast Contributions'!$B$8:$B$20,'Gross Capex'!$B41,'Forecast Contributions'!G$8:G$20)/1000</f>
        <v>0</v>
      </c>
      <c r="J41" s="91">
        <f>SUMIF('Forecast Expenditure-Volumes'!$B$95:$B$108,'Gross Capex'!$B41,'Forecast Expenditure-Volumes'!H$95:H$108)/1000
+SUMIF('Forecast Contributions'!$B$8:$B$20,'Gross Capex'!$B41,'Forecast Contributions'!H$8:H$20)/1000</f>
        <v>0</v>
      </c>
      <c r="K41" s="91">
        <f>SUMIF('Forecast Expenditure-Volumes'!$B$95:$B$108,'Gross Capex'!$B41,'Forecast Expenditure-Volumes'!I$95:I$108)/1000
+SUMIF('Forecast Contributions'!$B$8:$B$20,'Gross Capex'!$B41,'Forecast Contributions'!I$8:I$20)/1000</f>
        <v>0</v>
      </c>
      <c r="L41" s="91">
        <f>SUMIF('Forecast Expenditure-Volumes'!$B$95:$B$108,'Gross Capex'!$B41,'Forecast Expenditure-Volumes'!J$95:J$108)/1000
+SUMIF('Forecast Contributions'!$B$8:$B$20,'Gross Capex'!$B41,'Forecast Contributions'!J$8:J$20)/1000</f>
        <v>0</v>
      </c>
      <c r="M41" s="91">
        <f>SUMIF('Forecast Expenditure-Volumes'!$B$95:$B$108,'Gross Capex'!$B41,'Forecast Expenditure-Volumes'!K$95:K$108)/1000
+SUMIF('Forecast Contributions'!$B$8:$B$20,'Gross Capex'!$B41,'Forecast Contributions'!K$8:K$20)/1000</f>
        <v>0</v>
      </c>
      <c r="N41" s="91">
        <f>SUMIF('Forecast Expenditure-Volumes'!$B$95:$B$108,'Gross Capex'!$B41,'Forecast Expenditure-Volumes'!L$95:L$108)/1000
+SUMIF('Forecast Contributions'!$B$8:$B$20,'Gross Capex'!$B41,'Forecast Contributions'!L$8:L$20)/1000</f>
        <v>0</v>
      </c>
      <c r="O41" s="91">
        <f>SUMIF('Forecast Expenditure-Volumes'!$B$95:$B$108,'Gross Capex'!$B41,'Forecast Expenditure-Volumes'!M$95:M$108)/1000
+SUMIF('Forecast Contributions'!$B$8:$B$20,'Gross Capex'!$B41,'Forecast Contributions'!M$8:M$20)/1000</f>
        <v>0</v>
      </c>
      <c r="P41" s="3"/>
      <c r="Q41" s="3"/>
      <c r="R41" s="3"/>
      <c r="S41" s="3"/>
      <c r="T41" s="3"/>
    </row>
    <row r="42" spans="1:20" x14ac:dyDescent="0.2">
      <c r="A42" s="3"/>
      <c r="B42" s="36">
        <v>140</v>
      </c>
      <c r="C42" s="33" t="s">
        <v>117</v>
      </c>
      <c r="D42" s="3"/>
      <c r="E42" s="3"/>
      <c r="F42" s="159">
        <f>SUMIF('Historical Expenditure-Volumes'!$B$9:$B$22,'Gross Capex'!$B42,'Historical Expenditure-Volumes'!E$9:E$22)/1000
+SUMIF('Historical Contributions'!$B$8:$B$21,'Gross Capex'!$B42,'Historical Contributions'!D$8:D$21)/1000</f>
        <v>0</v>
      </c>
      <c r="G42" s="159">
        <f>SUMIF('Historical Expenditure-Volumes'!$B$9:$B$22,'Gross Capex'!$B42,'Historical Expenditure-Volumes'!F$9:F$22)/1000
+SUMIF('Historical Contributions'!$B$8:$B$21,'Gross Capex'!$B42,'Historical Contributions'!E$8:E$21)/1000</f>
        <v>0</v>
      </c>
      <c r="H42" s="159">
        <f>SUMIF('Historical Expenditure-Volumes'!$B$9:$B$22,'Gross Capex'!$B42,'Historical Expenditure-Volumes'!G$9:G$22)/1000
+SUMIF('Historical Contributions'!$B$8:$B$21,'Gross Capex'!$B42,'Historical Contributions'!F$8:F$21)/1000</f>
        <v>0</v>
      </c>
      <c r="I42" s="91">
        <f>SUMIF('Forecast Expenditure-Volumes'!$B$95:$B$108,'Gross Capex'!$B42,'Forecast Expenditure-Volumes'!G$95:G$108)/1000
+SUMIF('Forecast Contributions'!$B$8:$B$20,'Gross Capex'!$B42,'Forecast Contributions'!G$8:G$20)/1000</f>
        <v>0</v>
      </c>
      <c r="J42" s="91">
        <f>SUMIF('Forecast Expenditure-Volumes'!$B$95:$B$108,'Gross Capex'!$B42,'Forecast Expenditure-Volumes'!H$95:H$108)/1000
+SUMIF('Forecast Contributions'!$B$8:$B$20,'Gross Capex'!$B42,'Forecast Contributions'!H$8:H$20)/1000</f>
        <v>0</v>
      </c>
      <c r="K42" s="91">
        <f>SUMIF('Forecast Expenditure-Volumes'!$B$95:$B$108,'Gross Capex'!$B42,'Forecast Expenditure-Volumes'!I$95:I$108)/1000
+SUMIF('Forecast Contributions'!$B$8:$B$20,'Gross Capex'!$B42,'Forecast Contributions'!I$8:I$20)/1000</f>
        <v>0</v>
      </c>
      <c r="L42" s="91">
        <f>SUMIF('Forecast Expenditure-Volumes'!$B$95:$B$108,'Gross Capex'!$B42,'Forecast Expenditure-Volumes'!J$95:J$108)/1000
+SUMIF('Forecast Contributions'!$B$8:$B$20,'Gross Capex'!$B42,'Forecast Contributions'!J$8:J$20)/1000</f>
        <v>0</v>
      </c>
      <c r="M42" s="91">
        <f>SUMIF('Forecast Expenditure-Volumes'!$B$95:$B$108,'Gross Capex'!$B42,'Forecast Expenditure-Volumes'!K$95:K$108)/1000
+SUMIF('Forecast Contributions'!$B$8:$B$20,'Gross Capex'!$B42,'Forecast Contributions'!K$8:K$20)/1000</f>
        <v>0</v>
      </c>
      <c r="N42" s="91">
        <f>SUMIF('Forecast Expenditure-Volumes'!$B$95:$B$108,'Gross Capex'!$B42,'Forecast Expenditure-Volumes'!L$95:L$108)/1000
+SUMIF('Forecast Contributions'!$B$8:$B$20,'Gross Capex'!$B42,'Forecast Contributions'!L$8:L$20)/1000</f>
        <v>0</v>
      </c>
      <c r="O42" s="91">
        <f>SUMIF('Forecast Expenditure-Volumes'!$B$95:$B$108,'Gross Capex'!$B42,'Forecast Expenditure-Volumes'!M$95:M$108)/1000
+SUMIF('Forecast Contributions'!$B$8:$B$20,'Gross Capex'!$B42,'Forecast Contributions'!M$8:M$20)/1000</f>
        <v>0</v>
      </c>
      <c r="P42" s="3"/>
      <c r="Q42" s="3"/>
      <c r="R42" s="3"/>
      <c r="S42" s="3"/>
      <c r="T42" s="3"/>
    </row>
    <row r="43" spans="1:20" x14ac:dyDescent="0.2">
      <c r="A43" s="3"/>
      <c r="B43" s="36">
        <v>141</v>
      </c>
      <c r="C43" s="33" t="s">
        <v>118</v>
      </c>
      <c r="D43" s="3"/>
      <c r="E43" s="3"/>
      <c r="F43" s="159">
        <f>SUMIF('Historical Expenditure-Volumes'!$B$9:$B$22,'Gross Capex'!$B43,'Historical Expenditure-Volumes'!E$9:E$22)/1000
+SUMIF('Historical Contributions'!$B$8:$B$21,'Gross Capex'!$B43,'Historical Contributions'!D$8:D$21)/1000</f>
        <v>0</v>
      </c>
      <c r="G43" s="159">
        <f>SUMIF('Historical Expenditure-Volumes'!$B$9:$B$22,'Gross Capex'!$B43,'Historical Expenditure-Volumes'!F$9:F$22)/1000
+SUMIF('Historical Contributions'!$B$8:$B$21,'Gross Capex'!$B43,'Historical Contributions'!E$8:E$21)/1000</f>
        <v>0</v>
      </c>
      <c r="H43" s="159">
        <f>SUMIF('Historical Expenditure-Volumes'!$B$9:$B$22,'Gross Capex'!$B43,'Historical Expenditure-Volumes'!G$9:G$22)/1000
+SUMIF('Historical Contributions'!$B$8:$B$21,'Gross Capex'!$B43,'Historical Contributions'!F$8:F$21)/1000</f>
        <v>0</v>
      </c>
      <c r="I43" s="91">
        <f>SUMIF('Forecast Expenditure-Volumes'!$B$95:$B$108,'Gross Capex'!$B43,'Forecast Expenditure-Volumes'!G$95:G$108)/1000
+SUMIF('Forecast Contributions'!$B$8:$B$20,'Gross Capex'!$B43,'Forecast Contributions'!G$8:G$20)/1000</f>
        <v>0</v>
      </c>
      <c r="J43" s="91">
        <f>SUMIF('Forecast Expenditure-Volumes'!$B$95:$B$108,'Gross Capex'!$B43,'Forecast Expenditure-Volumes'!H$95:H$108)/1000
+SUMIF('Forecast Contributions'!$B$8:$B$20,'Gross Capex'!$B43,'Forecast Contributions'!H$8:H$20)/1000</f>
        <v>0</v>
      </c>
      <c r="K43" s="91">
        <f>SUMIF('Forecast Expenditure-Volumes'!$B$95:$B$108,'Gross Capex'!$B43,'Forecast Expenditure-Volumes'!I$95:I$108)/1000
+SUMIF('Forecast Contributions'!$B$8:$B$20,'Gross Capex'!$B43,'Forecast Contributions'!I$8:I$20)/1000</f>
        <v>0</v>
      </c>
      <c r="L43" s="91">
        <f>SUMIF('Forecast Expenditure-Volumes'!$B$95:$B$108,'Gross Capex'!$B43,'Forecast Expenditure-Volumes'!J$95:J$108)/1000
+SUMIF('Forecast Contributions'!$B$8:$B$20,'Gross Capex'!$B43,'Forecast Contributions'!J$8:J$20)/1000</f>
        <v>0</v>
      </c>
      <c r="M43" s="91">
        <f>SUMIF('Forecast Expenditure-Volumes'!$B$95:$B$108,'Gross Capex'!$B43,'Forecast Expenditure-Volumes'!K$95:K$108)/1000
+SUMIF('Forecast Contributions'!$B$8:$B$20,'Gross Capex'!$B43,'Forecast Contributions'!K$8:K$20)/1000</f>
        <v>0</v>
      </c>
      <c r="N43" s="91">
        <f>SUMIF('Forecast Expenditure-Volumes'!$B$95:$B$108,'Gross Capex'!$B43,'Forecast Expenditure-Volumes'!L$95:L$108)/1000
+SUMIF('Forecast Contributions'!$B$8:$B$20,'Gross Capex'!$B43,'Forecast Contributions'!L$8:L$20)/1000</f>
        <v>0</v>
      </c>
      <c r="O43" s="91">
        <f>SUMIF('Forecast Expenditure-Volumes'!$B$95:$B$108,'Gross Capex'!$B43,'Forecast Expenditure-Volumes'!M$95:M$108)/1000
+SUMIF('Forecast Contributions'!$B$8:$B$20,'Gross Capex'!$B43,'Forecast Contributions'!M$8:M$20)/1000</f>
        <v>0</v>
      </c>
      <c r="P43" s="3"/>
      <c r="Q43" s="3"/>
      <c r="R43" s="3"/>
      <c r="S43" s="3"/>
      <c r="T43" s="3"/>
    </row>
    <row r="44" spans="1:20" x14ac:dyDescent="0.2">
      <c r="A44" s="3"/>
      <c r="B44" s="36">
        <v>142</v>
      </c>
      <c r="C44" s="33" t="s">
        <v>119</v>
      </c>
      <c r="D44" s="3"/>
      <c r="E44" s="3"/>
      <c r="F44" s="159">
        <f>SUMIF('Historical Expenditure-Volumes'!$B$9:$B$22,'Gross Capex'!$B44,'Historical Expenditure-Volumes'!E$9:E$22)/1000
+SUMIF('Historical Contributions'!$B$8:$B$21,'Gross Capex'!$B44,'Historical Contributions'!D$8:D$21)/1000</f>
        <v>0</v>
      </c>
      <c r="G44" s="159">
        <f>SUMIF('Historical Expenditure-Volumes'!$B$9:$B$22,'Gross Capex'!$B44,'Historical Expenditure-Volumes'!F$9:F$22)/1000
+SUMIF('Historical Contributions'!$B$8:$B$21,'Gross Capex'!$B44,'Historical Contributions'!E$8:E$21)/1000</f>
        <v>0</v>
      </c>
      <c r="H44" s="159">
        <f>SUMIF('Historical Expenditure-Volumes'!$B$9:$B$22,'Gross Capex'!$B44,'Historical Expenditure-Volumes'!G$9:G$22)/1000
+SUMIF('Historical Contributions'!$B$8:$B$21,'Gross Capex'!$B44,'Historical Contributions'!F$8:F$21)/1000</f>
        <v>0</v>
      </c>
      <c r="I44" s="91">
        <f>SUMIF('Forecast Expenditure-Volumes'!$B$95:$B$108,'Gross Capex'!$B44,'Forecast Expenditure-Volumes'!G$95:G$108)/1000
+SUMIF('Forecast Contributions'!$B$8:$B$20,'Gross Capex'!$B44,'Forecast Contributions'!G$8:G$20)/1000</f>
        <v>0</v>
      </c>
      <c r="J44" s="91">
        <f>SUMIF('Forecast Expenditure-Volumes'!$B$95:$B$108,'Gross Capex'!$B44,'Forecast Expenditure-Volumes'!H$95:H$108)/1000
+SUMIF('Forecast Contributions'!$B$8:$B$20,'Gross Capex'!$B44,'Forecast Contributions'!H$8:H$20)/1000</f>
        <v>0</v>
      </c>
      <c r="K44" s="91">
        <f>SUMIF('Forecast Expenditure-Volumes'!$B$95:$B$108,'Gross Capex'!$B44,'Forecast Expenditure-Volumes'!I$95:I$108)/1000
+SUMIF('Forecast Contributions'!$B$8:$B$20,'Gross Capex'!$B44,'Forecast Contributions'!I$8:I$20)/1000</f>
        <v>0</v>
      </c>
      <c r="L44" s="91">
        <f>SUMIF('Forecast Expenditure-Volumes'!$B$95:$B$108,'Gross Capex'!$B44,'Forecast Expenditure-Volumes'!J$95:J$108)/1000
+SUMIF('Forecast Contributions'!$B$8:$B$20,'Gross Capex'!$B44,'Forecast Contributions'!J$8:J$20)/1000</f>
        <v>0</v>
      </c>
      <c r="M44" s="91">
        <f>SUMIF('Forecast Expenditure-Volumes'!$B$95:$B$108,'Gross Capex'!$B44,'Forecast Expenditure-Volumes'!K$95:K$108)/1000
+SUMIF('Forecast Contributions'!$B$8:$B$20,'Gross Capex'!$B44,'Forecast Contributions'!K$8:K$20)/1000</f>
        <v>0</v>
      </c>
      <c r="N44" s="91">
        <f>SUMIF('Forecast Expenditure-Volumes'!$B$95:$B$108,'Gross Capex'!$B44,'Forecast Expenditure-Volumes'!L$95:L$108)/1000
+SUMIF('Forecast Contributions'!$B$8:$B$20,'Gross Capex'!$B44,'Forecast Contributions'!L$8:L$20)/1000</f>
        <v>0</v>
      </c>
      <c r="O44" s="91">
        <f>SUMIF('Forecast Expenditure-Volumes'!$B$95:$B$108,'Gross Capex'!$B44,'Forecast Expenditure-Volumes'!M$95:M$108)/1000
+SUMIF('Forecast Contributions'!$B$8:$B$20,'Gross Capex'!$B44,'Forecast Contributions'!M$8:M$20)/1000</f>
        <v>0</v>
      </c>
      <c r="P44" s="3"/>
      <c r="Q44" s="3"/>
      <c r="R44" s="3"/>
      <c r="S44" s="3"/>
      <c r="T44" s="3"/>
    </row>
    <row r="45" spans="1:20" x14ac:dyDescent="0.2">
      <c r="A45" s="3"/>
      <c r="B45" s="36">
        <v>143</v>
      </c>
      <c r="C45" s="33" t="s">
        <v>120</v>
      </c>
      <c r="D45" s="3"/>
      <c r="E45" s="3"/>
      <c r="F45" s="159">
        <f>SUMIF('Historical Expenditure-Volumes'!$B$9:$B$22,'Gross Capex'!$B45,'Historical Expenditure-Volumes'!E$9:E$22)/1000
+SUMIF('Historical Contributions'!$B$8:$B$21,'Gross Capex'!$B45,'Historical Contributions'!D$8:D$21)/1000</f>
        <v>0</v>
      </c>
      <c r="G45" s="159">
        <f>SUMIF('Historical Expenditure-Volumes'!$B$9:$B$22,'Gross Capex'!$B45,'Historical Expenditure-Volumes'!F$9:F$22)/1000
+SUMIF('Historical Contributions'!$B$8:$B$21,'Gross Capex'!$B45,'Historical Contributions'!E$8:E$21)/1000</f>
        <v>0</v>
      </c>
      <c r="H45" s="159">
        <f>SUMIF('Historical Expenditure-Volumes'!$B$9:$B$22,'Gross Capex'!$B45,'Historical Expenditure-Volumes'!G$9:G$22)/1000
+SUMIF('Historical Contributions'!$B$8:$B$21,'Gross Capex'!$B45,'Historical Contributions'!F$8:F$21)/1000</f>
        <v>0</v>
      </c>
      <c r="I45" s="91">
        <f>SUMIF('Forecast Expenditure-Volumes'!$B$95:$B$108,'Gross Capex'!$B45,'Forecast Expenditure-Volumes'!G$95:G$108)/1000
+SUMIF('Forecast Contributions'!$B$8:$B$20,'Gross Capex'!$B45,'Forecast Contributions'!G$8:G$20)/1000</f>
        <v>0</v>
      </c>
      <c r="J45" s="91">
        <f>SUMIF('Forecast Expenditure-Volumes'!$B$95:$B$108,'Gross Capex'!$B45,'Forecast Expenditure-Volumes'!H$95:H$108)/1000
+SUMIF('Forecast Contributions'!$B$8:$B$20,'Gross Capex'!$B45,'Forecast Contributions'!H$8:H$20)/1000</f>
        <v>0</v>
      </c>
      <c r="K45" s="91">
        <f>SUMIF('Forecast Expenditure-Volumes'!$B$95:$B$108,'Gross Capex'!$B45,'Forecast Expenditure-Volumes'!I$95:I$108)/1000
+SUMIF('Forecast Contributions'!$B$8:$B$20,'Gross Capex'!$B45,'Forecast Contributions'!I$8:I$20)/1000</f>
        <v>0</v>
      </c>
      <c r="L45" s="91">
        <f>SUMIF('Forecast Expenditure-Volumes'!$B$95:$B$108,'Gross Capex'!$B45,'Forecast Expenditure-Volumes'!J$95:J$108)/1000
+SUMIF('Forecast Contributions'!$B$8:$B$20,'Gross Capex'!$B45,'Forecast Contributions'!J$8:J$20)/1000</f>
        <v>0</v>
      </c>
      <c r="M45" s="91">
        <f>SUMIF('Forecast Expenditure-Volumes'!$B$95:$B$108,'Gross Capex'!$B45,'Forecast Expenditure-Volumes'!K$95:K$108)/1000
+SUMIF('Forecast Contributions'!$B$8:$B$20,'Gross Capex'!$B45,'Forecast Contributions'!K$8:K$20)/1000</f>
        <v>0</v>
      </c>
      <c r="N45" s="91">
        <f>SUMIF('Forecast Expenditure-Volumes'!$B$95:$B$108,'Gross Capex'!$B45,'Forecast Expenditure-Volumes'!L$95:L$108)/1000
+SUMIF('Forecast Contributions'!$B$8:$B$20,'Gross Capex'!$B45,'Forecast Contributions'!L$8:L$20)/1000</f>
        <v>0</v>
      </c>
      <c r="O45" s="91">
        <f>SUMIF('Forecast Expenditure-Volumes'!$B$95:$B$108,'Gross Capex'!$B45,'Forecast Expenditure-Volumes'!M$95:M$108)/1000
+SUMIF('Forecast Contributions'!$B$8:$B$20,'Gross Capex'!$B45,'Forecast Contributions'!M$8:M$20)/1000</f>
        <v>0</v>
      </c>
      <c r="P45" s="3"/>
      <c r="Q45" s="3"/>
      <c r="R45" s="3"/>
      <c r="S45" s="3"/>
      <c r="T45" s="3"/>
    </row>
    <row r="46" spans="1:20" x14ac:dyDescent="0.2">
      <c r="A46" s="3"/>
      <c r="B46" s="36">
        <v>144</v>
      </c>
      <c r="C46" s="33" t="s">
        <v>121</v>
      </c>
      <c r="D46" s="3"/>
      <c r="E46" s="3"/>
      <c r="F46" s="159">
        <f>SUMIF('Historical Expenditure-Volumes'!$B$9:$B$22,'Gross Capex'!$B46,'Historical Expenditure-Volumes'!E$9:E$22)/1000
+SUMIF('Historical Contributions'!$B$8:$B$21,'Gross Capex'!$B46,'Historical Contributions'!D$8:D$21)/1000</f>
        <v>0</v>
      </c>
      <c r="G46" s="159">
        <f>SUMIF('Historical Expenditure-Volumes'!$B$9:$B$22,'Gross Capex'!$B46,'Historical Expenditure-Volumes'!F$9:F$22)/1000
+SUMIF('Historical Contributions'!$B$8:$B$21,'Gross Capex'!$B46,'Historical Contributions'!E$8:E$21)/1000</f>
        <v>0</v>
      </c>
      <c r="H46" s="159">
        <f>SUMIF('Historical Expenditure-Volumes'!$B$9:$B$22,'Gross Capex'!$B46,'Historical Expenditure-Volumes'!G$9:G$22)/1000
+SUMIF('Historical Contributions'!$B$8:$B$21,'Gross Capex'!$B46,'Historical Contributions'!F$8:F$21)/1000</f>
        <v>0</v>
      </c>
      <c r="I46" s="91">
        <f>SUMIF('Forecast Expenditure-Volumes'!$B$95:$B$108,'Gross Capex'!$B46,'Forecast Expenditure-Volumes'!G$95:G$108)/1000
+SUMIF('Forecast Contributions'!$B$8:$B$20,'Gross Capex'!$B46,'Forecast Contributions'!G$8:G$20)/1000</f>
        <v>0</v>
      </c>
      <c r="J46" s="91">
        <f>SUMIF('Forecast Expenditure-Volumes'!$B$95:$B$108,'Gross Capex'!$B46,'Forecast Expenditure-Volumes'!H$95:H$108)/1000
+SUMIF('Forecast Contributions'!$B$8:$B$20,'Gross Capex'!$B46,'Forecast Contributions'!H$8:H$20)/1000</f>
        <v>0</v>
      </c>
      <c r="K46" s="91">
        <f>SUMIF('Forecast Expenditure-Volumes'!$B$95:$B$108,'Gross Capex'!$B46,'Forecast Expenditure-Volumes'!I$95:I$108)/1000
+SUMIF('Forecast Contributions'!$B$8:$B$20,'Gross Capex'!$B46,'Forecast Contributions'!I$8:I$20)/1000</f>
        <v>0</v>
      </c>
      <c r="L46" s="91">
        <f>SUMIF('Forecast Expenditure-Volumes'!$B$95:$B$108,'Gross Capex'!$B46,'Forecast Expenditure-Volumes'!J$95:J$108)/1000
+SUMIF('Forecast Contributions'!$B$8:$B$20,'Gross Capex'!$B46,'Forecast Contributions'!J$8:J$20)/1000</f>
        <v>0</v>
      </c>
      <c r="M46" s="91">
        <f>SUMIF('Forecast Expenditure-Volumes'!$B$95:$B$108,'Gross Capex'!$B46,'Forecast Expenditure-Volumes'!K$95:K$108)/1000
+SUMIF('Forecast Contributions'!$B$8:$B$20,'Gross Capex'!$B46,'Forecast Contributions'!K$8:K$20)/1000</f>
        <v>0</v>
      </c>
      <c r="N46" s="91">
        <f>SUMIF('Forecast Expenditure-Volumes'!$B$95:$B$108,'Gross Capex'!$B46,'Forecast Expenditure-Volumes'!L$95:L$108)/1000
+SUMIF('Forecast Contributions'!$B$8:$B$20,'Gross Capex'!$B46,'Forecast Contributions'!L$8:L$20)/1000</f>
        <v>0</v>
      </c>
      <c r="O46" s="91">
        <f>SUMIF('Forecast Expenditure-Volumes'!$B$95:$B$108,'Gross Capex'!$B46,'Forecast Expenditure-Volumes'!M$95:M$108)/1000
+SUMIF('Forecast Contributions'!$B$8:$B$20,'Gross Capex'!$B46,'Forecast Contributions'!M$8:M$20)/1000</f>
        <v>0</v>
      </c>
      <c r="P46" s="3"/>
      <c r="Q46" s="3"/>
      <c r="R46" s="3"/>
      <c r="S46" s="3"/>
      <c r="T46" s="3"/>
    </row>
    <row r="47" spans="1:20" x14ac:dyDescent="0.2">
      <c r="A47" s="3"/>
      <c r="B47" s="36">
        <v>145</v>
      </c>
      <c r="C47" s="33" t="s">
        <v>122</v>
      </c>
      <c r="D47" s="3"/>
      <c r="E47" s="3"/>
      <c r="F47" s="159">
        <f>SUMIF('Historical Expenditure-Volumes'!$B$9:$B$22,'Gross Capex'!$B47,'Historical Expenditure-Volumes'!E$9:E$22)/1000
+SUMIF('Historical Contributions'!$B$8:$B$21,'Gross Capex'!$B47,'Historical Contributions'!D$8:D$21)/1000</f>
        <v>0</v>
      </c>
      <c r="G47" s="159">
        <f>SUMIF('Historical Expenditure-Volumes'!$B$9:$B$22,'Gross Capex'!$B47,'Historical Expenditure-Volumes'!F$9:F$22)/1000
+SUMIF('Historical Contributions'!$B$8:$B$21,'Gross Capex'!$B47,'Historical Contributions'!E$8:E$21)/1000</f>
        <v>0</v>
      </c>
      <c r="H47" s="159">
        <f>SUMIF('Historical Expenditure-Volumes'!$B$9:$B$22,'Gross Capex'!$B47,'Historical Expenditure-Volumes'!G$9:G$22)/1000
+SUMIF('Historical Contributions'!$B$8:$B$21,'Gross Capex'!$B47,'Historical Contributions'!F$8:F$21)/1000</f>
        <v>0</v>
      </c>
      <c r="I47" s="91">
        <f>SUMIF('Forecast Expenditure-Volumes'!$B$95:$B$108,'Gross Capex'!$B47,'Forecast Expenditure-Volumes'!G$95:G$108)/1000
+SUMIF('Forecast Contributions'!$B$8:$B$20,'Gross Capex'!$B47,'Forecast Contributions'!G$8:G$20)/1000</f>
        <v>0</v>
      </c>
      <c r="J47" s="91">
        <f>SUMIF('Forecast Expenditure-Volumes'!$B$95:$B$108,'Gross Capex'!$B47,'Forecast Expenditure-Volumes'!H$95:H$108)/1000
+SUMIF('Forecast Contributions'!$B$8:$B$20,'Gross Capex'!$B47,'Forecast Contributions'!H$8:H$20)/1000</f>
        <v>0</v>
      </c>
      <c r="K47" s="91">
        <f>SUMIF('Forecast Expenditure-Volumes'!$B$95:$B$108,'Gross Capex'!$B47,'Forecast Expenditure-Volumes'!I$95:I$108)/1000
+SUMIF('Forecast Contributions'!$B$8:$B$20,'Gross Capex'!$B47,'Forecast Contributions'!I$8:I$20)/1000</f>
        <v>0</v>
      </c>
      <c r="L47" s="91">
        <f>SUMIF('Forecast Expenditure-Volumes'!$B$95:$B$108,'Gross Capex'!$B47,'Forecast Expenditure-Volumes'!J$95:J$108)/1000
+SUMIF('Forecast Contributions'!$B$8:$B$20,'Gross Capex'!$B47,'Forecast Contributions'!J$8:J$20)/1000</f>
        <v>0</v>
      </c>
      <c r="M47" s="91">
        <f>SUMIF('Forecast Expenditure-Volumes'!$B$95:$B$108,'Gross Capex'!$B47,'Forecast Expenditure-Volumes'!K$95:K$108)/1000
+SUMIF('Forecast Contributions'!$B$8:$B$20,'Gross Capex'!$B47,'Forecast Contributions'!K$8:K$20)/1000</f>
        <v>0</v>
      </c>
      <c r="N47" s="91">
        <f>SUMIF('Forecast Expenditure-Volumes'!$B$95:$B$108,'Gross Capex'!$B47,'Forecast Expenditure-Volumes'!L$95:L$108)/1000
+SUMIF('Forecast Contributions'!$B$8:$B$20,'Gross Capex'!$B47,'Forecast Contributions'!L$8:L$20)/1000</f>
        <v>0</v>
      </c>
      <c r="O47" s="91">
        <f>SUMIF('Forecast Expenditure-Volumes'!$B$95:$B$108,'Gross Capex'!$B47,'Forecast Expenditure-Volumes'!M$95:M$108)/1000
+SUMIF('Forecast Contributions'!$B$8:$B$20,'Gross Capex'!$B47,'Forecast Contributions'!M$8:M$20)/1000</f>
        <v>0</v>
      </c>
      <c r="P47" s="3"/>
      <c r="Q47" s="3"/>
      <c r="R47" s="3"/>
      <c r="S47" s="3"/>
      <c r="T47" s="3"/>
    </row>
    <row r="48" spans="1:20" x14ac:dyDescent="0.2">
      <c r="A48" s="3"/>
      <c r="B48" s="36">
        <v>146</v>
      </c>
      <c r="C48" s="33" t="s">
        <v>123</v>
      </c>
      <c r="D48" s="3"/>
      <c r="E48" s="3"/>
      <c r="F48" s="159">
        <f>SUMIF('Historical Expenditure-Volumes'!$B$9:$B$22,'Gross Capex'!$B48,'Historical Expenditure-Volumes'!E$9:E$22)/1000
+SUMIF('Historical Contributions'!$B$8:$B$21,'Gross Capex'!$B48,'Historical Contributions'!D$8:D$21)/1000</f>
        <v>0</v>
      </c>
      <c r="G48" s="159">
        <f>SUMIF('Historical Expenditure-Volumes'!$B$9:$B$22,'Gross Capex'!$B48,'Historical Expenditure-Volumes'!F$9:F$22)/1000
+SUMIF('Historical Contributions'!$B$8:$B$21,'Gross Capex'!$B48,'Historical Contributions'!E$8:E$21)/1000</f>
        <v>0</v>
      </c>
      <c r="H48" s="159">
        <f>SUMIF('Historical Expenditure-Volumes'!$B$9:$B$22,'Gross Capex'!$B48,'Historical Expenditure-Volumes'!G$9:G$22)/1000
+SUMIF('Historical Contributions'!$B$8:$B$21,'Gross Capex'!$B48,'Historical Contributions'!F$8:F$21)/1000</f>
        <v>0</v>
      </c>
      <c r="I48" s="91">
        <f>SUMIF('Forecast Expenditure-Volumes'!$B$95:$B$108,'Gross Capex'!$B48,'Forecast Expenditure-Volumes'!G$95:G$108)/1000
+SUMIF('Forecast Contributions'!$B$8:$B$20,'Gross Capex'!$B48,'Forecast Contributions'!G$8:G$20)/1000</f>
        <v>0</v>
      </c>
      <c r="J48" s="91">
        <f>SUMIF('Forecast Expenditure-Volumes'!$B$95:$B$108,'Gross Capex'!$B48,'Forecast Expenditure-Volumes'!H$95:H$108)/1000
+SUMIF('Forecast Contributions'!$B$8:$B$20,'Gross Capex'!$B48,'Forecast Contributions'!H$8:H$20)/1000</f>
        <v>0</v>
      </c>
      <c r="K48" s="91">
        <f>SUMIF('Forecast Expenditure-Volumes'!$B$95:$B$108,'Gross Capex'!$B48,'Forecast Expenditure-Volumes'!I$95:I$108)/1000
+SUMIF('Forecast Contributions'!$B$8:$B$20,'Gross Capex'!$B48,'Forecast Contributions'!I$8:I$20)/1000</f>
        <v>0</v>
      </c>
      <c r="L48" s="91">
        <f>SUMIF('Forecast Expenditure-Volumes'!$B$95:$B$108,'Gross Capex'!$B48,'Forecast Expenditure-Volumes'!J$95:J$108)/1000
+SUMIF('Forecast Contributions'!$B$8:$B$20,'Gross Capex'!$B48,'Forecast Contributions'!J$8:J$20)/1000</f>
        <v>0</v>
      </c>
      <c r="M48" s="91">
        <f>SUMIF('Forecast Expenditure-Volumes'!$B$95:$B$108,'Gross Capex'!$B48,'Forecast Expenditure-Volumes'!K$95:K$108)/1000
+SUMIF('Forecast Contributions'!$B$8:$B$20,'Gross Capex'!$B48,'Forecast Contributions'!K$8:K$20)/1000</f>
        <v>0</v>
      </c>
      <c r="N48" s="91">
        <f>SUMIF('Forecast Expenditure-Volumes'!$B$95:$B$108,'Gross Capex'!$B48,'Forecast Expenditure-Volumes'!L$95:L$108)/1000
+SUMIF('Forecast Contributions'!$B$8:$B$20,'Gross Capex'!$B48,'Forecast Contributions'!L$8:L$20)/1000</f>
        <v>0</v>
      </c>
      <c r="O48" s="91">
        <f>SUMIF('Forecast Expenditure-Volumes'!$B$95:$B$108,'Gross Capex'!$B48,'Forecast Expenditure-Volumes'!M$95:M$108)/1000
+SUMIF('Forecast Contributions'!$B$8:$B$20,'Gross Capex'!$B48,'Forecast Contributions'!M$8:M$20)/1000</f>
        <v>0</v>
      </c>
      <c r="P48" s="3"/>
      <c r="Q48" s="3"/>
      <c r="R48" s="3"/>
      <c r="S48" s="3"/>
      <c r="T48" s="3"/>
    </row>
    <row r="49" spans="1:20" x14ac:dyDescent="0.2">
      <c r="A49" s="3"/>
      <c r="B49" s="36">
        <v>147</v>
      </c>
      <c r="C49" s="33" t="s">
        <v>124</v>
      </c>
      <c r="D49" s="3"/>
      <c r="E49" s="3"/>
      <c r="F49" s="159">
        <f>SUMIF('Historical Expenditure-Volumes'!$B$9:$B$22,'Gross Capex'!$B49,'Historical Expenditure-Volumes'!E$9:E$22)/1000
+SUMIF('Historical Contributions'!$B$8:$B$21,'Gross Capex'!$B49,'Historical Contributions'!D$8:D$21)/1000</f>
        <v>0</v>
      </c>
      <c r="G49" s="159">
        <f>SUMIF('Historical Expenditure-Volumes'!$B$9:$B$22,'Gross Capex'!$B49,'Historical Expenditure-Volumes'!F$9:F$22)/1000
+SUMIF('Historical Contributions'!$B$8:$B$21,'Gross Capex'!$B49,'Historical Contributions'!E$8:E$21)/1000</f>
        <v>0</v>
      </c>
      <c r="H49" s="159">
        <f>SUMIF('Historical Expenditure-Volumes'!$B$9:$B$22,'Gross Capex'!$B49,'Historical Expenditure-Volumes'!G$9:G$22)/1000
+SUMIF('Historical Contributions'!$B$8:$B$21,'Gross Capex'!$B49,'Historical Contributions'!F$8:F$21)/1000</f>
        <v>0</v>
      </c>
      <c r="I49" s="91">
        <f>SUMIF('Forecast Expenditure-Volumes'!$B$95:$B$108,'Gross Capex'!$B49,'Forecast Expenditure-Volumes'!G$95:G$108)/1000
+SUMIF('Forecast Contributions'!$B$8:$B$20,'Gross Capex'!$B49,'Forecast Contributions'!G$8:G$20)/1000</f>
        <v>0</v>
      </c>
      <c r="J49" s="91">
        <f>SUMIF('Forecast Expenditure-Volumes'!$B$95:$B$108,'Gross Capex'!$B49,'Forecast Expenditure-Volumes'!H$95:H$108)/1000
+SUMIF('Forecast Contributions'!$B$8:$B$20,'Gross Capex'!$B49,'Forecast Contributions'!H$8:H$20)/1000</f>
        <v>0</v>
      </c>
      <c r="K49" s="91">
        <f>SUMIF('Forecast Expenditure-Volumes'!$B$95:$B$108,'Gross Capex'!$B49,'Forecast Expenditure-Volumes'!I$95:I$108)/1000
+SUMIF('Forecast Contributions'!$B$8:$B$20,'Gross Capex'!$B49,'Forecast Contributions'!I$8:I$20)/1000</f>
        <v>0</v>
      </c>
      <c r="L49" s="91">
        <f>SUMIF('Forecast Expenditure-Volumes'!$B$95:$B$108,'Gross Capex'!$B49,'Forecast Expenditure-Volumes'!J$95:J$108)/1000
+SUMIF('Forecast Contributions'!$B$8:$B$20,'Gross Capex'!$B49,'Forecast Contributions'!J$8:J$20)/1000</f>
        <v>0</v>
      </c>
      <c r="M49" s="91">
        <f>SUMIF('Forecast Expenditure-Volumes'!$B$95:$B$108,'Gross Capex'!$B49,'Forecast Expenditure-Volumes'!K$95:K$108)/1000
+SUMIF('Forecast Contributions'!$B$8:$B$20,'Gross Capex'!$B49,'Forecast Contributions'!K$8:K$20)/1000</f>
        <v>0</v>
      </c>
      <c r="N49" s="91">
        <f>SUMIF('Forecast Expenditure-Volumes'!$B$95:$B$108,'Gross Capex'!$B49,'Forecast Expenditure-Volumes'!L$95:L$108)/1000
+SUMIF('Forecast Contributions'!$B$8:$B$20,'Gross Capex'!$B49,'Forecast Contributions'!L$8:L$20)/1000</f>
        <v>0</v>
      </c>
      <c r="O49" s="91">
        <f>SUMIF('Forecast Expenditure-Volumes'!$B$95:$B$108,'Gross Capex'!$B49,'Forecast Expenditure-Volumes'!M$95:M$108)/1000
+SUMIF('Forecast Contributions'!$B$8:$B$20,'Gross Capex'!$B49,'Forecast Contributions'!M$8:M$20)/1000</f>
        <v>0</v>
      </c>
      <c r="P49" s="3"/>
      <c r="Q49" s="3"/>
      <c r="R49" s="3"/>
      <c r="S49" s="3"/>
      <c r="T49" s="3"/>
    </row>
    <row r="50" spans="1:20" x14ac:dyDescent="0.2">
      <c r="A50" s="3"/>
      <c r="B50" s="36">
        <v>148</v>
      </c>
      <c r="C50" s="33" t="s">
        <v>125</v>
      </c>
      <c r="D50" s="3"/>
      <c r="E50" s="3"/>
      <c r="F50" s="159">
        <f>SUMIF('Historical Expenditure-Volumes'!$B$9:$B$22,'Gross Capex'!$B50,'Historical Expenditure-Volumes'!E$9:E$22)/1000
+SUMIF('Historical Contributions'!$B$8:$B$21,'Gross Capex'!$B50,'Historical Contributions'!D$8:D$21)/1000</f>
        <v>0</v>
      </c>
      <c r="G50" s="159">
        <f>SUMIF('Historical Expenditure-Volumes'!$B$9:$B$22,'Gross Capex'!$B50,'Historical Expenditure-Volumes'!F$9:F$22)/1000
+SUMIF('Historical Contributions'!$B$8:$B$21,'Gross Capex'!$B50,'Historical Contributions'!E$8:E$21)/1000</f>
        <v>0</v>
      </c>
      <c r="H50" s="159">
        <f>SUMIF('Historical Expenditure-Volumes'!$B$9:$B$22,'Gross Capex'!$B50,'Historical Expenditure-Volumes'!G$9:G$22)/1000
+SUMIF('Historical Contributions'!$B$8:$B$21,'Gross Capex'!$B50,'Historical Contributions'!F$8:F$21)/1000</f>
        <v>0</v>
      </c>
      <c r="I50" s="91">
        <f>SUMIF('Forecast Expenditure-Volumes'!$B$95:$B$108,'Gross Capex'!$B50,'Forecast Expenditure-Volumes'!G$95:G$108)/1000
+SUMIF('Forecast Contributions'!$B$8:$B$20,'Gross Capex'!$B50,'Forecast Contributions'!G$8:G$20)/1000</f>
        <v>0</v>
      </c>
      <c r="J50" s="91">
        <f>SUMIF('Forecast Expenditure-Volumes'!$B$95:$B$108,'Gross Capex'!$B50,'Forecast Expenditure-Volumes'!H$95:H$108)/1000
+SUMIF('Forecast Contributions'!$B$8:$B$20,'Gross Capex'!$B50,'Forecast Contributions'!H$8:H$20)/1000</f>
        <v>0</v>
      </c>
      <c r="K50" s="91">
        <f>SUMIF('Forecast Expenditure-Volumes'!$B$95:$B$108,'Gross Capex'!$B50,'Forecast Expenditure-Volumes'!I$95:I$108)/1000
+SUMIF('Forecast Contributions'!$B$8:$B$20,'Gross Capex'!$B50,'Forecast Contributions'!I$8:I$20)/1000</f>
        <v>0</v>
      </c>
      <c r="L50" s="91">
        <f>SUMIF('Forecast Expenditure-Volumes'!$B$95:$B$108,'Gross Capex'!$B50,'Forecast Expenditure-Volumes'!J$95:J$108)/1000
+SUMIF('Forecast Contributions'!$B$8:$B$20,'Gross Capex'!$B50,'Forecast Contributions'!J$8:J$20)/1000</f>
        <v>0</v>
      </c>
      <c r="M50" s="91">
        <f>SUMIF('Forecast Expenditure-Volumes'!$B$95:$B$108,'Gross Capex'!$B50,'Forecast Expenditure-Volumes'!K$95:K$108)/1000
+SUMIF('Forecast Contributions'!$B$8:$B$20,'Gross Capex'!$B50,'Forecast Contributions'!K$8:K$20)/1000</f>
        <v>0</v>
      </c>
      <c r="N50" s="91">
        <f>SUMIF('Forecast Expenditure-Volumes'!$B$95:$B$108,'Gross Capex'!$B50,'Forecast Expenditure-Volumes'!L$95:L$108)/1000
+SUMIF('Forecast Contributions'!$B$8:$B$20,'Gross Capex'!$B50,'Forecast Contributions'!L$8:L$20)/1000</f>
        <v>0</v>
      </c>
      <c r="O50" s="91">
        <f>SUMIF('Forecast Expenditure-Volumes'!$B$95:$B$108,'Gross Capex'!$B50,'Forecast Expenditure-Volumes'!M$95:M$108)/1000
+SUMIF('Forecast Contributions'!$B$8:$B$20,'Gross Capex'!$B50,'Forecast Contributions'!M$8:M$20)/1000</f>
        <v>0</v>
      </c>
      <c r="P50" s="3"/>
      <c r="Q50" s="3"/>
      <c r="R50" s="3"/>
      <c r="S50" s="3"/>
      <c r="T50" s="3"/>
    </row>
    <row r="51" spans="1:20" x14ac:dyDescent="0.2">
      <c r="A51" s="3"/>
      <c r="B51" s="36">
        <v>149</v>
      </c>
      <c r="C51" s="33" t="s">
        <v>126</v>
      </c>
      <c r="D51" s="3"/>
      <c r="E51" s="3"/>
      <c r="F51" s="159">
        <f>SUMIF('Historical Expenditure-Volumes'!$B$9:$B$22,'Gross Capex'!$B51,'Historical Expenditure-Volumes'!E$9:E$22)/1000
+SUMIF('Historical Contributions'!$B$8:$B$21,'Gross Capex'!$B51,'Historical Contributions'!D$8:D$21)/1000</f>
        <v>0</v>
      </c>
      <c r="G51" s="159">
        <f>SUMIF('Historical Expenditure-Volumes'!$B$9:$B$22,'Gross Capex'!$B51,'Historical Expenditure-Volumes'!F$9:F$22)/1000
+SUMIF('Historical Contributions'!$B$8:$B$21,'Gross Capex'!$B51,'Historical Contributions'!E$8:E$21)/1000</f>
        <v>0</v>
      </c>
      <c r="H51" s="159">
        <f>SUMIF('Historical Expenditure-Volumes'!$B$9:$B$22,'Gross Capex'!$B51,'Historical Expenditure-Volumes'!G$9:G$22)/1000
+SUMIF('Historical Contributions'!$B$8:$B$21,'Gross Capex'!$B51,'Historical Contributions'!F$8:F$21)/1000</f>
        <v>0</v>
      </c>
      <c r="I51" s="91">
        <f>SUMIF('Forecast Expenditure-Volumes'!$B$95:$B$108,'Gross Capex'!$B51,'Forecast Expenditure-Volumes'!G$95:G$108)/1000
+SUMIF('Forecast Contributions'!$B$8:$B$20,'Gross Capex'!$B51,'Forecast Contributions'!G$8:G$20)/1000</f>
        <v>0</v>
      </c>
      <c r="J51" s="91">
        <f>SUMIF('Forecast Expenditure-Volumes'!$B$95:$B$108,'Gross Capex'!$B51,'Forecast Expenditure-Volumes'!H$95:H$108)/1000
+SUMIF('Forecast Contributions'!$B$8:$B$20,'Gross Capex'!$B51,'Forecast Contributions'!H$8:H$20)/1000</f>
        <v>0</v>
      </c>
      <c r="K51" s="91">
        <f>SUMIF('Forecast Expenditure-Volumes'!$B$95:$B$108,'Gross Capex'!$B51,'Forecast Expenditure-Volumes'!I$95:I$108)/1000
+SUMIF('Forecast Contributions'!$B$8:$B$20,'Gross Capex'!$B51,'Forecast Contributions'!I$8:I$20)/1000</f>
        <v>0</v>
      </c>
      <c r="L51" s="91">
        <f>SUMIF('Forecast Expenditure-Volumes'!$B$95:$B$108,'Gross Capex'!$B51,'Forecast Expenditure-Volumes'!J$95:J$108)/1000
+SUMIF('Forecast Contributions'!$B$8:$B$20,'Gross Capex'!$B51,'Forecast Contributions'!J$8:J$20)/1000</f>
        <v>0</v>
      </c>
      <c r="M51" s="91">
        <f>SUMIF('Forecast Expenditure-Volumes'!$B$95:$B$108,'Gross Capex'!$B51,'Forecast Expenditure-Volumes'!K$95:K$108)/1000
+SUMIF('Forecast Contributions'!$B$8:$B$20,'Gross Capex'!$B51,'Forecast Contributions'!K$8:K$20)/1000</f>
        <v>0</v>
      </c>
      <c r="N51" s="91">
        <f>SUMIF('Forecast Expenditure-Volumes'!$B$95:$B$108,'Gross Capex'!$B51,'Forecast Expenditure-Volumes'!L$95:L$108)/1000
+SUMIF('Forecast Contributions'!$B$8:$B$20,'Gross Capex'!$B51,'Forecast Contributions'!L$8:L$20)/1000</f>
        <v>0</v>
      </c>
      <c r="O51" s="91">
        <f>SUMIF('Forecast Expenditure-Volumes'!$B$95:$B$108,'Gross Capex'!$B51,'Forecast Expenditure-Volumes'!M$95:M$108)/1000
+SUMIF('Forecast Contributions'!$B$8:$B$20,'Gross Capex'!$B51,'Forecast Contributions'!M$8:M$20)/1000</f>
        <v>0</v>
      </c>
      <c r="P51" s="3"/>
      <c r="Q51" s="3"/>
      <c r="R51" s="3"/>
      <c r="S51" s="3"/>
      <c r="T51" s="3"/>
    </row>
    <row r="52" spans="1:20" x14ac:dyDescent="0.2">
      <c r="A52" s="3"/>
      <c r="B52" s="36">
        <v>150</v>
      </c>
      <c r="C52" s="33" t="s">
        <v>127</v>
      </c>
      <c r="D52" s="3"/>
      <c r="E52" s="3"/>
      <c r="F52" s="159">
        <f>SUMIF('Historical Expenditure-Volumes'!$B$9:$B$22,'Gross Capex'!$B52,'Historical Expenditure-Volumes'!E$9:E$22)/1000
+SUMIF('Historical Contributions'!$B$8:$B$21,'Gross Capex'!$B52,'Historical Contributions'!D$8:D$21)/1000</f>
        <v>0</v>
      </c>
      <c r="G52" s="159">
        <f>SUMIF('Historical Expenditure-Volumes'!$B$9:$B$22,'Gross Capex'!$B52,'Historical Expenditure-Volumes'!F$9:F$22)/1000
+SUMIF('Historical Contributions'!$B$8:$B$21,'Gross Capex'!$B52,'Historical Contributions'!E$8:E$21)/1000</f>
        <v>0</v>
      </c>
      <c r="H52" s="159">
        <f>SUMIF('Historical Expenditure-Volumes'!$B$9:$B$22,'Gross Capex'!$B52,'Historical Expenditure-Volumes'!G$9:G$22)/1000
+SUMIF('Historical Contributions'!$B$8:$B$21,'Gross Capex'!$B52,'Historical Contributions'!F$8:F$21)/1000</f>
        <v>0</v>
      </c>
      <c r="I52" s="91">
        <f>SUMIF('Forecast Expenditure-Volumes'!$B$95:$B$108,'Gross Capex'!$B52,'Forecast Expenditure-Volumes'!G$95:G$108)/1000
+SUMIF('Forecast Contributions'!$B$8:$B$20,'Gross Capex'!$B52,'Forecast Contributions'!G$8:G$20)/1000</f>
        <v>0</v>
      </c>
      <c r="J52" s="91">
        <f>SUMIF('Forecast Expenditure-Volumes'!$B$95:$B$108,'Gross Capex'!$B52,'Forecast Expenditure-Volumes'!H$95:H$108)/1000
+SUMIF('Forecast Contributions'!$B$8:$B$20,'Gross Capex'!$B52,'Forecast Contributions'!H$8:H$20)/1000</f>
        <v>0</v>
      </c>
      <c r="K52" s="91">
        <f>SUMIF('Forecast Expenditure-Volumes'!$B$95:$B$108,'Gross Capex'!$B52,'Forecast Expenditure-Volumes'!I$95:I$108)/1000
+SUMIF('Forecast Contributions'!$B$8:$B$20,'Gross Capex'!$B52,'Forecast Contributions'!I$8:I$20)/1000</f>
        <v>0</v>
      </c>
      <c r="L52" s="91">
        <f>SUMIF('Forecast Expenditure-Volumes'!$B$95:$B$108,'Gross Capex'!$B52,'Forecast Expenditure-Volumes'!J$95:J$108)/1000
+SUMIF('Forecast Contributions'!$B$8:$B$20,'Gross Capex'!$B52,'Forecast Contributions'!J$8:J$20)/1000</f>
        <v>0</v>
      </c>
      <c r="M52" s="91">
        <f>SUMIF('Forecast Expenditure-Volumes'!$B$95:$B$108,'Gross Capex'!$B52,'Forecast Expenditure-Volumes'!K$95:K$108)/1000
+SUMIF('Forecast Contributions'!$B$8:$B$20,'Gross Capex'!$B52,'Forecast Contributions'!K$8:K$20)/1000</f>
        <v>0</v>
      </c>
      <c r="N52" s="91">
        <f>SUMIF('Forecast Expenditure-Volumes'!$B$95:$B$108,'Gross Capex'!$B52,'Forecast Expenditure-Volumes'!L$95:L$108)/1000
+SUMIF('Forecast Contributions'!$B$8:$B$20,'Gross Capex'!$B52,'Forecast Contributions'!L$8:L$20)/1000</f>
        <v>0</v>
      </c>
      <c r="O52" s="91">
        <f>SUMIF('Forecast Expenditure-Volumes'!$B$95:$B$108,'Gross Capex'!$B52,'Forecast Expenditure-Volumes'!M$95:M$108)/1000
+SUMIF('Forecast Contributions'!$B$8:$B$20,'Gross Capex'!$B52,'Forecast Contributions'!M$8:M$20)/1000</f>
        <v>0</v>
      </c>
      <c r="P52" s="3"/>
      <c r="Q52" s="3"/>
      <c r="R52" s="3"/>
      <c r="S52" s="3"/>
      <c r="T52" s="3"/>
    </row>
    <row r="53" spans="1:20" x14ac:dyDescent="0.2">
      <c r="A53" s="3"/>
      <c r="B53" s="36">
        <v>151</v>
      </c>
      <c r="C53" s="33" t="s">
        <v>128</v>
      </c>
      <c r="D53" s="3"/>
      <c r="E53" s="3"/>
      <c r="F53" s="159">
        <f>SUMIF('Historical Expenditure-Volumes'!$B$9:$B$22,'Gross Capex'!$B53,'Historical Expenditure-Volumes'!E$9:E$22)/1000
+SUMIF('Historical Contributions'!$B$8:$B$21,'Gross Capex'!$B53,'Historical Contributions'!D$8:D$21)/1000</f>
        <v>0</v>
      </c>
      <c r="G53" s="159">
        <f>SUMIF('Historical Expenditure-Volumes'!$B$9:$B$22,'Gross Capex'!$B53,'Historical Expenditure-Volumes'!F$9:F$22)/1000
+SUMIF('Historical Contributions'!$B$8:$B$21,'Gross Capex'!$B53,'Historical Contributions'!E$8:E$21)/1000</f>
        <v>0</v>
      </c>
      <c r="H53" s="159">
        <f>SUMIF('Historical Expenditure-Volumes'!$B$9:$B$22,'Gross Capex'!$B53,'Historical Expenditure-Volumes'!G$9:G$22)/1000
+SUMIF('Historical Contributions'!$B$8:$B$21,'Gross Capex'!$B53,'Historical Contributions'!F$8:F$21)/1000</f>
        <v>0</v>
      </c>
      <c r="I53" s="91">
        <f>SUMIF('Forecast Expenditure-Volumes'!$B$95:$B$108,'Gross Capex'!$B53,'Forecast Expenditure-Volumes'!G$95:G$108)/1000
+SUMIF('Forecast Contributions'!$B$8:$B$20,'Gross Capex'!$B53,'Forecast Contributions'!G$8:G$20)/1000</f>
        <v>0</v>
      </c>
      <c r="J53" s="91">
        <f>SUMIF('Forecast Expenditure-Volumes'!$B$95:$B$108,'Gross Capex'!$B53,'Forecast Expenditure-Volumes'!H$95:H$108)/1000
+SUMIF('Forecast Contributions'!$B$8:$B$20,'Gross Capex'!$B53,'Forecast Contributions'!H$8:H$20)/1000</f>
        <v>0</v>
      </c>
      <c r="K53" s="91">
        <f>SUMIF('Forecast Expenditure-Volumes'!$B$95:$B$108,'Gross Capex'!$B53,'Forecast Expenditure-Volumes'!I$95:I$108)/1000
+SUMIF('Forecast Contributions'!$B$8:$B$20,'Gross Capex'!$B53,'Forecast Contributions'!I$8:I$20)/1000</f>
        <v>0</v>
      </c>
      <c r="L53" s="91">
        <f>SUMIF('Forecast Expenditure-Volumes'!$B$95:$B$108,'Gross Capex'!$B53,'Forecast Expenditure-Volumes'!J$95:J$108)/1000
+SUMIF('Forecast Contributions'!$B$8:$B$20,'Gross Capex'!$B53,'Forecast Contributions'!J$8:J$20)/1000</f>
        <v>0</v>
      </c>
      <c r="M53" s="91">
        <f>SUMIF('Forecast Expenditure-Volumes'!$B$95:$B$108,'Gross Capex'!$B53,'Forecast Expenditure-Volumes'!K$95:K$108)/1000
+SUMIF('Forecast Contributions'!$B$8:$B$20,'Gross Capex'!$B53,'Forecast Contributions'!K$8:K$20)/1000</f>
        <v>0</v>
      </c>
      <c r="N53" s="91">
        <f>SUMIF('Forecast Expenditure-Volumes'!$B$95:$B$108,'Gross Capex'!$B53,'Forecast Expenditure-Volumes'!L$95:L$108)/1000
+SUMIF('Forecast Contributions'!$B$8:$B$20,'Gross Capex'!$B53,'Forecast Contributions'!L$8:L$20)/1000</f>
        <v>0</v>
      </c>
      <c r="O53" s="91">
        <f>SUMIF('Forecast Expenditure-Volumes'!$B$95:$B$108,'Gross Capex'!$B53,'Forecast Expenditure-Volumes'!M$95:M$108)/1000
+SUMIF('Forecast Contributions'!$B$8:$B$20,'Gross Capex'!$B53,'Forecast Contributions'!M$8:M$20)/1000</f>
        <v>0</v>
      </c>
      <c r="P53" s="3"/>
      <c r="Q53" s="3"/>
      <c r="R53" s="3"/>
      <c r="S53" s="3"/>
      <c r="T53" s="3"/>
    </row>
    <row r="54" spans="1:20" x14ac:dyDescent="0.2">
      <c r="A54" s="3"/>
      <c r="B54" s="36">
        <v>152</v>
      </c>
      <c r="C54" s="33" t="s">
        <v>129</v>
      </c>
      <c r="D54" s="3"/>
      <c r="E54" s="3"/>
      <c r="F54" s="159">
        <f>SUMIF('Historical Expenditure-Volumes'!$B$9:$B$22,'Gross Capex'!$B54,'Historical Expenditure-Volumes'!E$9:E$22)/1000
+SUMIF('Historical Contributions'!$B$8:$B$21,'Gross Capex'!$B54,'Historical Contributions'!D$8:D$21)/1000</f>
        <v>0</v>
      </c>
      <c r="G54" s="159">
        <f>SUMIF('Historical Expenditure-Volumes'!$B$9:$B$22,'Gross Capex'!$B54,'Historical Expenditure-Volumes'!F$9:F$22)/1000
+SUMIF('Historical Contributions'!$B$8:$B$21,'Gross Capex'!$B54,'Historical Contributions'!E$8:E$21)/1000</f>
        <v>0</v>
      </c>
      <c r="H54" s="159">
        <f>SUMIF('Historical Expenditure-Volumes'!$B$9:$B$22,'Gross Capex'!$B54,'Historical Expenditure-Volumes'!G$9:G$22)/1000
+SUMIF('Historical Contributions'!$B$8:$B$21,'Gross Capex'!$B54,'Historical Contributions'!F$8:F$21)/1000</f>
        <v>0</v>
      </c>
      <c r="I54" s="91">
        <f>SUMIF('Forecast Expenditure-Volumes'!$B$95:$B$108,'Gross Capex'!$B54,'Forecast Expenditure-Volumes'!G$95:G$108)/1000
+SUMIF('Forecast Contributions'!$B$8:$B$20,'Gross Capex'!$B54,'Forecast Contributions'!G$8:G$20)/1000</f>
        <v>0</v>
      </c>
      <c r="J54" s="91">
        <f>SUMIF('Forecast Expenditure-Volumes'!$B$95:$B$108,'Gross Capex'!$B54,'Forecast Expenditure-Volumes'!H$95:H$108)/1000
+SUMIF('Forecast Contributions'!$B$8:$B$20,'Gross Capex'!$B54,'Forecast Contributions'!H$8:H$20)/1000</f>
        <v>0</v>
      </c>
      <c r="K54" s="91">
        <f>SUMIF('Forecast Expenditure-Volumes'!$B$95:$B$108,'Gross Capex'!$B54,'Forecast Expenditure-Volumes'!I$95:I$108)/1000
+SUMIF('Forecast Contributions'!$B$8:$B$20,'Gross Capex'!$B54,'Forecast Contributions'!I$8:I$20)/1000</f>
        <v>0</v>
      </c>
      <c r="L54" s="91">
        <f>SUMIF('Forecast Expenditure-Volumes'!$B$95:$B$108,'Gross Capex'!$B54,'Forecast Expenditure-Volumes'!J$95:J$108)/1000
+SUMIF('Forecast Contributions'!$B$8:$B$20,'Gross Capex'!$B54,'Forecast Contributions'!J$8:J$20)/1000</f>
        <v>0</v>
      </c>
      <c r="M54" s="91">
        <f>SUMIF('Forecast Expenditure-Volumes'!$B$95:$B$108,'Gross Capex'!$B54,'Forecast Expenditure-Volumes'!K$95:K$108)/1000
+SUMIF('Forecast Contributions'!$B$8:$B$20,'Gross Capex'!$B54,'Forecast Contributions'!K$8:K$20)/1000</f>
        <v>0</v>
      </c>
      <c r="N54" s="91">
        <f>SUMIF('Forecast Expenditure-Volumes'!$B$95:$B$108,'Gross Capex'!$B54,'Forecast Expenditure-Volumes'!L$95:L$108)/1000
+SUMIF('Forecast Contributions'!$B$8:$B$20,'Gross Capex'!$B54,'Forecast Contributions'!L$8:L$20)/1000</f>
        <v>0</v>
      </c>
      <c r="O54" s="91">
        <f>SUMIF('Forecast Expenditure-Volumes'!$B$95:$B$108,'Gross Capex'!$B54,'Forecast Expenditure-Volumes'!M$95:M$108)/1000
+SUMIF('Forecast Contributions'!$B$8:$B$20,'Gross Capex'!$B54,'Forecast Contributions'!M$8:M$20)/1000</f>
        <v>0</v>
      </c>
      <c r="P54" s="3"/>
      <c r="Q54" s="3"/>
      <c r="R54" s="3"/>
      <c r="S54" s="3"/>
      <c r="T54" s="3"/>
    </row>
    <row r="55" spans="1:20" x14ac:dyDescent="0.2">
      <c r="A55" s="3"/>
      <c r="B55" s="36">
        <v>153</v>
      </c>
      <c r="C55" s="33" t="s">
        <v>130</v>
      </c>
      <c r="D55" s="3"/>
      <c r="E55" s="3"/>
      <c r="F55" s="159">
        <f>SUMIF('Historical Expenditure-Volumes'!$B$9:$B$22,'Gross Capex'!$B55,'Historical Expenditure-Volumes'!E$9:E$22)/1000
+SUMIF('Historical Contributions'!$B$8:$B$21,'Gross Capex'!$B55,'Historical Contributions'!D$8:D$21)/1000</f>
        <v>0</v>
      </c>
      <c r="G55" s="159">
        <f>SUMIF('Historical Expenditure-Volumes'!$B$9:$B$22,'Gross Capex'!$B55,'Historical Expenditure-Volumes'!F$9:F$22)/1000
+SUMIF('Historical Contributions'!$B$8:$B$21,'Gross Capex'!$B55,'Historical Contributions'!E$8:E$21)/1000</f>
        <v>0</v>
      </c>
      <c r="H55" s="159">
        <f>SUMIF('Historical Expenditure-Volumes'!$B$9:$B$22,'Gross Capex'!$B55,'Historical Expenditure-Volumes'!G$9:G$22)/1000
+SUMIF('Historical Contributions'!$B$8:$B$21,'Gross Capex'!$B55,'Historical Contributions'!F$8:F$21)/1000</f>
        <v>0</v>
      </c>
      <c r="I55" s="91">
        <f>SUMIF('Forecast Expenditure-Volumes'!$B$95:$B$108,'Gross Capex'!$B55,'Forecast Expenditure-Volumes'!G$95:G$108)/1000
+SUMIF('Forecast Contributions'!$B$8:$B$20,'Gross Capex'!$B55,'Forecast Contributions'!G$8:G$20)/1000</f>
        <v>0</v>
      </c>
      <c r="J55" s="91">
        <f>SUMIF('Forecast Expenditure-Volumes'!$B$95:$B$108,'Gross Capex'!$B55,'Forecast Expenditure-Volumes'!H$95:H$108)/1000
+SUMIF('Forecast Contributions'!$B$8:$B$20,'Gross Capex'!$B55,'Forecast Contributions'!H$8:H$20)/1000</f>
        <v>0</v>
      </c>
      <c r="K55" s="91">
        <f>SUMIF('Forecast Expenditure-Volumes'!$B$95:$B$108,'Gross Capex'!$B55,'Forecast Expenditure-Volumes'!I$95:I$108)/1000
+SUMIF('Forecast Contributions'!$B$8:$B$20,'Gross Capex'!$B55,'Forecast Contributions'!I$8:I$20)/1000</f>
        <v>0</v>
      </c>
      <c r="L55" s="91">
        <f>SUMIF('Forecast Expenditure-Volumes'!$B$95:$B$108,'Gross Capex'!$B55,'Forecast Expenditure-Volumes'!J$95:J$108)/1000
+SUMIF('Forecast Contributions'!$B$8:$B$20,'Gross Capex'!$B55,'Forecast Contributions'!J$8:J$20)/1000</f>
        <v>0</v>
      </c>
      <c r="M55" s="91">
        <f>SUMIF('Forecast Expenditure-Volumes'!$B$95:$B$108,'Gross Capex'!$B55,'Forecast Expenditure-Volumes'!K$95:K$108)/1000
+SUMIF('Forecast Contributions'!$B$8:$B$20,'Gross Capex'!$B55,'Forecast Contributions'!K$8:K$20)/1000</f>
        <v>0</v>
      </c>
      <c r="N55" s="91">
        <f>SUMIF('Forecast Expenditure-Volumes'!$B$95:$B$108,'Gross Capex'!$B55,'Forecast Expenditure-Volumes'!L$95:L$108)/1000
+SUMIF('Forecast Contributions'!$B$8:$B$20,'Gross Capex'!$B55,'Forecast Contributions'!L$8:L$20)/1000</f>
        <v>0</v>
      </c>
      <c r="O55" s="91">
        <f>SUMIF('Forecast Expenditure-Volumes'!$B$95:$B$108,'Gross Capex'!$B55,'Forecast Expenditure-Volumes'!M$95:M$108)/1000
+SUMIF('Forecast Contributions'!$B$8:$B$20,'Gross Capex'!$B55,'Forecast Contributions'!M$8:M$20)/1000</f>
        <v>0</v>
      </c>
      <c r="P55" s="3"/>
      <c r="Q55" s="3"/>
      <c r="R55" s="3"/>
      <c r="S55" s="3"/>
      <c r="T55" s="3"/>
    </row>
    <row r="56" spans="1:20" x14ac:dyDescent="0.2">
      <c r="A56" s="3"/>
      <c r="B56" s="36">
        <v>154</v>
      </c>
      <c r="C56" s="33" t="s">
        <v>131</v>
      </c>
      <c r="D56" s="3"/>
      <c r="E56" s="3"/>
      <c r="F56" s="159">
        <f>SUMIF('Historical Expenditure-Volumes'!$B$9:$B$22,'Gross Capex'!$B56,'Historical Expenditure-Volumes'!E$9:E$22)/1000
+SUMIF('Historical Contributions'!$B$8:$B$21,'Gross Capex'!$B56,'Historical Contributions'!D$8:D$21)/1000</f>
        <v>0</v>
      </c>
      <c r="G56" s="159">
        <f>SUMIF('Historical Expenditure-Volumes'!$B$9:$B$22,'Gross Capex'!$B56,'Historical Expenditure-Volumes'!F$9:F$22)/1000
+SUMIF('Historical Contributions'!$B$8:$B$21,'Gross Capex'!$B56,'Historical Contributions'!E$8:E$21)/1000</f>
        <v>0</v>
      </c>
      <c r="H56" s="159">
        <f>SUMIF('Historical Expenditure-Volumes'!$B$9:$B$22,'Gross Capex'!$B56,'Historical Expenditure-Volumes'!G$9:G$22)/1000
+SUMIF('Historical Contributions'!$B$8:$B$21,'Gross Capex'!$B56,'Historical Contributions'!F$8:F$21)/1000</f>
        <v>0</v>
      </c>
      <c r="I56" s="91">
        <f>SUMIF('Forecast Expenditure-Volumes'!$B$95:$B$108,'Gross Capex'!$B56,'Forecast Expenditure-Volumes'!G$95:G$108)/1000
+SUMIF('Forecast Contributions'!$B$8:$B$20,'Gross Capex'!$B56,'Forecast Contributions'!G$8:G$20)/1000</f>
        <v>0</v>
      </c>
      <c r="J56" s="91">
        <f>SUMIF('Forecast Expenditure-Volumes'!$B$95:$B$108,'Gross Capex'!$B56,'Forecast Expenditure-Volumes'!H$95:H$108)/1000
+SUMIF('Forecast Contributions'!$B$8:$B$20,'Gross Capex'!$B56,'Forecast Contributions'!H$8:H$20)/1000</f>
        <v>0</v>
      </c>
      <c r="K56" s="91">
        <f>SUMIF('Forecast Expenditure-Volumes'!$B$95:$B$108,'Gross Capex'!$B56,'Forecast Expenditure-Volumes'!I$95:I$108)/1000
+SUMIF('Forecast Contributions'!$B$8:$B$20,'Gross Capex'!$B56,'Forecast Contributions'!I$8:I$20)/1000</f>
        <v>0</v>
      </c>
      <c r="L56" s="91">
        <f>SUMIF('Forecast Expenditure-Volumes'!$B$95:$B$108,'Gross Capex'!$B56,'Forecast Expenditure-Volumes'!J$95:J$108)/1000
+SUMIF('Forecast Contributions'!$B$8:$B$20,'Gross Capex'!$B56,'Forecast Contributions'!J$8:J$20)/1000</f>
        <v>0</v>
      </c>
      <c r="M56" s="91">
        <f>SUMIF('Forecast Expenditure-Volumes'!$B$95:$B$108,'Gross Capex'!$B56,'Forecast Expenditure-Volumes'!K$95:K$108)/1000
+SUMIF('Forecast Contributions'!$B$8:$B$20,'Gross Capex'!$B56,'Forecast Contributions'!K$8:K$20)/1000</f>
        <v>0</v>
      </c>
      <c r="N56" s="91">
        <f>SUMIF('Forecast Expenditure-Volumes'!$B$95:$B$108,'Gross Capex'!$B56,'Forecast Expenditure-Volumes'!L$95:L$108)/1000
+SUMIF('Forecast Contributions'!$B$8:$B$20,'Gross Capex'!$B56,'Forecast Contributions'!L$8:L$20)/1000</f>
        <v>0</v>
      </c>
      <c r="O56" s="91">
        <f>SUMIF('Forecast Expenditure-Volumes'!$B$95:$B$108,'Gross Capex'!$B56,'Forecast Expenditure-Volumes'!M$95:M$108)/1000
+SUMIF('Forecast Contributions'!$B$8:$B$20,'Gross Capex'!$B56,'Forecast Contributions'!M$8:M$20)/1000</f>
        <v>0</v>
      </c>
      <c r="P56" s="3"/>
      <c r="Q56" s="3"/>
      <c r="R56" s="3"/>
      <c r="S56" s="3"/>
      <c r="T56" s="3"/>
    </row>
    <row r="57" spans="1:20" x14ac:dyDescent="0.2">
      <c r="A57" s="3"/>
      <c r="B57" s="36">
        <v>155</v>
      </c>
      <c r="C57" s="33" t="s">
        <v>132</v>
      </c>
      <c r="D57" s="3"/>
      <c r="E57" s="3"/>
      <c r="F57" s="159">
        <f>SUMIF('Historical Expenditure-Volumes'!$B$9:$B$22,'Gross Capex'!$B57,'Historical Expenditure-Volumes'!E$9:E$22)/1000
+SUMIF('Historical Contributions'!$B$8:$B$21,'Gross Capex'!$B57,'Historical Contributions'!D$8:D$21)/1000</f>
        <v>0</v>
      </c>
      <c r="G57" s="159">
        <f>SUMIF('Historical Expenditure-Volumes'!$B$9:$B$22,'Gross Capex'!$B57,'Historical Expenditure-Volumes'!F$9:F$22)/1000
+SUMIF('Historical Contributions'!$B$8:$B$21,'Gross Capex'!$B57,'Historical Contributions'!E$8:E$21)/1000</f>
        <v>0</v>
      </c>
      <c r="H57" s="159">
        <f>SUMIF('Historical Expenditure-Volumes'!$B$9:$B$22,'Gross Capex'!$B57,'Historical Expenditure-Volumes'!G$9:G$22)/1000
+SUMIF('Historical Contributions'!$B$8:$B$21,'Gross Capex'!$B57,'Historical Contributions'!F$8:F$21)/1000</f>
        <v>0</v>
      </c>
      <c r="I57" s="91">
        <f>SUMIF('Forecast Expenditure-Volumes'!$B$95:$B$108,'Gross Capex'!$B57,'Forecast Expenditure-Volumes'!G$95:G$108)/1000
+SUMIF('Forecast Contributions'!$B$8:$B$20,'Gross Capex'!$B57,'Forecast Contributions'!G$8:G$20)/1000</f>
        <v>0</v>
      </c>
      <c r="J57" s="91">
        <f>SUMIF('Forecast Expenditure-Volumes'!$B$95:$B$108,'Gross Capex'!$B57,'Forecast Expenditure-Volumes'!H$95:H$108)/1000
+SUMIF('Forecast Contributions'!$B$8:$B$20,'Gross Capex'!$B57,'Forecast Contributions'!H$8:H$20)/1000</f>
        <v>0</v>
      </c>
      <c r="K57" s="91">
        <f>SUMIF('Forecast Expenditure-Volumes'!$B$95:$B$108,'Gross Capex'!$B57,'Forecast Expenditure-Volumes'!I$95:I$108)/1000
+SUMIF('Forecast Contributions'!$B$8:$B$20,'Gross Capex'!$B57,'Forecast Contributions'!I$8:I$20)/1000</f>
        <v>0</v>
      </c>
      <c r="L57" s="91">
        <f>SUMIF('Forecast Expenditure-Volumes'!$B$95:$B$108,'Gross Capex'!$B57,'Forecast Expenditure-Volumes'!J$95:J$108)/1000
+SUMIF('Forecast Contributions'!$B$8:$B$20,'Gross Capex'!$B57,'Forecast Contributions'!J$8:J$20)/1000</f>
        <v>0</v>
      </c>
      <c r="M57" s="91">
        <f>SUMIF('Forecast Expenditure-Volumes'!$B$95:$B$108,'Gross Capex'!$B57,'Forecast Expenditure-Volumes'!K$95:K$108)/1000
+SUMIF('Forecast Contributions'!$B$8:$B$20,'Gross Capex'!$B57,'Forecast Contributions'!K$8:K$20)/1000</f>
        <v>0</v>
      </c>
      <c r="N57" s="91">
        <f>SUMIF('Forecast Expenditure-Volumes'!$B$95:$B$108,'Gross Capex'!$B57,'Forecast Expenditure-Volumes'!L$95:L$108)/1000
+SUMIF('Forecast Contributions'!$B$8:$B$20,'Gross Capex'!$B57,'Forecast Contributions'!L$8:L$20)/1000</f>
        <v>0</v>
      </c>
      <c r="O57" s="91">
        <f>SUMIF('Forecast Expenditure-Volumes'!$B$95:$B$108,'Gross Capex'!$B57,'Forecast Expenditure-Volumes'!M$95:M$108)/1000
+SUMIF('Forecast Contributions'!$B$8:$B$20,'Gross Capex'!$B57,'Forecast Contributions'!M$8:M$20)/1000</f>
        <v>0</v>
      </c>
      <c r="P57" s="3"/>
      <c r="Q57" s="3"/>
      <c r="R57" s="3"/>
      <c r="S57" s="3"/>
      <c r="T57" s="3"/>
    </row>
    <row r="58" spans="1:20" x14ac:dyDescent="0.2">
      <c r="A58" s="3"/>
      <c r="B58" s="36">
        <v>156</v>
      </c>
      <c r="C58" s="33" t="s">
        <v>133</v>
      </c>
      <c r="D58" s="3"/>
      <c r="E58" s="3"/>
      <c r="F58" s="159">
        <f>SUMIF('Historical Expenditure-Volumes'!$B$9:$B$22,'Gross Capex'!$B58,'Historical Expenditure-Volumes'!E$9:E$22)/1000
+SUMIF('Historical Contributions'!$B$8:$B$21,'Gross Capex'!$B58,'Historical Contributions'!D$8:D$21)/1000</f>
        <v>0</v>
      </c>
      <c r="G58" s="159">
        <f>SUMIF('Historical Expenditure-Volumes'!$B$9:$B$22,'Gross Capex'!$B58,'Historical Expenditure-Volumes'!F$9:F$22)/1000
+SUMIF('Historical Contributions'!$B$8:$B$21,'Gross Capex'!$B58,'Historical Contributions'!E$8:E$21)/1000</f>
        <v>0</v>
      </c>
      <c r="H58" s="159">
        <f>SUMIF('Historical Expenditure-Volumes'!$B$9:$B$22,'Gross Capex'!$B58,'Historical Expenditure-Volumes'!G$9:G$22)/1000
+SUMIF('Historical Contributions'!$B$8:$B$21,'Gross Capex'!$B58,'Historical Contributions'!F$8:F$21)/1000</f>
        <v>0</v>
      </c>
      <c r="I58" s="91">
        <f>SUMIF('Forecast Expenditure-Volumes'!$B$95:$B$108,'Gross Capex'!$B58,'Forecast Expenditure-Volumes'!G$95:G$108)/1000
+SUMIF('Forecast Contributions'!$B$8:$B$20,'Gross Capex'!$B58,'Forecast Contributions'!G$8:G$20)/1000</f>
        <v>0</v>
      </c>
      <c r="J58" s="91">
        <f>SUMIF('Forecast Expenditure-Volumes'!$B$95:$B$108,'Gross Capex'!$B58,'Forecast Expenditure-Volumes'!H$95:H$108)/1000
+SUMIF('Forecast Contributions'!$B$8:$B$20,'Gross Capex'!$B58,'Forecast Contributions'!H$8:H$20)/1000</f>
        <v>0</v>
      </c>
      <c r="K58" s="91">
        <f>SUMIF('Forecast Expenditure-Volumes'!$B$95:$B$108,'Gross Capex'!$B58,'Forecast Expenditure-Volumes'!I$95:I$108)/1000
+SUMIF('Forecast Contributions'!$B$8:$B$20,'Gross Capex'!$B58,'Forecast Contributions'!I$8:I$20)/1000</f>
        <v>0</v>
      </c>
      <c r="L58" s="91">
        <f>SUMIF('Forecast Expenditure-Volumes'!$B$95:$B$108,'Gross Capex'!$B58,'Forecast Expenditure-Volumes'!J$95:J$108)/1000
+SUMIF('Forecast Contributions'!$B$8:$B$20,'Gross Capex'!$B58,'Forecast Contributions'!J$8:J$20)/1000</f>
        <v>0</v>
      </c>
      <c r="M58" s="91">
        <f>SUMIF('Forecast Expenditure-Volumes'!$B$95:$B$108,'Gross Capex'!$B58,'Forecast Expenditure-Volumes'!K$95:K$108)/1000
+SUMIF('Forecast Contributions'!$B$8:$B$20,'Gross Capex'!$B58,'Forecast Contributions'!K$8:K$20)/1000</f>
        <v>0</v>
      </c>
      <c r="N58" s="91">
        <f>SUMIF('Forecast Expenditure-Volumes'!$B$95:$B$108,'Gross Capex'!$B58,'Forecast Expenditure-Volumes'!L$95:L$108)/1000
+SUMIF('Forecast Contributions'!$B$8:$B$20,'Gross Capex'!$B58,'Forecast Contributions'!L$8:L$20)/1000</f>
        <v>0</v>
      </c>
      <c r="O58" s="91">
        <f>SUMIF('Forecast Expenditure-Volumes'!$B$95:$B$108,'Gross Capex'!$B58,'Forecast Expenditure-Volumes'!M$95:M$108)/1000
+SUMIF('Forecast Contributions'!$B$8:$B$20,'Gross Capex'!$B58,'Forecast Contributions'!M$8:M$20)/1000</f>
        <v>0</v>
      </c>
      <c r="P58" s="3"/>
      <c r="Q58" s="3"/>
      <c r="R58" s="3"/>
      <c r="S58" s="3"/>
      <c r="T58" s="3"/>
    </row>
    <row r="59" spans="1:20" x14ac:dyDescent="0.2">
      <c r="A59" s="3"/>
      <c r="B59" s="36">
        <v>157</v>
      </c>
      <c r="C59" s="33" t="s">
        <v>134</v>
      </c>
      <c r="D59" s="3"/>
      <c r="E59" s="3"/>
      <c r="F59" s="159">
        <f>SUMIF('Historical Expenditure-Volumes'!$B$9:$B$22,'Gross Capex'!$B59,'Historical Expenditure-Volumes'!E$9:E$22)/1000
+SUMIF('Historical Contributions'!$B$8:$B$21,'Gross Capex'!$B59,'Historical Contributions'!D$8:D$21)/1000</f>
        <v>0</v>
      </c>
      <c r="G59" s="159">
        <f>SUMIF('Historical Expenditure-Volumes'!$B$9:$B$22,'Gross Capex'!$B59,'Historical Expenditure-Volumes'!F$9:F$22)/1000
+SUMIF('Historical Contributions'!$B$8:$B$21,'Gross Capex'!$B59,'Historical Contributions'!E$8:E$21)/1000</f>
        <v>0</v>
      </c>
      <c r="H59" s="159">
        <f>SUMIF('Historical Expenditure-Volumes'!$B$9:$B$22,'Gross Capex'!$B59,'Historical Expenditure-Volumes'!G$9:G$22)/1000
+SUMIF('Historical Contributions'!$B$8:$B$21,'Gross Capex'!$B59,'Historical Contributions'!F$8:F$21)/1000</f>
        <v>0</v>
      </c>
      <c r="I59" s="91">
        <f>SUMIF('Forecast Expenditure-Volumes'!$B$95:$B$108,'Gross Capex'!$B59,'Forecast Expenditure-Volumes'!G$95:G$108)/1000
+SUMIF('Forecast Contributions'!$B$8:$B$20,'Gross Capex'!$B59,'Forecast Contributions'!G$8:G$20)/1000</f>
        <v>0</v>
      </c>
      <c r="J59" s="91">
        <f>SUMIF('Forecast Expenditure-Volumes'!$B$95:$B$108,'Gross Capex'!$B59,'Forecast Expenditure-Volumes'!H$95:H$108)/1000
+SUMIF('Forecast Contributions'!$B$8:$B$20,'Gross Capex'!$B59,'Forecast Contributions'!H$8:H$20)/1000</f>
        <v>0</v>
      </c>
      <c r="K59" s="91">
        <f>SUMIF('Forecast Expenditure-Volumes'!$B$95:$B$108,'Gross Capex'!$B59,'Forecast Expenditure-Volumes'!I$95:I$108)/1000
+SUMIF('Forecast Contributions'!$B$8:$B$20,'Gross Capex'!$B59,'Forecast Contributions'!I$8:I$20)/1000</f>
        <v>0</v>
      </c>
      <c r="L59" s="91">
        <f>SUMIF('Forecast Expenditure-Volumes'!$B$95:$B$108,'Gross Capex'!$B59,'Forecast Expenditure-Volumes'!J$95:J$108)/1000
+SUMIF('Forecast Contributions'!$B$8:$B$20,'Gross Capex'!$B59,'Forecast Contributions'!J$8:J$20)/1000</f>
        <v>0</v>
      </c>
      <c r="M59" s="91">
        <f>SUMIF('Forecast Expenditure-Volumes'!$B$95:$B$108,'Gross Capex'!$B59,'Forecast Expenditure-Volumes'!K$95:K$108)/1000
+SUMIF('Forecast Contributions'!$B$8:$B$20,'Gross Capex'!$B59,'Forecast Contributions'!K$8:K$20)/1000</f>
        <v>0</v>
      </c>
      <c r="N59" s="91">
        <f>SUMIF('Forecast Expenditure-Volumes'!$B$95:$B$108,'Gross Capex'!$B59,'Forecast Expenditure-Volumes'!L$95:L$108)/1000
+SUMIF('Forecast Contributions'!$B$8:$B$20,'Gross Capex'!$B59,'Forecast Contributions'!L$8:L$20)/1000</f>
        <v>0</v>
      </c>
      <c r="O59" s="91">
        <f>SUMIF('Forecast Expenditure-Volumes'!$B$95:$B$108,'Gross Capex'!$B59,'Forecast Expenditure-Volumes'!M$95:M$108)/1000
+SUMIF('Forecast Contributions'!$B$8:$B$20,'Gross Capex'!$B59,'Forecast Contributions'!M$8:M$20)/1000</f>
        <v>0</v>
      </c>
      <c r="P59" s="3"/>
      <c r="Q59" s="3"/>
      <c r="R59" s="3"/>
      <c r="S59" s="3"/>
      <c r="T59" s="3"/>
    </row>
    <row r="60" spans="1:20" x14ac:dyDescent="0.2">
      <c r="A60" s="3"/>
      <c r="B60" s="36">
        <v>158</v>
      </c>
      <c r="C60" s="33" t="s">
        <v>135</v>
      </c>
      <c r="D60" s="3"/>
      <c r="E60" s="3"/>
      <c r="F60" s="159">
        <f>SUMIF('Historical Expenditure-Volumes'!$B$9:$B$22,'Gross Capex'!$B60,'Historical Expenditure-Volumes'!E$9:E$22)/1000
+SUMIF('Historical Contributions'!$B$8:$B$21,'Gross Capex'!$B60,'Historical Contributions'!D$8:D$21)/1000</f>
        <v>0</v>
      </c>
      <c r="G60" s="159">
        <f>SUMIF('Historical Expenditure-Volumes'!$B$9:$B$22,'Gross Capex'!$B60,'Historical Expenditure-Volumes'!F$9:F$22)/1000
+SUMIF('Historical Contributions'!$B$8:$B$21,'Gross Capex'!$B60,'Historical Contributions'!E$8:E$21)/1000</f>
        <v>0</v>
      </c>
      <c r="H60" s="159">
        <f>SUMIF('Historical Expenditure-Volumes'!$B$9:$B$22,'Gross Capex'!$B60,'Historical Expenditure-Volumes'!G$9:G$22)/1000
+SUMIF('Historical Contributions'!$B$8:$B$21,'Gross Capex'!$B60,'Historical Contributions'!F$8:F$21)/1000</f>
        <v>0</v>
      </c>
      <c r="I60" s="91">
        <f>SUMIF('Forecast Expenditure-Volumes'!$B$95:$B$108,'Gross Capex'!$B60,'Forecast Expenditure-Volumes'!G$95:G$108)/1000
+SUMIF('Forecast Contributions'!$B$8:$B$20,'Gross Capex'!$B60,'Forecast Contributions'!G$8:G$20)/1000</f>
        <v>0</v>
      </c>
      <c r="J60" s="91">
        <f>SUMIF('Forecast Expenditure-Volumes'!$B$95:$B$108,'Gross Capex'!$B60,'Forecast Expenditure-Volumes'!H$95:H$108)/1000
+SUMIF('Forecast Contributions'!$B$8:$B$20,'Gross Capex'!$B60,'Forecast Contributions'!H$8:H$20)/1000</f>
        <v>0</v>
      </c>
      <c r="K60" s="91">
        <f>SUMIF('Forecast Expenditure-Volumes'!$B$95:$B$108,'Gross Capex'!$B60,'Forecast Expenditure-Volumes'!I$95:I$108)/1000
+SUMIF('Forecast Contributions'!$B$8:$B$20,'Gross Capex'!$B60,'Forecast Contributions'!I$8:I$20)/1000</f>
        <v>0</v>
      </c>
      <c r="L60" s="91">
        <f>SUMIF('Forecast Expenditure-Volumes'!$B$95:$B$108,'Gross Capex'!$B60,'Forecast Expenditure-Volumes'!J$95:J$108)/1000
+SUMIF('Forecast Contributions'!$B$8:$B$20,'Gross Capex'!$B60,'Forecast Contributions'!J$8:J$20)/1000</f>
        <v>0</v>
      </c>
      <c r="M60" s="91">
        <f>SUMIF('Forecast Expenditure-Volumes'!$B$95:$B$108,'Gross Capex'!$B60,'Forecast Expenditure-Volumes'!K$95:K$108)/1000
+SUMIF('Forecast Contributions'!$B$8:$B$20,'Gross Capex'!$B60,'Forecast Contributions'!K$8:K$20)/1000</f>
        <v>0</v>
      </c>
      <c r="N60" s="91">
        <f>SUMIF('Forecast Expenditure-Volumes'!$B$95:$B$108,'Gross Capex'!$B60,'Forecast Expenditure-Volumes'!L$95:L$108)/1000
+SUMIF('Forecast Contributions'!$B$8:$B$20,'Gross Capex'!$B60,'Forecast Contributions'!L$8:L$20)/1000</f>
        <v>0</v>
      </c>
      <c r="O60" s="91">
        <f>SUMIF('Forecast Expenditure-Volumes'!$B$95:$B$108,'Gross Capex'!$B60,'Forecast Expenditure-Volumes'!M$95:M$108)/1000
+SUMIF('Forecast Contributions'!$B$8:$B$20,'Gross Capex'!$B60,'Forecast Contributions'!M$8:M$20)/1000</f>
        <v>0</v>
      </c>
      <c r="P60" s="3"/>
      <c r="Q60" s="3"/>
      <c r="R60" s="3"/>
      <c r="S60" s="3"/>
      <c r="T60" s="3"/>
    </row>
    <row r="61" spans="1:20" x14ac:dyDescent="0.2">
      <c r="A61" s="3"/>
      <c r="B61" s="36">
        <v>159</v>
      </c>
      <c r="C61" s="33" t="s">
        <v>136</v>
      </c>
      <c r="D61" s="3"/>
      <c r="E61" s="3"/>
      <c r="F61" s="159">
        <f>SUMIF('Historical Expenditure-Volumes'!$B$9:$B$22,'Gross Capex'!$B61,'Historical Expenditure-Volumes'!E$9:E$22)/1000
+SUMIF('Historical Contributions'!$B$8:$B$21,'Gross Capex'!$B61,'Historical Contributions'!D$8:D$21)/1000</f>
        <v>0</v>
      </c>
      <c r="G61" s="159">
        <f>SUMIF('Historical Expenditure-Volumes'!$B$9:$B$22,'Gross Capex'!$B61,'Historical Expenditure-Volumes'!F$9:F$22)/1000
+SUMIF('Historical Contributions'!$B$8:$B$21,'Gross Capex'!$B61,'Historical Contributions'!E$8:E$21)/1000</f>
        <v>0</v>
      </c>
      <c r="H61" s="159">
        <f>SUMIF('Historical Expenditure-Volumes'!$B$9:$B$22,'Gross Capex'!$B61,'Historical Expenditure-Volumes'!G$9:G$22)/1000
+SUMIF('Historical Contributions'!$B$8:$B$21,'Gross Capex'!$B61,'Historical Contributions'!F$8:F$21)/1000</f>
        <v>0</v>
      </c>
      <c r="I61" s="91">
        <f>SUMIF('Forecast Expenditure-Volumes'!$B$95:$B$108,'Gross Capex'!$B61,'Forecast Expenditure-Volumes'!G$95:G$108)/1000
+SUMIF('Forecast Contributions'!$B$8:$B$20,'Gross Capex'!$B61,'Forecast Contributions'!G$8:G$20)/1000</f>
        <v>0</v>
      </c>
      <c r="J61" s="91">
        <f>SUMIF('Forecast Expenditure-Volumes'!$B$95:$B$108,'Gross Capex'!$B61,'Forecast Expenditure-Volumes'!H$95:H$108)/1000
+SUMIF('Forecast Contributions'!$B$8:$B$20,'Gross Capex'!$B61,'Forecast Contributions'!H$8:H$20)/1000</f>
        <v>0</v>
      </c>
      <c r="K61" s="91">
        <f>SUMIF('Forecast Expenditure-Volumes'!$B$95:$B$108,'Gross Capex'!$B61,'Forecast Expenditure-Volumes'!I$95:I$108)/1000
+SUMIF('Forecast Contributions'!$B$8:$B$20,'Gross Capex'!$B61,'Forecast Contributions'!I$8:I$20)/1000</f>
        <v>0</v>
      </c>
      <c r="L61" s="91">
        <f>SUMIF('Forecast Expenditure-Volumes'!$B$95:$B$108,'Gross Capex'!$B61,'Forecast Expenditure-Volumes'!J$95:J$108)/1000
+SUMIF('Forecast Contributions'!$B$8:$B$20,'Gross Capex'!$B61,'Forecast Contributions'!J$8:J$20)/1000</f>
        <v>0</v>
      </c>
      <c r="M61" s="91">
        <f>SUMIF('Forecast Expenditure-Volumes'!$B$95:$B$108,'Gross Capex'!$B61,'Forecast Expenditure-Volumes'!K$95:K$108)/1000
+SUMIF('Forecast Contributions'!$B$8:$B$20,'Gross Capex'!$B61,'Forecast Contributions'!K$8:K$20)/1000</f>
        <v>0</v>
      </c>
      <c r="N61" s="91">
        <f>SUMIF('Forecast Expenditure-Volumes'!$B$95:$B$108,'Gross Capex'!$B61,'Forecast Expenditure-Volumes'!L$95:L$108)/1000
+SUMIF('Forecast Contributions'!$B$8:$B$20,'Gross Capex'!$B61,'Forecast Contributions'!L$8:L$20)/1000</f>
        <v>0</v>
      </c>
      <c r="O61" s="91">
        <f>SUMIF('Forecast Expenditure-Volumes'!$B$95:$B$108,'Gross Capex'!$B61,'Forecast Expenditure-Volumes'!M$95:M$108)/1000
+SUMIF('Forecast Contributions'!$B$8:$B$20,'Gross Capex'!$B61,'Forecast Contributions'!M$8:M$20)/1000</f>
        <v>0</v>
      </c>
      <c r="P61" s="3"/>
      <c r="Q61" s="3"/>
      <c r="R61" s="3"/>
      <c r="S61" s="3"/>
      <c r="T61" s="3"/>
    </row>
    <row r="62" spans="1:20" x14ac:dyDescent="0.2">
      <c r="A62" s="3"/>
      <c r="B62" s="36">
        <v>160</v>
      </c>
      <c r="C62" s="33" t="s">
        <v>137</v>
      </c>
      <c r="D62" s="3"/>
      <c r="E62" s="3"/>
      <c r="F62" s="159">
        <f>SUMIF('Historical Expenditure-Volumes'!$B$9:$B$22,'Gross Capex'!$B62,'Historical Expenditure-Volumes'!E$9:E$22)/1000
+SUMIF('Historical Contributions'!$B$8:$B$21,'Gross Capex'!$B62,'Historical Contributions'!D$8:D$21)/1000</f>
        <v>0</v>
      </c>
      <c r="G62" s="159">
        <f>SUMIF('Historical Expenditure-Volumes'!$B$9:$B$22,'Gross Capex'!$B62,'Historical Expenditure-Volumes'!F$9:F$22)/1000
+SUMIF('Historical Contributions'!$B$8:$B$21,'Gross Capex'!$B62,'Historical Contributions'!E$8:E$21)/1000</f>
        <v>0</v>
      </c>
      <c r="H62" s="159">
        <f>SUMIF('Historical Expenditure-Volumes'!$B$9:$B$22,'Gross Capex'!$B62,'Historical Expenditure-Volumes'!G$9:G$22)/1000
+SUMIF('Historical Contributions'!$B$8:$B$21,'Gross Capex'!$B62,'Historical Contributions'!F$8:F$21)/1000</f>
        <v>0</v>
      </c>
      <c r="I62" s="91">
        <f>SUMIF('Forecast Expenditure-Volumes'!$B$95:$B$108,'Gross Capex'!$B62,'Forecast Expenditure-Volumes'!G$95:G$108)/1000
+SUMIF('Forecast Contributions'!$B$8:$B$20,'Gross Capex'!$B62,'Forecast Contributions'!G$8:G$20)/1000</f>
        <v>0</v>
      </c>
      <c r="J62" s="91">
        <f>SUMIF('Forecast Expenditure-Volumes'!$B$95:$B$108,'Gross Capex'!$B62,'Forecast Expenditure-Volumes'!H$95:H$108)/1000
+SUMIF('Forecast Contributions'!$B$8:$B$20,'Gross Capex'!$B62,'Forecast Contributions'!H$8:H$20)/1000</f>
        <v>0</v>
      </c>
      <c r="K62" s="91">
        <f>SUMIF('Forecast Expenditure-Volumes'!$B$95:$B$108,'Gross Capex'!$B62,'Forecast Expenditure-Volumes'!I$95:I$108)/1000
+SUMIF('Forecast Contributions'!$B$8:$B$20,'Gross Capex'!$B62,'Forecast Contributions'!I$8:I$20)/1000</f>
        <v>0</v>
      </c>
      <c r="L62" s="91">
        <f>SUMIF('Forecast Expenditure-Volumes'!$B$95:$B$108,'Gross Capex'!$B62,'Forecast Expenditure-Volumes'!J$95:J$108)/1000
+SUMIF('Forecast Contributions'!$B$8:$B$20,'Gross Capex'!$B62,'Forecast Contributions'!J$8:J$20)/1000</f>
        <v>0</v>
      </c>
      <c r="M62" s="91">
        <f>SUMIF('Forecast Expenditure-Volumes'!$B$95:$B$108,'Gross Capex'!$B62,'Forecast Expenditure-Volumes'!K$95:K$108)/1000
+SUMIF('Forecast Contributions'!$B$8:$B$20,'Gross Capex'!$B62,'Forecast Contributions'!K$8:K$20)/1000</f>
        <v>0</v>
      </c>
      <c r="N62" s="91">
        <f>SUMIF('Forecast Expenditure-Volumes'!$B$95:$B$108,'Gross Capex'!$B62,'Forecast Expenditure-Volumes'!L$95:L$108)/1000
+SUMIF('Forecast Contributions'!$B$8:$B$20,'Gross Capex'!$B62,'Forecast Contributions'!L$8:L$20)/1000</f>
        <v>0</v>
      </c>
      <c r="O62" s="91">
        <f>SUMIF('Forecast Expenditure-Volumes'!$B$95:$B$108,'Gross Capex'!$B62,'Forecast Expenditure-Volumes'!M$95:M$108)/1000
+SUMIF('Forecast Contributions'!$B$8:$B$20,'Gross Capex'!$B62,'Forecast Contributions'!M$8:M$20)/1000</f>
        <v>0</v>
      </c>
      <c r="P62" s="3"/>
      <c r="Q62" s="3"/>
      <c r="R62" s="3"/>
      <c r="S62" s="3"/>
      <c r="T62" s="3"/>
    </row>
    <row r="63" spans="1:20" x14ac:dyDescent="0.2">
      <c r="A63" s="3"/>
      <c r="B63" s="36">
        <v>161</v>
      </c>
      <c r="C63" s="33" t="s">
        <v>138</v>
      </c>
      <c r="D63" s="3"/>
      <c r="E63" s="3"/>
      <c r="F63" s="159">
        <f>SUMIF('Historical Expenditure-Volumes'!$B$9:$B$22,'Gross Capex'!$B63,'Historical Expenditure-Volumes'!E$9:E$22)/1000
+SUMIF('Historical Contributions'!$B$8:$B$21,'Gross Capex'!$B63,'Historical Contributions'!D$8:D$21)/1000</f>
        <v>0</v>
      </c>
      <c r="G63" s="159">
        <f>SUMIF('Historical Expenditure-Volumes'!$B$9:$B$22,'Gross Capex'!$B63,'Historical Expenditure-Volumes'!F$9:F$22)/1000
+SUMIF('Historical Contributions'!$B$8:$B$21,'Gross Capex'!$B63,'Historical Contributions'!E$8:E$21)/1000</f>
        <v>0</v>
      </c>
      <c r="H63" s="159">
        <f>SUMIF('Historical Expenditure-Volumes'!$B$9:$B$22,'Gross Capex'!$B63,'Historical Expenditure-Volumes'!G$9:G$22)/1000
+SUMIF('Historical Contributions'!$B$8:$B$21,'Gross Capex'!$B63,'Historical Contributions'!F$8:F$21)/1000</f>
        <v>0</v>
      </c>
      <c r="I63" s="91">
        <f>SUMIF('Forecast Expenditure-Volumes'!$B$95:$B$108,'Gross Capex'!$B63,'Forecast Expenditure-Volumes'!G$95:G$108)/1000
+SUMIF('Forecast Contributions'!$B$8:$B$20,'Gross Capex'!$B63,'Forecast Contributions'!G$8:G$20)/1000</f>
        <v>0</v>
      </c>
      <c r="J63" s="91">
        <f>SUMIF('Forecast Expenditure-Volumes'!$B$95:$B$108,'Gross Capex'!$B63,'Forecast Expenditure-Volumes'!H$95:H$108)/1000
+SUMIF('Forecast Contributions'!$B$8:$B$20,'Gross Capex'!$B63,'Forecast Contributions'!H$8:H$20)/1000</f>
        <v>0</v>
      </c>
      <c r="K63" s="91">
        <f>SUMIF('Forecast Expenditure-Volumes'!$B$95:$B$108,'Gross Capex'!$B63,'Forecast Expenditure-Volumes'!I$95:I$108)/1000
+SUMIF('Forecast Contributions'!$B$8:$B$20,'Gross Capex'!$B63,'Forecast Contributions'!I$8:I$20)/1000</f>
        <v>0</v>
      </c>
      <c r="L63" s="91">
        <f>SUMIF('Forecast Expenditure-Volumes'!$B$95:$B$108,'Gross Capex'!$B63,'Forecast Expenditure-Volumes'!J$95:J$108)/1000
+SUMIF('Forecast Contributions'!$B$8:$B$20,'Gross Capex'!$B63,'Forecast Contributions'!J$8:J$20)/1000</f>
        <v>0</v>
      </c>
      <c r="M63" s="91">
        <f>SUMIF('Forecast Expenditure-Volumes'!$B$95:$B$108,'Gross Capex'!$B63,'Forecast Expenditure-Volumes'!K$95:K$108)/1000
+SUMIF('Forecast Contributions'!$B$8:$B$20,'Gross Capex'!$B63,'Forecast Contributions'!K$8:K$20)/1000</f>
        <v>0</v>
      </c>
      <c r="N63" s="91">
        <f>SUMIF('Forecast Expenditure-Volumes'!$B$95:$B$108,'Gross Capex'!$B63,'Forecast Expenditure-Volumes'!L$95:L$108)/1000
+SUMIF('Forecast Contributions'!$B$8:$B$20,'Gross Capex'!$B63,'Forecast Contributions'!L$8:L$20)/1000</f>
        <v>0</v>
      </c>
      <c r="O63" s="91">
        <f>SUMIF('Forecast Expenditure-Volumes'!$B$95:$B$108,'Gross Capex'!$B63,'Forecast Expenditure-Volumes'!M$95:M$108)/1000
+SUMIF('Forecast Contributions'!$B$8:$B$20,'Gross Capex'!$B63,'Forecast Contributions'!M$8:M$20)/1000</f>
        <v>0</v>
      </c>
      <c r="P63" s="3"/>
      <c r="Q63" s="3"/>
      <c r="R63" s="3"/>
      <c r="S63" s="3"/>
      <c r="T63" s="3"/>
    </row>
    <row r="64" spans="1:20" x14ac:dyDescent="0.2">
      <c r="A64" s="3"/>
      <c r="B64" s="36">
        <v>162</v>
      </c>
      <c r="C64" s="33" t="s">
        <v>139</v>
      </c>
      <c r="D64" s="3"/>
      <c r="E64" s="3"/>
      <c r="F64" s="159">
        <f>SUMIF('Historical Expenditure-Volumes'!$B$9:$B$22,'Gross Capex'!$B64,'Historical Expenditure-Volumes'!E$9:E$22)/1000
+SUMIF('Historical Contributions'!$B$8:$B$21,'Gross Capex'!$B64,'Historical Contributions'!D$8:D$21)/1000</f>
        <v>0</v>
      </c>
      <c r="G64" s="159">
        <f>SUMIF('Historical Expenditure-Volumes'!$B$9:$B$22,'Gross Capex'!$B64,'Historical Expenditure-Volumes'!F$9:F$22)/1000
+SUMIF('Historical Contributions'!$B$8:$B$21,'Gross Capex'!$B64,'Historical Contributions'!E$8:E$21)/1000</f>
        <v>0</v>
      </c>
      <c r="H64" s="159">
        <f>SUMIF('Historical Expenditure-Volumes'!$B$9:$B$22,'Gross Capex'!$B64,'Historical Expenditure-Volumes'!G$9:G$22)/1000
+SUMIF('Historical Contributions'!$B$8:$B$21,'Gross Capex'!$B64,'Historical Contributions'!F$8:F$21)/1000</f>
        <v>0</v>
      </c>
      <c r="I64" s="91">
        <f>SUMIF('Forecast Expenditure-Volumes'!$B$95:$B$108,'Gross Capex'!$B64,'Forecast Expenditure-Volumes'!G$95:G$108)/1000
+SUMIF('Forecast Contributions'!$B$8:$B$20,'Gross Capex'!$B64,'Forecast Contributions'!G$8:G$20)/1000</f>
        <v>0</v>
      </c>
      <c r="J64" s="91">
        <f>SUMIF('Forecast Expenditure-Volumes'!$B$95:$B$108,'Gross Capex'!$B64,'Forecast Expenditure-Volumes'!H$95:H$108)/1000
+SUMIF('Forecast Contributions'!$B$8:$B$20,'Gross Capex'!$B64,'Forecast Contributions'!H$8:H$20)/1000</f>
        <v>0</v>
      </c>
      <c r="K64" s="91">
        <f>SUMIF('Forecast Expenditure-Volumes'!$B$95:$B$108,'Gross Capex'!$B64,'Forecast Expenditure-Volumes'!I$95:I$108)/1000
+SUMIF('Forecast Contributions'!$B$8:$B$20,'Gross Capex'!$B64,'Forecast Contributions'!I$8:I$20)/1000</f>
        <v>0</v>
      </c>
      <c r="L64" s="91">
        <f>SUMIF('Forecast Expenditure-Volumes'!$B$95:$B$108,'Gross Capex'!$B64,'Forecast Expenditure-Volumes'!J$95:J$108)/1000
+SUMIF('Forecast Contributions'!$B$8:$B$20,'Gross Capex'!$B64,'Forecast Contributions'!J$8:J$20)/1000</f>
        <v>0</v>
      </c>
      <c r="M64" s="91">
        <f>SUMIF('Forecast Expenditure-Volumes'!$B$95:$B$108,'Gross Capex'!$B64,'Forecast Expenditure-Volumes'!K$95:K$108)/1000
+SUMIF('Forecast Contributions'!$B$8:$B$20,'Gross Capex'!$B64,'Forecast Contributions'!K$8:K$20)/1000</f>
        <v>0</v>
      </c>
      <c r="N64" s="91">
        <f>SUMIF('Forecast Expenditure-Volumes'!$B$95:$B$108,'Gross Capex'!$B64,'Forecast Expenditure-Volumes'!L$95:L$108)/1000
+SUMIF('Forecast Contributions'!$B$8:$B$20,'Gross Capex'!$B64,'Forecast Contributions'!L$8:L$20)/1000</f>
        <v>0</v>
      </c>
      <c r="O64" s="91">
        <f>SUMIF('Forecast Expenditure-Volumes'!$B$95:$B$108,'Gross Capex'!$B64,'Forecast Expenditure-Volumes'!M$95:M$108)/1000
+SUMIF('Forecast Contributions'!$B$8:$B$20,'Gross Capex'!$B64,'Forecast Contributions'!M$8:M$20)/1000</f>
        <v>0</v>
      </c>
      <c r="P64" s="3"/>
      <c r="Q64" s="3"/>
      <c r="R64" s="3"/>
      <c r="S64" s="3"/>
      <c r="T64" s="3"/>
    </row>
    <row r="65" spans="1:20" x14ac:dyDescent="0.2">
      <c r="A65" s="3"/>
      <c r="B65" s="36">
        <v>163</v>
      </c>
      <c r="C65" s="33" t="s">
        <v>140</v>
      </c>
      <c r="D65" s="3"/>
      <c r="E65" s="3"/>
      <c r="F65" s="159">
        <f>SUMIF('Historical Expenditure-Volumes'!$B$9:$B$22,'Gross Capex'!$B65,'Historical Expenditure-Volumes'!E$9:E$22)/1000
+SUMIF('Historical Contributions'!$B$8:$B$21,'Gross Capex'!$B65,'Historical Contributions'!D$8:D$21)/1000</f>
        <v>0</v>
      </c>
      <c r="G65" s="159">
        <f>SUMIF('Historical Expenditure-Volumes'!$B$9:$B$22,'Gross Capex'!$B65,'Historical Expenditure-Volumes'!F$9:F$22)/1000
+SUMIF('Historical Contributions'!$B$8:$B$21,'Gross Capex'!$B65,'Historical Contributions'!E$8:E$21)/1000</f>
        <v>0</v>
      </c>
      <c r="H65" s="159">
        <f>SUMIF('Historical Expenditure-Volumes'!$B$9:$B$22,'Gross Capex'!$B65,'Historical Expenditure-Volumes'!G$9:G$22)/1000
+SUMIF('Historical Contributions'!$B$8:$B$21,'Gross Capex'!$B65,'Historical Contributions'!F$8:F$21)/1000</f>
        <v>0</v>
      </c>
      <c r="I65" s="91">
        <f>SUMIF('Forecast Expenditure-Volumes'!$B$95:$B$108,'Gross Capex'!$B65,'Forecast Expenditure-Volumes'!G$95:G$108)/1000
+SUMIF('Forecast Contributions'!$B$8:$B$20,'Gross Capex'!$B65,'Forecast Contributions'!G$8:G$20)/1000</f>
        <v>0</v>
      </c>
      <c r="J65" s="91">
        <f>SUMIF('Forecast Expenditure-Volumes'!$B$95:$B$108,'Gross Capex'!$B65,'Forecast Expenditure-Volumes'!H$95:H$108)/1000
+SUMIF('Forecast Contributions'!$B$8:$B$20,'Gross Capex'!$B65,'Forecast Contributions'!H$8:H$20)/1000</f>
        <v>0</v>
      </c>
      <c r="K65" s="91">
        <f>SUMIF('Forecast Expenditure-Volumes'!$B$95:$B$108,'Gross Capex'!$B65,'Forecast Expenditure-Volumes'!I$95:I$108)/1000
+SUMIF('Forecast Contributions'!$B$8:$B$20,'Gross Capex'!$B65,'Forecast Contributions'!I$8:I$20)/1000</f>
        <v>0</v>
      </c>
      <c r="L65" s="91">
        <f>SUMIF('Forecast Expenditure-Volumes'!$B$95:$B$108,'Gross Capex'!$B65,'Forecast Expenditure-Volumes'!J$95:J$108)/1000
+SUMIF('Forecast Contributions'!$B$8:$B$20,'Gross Capex'!$B65,'Forecast Contributions'!J$8:J$20)/1000</f>
        <v>0</v>
      </c>
      <c r="M65" s="91">
        <f>SUMIF('Forecast Expenditure-Volumes'!$B$95:$B$108,'Gross Capex'!$B65,'Forecast Expenditure-Volumes'!K$95:K$108)/1000
+SUMIF('Forecast Contributions'!$B$8:$B$20,'Gross Capex'!$B65,'Forecast Contributions'!K$8:K$20)/1000</f>
        <v>0</v>
      </c>
      <c r="N65" s="91">
        <f>SUMIF('Forecast Expenditure-Volumes'!$B$95:$B$108,'Gross Capex'!$B65,'Forecast Expenditure-Volumes'!L$95:L$108)/1000
+SUMIF('Forecast Contributions'!$B$8:$B$20,'Gross Capex'!$B65,'Forecast Contributions'!L$8:L$20)/1000</f>
        <v>0</v>
      </c>
      <c r="O65" s="91">
        <f>SUMIF('Forecast Expenditure-Volumes'!$B$95:$B$108,'Gross Capex'!$B65,'Forecast Expenditure-Volumes'!M$95:M$108)/1000
+SUMIF('Forecast Contributions'!$B$8:$B$20,'Gross Capex'!$B65,'Forecast Contributions'!M$8:M$20)/1000</f>
        <v>0</v>
      </c>
      <c r="P65" s="3"/>
      <c r="Q65" s="3"/>
      <c r="R65" s="3"/>
      <c r="S65" s="3"/>
      <c r="T65" s="3"/>
    </row>
    <row r="66" spans="1:20" x14ac:dyDescent="0.2">
      <c r="A66" s="3"/>
      <c r="B66" s="36">
        <v>164</v>
      </c>
      <c r="C66" s="33" t="s">
        <v>141</v>
      </c>
      <c r="D66" s="3"/>
      <c r="E66" s="3"/>
      <c r="F66" s="159">
        <f>SUMIF('Historical Expenditure-Volumes'!$B$9:$B$22,'Gross Capex'!$B66,'Historical Expenditure-Volumes'!E$9:E$22)/1000
+SUMIF('Historical Contributions'!$B$8:$B$21,'Gross Capex'!$B66,'Historical Contributions'!D$8:D$21)/1000</f>
        <v>0</v>
      </c>
      <c r="G66" s="159">
        <f>SUMIF('Historical Expenditure-Volumes'!$B$9:$B$22,'Gross Capex'!$B66,'Historical Expenditure-Volumes'!F$9:F$22)/1000
+SUMIF('Historical Contributions'!$B$8:$B$21,'Gross Capex'!$B66,'Historical Contributions'!E$8:E$21)/1000</f>
        <v>0</v>
      </c>
      <c r="H66" s="159">
        <f>SUMIF('Historical Expenditure-Volumes'!$B$9:$B$22,'Gross Capex'!$B66,'Historical Expenditure-Volumes'!G$9:G$22)/1000
+SUMIF('Historical Contributions'!$B$8:$B$21,'Gross Capex'!$B66,'Historical Contributions'!F$8:F$21)/1000</f>
        <v>0</v>
      </c>
      <c r="I66" s="91">
        <f>SUMIF('Forecast Expenditure-Volumes'!$B$95:$B$108,'Gross Capex'!$B66,'Forecast Expenditure-Volumes'!G$95:G$108)/1000
+SUMIF('Forecast Contributions'!$B$8:$B$20,'Gross Capex'!$B66,'Forecast Contributions'!G$8:G$20)/1000</f>
        <v>0</v>
      </c>
      <c r="J66" s="91">
        <f>SUMIF('Forecast Expenditure-Volumes'!$B$95:$B$108,'Gross Capex'!$B66,'Forecast Expenditure-Volumes'!H$95:H$108)/1000
+SUMIF('Forecast Contributions'!$B$8:$B$20,'Gross Capex'!$B66,'Forecast Contributions'!H$8:H$20)/1000</f>
        <v>0</v>
      </c>
      <c r="K66" s="91">
        <f>SUMIF('Forecast Expenditure-Volumes'!$B$95:$B$108,'Gross Capex'!$B66,'Forecast Expenditure-Volumes'!I$95:I$108)/1000
+SUMIF('Forecast Contributions'!$B$8:$B$20,'Gross Capex'!$B66,'Forecast Contributions'!I$8:I$20)/1000</f>
        <v>0</v>
      </c>
      <c r="L66" s="91">
        <f>SUMIF('Forecast Expenditure-Volumes'!$B$95:$B$108,'Gross Capex'!$B66,'Forecast Expenditure-Volumes'!J$95:J$108)/1000
+SUMIF('Forecast Contributions'!$B$8:$B$20,'Gross Capex'!$B66,'Forecast Contributions'!J$8:J$20)/1000</f>
        <v>0</v>
      </c>
      <c r="M66" s="91">
        <f>SUMIF('Forecast Expenditure-Volumes'!$B$95:$B$108,'Gross Capex'!$B66,'Forecast Expenditure-Volumes'!K$95:K$108)/1000
+SUMIF('Forecast Contributions'!$B$8:$B$20,'Gross Capex'!$B66,'Forecast Contributions'!K$8:K$20)/1000</f>
        <v>0</v>
      </c>
      <c r="N66" s="91">
        <f>SUMIF('Forecast Expenditure-Volumes'!$B$95:$B$108,'Gross Capex'!$B66,'Forecast Expenditure-Volumes'!L$95:L$108)/1000
+SUMIF('Forecast Contributions'!$B$8:$B$20,'Gross Capex'!$B66,'Forecast Contributions'!L$8:L$20)/1000</f>
        <v>0</v>
      </c>
      <c r="O66" s="91">
        <f>SUMIF('Forecast Expenditure-Volumes'!$B$95:$B$108,'Gross Capex'!$B66,'Forecast Expenditure-Volumes'!M$95:M$108)/1000
+SUMIF('Forecast Contributions'!$B$8:$B$20,'Gross Capex'!$B66,'Forecast Contributions'!M$8:M$20)/1000</f>
        <v>0</v>
      </c>
      <c r="P66" s="3"/>
      <c r="Q66" s="3"/>
      <c r="R66" s="3"/>
      <c r="S66" s="3"/>
      <c r="T66" s="3"/>
    </row>
    <row r="67" spans="1:20" x14ac:dyDescent="0.2">
      <c r="A67" s="3"/>
      <c r="B67" s="36">
        <v>165</v>
      </c>
      <c r="C67" s="33" t="s">
        <v>142</v>
      </c>
      <c r="D67" s="3"/>
      <c r="E67" s="3"/>
      <c r="F67" s="159">
        <f>SUMIF('Historical Expenditure-Volumes'!$B$9:$B$22,'Gross Capex'!$B67,'Historical Expenditure-Volumes'!E$9:E$22)/1000
+SUMIF('Historical Contributions'!$B$8:$B$21,'Gross Capex'!$B67,'Historical Contributions'!D$8:D$21)/1000</f>
        <v>0</v>
      </c>
      <c r="G67" s="159">
        <f>SUMIF('Historical Expenditure-Volumes'!$B$9:$B$22,'Gross Capex'!$B67,'Historical Expenditure-Volumes'!F$9:F$22)/1000
+SUMIF('Historical Contributions'!$B$8:$B$21,'Gross Capex'!$B67,'Historical Contributions'!E$8:E$21)/1000</f>
        <v>0</v>
      </c>
      <c r="H67" s="159">
        <f>SUMIF('Historical Expenditure-Volumes'!$B$9:$B$22,'Gross Capex'!$B67,'Historical Expenditure-Volumes'!G$9:G$22)/1000
+SUMIF('Historical Contributions'!$B$8:$B$21,'Gross Capex'!$B67,'Historical Contributions'!F$8:F$21)/1000</f>
        <v>0</v>
      </c>
      <c r="I67" s="91">
        <f>SUMIF('Forecast Expenditure-Volumes'!$B$95:$B$108,'Gross Capex'!$B67,'Forecast Expenditure-Volumes'!G$95:G$108)/1000
+SUMIF('Forecast Contributions'!$B$8:$B$20,'Gross Capex'!$B67,'Forecast Contributions'!G$8:G$20)/1000</f>
        <v>0</v>
      </c>
      <c r="J67" s="91">
        <f>SUMIF('Forecast Expenditure-Volumes'!$B$95:$B$108,'Gross Capex'!$B67,'Forecast Expenditure-Volumes'!H$95:H$108)/1000
+SUMIF('Forecast Contributions'!$B$8:$B$20,'Gross Capex'!$B67,'Forecast Contributions'!H$8:H$20)/1000</f>
        <v>0</v>
      </c>
      <c r="K67" s="91">
        <f>SUMIF('Forecast Expenditure-Volumes'!$B$95:$B$108,'Gross Capex'!$B67,'Forecast Expenditure-Volumes'!I$95:I$108)/1000
+SUMIF('Forecast Contributions'!$B$8:$B$20,'Gross Capex'!$B67,'Forecast Contributions'!I$8:I$20)/1000</f>
        <v>0</v>
      </c>
      <c r="L67" s="91">
        <f>SUMIF('Forecast Expenditure-Volumes'!$B$95:$B$108,'Gross Capex'!$B67,'Forecast Expenditure-Volumes'!J$95:J$108)/1000
+SUMIF('Forecast Contributions'!$B$8:$B$20,'Gross Capex'!$B67,'Forecast Contributions'!J$8:J$20)/1000</f>
        <v>0</v>
      </c>
      <c r="M67" s="91">
        <f>SUMIF('Forecast Expenditure-Volumes'!$B$95:$B$108,'Gross Capex'!$B67,'Forecast Expenditure-Volumes'!K$95:K$108)/1000
+SUMIF('Forecast Contributions'!$B$8:$B$20,'Gross Capex'!$B67,'Forecast Contributions'!K$8:K$20)/1000</f>
        <v>0</v>
      </c>
      <c r="N67" s="91">
        <f>SUMIF('Forecast Expenditure-Volumes'!$B$95:$B$108,'Gross Capex'!$B67,'Forecast Expenditure-Volumes'!L$95:L$108)/1000
+SUMIF('Forecast Contributions'!$B$8:$B$20,'Gross Capex'!$B67,'Forecast Contributions'!L$8:L$20)/1000</f>
        <v>0</v>
      </c>
      <c r="O67" s="91">
        <f>SUMIF('Forecast Expenditure-Volumes'!$B$95:$B$108,'Gross Capex'!$B67,'Forecast Expenditure-Volumes'!M$95:M$108)/1000
+SUMIF('Forecast Contributions'!$B$8:$B$20,'Gross Capex'!$B67,'Forecast Contributions'!M$8:M$20)/1000</f>
        <v>0</v>
      </c>
      <c r="P67" s="3"/>
      <c r="Q67" s="3"/>
      <c r="R67" s="3"/>
      <c r="S67" s="3"/>
      <c r="T67" s="3"/>
    </row>
    <row r="68" spans="1:20" x14ac:dyDescent="0.2">
      <c r="A68" s="3"/>
      <c r="B68" s="36">
        <v>166</v>
      </c>
      <c r="C68" s="33" t="s">
        <v>143</v>
      </c>
      <c r="D68" s="3"/>
      <c r="E68" s="3"/>
      <c r="F68" s="159">
        <f>SUMIF('Historical Expenditure-Volumes'!$B$9:$B$22,'Gross Capex'!$B68,'Historical Expenditure-Volumes'!E$9:E$22)/1000
+SUMIF('Historical Contributions'!$B$8:$B$21,'Gross Capex'!$B68,'Historical Contributions'!D$8:D$21)/1000</f>
        <v>0</v>
      </c>
      <c r="G68" s="159">
        <f>SUMIF('Historical Expenditure-Volumes'!$B$9:$B$22,'Gross Capex'!$B68,'Historical Expenditure-Volumes'!F$9:F$22)/1000
+SUMIF('Historical Contributions'!$B$8:$B$21,'Gross Capex'!$B68,'Historical Contributions'!E$8:E$21)/1000</f>
        <v>0</v>
      </c>
      <c r="H68" s="159">
        <f>SUMIF('Historical Expenditure-Volumes'!$B$9:$B$22,'Gross Capex'!$B68,'Historical Expenditure-Volumes'!G$9:G$22)/1000
+SUMIF('Historical Contributions'!$B$8:$B$21,'Gross Capex'!$B68,'Historical Contributions'!F$8:F$21)/1000</f>
        <v>0</v>
      </c>
      <c r="I68" s="91">
        <f>SUMIF('Forecast Expenditure-Volumes'!$B$95:$B$108,'Gross Capex'!$B68,'Forecast Expenditure-Volumes'!G$95:G$108)/1000
+SUMIF('Forecast Contributions'!$B$8:$B$20,'Gross Capex'!$B68,'Forecast Contributions'!G$8:G$20)/1000</f>
        <v>0</v>
      </c>
      <c r="J68" s="91">
        <f>SUMIF('Forecast Expenditure-Volumes'!$B$95:$B$108,'Gross Capex'!$B68,'Forecast Expenditure-Volumes'!H$95:H$108)/1000
+SUMIF('Forecast Contributions'!$B$8:$B$20,'Gross Capex'!$B68,'Forecast Contributions'!H$8:H$20)/1000</f>
        <v>0</v>
      </c>
      <c r="K68" s="91">
        <f>SUMIF('Forecast Expenditure-Volumes'!$B$95:$B$108,'Gross Capex'!$B68,'Forecast Expenditure-Volumes'!I$95:I$108)/1000
+SUMIF('Forecast Contributions'!$B$8:$B$20,'Gross Capex'!$B68,'Forecast Contributions'!I$8:I$20)/1000</f>
        <v>0</v>
      </c>
      <c r="L68" s="91">
        <f>SUMIF('Forecast Expenditure-Volumes'!$B$95:$B$108,'Gross Capex'!$B68,'Forecast Expenditure-Volumes'!J$95:J$108)/1000
+SUMIF('Forecast Contributions'!$B$8:$B$20,'Gross Capex'!$B68,'Forecast Contributions'!J$8:J$20)/1000</f>
        <v>0</v>
      </c>
      <c r="M68" s="91">
        <f>SUMIF('Forecast Expenditure-Volumes'!$B$95:$B$108,'Gross Capex'!$B68,'Forecast Expenditure-Volumes'!K$95:K$108)/1000
+SUMIF('Forecast Contributions'!$B$8:$B$20,'Gross Capex'!$B68,'Forecast Contributions'!K$8:K$20)/1000</f>
        <v>0</v>
      </c>
      <c r="N68" s="91">
        <f>SUMIF('Forecast Expenditure-Volumes'!$B$95:$B$108,'Gross Capex'!$B68,'Forecast Expenditure-Volumes'!L$95:L$108)/1000
+SUMIF('Forecast Contributions'!$B$8:$B$20,'Gross Capex'!$B68,'Forecast Contributions'!L$8:L$20)/1000</f>
        <v>0</v>
      </c>
      <c r="O68" s="91">
        <f>SUMIF('Forecast Expenditure-Volumes'!$B$95:$B$108,'Gross Capex'!$B68,'Forecast Expenditure-Volumes'!M$95:M$108)/1000
+SUMIF('Forecast Contributions'!$B$8:$B$20,'Gross Capex'!$B68,'Forecast Contributions'!M$8:M$20)/1000</f>
        <v>0</v>
      </c>
      <c r="P68" s="3"/>
      <c r="Q68" s="3"/>
      <c r="R68" s="3"/>
      <c r="S68" s="3"/>
      <c r="T68" s="3"/>
    </row>
    <row r="69" spans="1:20" x14ac:dyDescent="0.2">
      <c r="A69" s="3"/>
      <c r="B69" s="36">
        <v>167</v>
      </c>
      <c r="C69" s="33" t="s">
        <v>144</v>
      </c>
      <c r="D69" s="3"/>
      <c r="E69" s="3"/>
      <c r="F69" s="159">
        <f>SUMIF('Historical Expenditure-Volumes'!$B$9:$B$22,'Gross Capex'!$B69,'Historical Expenditure-Volumes'!E$9:E$22)/1000
+SUMIF('Historical Contributions'!$B$8:$B$21,'Gross Capex'!$B69,'Historical Contributions'!D$8:D$21)/1000</f>
        <v>0</v>
      </c>
      <c r="G69" s="159">
        <f>SUMIF('Historical Expenditure-Volumes'!$B$9:$B$22,'Gross Capex'!$B69,'Historical Expenditure-Volumes'!F$9:F$22)/1000
+SUMIF('Historical Contributions'!$B$8:$B$21,'Gross Capex'!$B69,'Historical Contributions'!E$8:E$21)/1000</f>
        <v>0</v>
      </c>
      <c r="H69" s="159">
        <f>SUMIF('Historical Expenditure-Volumes'!$B$9:$B$22,'Gross Capex'!$B69,'Historical Expenditure-Volumes'!G$9:G$22)/1000
+SUMIF('Historical Contributions'!$B$8:$B$21,'Gross Capex'!$B69,'Historical Contributions'!F$8:F$21)/1000</f>
        <v>0</v>
      </c>
      <c r="I69" s="91">
        <f>SUMIF('Forecast Expenditure-Volumes'!$B$95:$B$108,'Gross Capex'!$B69,'Forecast Expenditure-Volumes'!G$95:G$108)/1000
+SUMIF('Forecast Contributions'!$B$8:$B$20,'Gross Capex'!$B69,'Forecast Contributions'!G$8:G$20)/1000</f>
        <v>0</v>
      </c>
      <c r="J69" s="91">
        <f>SUMIF('Forecast Expenditure-Volumes'!$B$95:$B$108,'Gross Capex'!$B69,'Forecast Expenditure-Volumes'!H$95:H$108)/1000
+SUMIF('Forecast Contributions'!$B$8:$B$20,'Gross Capex'!$B69,'Forecast Contributions'!H$8:H$20)/1000</f>
        <v>0</v>
      </c>
      <c r="K69" s="91">
        <f>SUMIF('Forecast Expenditure-Volumes'!$B$95:$B$108,'Gross Capex'!$B69,'Forecast Expenditure-Volumes'!I$95:I$108)/1000
+SUMIF('Forecast Contributions'!$B$8:$B$20,'Gross Capex'!$B69,'Forecast Contributions'!I$8:I$20)/1000</f>
        <v>0</v>
      </c>
      <c r="L69" s="91">
        <f>SUMIF('Forecast Expenditure-Volumes'!$B$95:$B$108,'Gross Capex'!$B69,'Forecast Expenditure-Volumes'!J$95:J$108)/1000
+SUMIF('Forecast Contributions'!$B$8:$B$20,'Gross Capex'!$B69,'Forecast Contributions'!J$8:J$20)/1000</f>
        <v>0</v>
      </c>
      <c r="M69" s="91">
        <f>SUMIF('Forecast Expenditure-Volumes'!$B$95:$B$108,'Gross Capex'!$B69,'Forecast Expenditure-Volumes'!K$95:K$108)/1000
+SUMIF('Forecast Contributions'!$B$8:$B$20,'Gross Capex'!$B69,'Forecast Contributions'!K$8:K$20)/1000</f>
        <v>0</v>
      </c>
      <c r="N69" s="91">
        <f>SUMIF('Forecast Expenditure-Volumes'!$B$95:$B$108,'Gross Capex'!$B69,'Forecast Expenditure-Volumes'!L$95:L$108)/1000
+SUMIF('Forecast Contributions'!$B$8:$B$20,'Gross Capex'!$B69,'Forecast Contributions'!L$8:L$20)/1000</f>
        <v>0</v>
      </c>
      <c r="O69" s="91">
        <f>SUMIF('Forecast Expenditure-Volumes'!$B$95:$B$108,'Gross Capex'!$B69,'Forecast Expenditure-Volumes'!M$95:M$108)/1000
+SUMIF('Forecast Contributions'!$B$8:$B$20,'Gross Capex'!$B69,'Forecast Contributions'!M$8:M$20)/1000</f>
        <v>0</v>
      </c>
      <c r="P69" s="3"/>
      <c r="Q69" s="3"/>
      <c r="R69" s="3"/>
      <c r="S69" s="3"/>
      <c r="T69" s="3"/>
    </row>
    <row r="70" spans="1:20" x14ac:dyDescent="0.2">
      <c r="A70" s="3"/>
      <c r="B70" s="36">
        <v>168</v>
      </c>
      <c r="C70" s="33" t="s">
        <v>145</v>
      </c>
      <c r="D70" s="3"/>
      <c r="E70" s="3"/>
      <c r="F70" s="159">
        <f>SUMIF('Historical Expenditure-Volumes'!$B$9:$B$22,'Gross Capex'!$B70,'Historical Expenditure-Volumes'!E$9:E$22)/1000
+SUMIF('Historical Contributions'!$B$8:$B$21,'Gross Capex'!$B70,'Historical Contributions'!D$8:D$21)/1000</f>
        <v>0</v>
      </c>
      <c r="G70" s="159">
        <f>SUMIF('Historical Expenditure-Volumes'!$B$9:$B$22,'Gross Capex'!$B70,'Historical Expenditure-Volumes'!F$9:F$22)/1000
+SUMIF('Historical Contributions'!$B$8:$B$21,'Gross Capex'!$B70,'Historical Contributions'!E$8:E$21)/1000</f>
        <v>0</v>
      </c>
      <c r="H70" s="159">
        <f>SUMIF('Historical Expenditure-Volumes'!$B$9:$B$22,'Gross Capex'!$B70,'Historical Expenditure-Volumes'!G$9:G$22)/1000
+SUMIF('Historical Contributions'!$B$8:$B$21,'Gross Capex'!$B70,'Historical Contributions'!F$8:F$21)/1000</f>
        <v>0</v>
      </c>
      <c r="I70" s="91">
        <f>SUMIF('Forecast Expenditure-Volumes'!$B$95:$B$108,'Gross Capex'!$B70,'Forecast Expenditure-Volumes'!G$95:G$108)/1000
+SUMIF('Forecast Contributions'!$B$8:$B$20,'Gross Capex'!$B70,'Forecast Contributions'!G$8:G$20)/1000</f>
        <v>0</v>
      </c>
      <c r="J70" s="91">
        <f>SUMIF('Forecast Expenditure-Volumes'!$B$95:$B$108,'Gross Capex'!$B70,'Forecast Expenditure-Volumes'!H$95:H$108)/1000
+SUMIF('Forecast Contributions'!$B$8:$B$20,'Gross Capex'!$B70,'Forecast Contributions'!H$8:H$20)/1000</f>
        <v>0</v>
      </c>
      <c r="K70" s="91">
        <f>SUMIF('Forecast Expenditure-Volumes'!$B$95:$B$108,'Gross Capex'!$B70,'Forecast Expenditure-Volumes'!I$95:I$108)/1000
+SUMIF('Forecast Contributions'!$B$8:$B$20,'Gross Capex'!$B70,'Forecast Contributions'!I$8:I$20)/1000</f>
        <v>0</v>
      </c>
      <c r="L70" s="91">
        <f>SUMIF('Forecast Expenditure-Volumes'!$B$95:$B$108,'Gross Capex'!$B70,'Forecast Expenditure-Volumes'!J$95:J$108)/1000
+SUMIF('Forecast Contributions'!$B$8:$B$20,'Gross Capex'!$B70,'Forecast Contributions'!J$8:J$20)/1000</f>
        <v>0</v>
      </c>
      <c r="M70" s="91">
        <f>SUMIF('Forecast Expenditure-Volumes'!$B$95:$B$108,'Gross Capex'!$B70,'Forecast Expenditure-Volumes'!K$95:K$108)/1000
+SUMIF('Forecast Contributions'!$B$8:$B$20,'Gross Capex'!$B70,'Forecast Contributions'!K$8:K$20)/1000</f>
        <v>0</v>
      </c>
      <c r="N70" s="91">
        <f>SUMIF('Forecast Expenditure-Volumes'!$B$95:$B$108,'Gross Capex'!$B70,'Forecast Expenditure-Volumes'!L$95:L$108)/1000
+SUMIF('Forecast Contributions'!$B$8:$B$20,'Gross Capex'!$B70,'Forecast Contributions'!L$8:L$20)/1000</f>
        <v>0</v>
      </c>
      <c r="O70" s="91">
        <f>SUMIF('Forecast Expenditure-Volumes'!$B$95:$B$108,'Gross Capex'!$B70,'Forecast Expenditure-Volumes'!M$95:M$108)/1000
+SUMIF('Forecast Contributions'!$B$8:$B$20,'Gross Capex'!$B70,'Forecast Contributions'!M$8:M$20)/1000</f>
        <v>0</v>
      </c>
      <c r="P70" s="3"/>
      <c r="Q70" s="3"/>
      <c r="R70" s="3"/>
      <c r="S70" s="3"/>
      <c r="T70" s="3"/>
    </row>
    <row r="71" spans="1:20" x14ac:dyDescent="0.2">
      <c r="A71" s="3"/>
      <c r="B71" s="36">
        <v>169</v>
      </c>
      <c r="C71" s="33" t="s">
        <v>146</v>
      </c>
      <c r="D71" s="3"/>
      <c r="E71" s="3"/>
      <c r="F71" s="159">
        <f>SUMIF('Historical Expenditure-Volumes'!$B$9:$B$22,'Gross Capex'!$B71,'Historical Expenditure-Volumes'!E$9:E$22)/1000
+SUMIF('Historical Contributions'!$B$8:$B$21,'Gross Capex'!$B71,'Historical Contributions'!D$8:D$21)/1000</f>
        <v>0</v>
      </c>
      <c r="G71" s="159">
        <f>SUMIF('Historical Expenditure-Volumes'!$B$9:$B$22,'Gross Capex'!$B71,'Historical Expenditure-Volumes'!F$9:F$22)/1000
+SUMIF('Historical Contributions'!$B$8:$B$21,'Gross Capex'!$B71,'Historical Contributions'!E$8:E$21)/1000</f>
        <v>0</v>
      </c>
      <c r="H71" s="159">
        <f>SUMIF('Historical Expenditure-Volumes'!$B$9:$B$22,'Gross Capex'!$B71,'Historical Expenditure-Volumes'!G$9:G$22)/1000
+SUMIF('Historical Contributions'!$B$8:$B$21,'Gross Capex'!$B71,'Historical Contributions'!F$8:F$21)/1000</f>
        <v>0</v>
      </c>
      <c r="I71" s="91">
        <f>SUMIF('Forecast Expenditure-Volumes'!$B$95:$B$108,'Gross Capex'!$B71,'Forecast Expenditure-Volumes'!G$95:G$108)/1000
+SUMIF('Forecast Contributions'!$B$8:$B$20,'Gross Capex'!$B71,'Forecast Contributions'!G$8:G$20)/1000</f>
        <v>0</v>
      </c>
      <c r="J71" s="91">
        <f>SUMIF('Forecast Expenditure-Volumes'!$B$95:$B$108,'Gross Capex'!$B71,'Forecast Expenditure-Volumes'!H$95:H$108)/1000
+SUMIF('Forecast Contributions'!$B$8:$B$20,'Gross Capex'!$B71,'Forecast Contributions'!H$8:H$20)/1000</f>
        <v>0</v>
      </c>
      <c r="K71" s="91">
        <f>SUMIF('Forecast Expenditure-Volumes'!$B$95:$B$108,'Gross Capex'!$B71,'Forecast Expenditure-Volumes'!I$95:I$108)/1000
+SUMIF('Forecast Contributions'!$B$8:$B$20,'Gross Capex'!$B71,'Forecast Contributions'!I$8:I$20)/1000</f>
        <v>0</v>
      </c>
      <c r="L71" s="91">
        <f>SUMIF('Forecast Expenditure-Volumes'!$B$95:$B$108,'Gross Capex'!$B71,'Forecast Expenditure-Volumes'!J$95:J$108)/1000
+SUMIF('Forecast Contributions'!$B$8:$B$20,'Gross Capex'!$B71,'Forecast Contributions'!J$8:J$20)/1000</f>
        <v>0</v>
      </c>
      <c r="M71" s="91">
        <f>SUMIF('Forecast Expenditure-Volumes'!$B$95:$B$108,'Gross Capex'!$B71,'Forecast Expenditure-Volumes'!K$95:K$108)/1000
+SUMIF('Forecast Contributions'!$B$8:$B$20,'Gross Capex'!$B71,'Forecast Contributions'!K$8:K$20)/1000</f>
        <v>0</v>
      </c>
      <c r="N71" s="91">
        <f>SUMIF('Forecast Expenditure-Volumes'!$B$95:$B$108,'Gross Capex'!$B71,'Forecast Expenditure-Volumes'!L$95:L$108)/1000
+SUMIF('Forecast Contributions'!$B$8:$B$20,'Gross Capex'!$B71,'Forecast Contributions'!L$8:L$20)/1000</f>
        <v>0</v>
      </c>
      <c r="O71" s="91">
        <f>SUMIF('Forecast Expenditure-Volumes'!$B$95:$B$108,'Gross Capex'!$B71,'Forecast Expenditure-Volumes'!M$95:M$108)/1000
+SUMIF('Forecast Contributions'!$B$8:$B$20,'Gross Capex'!$B71,'Forecast Contributions'!M$8:M$20)/1000</f>
        <v>0</v>
      </c>
      <c r="P71" s="3"/>
      <c r="Q71" s="3"/>
      <c r="R71" s="3"/>
      <c r="S71" s="3"/>
      <c r="T71" s="3"/>
    </row>
    <row r="72" spans="1:20" x14ac:dyDescent="0.2">
      <c r="A72" s="3"/>
      <c r="B72" s="36">
        <v>170</v>
      </c>
      <c r="C72" s="33" t="s">
        <v>119</v>
      </c>
      <c r="D72" s="3"/>
      <c r="E72" s="3"/>
      <c r="F72" s="159">
        <f>SUMIF('Historical Expenditure-Volumes'!$B$9:$B$22,'Gross Capex'!$B72,'Historical Expenditure-Volumes'!E$9:E$22)/1000
+SUMIF('Historical Contributions'!$B$8:$B$21,'Gross Capex'!$B72,'Historical Contributions'!D$8:D$21)/1000</f>
        <v>0</v>
      </c>
      <c r="G72" s="159">
        <f>SUMIF('Historical Expenditure-Volumes'!$B$9:$B$22,'Gross Capex'!$B72,'Historical Expenditure-Volumes'!F$9:F$22)/1000
+SUMIF('Historical Contributions'!$B$8:$B$21,'Gross Capex'!$B72,'Historical Contributions'!E$8:E$21)/1000</f>
        <v>0</v>
      </c>
      <c r="H72" s="159">
        <f>SUMIF('Historical Expenditure-Volumes'!$B$9:$B$22,'Gross Capex'!$B72,'Historical Expenditure-Volumes'!G$9:G$22)/1000
+SUMIF('Historical Contributions'!$B$8:$B$21,'Gross Capex'!$B72,'Historical Contributions'!F$8:F$21)/1000</f>
        <v>0</v>
      </c>
      <c r="I72" s="91">
        <f>SUMIF('Forecast Expenditure-Volumes'!$B$95:$B$108,'Gross Capex'!$B72,'Forecast Expenditure-Volumes'!G$95:G$108)/1000
+SUMIF('Forecast Contributions'!$B$8:$B$20,'Gross Capex'!$B72,'Forecast Contributions'!G$8:G$20)/1000</f>
        <v>0</v>
      </c>
      <c r="J72" s="91">
        <f>SUMIF('Forecast Expenditure-Volumes'!$B$95:$B$108,'Gross Capex'!$B72,'Forecast Expenditure-Volumes'!H$95:H$108)/1000
+SUMIF('Forecast Contributions'!$B$8:$B$20,'Gross Capex'!$B72,'Forecast Contributions'!H$8:H$20)/1000</f>
        <v>0</v>
      </c>
      <c r="K72" s="91">
        <f>SUMIF('Forecast Expenditure-Volumes'!$B$95:$B$108,'Gross Capex'!$B72,'Forecast Expenditure-Volumes'!I$95:I$108)/1000
+SUMIF('Forecast Contributions'!$B$8:$B$20,'Gross Capex'!$B72,'Forecast Contributions'!I$8:I$20)/1000</f>
        <v>0</v>
      </c>
      <c r="L72" s="91">
        <f>SUMIF('Forecast Expenditure-Volumes'!$B$95:$B$108,'Gross Capex'!$B72,'Forecast Expenditure-Volumes'!J$95:J$108)/1000
+SUMIF('Forecast Contributions'!$B$8:$B$20,'Gross Capex'!$B72,'Forecast Contributions'!J$8:J$20)/1000</f>
        <v>0</v>
      </c>
      <c r="M72" s="91">
        <f>SUMIF('Forecast Expenditure-Volumes'!$B$95:$B$108,'Gross Capex'!$B72,'Forecast Expenditure-Volumes'!K$95:K$108)/1000
+SUMIF('Forecast Contributions'!$B$8:$B$20,'Gross Capex'!$B72,'Forecast Contributions'!K$8:K$20)/1000</f>
        <v>0</v>
      </c>
      <c r="N72" s="91">
        <f>SUMIF('Forecast Expenditure-Volumes'!$B$95:$B$108,'Gross Capex'!$B72,'Forecast Expenditure-Volumes'!L$95:L$108)/1000
+SUMIF('Forecast Contributions'!$B$8:$B$20,'Gross Capex'!$B72,'Forecast Contributions'!L$8:L$20)/1000</f>
        <v>0</v>
      </c>
      <c r="O72" s="91">
        <f>SUMIF('Forecast Expenditure-Volumes'!$B$95:$B$108,'Gross Capex'!$B72,'Forecast Expenditure-Volumes'!M$95:M$108)/1000
+SUMIF('Forecast Contributions'!$B$8:$B$20,'Gross Capex'!$B72,'Forecast Contributions'!M$8:M$20)/1000</f>
        <v>0</v>
      </c>
      <c r="P72" s="3"/>
      <c r="Q72" s="3"/>
      <c r="R72" s="3"/>
      <c r="S72" s="3"/>
      <c r="T72" s="3"/>
    </row>
    <row r="73" spans="1:20" x14ac:dyDescent="0.2">
      <c r="A73" s="3"/>
      <c r="B73" s="36">
        <v>171</v>
      </c>
      <c r="C73" s="33" t="s">
        <v>147</v>
      </c>
      <c r="D73" s="3"/>
      <c r="E73" s="3"/>
      <c r="F73" s="159">
        <f>SUMIF('Historical Expenditure-Volumes'!$B$9:$B$22,'Gross Capex'!$B73,'Historical Expenditure-Volumes'!E$9:E$22)/1000
+SUMIF('Historical Contributions'!$B$8:$B$21,'Gross Capex'!$B73,'Historical Contributions'!D$8:D$21)/1000</f>
        <v>4.719875</v>
      </c>
      <c r="G73" s="159">
        <f>SUMIF('Historical Expenditure-Volumes'!$B$9:$B$22,'Gross Capex'!$B73,'Historical Expenditure-Volumes'!F$9:F$22)/1000
+SUMIF('Historical Contributions'!$B$8:$B$21,'Gross Capex'!$B73,'Historical Contributions'!E$8:E$21)/1000</f>
        <v>0</v>
      </c>
      <c r="H73" s="159">
        <f>SUMIF('Historical Expenditure-Volumes'!$B$9:$B$22,'Gross Capex'!$B73,'Historical Expenditure-Volumes'!G$9:G$22)/1000
+SUMIF('Historical Contributions'!$B$8:$B$21,'Gross Capex'!$B73,'Historical Contributions'!F$8:F$21)/1000</f>
        <v>0</v>
      </c>
      <c r="I73" s="91">
        <f ca="1">SUMIF('Forecast Expenditure-Volumes'!$B$95:$B$108,'Gross Capex'!$B73,'Forecast Expenditure-Volumes'!G$95:G$108)/1000
+SUMIF('Forecast Contributions'!$B$8:$B$20,'Gross Capex'!$B73,'Forecast Contributions'!G$8:G$20)/1000</f>
        <v>0</v>
      </c>
      <c r="J73" s="91">
        <f ca="1">SUMIF('Forecast Expenditure-Volumes'!$B$95:$B$108,'Gross Capex'!$B73,'Forecast Expenditure-Volumes'!H$95:H$108)/1000
+SUMIF('Forecast Contributions'!$B$8:$B$20,'Gross Capex'!$B73,'Forecast Contributions'!H$8:H$20)/1000</f>
        <v>0</v>
      </c>
      <c r="K73" s="91">
        <f ca="1">SUMIF('Forecast Expenditure-Volumes'!$B$95:$B$108,'Gross Capex'!$B73,'Forecast Expenditure-Volumes'!I$95:I$108)/1000
+SUMIF('Forecast Contributions'!$B$8:$B$20,'Gross Capex'!$B73,'Forecast Contributions'!I$8:I$20)/1000</f>
        <v>0</v>
      </c>
      <c r="L73" s="91">
        <f ca="1">SUMIF('Forecast Expenditure-Volumes'!$B$95:$B$108,'Gross Capex'!$B73,'Forecast Expenditure-Volumes'!J$95:J$108)/1000
+SUMIF('Forecast Contributions'!$B$8:$B$20,'Gross Capex'!$B73,'Forecast Contributions'!J$8:J$20)/1000</f>
        <v>0</v>
      </c>
      <c r="M73" s="91">
        <f ca="1">SUMIF('Forecast Expenditure-Volumes'!$B$95:$B$108,'Gross Capex'!$B73,'Forecast Expenditure-Volumes'!K$95:K$108)/1000
+SUMIF('Forecast Contributions'!$B$8:$B$20,'Gross Capex'!$B73,'Forecast Contributions'!K$8:K$20)/1000</f>
        <v>0</v>
      </c>
      <c r="N73" s="91">
        <f ca="1">SUMIF('Forecast Expenditure-Volumes'!$B$95:$B$108,'Gross Capex'!$B73,'Forecast Expenditure-Volumes'!L$95:L$108)/1000
+SUMIF('Forecast Contributions'!$B$8:$B$20,'Gross Capex'!$B73,'Forecast Contributions'!L$8:L$20)/1000</f>
        <v>0</v>
      </c>
      <c r="O73" s="91">
        <f ca="1">SUMIF('Forecast Expenditure-Volumes'!$B$95:$B$108,'Gross Capex'!$B73,'Forecast Expenditure-Volumes'!M$95:M$108)/1000
+SUMIF('Forecast Contributions'!$B$8:$B$20,'Gross Capex'!$B73,'Forecast Contributions'!M$8:M$20)/1000</f>
        <v>0</v>
      </c>
      <c r="P73" s="3"/>
      <c r="Q73" s="3"/>
      <c r="R73" s="3"/>
      <c r="S73" s="3"/>
      <c r="T73" s="3"/>
    </row>
    <row r="74" spans="1:20" x14ac:dyDescent="0.2">
      <c r="A74" s="3"/>
      <c r="B74" s="36">
        <v>172</v>
      </c>
      <c r="C74" s="33" t="s">
        <v>148</v>
      </c>
      <c r="D74" s="3"/>
      <c r="E74" s="3"/>
      <c r="F74" s="159">
        <f>SUMIF('Historical Expenditure-Volumes'!$B$9:$B$22,'Gross Capex'!$B74,'Historical Expenditure-Volumes'!E$9:E$22)/1000
+SUMIF('Historical Contributions'!$B$8:$B$21,'Gross Capex'!$B74,'Historical Contributions'!D$8:D$21)/1000</f>
        <v>0</v>
      </c>
      <c r="G74" s="159">
        <f>SUMIF('Historical Expenditure-Volumes'!$B$9:$B$22,'Gross Capex'!$B74,'Historical Expenditure-Volumes'!F$9:F$22)/1000
+SUMIF('Historical Contributions'!$B$8:$B$21,'Gross Capex'!$B74,'Historical Contributions'!E$8:E$21)/1000</f>
        <v>0</v>
      </c>
      <c r="H74" s="159">
        <f>SUMIF('Historical Expenditure-Volumes'!$B$9:$B$22,'Gross Capex'!$B74,'Historical Expenditure-Volumes'!G$9:G$22)/1000
+SUMIF('Historical Contributions'!$B$8:$B$21,'Gross Capex'!$B74,'Historical Contributions'!F$8:F$21)/1000</f>
        <v>0</v>
      </c>
      <c r="I74" s="91">
        <f>SUMIF('Forecast Expenditure-Volumes'!$B$95:$B$108,'Gross Capex'!$B74,'Forecast Expenditure-Volumes'!G$95:G$108)/1000
+SUMIF('Forecast Contributions'!$B$8:$B$20,'Gross Capex'!$B74,'Forecast Contributions'!G$8:G$20)/1000</f>
        <v>0</v>
      </c>
      <c r="J74" s="91">
        <f>SUMIF('Forecast Expenditure-Volumes'!$B$95:$B$108,'Gross Capex'!$B74,'Forecast Expenditure-Volumes'!H$95:H$108)/1000
+SUMIF('Forecast Contributions'!$B$8:$B$20,'Gross Capex'!$B74,'Forecast Contributions'!H$8:H$20)/1000</f>
        <v>0</v>
      </c>
      <c r="K74" s="91">
        <f>SUMIF('Forecast Expenditure-Volumes'!$B$95:$B$108,'Gross Capex'!$B74,'Forecast Expenditure-Volumes'!I$95:I$108)/1000
+SUMIF('Forecast Contributions'!$B$8:$B$20,'Gross Capex'!$B74,'Forecast Contributions'!I$8:I$20)/1000</f>
        <v>0</v>
      </c>
      <c r="L74" s="91">
        <f>SUMIF('Forecast Expenditure-Volumes'!$B$95:$B$108,'Gross Capex'!$B74,'Forecast Expenditure-Volumes'!J$95:J$108)/1000
+SUMIF('Forecast Contributions'!$B$8:$B$20,'Gross Capex'!$B74,'Forecast Contributions'!J$8:J$20)/1000</f>
        <v>0</v>
      </c>
      <c r="M74" s="91">
        <f>SUMIF('Forecast Expenditure-Volumes'!$B$95:$B$108,'Gross Capex'!$B74,'Forecast Expenditure-Volumes'!K$95:K$108)/1000
+SUMIF('Forecast Contributions'!$B$8:$B$20,'Gross Capex'!$B74,'Forecast Contributions'!K$8:K$20)/1000</f>
        <v>0</v>
      </c>
      <c r="N74" s="91">
        <f>SUMIF('Forecast Expenditure-Volumes'!$B$95:$B$108,'Gross Capex'!$B74,'Forecast Expenditure-Volumes'!L$95:L$108)/1000
+SUMIF('Forecast Contributions'!$B$8:$B$20,'Gross Capex'!$B74,'Forecast Contributions'!L$8:L$20)/1000</f>
        <v>0</v>
      </c>
      <c r="O74" s="91">
        <f>SUMIF('Forecast Expenditure-Volumes'!$B$95:$B$108,'Gross Capex'!$B74,'Forecast Expenditure-Volumes'!M$95:M$108)/1000
+SUMIF('Forecast Contributions'!$B$8:$B$20,'Gross Capex'!$B74,'Forecast Contributions'!M$8:M$20)/1000</f>
        <v>0</v>
      </c>
      <c r="P74" s="3"/>
      <c r="Q74" s="3"/>
      <c r="R74" s="3"/>
      <c r="S74" s="3"/>
      <c r="T74" s="3"/>
    </row>
    <row r="75" spans="1:20" x14ac:dyDescent="0.2">
      <c r="A75" s="3"/>
      <c r="B75" s="36">
        <v>174</v>
      </c>
      <c r="C75" s="33" t="s">
        <v>149</v>
      </c>
      <c r="D75" s="3"/>
      <c r="E75" s="3"/>
      <c r="F75" s="159">
        <f>SUMIF('Historical Expenditure-Volumes'!$B$9:$B$22,'Gross Capex'!$B75,'Historical Expenditure-Volumes'!E$9:E$22)/1000
+SUMIF('Historical Contributions'!$B$8:$B$21,'Gross Capex'!$B75,'Historical Contributions'!D$8:D$21)/1000</f>
        <v>0</v>
      </c>
      <c r="G75" s="159">
        <f>SUMIF('Historical Expenditure-Volumes'!$B$9:$B$22,'Gross Capex'!$B75,'Historical Expenditure-Volumes'!F$9:F$22)/1000
+SUMIF('Historical Contributions'!$B$8:$B$21,'Gross Capex'!$B75,'Historical Contributions'!E$8:E$21)/1000</f>
        <v>0</v>
      </c>
      <c r="H75" s="159">
        <f>SUMIF('Historical Expenditure-Volumes'!$B$9:$B$22,'Gross Capex'!$B75,'Historical Expenditure-Volumes'!G$9:G$22)/1000
+SUMIF('Historical Contributions'!$B$8:$B$21,'Gross Capex'!$B75,'Historical Contributions'!F$8:F$21)/1000</f>
        <v>0</v>
      </c>
      <c r="I75" s="91">
        <f>SUMIF('Forecast Expenditure-Volumes'!$B$95:$B$108,'Gross Capex'!$B75,'Forecast Expenditure-Volumes'!G$95:G$108)/1000
+SUMIF('Forecast Contributions'!$B$8:$B$20,'Gross Capex'!$B75,'Forecast Contributions'!G$8:G$20)/1000</f>
        <v>0</v>
      </c>
      <c r="J75" s="91">
        <f>SUMIF('Forecast Expenditure-Volumes'!$B$95:$B$108,'Gross Capex'!$B75,'Forecast Expenditure-Volumes'!H$95:H$108)/1000
+SUMIF('Forecast Contributions'!$B$8:$B$20,'Gross Capex'!$B75,'Forecast Contributions'!H$8:H$20)/1000</f>
        <v>0</v>
      </c>
      <c r="K75" s="91">
        <f>SUMIF('Forecast Expenditure-Volumes'!$B$95:$B$108,'Gross Capex'!$B75,'Forecast Expenditure-Volumes'!I$95:I$108)/1000
+SUMIF('Forecast Contributions'!$B$8:$B$20,'Gross Capex'!$B75,'Forecast Contributions'!I$8:I$20)/1000</f>
        <v>0</v>
      </c>
      <c r="L75" s="91">
        <f>SUMIF('Forecast Expenditure-Volumes'!$B$95:$B$108,'Gross Capex'!$B75,'Forecast Expenditure-Volumes'!J$95:J$108)/1000
+SUMIF('Forecast Contributions'!$B$8:$B$20,'Gross Capex'!$B75,'Forecast Contributions'!J$8:J$20)/1000</f>
        <v>0</v>
      </c>
      <c r="M75" s="91">
        <f>SUMIF('Forecast Expenditure-Volumes'!$B$95:$B$108,'Gross Capex'!$B75,'Forecast Expenditure-Volumes'!K$95:K$108)/1000
+SUMIF('Forecast Contributions'!$B$8:$B$20,'Gross Capex'!$B75,'Forecast Contributions'!K$8:K$20)/1000</f>
        <v>0</v>
      </c>
      <c r="N75" s="91">
        <f>SUMIF('Forecast Expenditure-Volumes'!$B$95:$B$108,'Gross Capex'!$B75,'Forecast Expenditure-Volumes'!L$95:L$108)/1000
+SUMIF('Forecast Contributions'!$B$8:$B$20,'Gross Capex'!$B75,'Forecast Contributions'!L$8:L$20)/1000</f>
        <v>0</v>
      </c>
      <c r="O75" s="91">
        <f>SUMIF('Forecast Expenditure-Volumes'!$B$95:$B$108,'Gross Capex'!$B75,'Forecast Expenditure-Volumes'!M$95:M$108)/1000
+SUMIF('Forecast Contributions'!$B$8:$B$20,'Gross Capex'!$B75,'Forecast Contributions'!M$8:M$20)/1000</f>
        <v>0</v>
      </c>
      <c r="P75" s="3"/>
      <c r="Q75" s="3"/>
      <c r="R75" s="3"/>
      <c r="S75" s="3"/>
      <c r="T75" s="3"/>
    </row>
    <row r="76" spans="1:20" x14ac:dyDescent="0.2">
      <c r="A76" s="3"/>
      <c r="B76" s="36">
        <v>175</v>
      </c>
      <c r="C76" s="33" t="s">
        <v>150</v>
      </c>
      <c r="D76" s="3"/>
      <c r="E76" s="3"/>
      <c r="F76" s="159">
        <f>SUMIF('Historical Expenditure-Volumes'!$B$9:$B$22,'Gross Capex'!$B76,'Historical Expenditure-Volumes'!E$9:E$22)/1000
+SUMIF('Historical Contributions'!$B$8:$B$21,'Gross Capex'!$B76,'Historical Contributions'!D$8:D$21)/1000</f>
        <v>0</v>
      </c>
      <c r="G76" s="159">
        <f>SUMIF('Historical Expenditure-Volumes'!$B$9:$B$22,'Gross Capex'!$B76,'Historical Expenditure-Volumes'!F$9:F$22)/1000
+SUMIF('Historical Contributions'!$B$8:$B$21,'Gross Capex'!$B76,'Historical Contributions'!E$8:E$21)/1000</f>
        <v>0</v>
      </c>
      <c r="H76" s="159">
        <f>SUMIF('Historical Expenditure-Volumes'!$B$9:$B$22,'Gross Capex'!$B76,'Historical Expenditure-Volumes'!G$9:G$22)/1000
+SUMIF('Historical Contributions'!$B$8:$B$21,'Gross Capex'!$B76,'Historical Contributions'!F$8:F$21)/1000</f>
        <v>0</v>
      </c>
      <c r="I76" s="91">
        <f>SUMIF('Forecast Expenditure-Volumes'!$B$95:$B$108,'Gross Capex'!$B76,'Forecast Expenditure-Volumes'!G$95:G$108)/1000
+SUMIF('Forecast Contributions'!$B$8:$B$20,'Gross Capex'!$B76,'Forecast Contributions'!G$8:G$20)/1000</f>
        <v>0</v>
      </c>
      <c r="J76" s="91">
        <f>SUMIF('Forecast Expenditure-Volumes'!$B$95:$B$108,'Gross Capex'!$B76,'Forecast Expenditure-Volumes'!H$95:H$108)/1000
+SUMIF('Forecast Contributions'!$B$8:$B$20,'Gross Capex'!$B76,'Forecast Contributions'!H$8:H$20)/1000</f>
        <v>0</v>
      </c>
      <c r="K76" s="91">
        <f>SUMIF('Forecast Expenditure-Volumes'!$B$95:$B$108,'Gross Capex'!$B76,'Forecast Expenditure-Volumes'!I$95:I$108)/1000
+SUMIF('Forecast Contributions'!$B$8:$B$20,'Gross Capex'!$B76,'Forecast Contributions'!I$8:I$20)/1000</f>
        <v>0</v>
      </c>
      <c r="L76" s="91">
        <f>SUMIF('Forecast Expenditure-Volumes'!$B$95:$B$108,'Gross Capex'!$B76,'Forecast Expenditure-Volumes'!J$95:J$108)/1000
+SUMIF('Forecast Contributions'!$B$8:$B$20,'Gross Capex'!$B76,'Forecast Contributions'!J$8:J$20)/1000</f>
        <v>0</v>
      </c>
      <c r="M76" s="91">
        <f>SUMIF('Forecast Expenditure-Volumes'!$B$95:$B$108,'Gross Capex'!$B76,'Forecast Expenditure-Volumes'!K$95:K$108)/1000
+SUMIF('Forecast Contributions'!$B$8:$B$20,'Gross Capex'!$B76,'Forecast Contributions'!K$8:K$20)/1000</f>
        <v>0</v>
      </c>
      <c r="N76" s="91">
        <f>SUMIF('Forecast Expenditure-Volumes'!$B$95:$B$108,'Gross Capex'!$B76,'Forecast Expenditure-Volumes'!L$95:L$108)/1000
+SUMIF('Forecast Contributions'!$B$8:$B$20,'Gross Capex'!$B76,'Forecast Contributions'!L$8:L$20)/1000</f>
        <v>0</v>
      </c>
      <c r="O76" s="91">
        <f>SUMIF('Forecast Expenditure-Volumes'!$B$95:$B$108,'Gross Capex'!$B76,'Forecast Expenditure-Volumes'!M$95:M$108)/1000
+SUMIF('Forecast Contributions'!$B$8:$B$20,'Gross Capex'!$B76,'Forecast Contributions'!M$8:M$20)/1000</f>
        <v>0</v>
      </c>
      <c r="P76" s="3"/>
      <c r="Q76" s="3"/>
      <c r="R76" s="3"/>
      <c r="S76" s="3"/>
      <c r="T76" s="3"/>
    </row>
    <row r="77" spans="1:20" x14ac:dyDescent="0.2">
      <c r="A77" s="3"/>
      <c r="B77" s="36">
        <v>176</v>
      </c>
      <c r="C77" s="33" t="s">
        <v>151</v>
      </c>
      <c r="D77" s="3"/>
      <c r="E77" s="3"/>
      <c r="F77" s="159">
        <f>SUMIF('Historical Expenditure-Volumes'!$B$9:$B$22,'Gross Capex'!$B77,'Historical Expenditure-Volumes'!E$9:E$22)/1000
+SUMIF('Historical Contributions'!$B$8:$B$21,'Gross Capex'!$B77,'Historical Contributions'!D$8:D$21)/1000</f>
        <v>0</v>
      </c>
      <c r="G77" s="159">
        <f>SUMIF('Historical Expenditure-Volumes'!$B$9:$B$22,'Gross Capex'!$B77,'Historical Expenditure-Volumes'!F$9:F$22)/1000
+SUMIF('Historical Contributions'!$B$8:$B$21,'Gross Capex'!$B77,'Historical Contributions'!E$8:E$21)/1000</f>
        <v>0</v>
      </c>
      <c r="H77" s="159">
        <f>SUMIF('Historical Expenditure-Volumes'!$B$9:$B$22,'Gross Capex'!$B77,'Historical Expenditure-Volumes'!G$9:G$22)/1000
+SUMIF('Historical Contributions'!$B$8:$B$21,'Gross Capex'!$B77,'Historical Contributions'!F$8:F$21)/1000</f>
        <v>0</v>
      </c>
      <c r="I77" s="91">
        <f>SUMIF('Forecast Expenditure-Volumes'!$B$95:$B$108,'Gross Capex'!$B77,'Forecast Expenditure-Volumes'!G$95:G$108)/1000
+SUMIF('Forecast Contributions'!$B$8:$B$20,'Gross Capex'!$B77,'Forecast Contributions'!G$8:G$20)/1000</f>
        <v>0</v>
      </c>
      <c r="J77" s="91">
        <f>SUMIF('Forecast Expenditure-Volumes'!$B$95:$B$108,'Gross Capex'!$B77,'Forecast Expenditure-Volumes'!H$95:H$108)/1000
+SUMIF('Forecast Contributions'!$B$8:$B$20,'Gross Capex'!$B77,'Forecast Contributions'!H$8:H$20)/1000</f>
        <v>0</v>
      </c>
      <c r="K77" s="91">
        <f>SUMIF('Forecast Expenditure-Volumes'!$B$95:$B$108,'Gross Capex'!$B77,'Forecast Expenditure-Volumes'!I$95:I$108)/1000
+SUMIF('Forecast Contributions'!$B$8:$B$20,'Gross Capex'!$B77,'Forecast Contributions'!I$8:I$20)/1000</f>
        <v>0</v>
      </c>
      <c r="L77" s="91">
        <f>SUMIF('Forecast Expenditure-Volumes'!$B$95:$B$108,'Gross Capex'!$B77,'Forecast Expenditure-Volumes'!J$95:J$108)/1000
+SUMIF('Forecast Contributions'!$B$8:$B$20,'Gross Capex'!$B77,'Forecast Contributions'!J$8:J$20)/1000</f>
        <v>0</v>
      </c>
      <c r="M77" s="91">
        <f>SUMIF('Forecast Expenditure-Volumes'!$B$95:$B$108,'Gross Capex'!$B77,'Forecast Expenditure-Volumes'!K$95:K$108)/1000
+SUMIF('Forecast Contributions'!$B$8:$B$20,'Gross Capex'!$B77,'Forecast Contributions'!K$8:K$20)/1000</f>
        <v>0</v>
      </c>
      <c r="N77" s="91">
        <f>SUMIF('Forecast Expenditure-Volumes'!$B$95:$B$108,'Gross Capex'!$B77,'Forecast Expenditure-Volumes'!L$95:L$108)/1000
+SUMIF('Forecast Contributions'!$B$8:$B$20,'Gross Capex'!$B77,'Forecast Contributions'!L$8:L$20)/1000</f>
        <v>0</v>
      </c>
      <c r="O77" s="91">
        <f>SUMIF('Forecast Expenditure-Volumes'!$B$95:$B$108,'Gross Capex'!$B77,'Forecast Expenditure-Volumes'!M$95:M$108)/1000
+SUMIF('Forecast Contributions'!$B$8:$B$20,'Gross Capex'!$B77,'Forecast Contributions'!M$8:M$20)/1000</f>
        <v>0</v>
      </c>
      <c r="P77" s="3"/>
      <c r="Q77" s="3"/>
      <c r="R77" s="3"/>
      <c r="S77" s="3"/>
      <c r="T77" s="3"/>
    </row>
    <row r="78" spans="1:20" x14ac:dyDescent="0.2">
      <c r="A78" s="3"/>
      <c r="B78" s="36">
        <v>177</v>
      </c>
      <c r="C78" s="33" t="s">
        <v>152</v>
      </c>
      <c r="D78" s="3"/>
      <c r="E78" s="3"/>
      <c r="F78" s="159">
        <f>SUMIF('Historical Expenditure-Volumes'!$B$9:$B$22,'Gross Capex'!$B78,'Historical Expenditure-Volumes'!E$9:E$22)/1000
+SUMIF('Historical Contributions'!$B$8:$B$21,'Gross Capex'!$B78,'Historical Contributions'!D$8:D$21)/1000</f>
        <v>0</v>
      </c>
      <c r="G78" s="159">
        <f>SUMIF('Historical Expenditure-Volumes'!$B$9:$B$22,'Gross Capex'!$B78,'Historical Expenditure-Volumes'!F$9:F$22)/1000
+SUMIF('Historical Contributions'!$B$8:$B$21,'Gross Capex'!$B78,'Historical Contributions'!E$8:E$21)/1000</f>
        <v>0</v>
      </c>
      <c r="H78" s="159">
        <f>SUMIF('Historical Expenditure-Volumes'!$B$9:$B$22,'Gross Capex'!$B78,'Historical Expenditure-Volumes'!G$9:G$22)/1000
+SUMIF('Historical Contributions'!$B$8:$B$21,'Gross Capex'!$B78,'Historical Contributions'!F$8:F$21)/1000</f>
        <v>0</v>
      </c>
      <c r="I78" s="91">
        <f>SUMIF('Forecast Expenditure-Volumes'!$B$95:$B$108,'Gross Capex'!$B78,'Forecast Expenditure-Volumes'!G$95:G$108)/1000
+SUMIF('Forecast Contributions'!$B$8:$B$20,'Gross Capex'!$B78,'Forecast Contributions'!G$8:G$20)/1000</f>
        <v>0</v>
      </c>
      <c r="J78" s="91">
        <f>SUMIF('Forecast Expenditure-Volumes'!$B$95:$B$108,'Gross Capex'!$B78,'Forecast Expenditure-Volumes'!H$95:H$108)/1000
+SUMIF('Forecast Contributions'!$B$8:$B$20,'Gross Capex'!$B78,'Forecast Contributions'!H$8:H$20)/1000</f>
        <v>0</v>
      </c>
      <c r="K78" s="91">
        <f>SUMIF('Forecast Expenditure-Volumes'!$B$95:$B$108,'Gross Capex'!$B78,'Forecast Expenditure-Volumes'!I$95:I$108)/1000
+SUMIF('Forecast Contributions'!$B$8:$B$20,'Gross Capex'!$B78,'Forecast Contributions'!I$8:I$20)/1000</f>
        <v>0</v>
      </c>
      <c r="L78" s="91">
        <f>SUMIF('Forecast Expenditure-Volumes'!$B$95:$B$108,'Gross Capex'!$B78,'Forecast Expenditure-Volumes'!J$95:J$108)/1000
+SUMIF('Forecast Contributions'!$B$8:$B$20,'Gross Capex'!$B78,'Forecast Contributions'!J$8:J$20)/1000</f>
        <v>0</v>
      </c>
      <c r="M78" s="91">
        <f>SUMIF('Forecast Expenditure-Volumes'!$B$95:$B$108,'Gross Capex'!$B78,'Forecast Expenditure-Volumes'!K$95:K$108)/1000
+SUMIF('Forecast Contributions'!$B$8:$B$20,'Gross Capex'!$B78,'Forecast Contributions'!K$8:K$20)/1000</f>
        <v>0</v>
      </c>
      <c r="N78" s="91">
        <f>SUMIF('Forecast Expenditure-Volumes'!$B$95:$B$108,'Gross Capex'!$B78,'Forecast Expenditure-Volumes'!L$95:L$108)/1000
+SUMIF('Forecast Contributions'!$B$8:$B$20,'Gross Capex'!$B78,'Forecast Contributions'!L$8:L$20)/1000</f>
        <v>0</v>
      </c>
      <c r="O78" s="91">
        <f>SUMIF('Forecast Expenditure-Volumes'!$B$95:$B$108,'Gross Capex'!$B78,'Forecast Expenditure-Volumes'!M$95:M$108)/1000
+SUMIF('Forecast Contributions'!$B$8:$B$20,'Gross Capex'!$B78,'Forecast Contributions'!M$8:M$20)/1000</f>
        <v>0</v>
      </c>
      <c r="P78" s="3"/>
      <c r="Q78" s="3"/>
      <c r="R78" s="3"/>
      <c r="S78" s="3"/>
      <c r="T78" s="3"/>
    </row>
    <row r="79" spans="1:20" x14ac:dyDescent="0.2">
      <c r="A79" s="3"/>
      <c r="B79" s="36">
        <v>200</v>
      </c>
      <c r="C79" s="33" t="s">
        <v>153</v>
      </c>
      <c r="D79" s="3"/>
      <c r="E79" s="3"/>
      <c r="F79" s="159">
        <f>SUMIF('Historical Expenditure-Volumes'!$B$9:$B$22,'Gross Capex'!$B79,'Historical Expenditure-Volumes'!E$9:E$22)/1000
+SUMIF('Historical Contributions'!$B$8:$B$21,'Gross Capex'!$B79,'Historical Contributions'!D$8:D$21)/1000</f>
        <v>0</v>
      </c>
      <c r="G79" s="159">
        <f>SUMIF('Historical Expenditure-Volumes'!$B$9:$B$22,'Gross Capex'!$B79,'Historical Expenditure-Volumes'!F$9:F$22)/1000
+SUMIF('Historical Contributions'!$B$8:$B$21,'Gross Capex'!$B79,'Historical Contributions'!E$8:E$21)/1000</f>
        <v>0</v>
      </c>
      <c r="H79" s="159">
        <f>SUMIF('Historical Expenditure-Volumes'!$B$9:$B$22,'Gross Capex'!$B79,'Historical Expenditure-Volumes'!G$9:G$22)/1000
+SUMIF('Historical Contributions'!$B$8:$B$21,'Gross Capex'!$B79,'Historical Contributions'!F$8:F$21)/1000</f>
        <v>0</v>
      </c>
      <c r="I79" s="91">
        <f>SUMIF('Forecast Expenditure-Volumes'!$B$95:$B$108,'Gross Capex'!$B79,'Forecast Expenditure-Volumes'!G$95:G$108)/1000
+SUMIF('Forecast Contributions'!$B$8:$B$20,'Gross Capex'!$B79,'Forecast Contributions'!G$8:G$20)/1000</f>
        <v>0</v>
      </c>
      <c r="J79" s="91">
        <f>SUMIF('Forecast Expenditure-Volumes'!$B$95:$B$108,'Gross Capex'!$B79,'Forecast Expenditure-Volumes'!H$95:H$108)/1000
+SUMIF('Forecast Contributions'!$B$8:$B$20,'Gross Capex'!$B79,'Forecast Contributions'!H$8:H$20)/1000</f>
        <v>0</v>
      </c>
      <c r="K79" s="91">
        <f>SUMIF('Forecast Expenditure-Volumes'!$B$95:$B$108,'Gross Capex'!$B79,'Forecast Expenditure-Volumes'!I$95:I$108)/1000
+SUMIF('Forecast Contributions'!$B$8:$B$20,'Gross Capex'!$B79,'Forecast Contributions'!I$8:I$20)/1000</f>
        <v>0</v>
      </c>
      <c r="L79" s="91">
        <f>SUMIF('Forecast Expenditure-Volumes'!$B$95:$B$108,'Gross Capex'!$B79,'Forecast Expenditure-Volumes'!J$95:J$108)/1000
+SUMIF('Forecast Contributions'!$B$8:$B$20,'Gross Capex'!$B79,'Forecast Contributions'!J$8:J$20)/1000</f>
        <v>0</v>
      </c>
      <c r="M79" s="91">
        <f>SUMIF('Forecast Expenditure-Volumes'!$B$95:$B$108,'Gross Capex'!$B79,'Forecast Expenditure-Volumes'!K$95:K$108)/1000
+SUMIF('Forecast Contributions'!$B$8:$B$20,'Gross Capex'!$B79,'Forecast Contributions'!K$8:K$20)/1000</f>
        <v>0</v>
      </c>
      <c r="N79" s="91">
        <f>SUMIF('Forecast Expenditure-Volumes'!$B$95:$B$108,'Gross Capex'!$B79,'Forecast Expenditure-Volumes'!L$95:L$108)/1000
+SUMIF('Forecast Contributions'!$B$8:$B$20,'Gross Capex'!$B79,'Forecast Contributions'!L$8:L$20)/1000</f>
        <v>0</v>
      </c>
      <c r="O79" s="91">
        <f>SUMIF('Forecast Expenditure-Volumes'!$B$95:$B$108,'Gross Capex'!$B79,'Forecast Expenditure-Volumes'!M$95:M$108)/1000
+SUMIF('Forecast Contributions'!$B$8:$B$20,'Gross Capex'!$B79,'Forecast Contributions'!M$8:M$20)/1000</f>
        <v>0</v>
      </c>
      <c r="P79" s="3"/>
      <c r="Q79" s="3"/>
      <c r="R79" s="3"/>
      <c r="S79" s="3"/>
      <c r="T79" s="3"/>
    </row>
    <row r="80" spans="1:20" x14ac:dyDescent="0.2">
      <c r="A80" s="3"/>
      <c r="B80" s="36">
        <v>205</v>
      </c>
      <c r="C80" s="33" t="s">
        <v>154</v>
      </c>
      <c r="D80" s="3"/>
      <c r="E80" s="3"/>
      <c r="F80" s="159">
        <f>SUMIF('Historical Expenditure-Volumes'!$B$9:$B$22,'Gross Capex'!$B80,'Historical Expenditure-Volumes'!E$9:E$22)/1000
+SUMIF('Historical Contributions'!$B$8:$B$21,'Gross Capex'!$B80,'Historical Contributions'!D$8:D$21)/1000</f>
        <v>0</v>
      </c>
      <c r="G80" s="159">
        <f>SUMIF('Historical Expenditure-Volumes'!$B$9:$B$22,'Gross Capex'!$B80,'Historical Expenditure-Volumes'!F$9:F$22)/1000
+SUMIF('Historical Contributions'!$B$8:$B$21,'Gross Capex'!$B80,'Historical Contributions'!E$8:E$21)/1000</f>
        <v>0</v>
      </c>
      <c r="H80" s="159">
        <f>SUMIF('Historical Expenditure-Volumes'!$B$9:$B$22,'Gross Capex'!$B80,'Historical Expenditure-Volumes'!G$9:G$22)/1000
+SUMIF('Historical Contributions'!$B$8:$B$21,'Gross Capex'!$B80,'Historical Contributions'!F$8:F$21)/1000</f>
        <v>0</v>
      </c>
      <c r="I80" s="91">
        <f>SUMIF('Forecast Expenditure-Volumes'!$B$95:$B$108,'Gross Capex'!$B80,'Forecast Expenditure-Volumes'!G$95:G$108)/1000
+SUMIF('Forecast Contributions'!$B$8:$B$20,'Gross Capex'!$B80,'Forecast Contributions'!G$8:G$20)/1000</f>
        <v>0</v>
      </c>
      <c r="J80" s="91">
        <f>SUMIF('Forecast Expenditure-Volumes'!$B$95:$B$108,'Gross Capex'!$B80,'Forecast Expenditure-Volumes'!H$95:H$108)/1000
+SUMIF('Forecast Contributions'!$B$8:$B$20,'Gross Capex'!$B80,'Forecast Contributions'!H$8:H$20)/1000</f>
        <v>0</v>
      </c>
      <c r="K80" s="91">
        <f>SUMIF('Forecast Expenditure-Volumes'!$B$95:$B$108,'Gross Capex'!$B80,'Forecast Expenditure-Volumes'!I$95:I$108)/1000
+SUMIF('Forecast Contributions'!$B$8:$B$20,'Gross Capex'!$B80,'Forecast Contributions'!I$8:I$20)/1000</f>
        <v>0</v>
      </c>
      <c r="L80" s="91">
        <f>SUMIF('Forecast Expenditure-Volumes'!$B$95:$B$108,'Gross Capex'!$B80,'Forecast Expenditure-Volumes'!J$95:J$108)/1000
+SUMIF('Forecast Contributions'!$B$8:$B$20,'Gross Capex'!$B80,'Forecast Contributions'!J$8:J$20)/1000</f>
        <v>0</v>
      </c>
      <c r="M80" s="91">
        <f>SUMIF('Forecast Expenditure-Volumes'!$B$95:$B$108,'Gross Capex'!$B80,'Forecast Expenditure-Volumes'!K$95:K$108)/1000
+SUMIF('Forecast Contributions'!$B$8:$B$20,'Gross Capex'!$B80,'Forecast Contributions'!K$8:K$20)/1000</f>
        <v>0</v>
      </c>
      <c r="N80" s="91">
        <f>SUMIF('Forecast Expenditure-Volumes'!$B$95:$B$108,'Gross Capex'!$B80,'Forecast Expenditure-Volumes'!L$95:L$108)/1000
+SUMIF('Forecast Contributions'!$B$8:$B$20,'Gross Capex'!$B80,'Forecast Contributions'!L$8:L$20)/1000</f>
        <v>0</v>
      </c>
      <c r="O80" s="91">
        <f>SUMIF('Forecast Expenditure-Volumes'!$B$95:$B$108,'Gross Capex'!$B80,'Forecast Expenditure-Volumes'!M$95:M$108)/1000
+SUMIF('Forecast Contributions'!$B$8:$B$20,'Gross Capex'!$B80,'Forecast Contributions'!M$8:M$20)/1000</f>
        <v>0</v>
      </c>
      <c r="P80" s="3"/>
      <c r="Q80" s="3"/>
      <c r="R80" s="3"/>
      <c r="S80" s="3"/>
      <c r="T80" s="3"/>
    </row>
    <row r="81" spans="1:20" x14ac:dyDescent="0.2">
      <c r="A81" s="3"/>
      <c r="B81" s="36">
        <v>210</v>
      </c>
      <c r="C81" s="33" t="s">
        <v>155</v>
      </c>
      <c r="D81" s="3"/>
      <c r="E81" s="3"/>
      <c r="F81" s="159">
        <f>SUMIF('Historical Expenditure-Volumes'!$B$9:$B$22,'Gross Capex'!$B81,'Historical Expenditure-Volumes'!E$9:E$22)/1000
+SUMIF('Historical Contributions'!$B$8:$B$21,'Gross Capex'!$B81,'Historical Contributions'!D$8:D$21)/1000</f>
        <v>0</v>
      </c>
      <c r="G81" s="159">
        <f>SUMIF('Historical Expenditure-Volumes'!$B$9:$B$22,'Gross Capex'!$B81,'Historical Expenditure-Volumes'!F$9:F$22)/1000
+SUMIF('Historical Contributions'!$B$8:$B$21,'Gross Capex'!$B81,'Historical Contributions'!E$8:E$21)/1000</f>
        <v>0</v>
      </c>
      <c r="H81" s="159">
        <f>SUMIF('Historical Expenditure-Volumes'!$B$9:$B$22,'Gross Capex'!$B81,'Historical Expenditure-Volumes'!G$9:G$22)/1000
+SUMIF('Historical Contributions'!$B$8:$B$21,'Gross Capex'!$B81,'Historical Contributions'!F$8:F$21)/1000</f>
        <v>0</v>
      </c>
      <c r="I81" s="91">
        <f>SUMIF('Forecast Expenditure-Volumes'!$B$95:$B$108,'Gross Capex'!$B81,'Forecast Expenditure-Volumes'!G$95:G$108)/1000
+SUMIF('Forecast Contributions'!$B$8:$B$20,'Gross Capex'!$B81,'Forecast Contributions'!G$8:G$20)/1000</f>
        <v>0</v>
      </c>
      <c r="J81" s="91">
        <f>SUMIF('Forecast Expenditure-Volumes'!$B$95:$B$108,'Gross Capex'!$B81,'Forecast Expenditure-Volumes'!H$95:H$108)/1000
+SUMIF('Forecast Contributions'!$B$8:$B$20,'Gross Capex'!$B81,'Forecast Contributions'!H$8:H$20)/1000</f>
        <v>0</v>
      </c>
      <c r="K81" s="91">
        <f>SUMIF('Forecast Expenditure-Volumes'!$B$95:$B$108,'Gross Capex'!$B81,'Forecast Expenditure-Volumes'!I$95:I$108)/1000
+SUMIF('Forecast Contributions'!$B$8:$B$20,'Gross Capex'!$B81,'Forecast Contributions'!I$8:I$20)/1000</f>
        <v>0</v>
      </c>
      <c r="L81" s="91">
        <f>SUMIF('Forecast Expenditure-Volumes'!$B$95:$B$108,'Gross Capex'!$B81,'Forecast Expenditure-Volumes'!J$95:J$108)/1000
+SUMIF('Forecast Contributions'!$B$8:$B$20,'Gross Capex'!$B81,'Forecast Contributions'!J$8:J$20)/1000</f>
        <v>0</v>
      </c>
      <c r="M81" s="91">
        <f>SUMIF('Forecast Expenditure-Volumes'!$B$95:$B$108,'Gross Capex'!$B81,'Forecast Expenditure-Volumes'!K$95:K$108)/1000
+SUMIF('Forecast Contributions'!$B$8:$B$20,'Gross Capex'!$B81,'Forecast Contributions'!K$8:K$20)/1000</f>
        <v>0</v>
      </c>
      <c r="N81" s="91">
        <f>SUMIF('Forecast Expenditure-Volumes'!$B$95:$B$108,'Gross Capex'!$B81,'Forecast Expenditure-Volumes'!L$95:L$108)/1000
+SUMIF('Forecast Contributions'!$B$8:$B$20,'Gross Capex'!$B81,'Forecast Contributions'!L$8:L$20)/1000</f>
        <v>0</v>
      </c>
      <c r="O81" s="91">
        <f>SUMIF('Forecast Expenditure-Volumes'!$B$95:$B$108,'Gross Capex'!$B81,'Forecast Expenditure-Volumes'!M$95:M$108)/1000
+SUMIF('Forecast Contributions'!$B$8:$B$20,'Gross Capex'!$B81,'Forecast Contributions'!M$8:M$20)/1000</f>
        <v>0</v>
      </c>
      <c r="P81" s="3"/>
      <c r="Q81" s="3"/>
      <c r="R81" s="3"/>
      <c r="S81" s="3"/>
      <c r="T81" s="3"/>
    </row>
    <row r="82" spans="1:20" x14ac:dyDescent="0.2">
      <c r="A82" s="3"/>
      <c r="B82" s="36">
        <v>215</v>
      </c>
      <c r="C82" s="33" t="s">
        <v>156</v>
      </c>
      <c r="D82" s="3"/>
      <c r="E82" s="3"/>
      <c r="F82" s="159">
        <f>SUMIF('Historical Expenditure-Volumes'!$B$9:$B$22,'Gross Capex'!$B82,'Historical Expenditure-Volumes'!E$9:E$22)/1000
+SUMIF('Historical Contributions'!$B$8:$B$21,'Gross Capex'!$B82,'Historical Contributions'!D$8:D$21)/1000</f>
        <v>0</v>
      </c>
      <c r="G82" s="159">
        <f>SUMIF('Historical Expenditure-Volumes'!$B$9:$B$22,'Gross Capex'!$B82,'Historical Expenditure-Volumes'!F$9:F$22)/1000
+SUMIF('Historical Contributions'!$B$8:$B$21,'Gross Capex'!$B82,'Historical Contributions'!E$8:E$21)/1000</f>
        <v>0</v>
      </c>
      <c r="H82" s="159">
        <f>SUMIF('Historical Expenditure-Volumes'!$B$9:$B$22,'Gross Capex'!$B82,'Historical Expenditure-Volumes'!G$9:G$22)/1000
+SUMIF('Historical Contributions'!$B$8:$B$21,'Gross Capex'!$B82,'Historical Contributions'!F$8:F$21)/1000</f>
        <v>0</v>
      </c>
      <c r="I82" s="91">
        <f>SUMIF('Forecast Expenditure-Volumes'!$B$95:$B$108,'Gross Capex'!$B82,'Forecast Expenditure-Volumes'!G$95:G$108)/1000
+SUMIF('Forecast Contributions'!$B$8:$B$20,'Gross Capex'!$B82,'Forecast Contributions'!G$8:G$20)/1000</f>
        <v>0</v>
      </c>
      <c r="J82" s="91">
        <f>SUMIF('Forecast Expenditure-Volumes'!$B$95:$B$108,'Gross Capex'!$B82,'Forecast Expenditure-Volumes'!H$95:H$108)/1000
+SUMIF('Forecast Contributions'!$B$8:$B$20,'Gross Capex'!$B82,'Forecast Contributions'!H$8:H$20)/1000</f>
        <v>0</v>
      </c>
      <c r="K82" s="91">
        <f>SUMIF('Forecast Expenditure-Volumes'!$B$95:$B$108,'Gross Capex'!$B82,'Forecast Expenditure-Volumes'!I$95:I$108)/1000
+SUMIF('Forecast Contributions'!$B$8:$B$20,'Gross Capex'!$B82,'Forecast Contributions'!I$8:I$20)/1000</f>
        <v>0</v>
      </c>
      <c r="L82" s="91">
        <f>SUMIF('Forecast Expenditure-Volumes'!$B$95:$B$108,'Gross Capex'!$B82,'Forecast Expenditure-Volumes'!J$95:J$108)/1000
+SUMIF('Forecast Contributions'!$B$8:$B$20,'Gross Capex'!$B82,'Forecast Contributions'!J$8:J$20)/1000</f>
        <v>0</v>
      </c>
      <c r="M82" s="91">
        <f>SUMIF('Forecast Expenditure-Volumes'!$B$95:$B$108,'Gross Capex'!$B82,'Forecast Expenditure-Volumes'!K$95:K$108)/1000
+SUMIF('Forecast Contributions'!$B$8:$B$20,'Gross Capex'!$B82,'Forecast Contributions'!K$8:K$20)/1000</f>
        <v>0</v>
      </c>
      <c r="N82" s="91">
        <f>SUMIF('Forecast Expenditure-Volumes'!$B$95:$B$108,'Gross Capex'!$B82,'Forecast Expenditure-Volumes'!L$95:L$108)/1000
+SUMIF('Forecast Contributions'!$B$8:$B$20,'Gross Capex'!$B82,'Forecast Contributions'!L$8:L$20)/1000</f>
        <v>0</v>
      </c>
      <c r="O82" s="91">
        <f>SUMIF('Forecast Expenditure-Volumes'!$B$95:$B$108,'Gross Capex'!$B82,'Forecast Expenditure-Volumes'!M$95:M$108)/1000
+SUMIF('Forecast Contributions'!$B$8:$B$20,'Gross Capex'!$B82,'Forecast Contributions'!M$8:M$20)/1000</f>
        <v>0</v>
      </c>
      <c r="P82" s="3"/>
      <c r="Q82" s="3"/>
      <c r="R82" s="3"/>
      <c r="S82" s="3"/>
      <c r="T82" s="3"/>
    </row>
    <row r="83" spans="1:20" x14ac:dyDescent="0.2">
      <c r="A83" s="3"/>
      <c r="B83" s="36">
        <v>220</v>
      </c>
      <c r="C83" s="33" t="s">
        <v>157</v>
      </c>
      <c r="D83" s="3"/>
      <c r="E83" s="3"/>
      <c r="F83" s="159">
        <f>SUMIF('Historical Expenditure-Volumes'!$B$9:$B$22,'Gross Capex'!$B83,'Historical Expenditure-Volumes'!E$9:E$22)/1000
+SUMIF('Historical Contributions'!$B$8:$B$21,'Gross Capex'!$B83,'Historical Contributions'!D$8:D$21)/1000</f>
        <v>0</v>
      </c>
      <c r="G83" s="159">
        <f>SUMIF('Historical Expenditure-Volumes'!$B$9:$B$22,'Gross Capex'!$B83,'Historical Expenditure-Volumes'!F$9:F$22)/1000
+SUMIF('Historical Contributions'!$B$8:$B$21,'Gross Capex'!$B83,'Historical Contributions'!E$8:E$21)/1000</f>
        <v>0</v>
      </c>
      <c r="H83" s="159">
        <f>SUMIF('Historical Expenditure-Volumes'!$B$9:$B$22,'Gross Capex'!$B83,'Historical Expenditure-Volumes'!G$9:G$22)/1000
+SUMIF('Historical Contributions'!$B$8:$B$21,'Gross Capex'!$B83,'Historical Contributions'!F$8:F$21)/1000</f>
        <v>0</v>
      </c>
      <c r="I83" s="91">
        <f>SUMIF('Forecast Expenditure-Volumes'!$B$95:$B$108,'Gross Capex'!$B83,'Forecast Expenditure-Volumes'!G$95:G$108)/1000
+SUMIF('Forecast Contributions'!$B$8:$B$20,'Gross Capex'!$B83,'Forecast Contributions'!G$8:G$20)/1000</f>
        <v>0</v>
      </c>
      <c r="J83" s="91">
        <f>SUMIF('Forecast Expenditure-Volumes'!$B$95:$B$108,'Gross Capex'!$B83,'Forecast Expenditure-Volumes'!H$95:H$108)/1000
+SUMIF('Forecast Contributions'!$B$8:$B$20,'Gross Capex'!$B83,'Forecast Contributions'!H$8:H$20)/1000</f>
        <v>0</v>
      </c>
      <c r="K83" s="91">
        <f>SUMIF('Forecast Expenditure-Volumes'!$B$95:$B$108,'Gross Capex'!$B83,'Forecast Expenditure-Volumes'!I$95:I$108)/1000
+SUMIF('Forecast Contributions'!$B$8:$B$20,'Gross Capex'!$B83,'Forecast Contributions'!I$8:I$20)/1000</f>
        <v>0</v>
      </c>
      <c r="L83" s="91">
        <f>SUMIF('Forecast Expenditure-Volumes'!$B$95:$B$108,'Gross Capex'!$B83,'Forecast Expenditure-Volumes'!J$95:J$108)/1000
+SUMIF('Forecast Contributions'!$B$8:$B$20,'Gross Capex'!$B83,'Forecast Contributions'!J$8:J$20)/1000</f>
        <v>0</v>
      </c>
      <c r="M83" s="91">
        <f>SUMIF('Forecast Expenditure-Volumes'!$B$95:$B$108,'Gross Capex'!$B83,'Forecast Expenditure-Volumes'!K$95:K$108)/1000
+SUMIF('Forecast Contributions'!$B$8:$B$20,'Gross Capex'!$B83,'Forecast Contributions'!K$8:K$20)/1000</f>
        <v>0</v>
      </c>
      <c r="N83" s="91">
        <f>SUMIF('Forecast Expenditure-Volumes'!$B$95:$B$108,'Gross Capex'!$B83,'Forecast Expenditure-Volumes'!L$95:L$108)/1000
+SUMIF('Forecast Contributions'!$B$8:$B$20,'Gross Capex'!$B83,'Forecast Contributions'!L$8:L$20)/1000</f>
        <v>0</v>
      </c>
      <c r="O83" s="91">
        <f>SUMIF('Forecast Expenditure-Volumes'!$B$95:$B$108,'Gross Capex'!$B83,'Forecast Expenditure-Volumes'!M$95:M$108)/1000
+SUMIF('Forecast Contributions'!$B$8:$B$20,'Gross Capex'!$B83,'Forecast Contributions'!M$8:M$20)/1000</f>
        <v>0</v>
      </c>
      <c r="P83" s="3"/>
      <c r="Q83" s="3"/>
      <c r="R83" s="3"/>
      <c r="S83" s="3"/>
      <c r="T83" s="3"/>
    </row>
    <row r="84" spans="1:20" x14ac:dyDescent="0.2">
      <c r="A84" s="3"/>
      <c r="B84" s="36">
        <v>225</v>
      </c>
      <c r="C84" s="33" t="s">
        <v>158</v>
      </c>
      <c r="D84" s="3"/>
      <c r="E84" s="3"/>
      <c r="F84" s="159">
        <f>SUMIF('Historical Expenditure-Volumes'!$B$9:$B$22,'Gross Capex'!$B84,'Historical Expenditure-Volumes'!E$9:E$22)/1000
+SUMIF('Historical Contributions'!$B$8:$B$21,'Gross Capex'!$B84,'Historical Contributions'!D$8:D$21)/1000</f>
        <v>0</v>
      </c>
      <c r="G84" s="159">
        <f>SUMIF('Historical Expenditure-Volumes'!$B$9:$B$22,'Gross Capex'!$B84,'Historical Expenditure-Volumes'!F$9:F$22)/1000
+SUMIF('Historical Contributions'!$B$8:$B$21,'Gross Capex'!$B84,'Historical Contributions'!E$8:E$21)/1000</f>
        <v>0</v>
      </c>
      <c r="H84" s="159">
        <f>SUMIF('Historical Expenditure-Volumes'!$B$9:$B$22,'Gross Capex'!$B84,'Historical Expenditure-Volumes'!G$9:G$22)/1000
+SUMIF('Historical Contributions'!$B$8:$B$21,'Gross Capex'!$B84,'Historical Contributions'!F$8:F$21)/1000</f>
        <v>0</v>
      </c>
      <c r="I84" s="91">
        <f>SUMIF('Forecast Expenditure-Volumes'!$B$95:$B$108,'Gross Capex'!$B84,'Forecast Expenditure-Volumes'!G$95:G$108)/1000
+SUMIF('Forecast Contributions'!$B$8:$B$20,'Gross Capex'!$B84,'Forecast Contributions'!G$8:G$20)/1000</f>
        <v>0</v>
      </c>
      <c r="J84" s="91">
        <f>SUMIF('Forecast Expenditure-Volumes'!$B$95:$B$108,'Gross Capex'!$B84,'Forecast Expenditure-Volumes'!H$95:H$108)/1000
+SUMIF('Forecast Contributions'!$B$8:$B$20,'Gross Capex'!$B84,'Forecast Contributions'!H$8:H$20)/1000</f>
        <v>0</v>
      </c>
      <c r="K84" s="91">
        <f>SUMIF('Forecast Expenditure-Volumes'!$B$95:$B$108,'Gross Capex'!$B84,'Forecast Expenditure-Volumes'!I$95:I$108)/1000
+SUMIF('Forecast Contributions'!$B$8:$B$20,'Gross Capex'!$B84,'Forecast Contributions'!I$8:I$20)/1000</f>
        <v>0</v>
      </c>
      <c r="L84" s="91">
        <f>SUMIF('Forecast Expenditure-Volumes'!$B$95:$B$108,'Gross Capex'!$B84,'Forecast Expenditure-Volumes'!J$95:J$108)/1000
+SUMIF('Forecast Contributions'!$B$8:$B$20,'Gross Capex'!$B84,'Forecast Contributions'!J$8:J$20)/1000</f>
        <v>0</v>
      </c>
      <c r="M84" s="91">
        <f>SUMIF('Forecast Expenditure-Volumes'!$B$95:$B$108,'Gross Capex'!$B84,'Forecast Expenditure-Volumes'!K$95:K$108)/1000
+SUMIF('Forecast Contributions'!$B$8:$B$20,'Gross Capex'!$B84,'Forecast Contributions'!K$8:K$20)/1000</f>
        <v>0</v>
      </c>
      <c r="N84" s="91">
        <f>SUMIF('Forecast Expenditure-Volumes'!$B$95:$B$108,'Gross Capex'!$B84,'Forecast Expenditure-Volumes'!L$95:L$108)/1000
+SUMIF('Forecast Contributions'!$B$8:$B$20,'Gross Capex'!$B84,'Forecast Contributions'!L$8:L$20)/1000</f>
        <v>0</v>
      </c>
      <c r="O84" s="91">
        <f>SUMIF('Forecast Expenditure-Volumes'!$B$95:$B$108,'Gross Capex'!$B84,'Forecast Expenditure-Volumes'!M$95:M$108)/1000
+SUMIF('Forecast Contributions'!$B$8:$B$20,'Gross Capex'!$B84,'Forecast Contributions'!M$8:M$20)/1000</f>
        <v>0</v>
      </c>
      <c r="P84" s="3"/>
      <c r="Q84" s="3"/>
      <c r="R84" s="3"/>
      <c r="S84" s="3"/>
      <c r="T84" s="3"/>
    </row>
    <row r="85" spans="1:20" x14ac:dyDescent="0.2">
      <c r="A85" s="3"/>
      <c r="B85" s="36">
        <v>230</v>
      </c>
      <c r="C85" s="33" t="s">
        <v>159</v>
      </c>
      <c r="D85" s="3"/>
      <c r="E85" s="3"/>
      <c r="F85" s="159">
        <f>SUMIF('Historical Expenditure-Volumes'!$B$9:$B$22,'Gross Capex'!$B85,'Historical Expenditure-Volumes'!E$9:E$22)/1000
+SUMIF('Historical Contributions'!$B$8:$B$21,'Gross Capex'!$B85,'Historical Contributions'!D$8:D$21)/1000</f>
        <v>0</v>
      </c>
      <c r="G85" s="159">
        <f>SUMIF('Historical Expenditure-Volumes'!$B$9:$B$22,'Gross Capex'!$B85,'Historical Expenditure-Volumes'!F$9:F$22)/1000
+SUMIF('Historical Contributions'!$B$8:$B$21,'Gross Capex'!$B85,'Historical Contributions'!E$8:E$21)/1000</f>
        <v>0</v>
      </c>
      <c r="H85" s="159">
        <f>SUMIF('Historical Expenditure-Volumes'!$B$9:$B$22,'Gross Capex'!$B85,'Historical Expenditure-Volumes'!G$9:G$22)/1000
+SUMIF('Historical Contributions'!$B$8:$B$21,'Gross Capex'!$B85,'Historical Contributions'!F$8:F$21)/1000</f>
        <v>0</v>
      </c>
      <c r="I85" s="91">
        <f>SUMIF('Forecast Expenditure-Volumes'!$B$95:$B$108,'Gross Capex'!$B85,'Forecast Expenditure-Volumes'!G$95:G$108)/1000
+SUMIF('Forecast Contributions'!$B$8:$B$20,'Gross Capex'!$B85,'Forecast Contributions'!G$8:G$20)/1000</f>
        <v>0</v>
      </c>
      <c r="J85" s="91">
        <f>SUMIF('Forecast Expenditure-Volumes'!$B$95:$B$108,'Gross Capex'!$B85,'Forecast Expenditure-Volumes'!H$95:H$108)/1000
+SUMIF('Forecast Contributions'!$B$8:$B$20,'Gross Capex'!$B85,'Forecast Contributions'!H$8:H$20)/1000</f>
        <v>0</v>
      </c>
      <c r="K85" s="91">
        <f>SUMIF('Forecast Expenditure-Volumes'!$B$95:$B$108,'Gross Capex'!$B85,'Forecast Expenditure-Volumes'!I$95:I$108)/1000
+SUMIF('Forecast Contributions'!$B$8:$B$20,'Gross Capex'!$B85,'Forecast Contributions'!I$8:I$20)/1000</f>
        <v>0</v>
      </c>
      <c r="L85" s="91">
        <f>SUMIF('Forecast Expenditure-Volumes'!$B$95:$B$108,'Gross Capex'!$B85,'Forecast Expenditure-Volumes'!J$95:J$108)/1000
+SUMIF('Forecast Contributions'!$B$8:$B$20,'Gross Capex'!$B85,'Forecast Contributions'!J$8:J$20)/1000</f>
        <v>0</v>
      </c>
      <c r="M85" s="91">
        <f>SUMIF('Forecast Expenditure-Volumes'!$B$95:$B$108,'Gross Capex'!$B85,'Forecast Expenditure-Volumes'!K$95:K$108)/1000
+SUMIF('Forecast Contributions'!$B$8:$B$20,'Gross Capex'!$B85,'Forecast Contributions'!K$8:K$20)/1000</f>
        <v>0</v>
      </c>
      <c r="N85" s="91">
        <f>SUMIF('Forecast Expenditure-Volumes'!$B$95:$B$108,'Gross Capex'!$B85,'Forecast Expenditure-Volumes'!L$95:L$108)/1000
+SUMIF('Forecast Contributions'!$B$8:$B$20,'Gross Capex'!$B85,'Forecast Contributions'!L$8:L$20)/1000</f>
        <v>0</v>
      </c>
      <c r="O85" s="91">
        <f>SUMIF('Forecast Expenditure-Volumes'!$B$95:$B$108,'Gross Capex'!$B85,'Forecast Expenditure-Volumes'!M$95:M$108)/1000
+SUMIF('Forecast Contributions'!$B$8:$B$20,'Gross Capex'!$B85,'Forecast Contributions'!M$8:M$20)/1000</f>
        <v>0</v>
      </c>
      <c r="P85" s="3"/>
      <c r="Q85" s="3"/>
      <c r="R85" s="3"/>
      <c r="S85" s="3"/>
      <c r="T85" s="3"/>
    </row>
    <row r="86" spans="1:20" x14ac:dyDescent="0.2">
      <c r="A86" s="3"/>
      <c r="B86" s="36">
        <v>235</v>
      </c>
      <c r="C86" s="33" t="s">
        <v>160</v>
      </c>
      <c r="D86" s="3"/>
      <c r="E86" s="3"/>
      <c r="F86" s="159">
        <f>SUMIF('Historical Expenditure-Volumes'!$B$9:$B$22,'Gross Capex'!$B86,'Historical Expenditure-Volumes'!E$9:E$22)/1000
+SUMIF('Historical Contributions'!$B$8:$B$21,'Gross Capex'!$B86,'Historical Contributions'!D$8:D$21)/1000</f>
        <v>0</v>
      </c>
      <c r="G86" s="159">
        <f>SUMIF('Historical Expenditure-Volumes'!$B$9:$B$22,'Gross Capex'!$B86,'Historical Expenditure-Volumes'!F$9:F$22)/1000
+SUMIF('Historical Contributions'!$B$8:$B$21,'Gross Capex'!$B86,'Historical Contributions'!E$8:E$21)/1000</f>
        <v>0</v>
      </c>
      <c r="H86" s="159">
        <f>SUMIF('Historical Expenditure-Volumes'!$B$9:$B$22,'Gross Capex'!$B86,'Historical Expenditure-Volumes'!G$9:G$22)/1000
+SUMIF('Historical Contributions'!$B$8:$B$21,'Gross Capex'!$B86,'Historical Contributions'!F$8:F$21)/1000</f>
        <v>0</v>
      </c>
      <c r="I86" s="91">
        <f>SUMIF('Forecast Expenditure-Volumes'!$B$95:$B$108,'Gross Capex'!$B86,'Forecast Expenditure-Volumes'!G$95:G$108)/1000
+SUMIF('Forecast Contributions'!$B$8:$B$20,'Gross Capex'!$B86,'Forecast Contributions'!G$8:G$20)/1000</f>
        <v>0</v>
      </c>
      <c r="J86" s="91">
        <f>SUMIF('Forecast Expenditure-Volumes'!$B$95:$B$108,'Gross Capex'!$B86,'Forecast Expenditure-Volumes'!H$95:H$108)/1000
+SUMIF('Forecast Contributions'!$B$8:$B$20,'Gross Capex'!$B86,'Forecast Contributions'!H$8:H$20)/1000</f>
        <v>0</v>
      </c>
      <c r="K86" s="91">
        <f>SUMIF('Forecast Expenditure-Volumes'!$B$95:$B$108,'Gross Capex'!$B86,'Forecast Expenditure-Volumes'!I$95:I$108)/1000
+SUMIF('Forecast Contributions'!$B$8:$B$20,'Gross Capex'!$B86,'Forecast Contributions'!I$8:I$20)/1000</f>
        <v>0</v>
      </c>
      <c r="L86" s="91">
        <f>SUMIF('Forecast Expenditure-Volumes'!$B$95:$B$108,'Gross Capex'!$B86,'Forecast Expenditure-Volumes'!J$95:J$108)/1000
+SUMIF('Forecast Contributions'!$B$8:$B$20,'Gross Capex'!$B86,'Forecast Contributions'!J$8:J$20)/1000</f>
        <v>0</v>
      </c>
      <c r="M86" s="91">
        <f>SUMIF('Forecast Expenditure-Volumes'!$B$95:$B$108,'Gross Capex'!$B86,'Forecast Expenditure-Volumes'!K$95:K$108)/1000
+SUMIF('Forecast Contributions'!$B$8:$B$20,'Gross Capex'!$B86,'Forecast Contributions'!K$8:K$20)/1000</f>
        <v>0</v>
      </c>
      <c r="N86" s="91">
        <f>SUMIF('Forecast Expenditure-Volumes'!$B$95:$B$108,'Gross Capex'!$B86,'Forecast Expenditure-Volumes'!L$95:L$108)/1000
+SUMIF('Forecast Contributions'!$B$8:$B$20,'Gross Capex'!$B86,'Forecast Contributions'!L$8:L$20)/1000</f>
        <v>0</v>
      </c>
      <c r="O86" s="91">
        <f>SUMIF('Forecast Expenditure-Volumes'!$B$95:$B$108,'Gross Capex'!$B86,'Forecast Expenditure-Volumes'!M$95:M$108)/1000
+SUMIF('Forecast Contributions'!$B$8:$B$20,'Gross Capex'!$B86,'Forecast Contributions'!M$8:M$20)/1000</f>
        <v>0</v>
      </c>
      <c r="P86" s="3"/>
      <c r="Q86" s="3"/>
      <c r="R86" s="3"/>
      <c r="S86" s="3"/>
      <c r="T86" s="3"/>
    </row>
    <row r="87" spans="1:20" x14ac:dyDescent="0.2">
      <c r="A87" s="3"/>
      <c r="B87" s="36">
        <v>240</v>
      </c>
      <c r="C87" s="33" t="s">
        <v>161</v>
      </c>
      <c r="D87" s="3"/>
      <c r="E87" s="3"/>
      <c r="F87" s="159">
        <f>SUMIF('Historical Expenditure-Volumes'!$B$9:$B$22,'Gross Capex'!$B87,'Historical Expenditure-Volumes'!E$9:E$22)/1000
+SUMIF('Historical Contributions'!$B$8:$B$21,'Gross Capex'!$B87,'Historical Contributions'!D$8:D$21)/1000</f>
        <v>0</v>
      </c>
      <c r="G87" s="159">
        <f>SUMIF('Historical Expenditure-Volumes'!$B$9:$B$22,'Gross Capex'!$B87,'Historical Expenditure-Volumes'!F$9:F$22)/1000
+SUMIF('Historical Contributions'!$B$8:$B$21,'Gross Capex'!$B87,'Historical Contributions'!E$8:E$21)/1000</f>
        <v>0</v>
      </c>
      <c r="H87" s="159">
        <f>SUMIF('Historical Expenditure-Volumes'!$B$9:$B$22,'Gross Capex'!$B87,'Historical Expenditure-Volumes'!G$9:G$22)/1000
+SUMIF('Historical Contributions'!$B$8:$B$21,'Gross Capex'!$B87,'Historical Contributions'!F$8:F$21)/1000</f>
        <v>0</v>
      </c>
      <c r="I87" s="91">
        <f>SUMIF('Forecast Expenditure-Volumes'!$B$95:$B$108,'Gross Capex'!$B87,'Forecast Expenditure-Volumes'!G$95:G$108)/1000
+SUMIF('Forecast Contributions'!$B$8:$B$20,'Gross Capex'!$B87,'Forecast Contributions'!G$8:G$20)/1000</f>
        <v>0</v>
      </c>
      <c r="J87" s="91">
        <f>SUMIF('Forecast Expenditure-Volumes'!$B$95:$B$108,'Gross Capex'!$B87,'Forecast Expenditure-Volumes'!H$95:H$108)/1000
+SUMIF('Forecast Contributions'!$B$8:$B$20,'Gross Capex'!$B87,'Forecast Contributions'!H$8:H$20)/1000</f>
        <v>0</v>
      </c>
      <c r="K87" s="91">
        <f>SUMIF('Forecast Expenditure-Volumes'!$B$95:$B$108,'Gross Capex'!$B87,'Forecast Expenditure-Volumes'!I$95:I$108)/1000
+SUMIF('Forecast Contributions'!$B$8:$B$20,'Gross Capex'!$B87,'Forecast Contributions'!I$8:I$20)/1000</f>
        <v>0</v>
      </c>
      <c r="L87" s="91">
        <f>SUMIF('Forecast Expenditure-Volumes'!$B$95:$B$108,'Gross Capex'!$B87,'Forecast Expenditure-Volumes'!J$95:J$108)/1000
+SUMIF('Forecast Contributions'!$B$8:$B$20,'Gross Capex'!$B87,'Forecast Contributions'!J$8:J$20)/1000</f>
        <v>0</v>
      </c>
      <c r="M87" s="91">
        <f>SUMIF('Forecast Expenditure-Volumes'!$B$95:$B$108,'Gross Capex'!$B87,'Forecast Expenditure-Volumes'!K$95:K$108)/1000
+SUMIF('Forecast Contributions'!$B$8:$B$20,'Gross Capex'!$B87,'Forecast Contributions'!K$8:K$20)/1000</f>
        <v>0</v>
      </c>
      <c r="N87" s="91">
        <f>SUMIF('Forecast Expenditure-Volumes'!$B$95:$B$108,'Gross Capex'!$B87,'Forecast Expenditure-Volumes'!L$95:L$108)/1000
+SUMIF('Forecast Contributions'!$B$8:$B$20,'Gross Capex'!$B87,'Forecast Contributions'!L$8:L$20)/1000</f>
        <v>0</v>
      </c>
      <c r="O87" s="91">
        <f>SUMIF('Forecast Expenditure-Volumes'!$B$95:$B$108,'Gross Capex'!$B87,'Forecast Expenditure-Volumes'!M$95:M$108)/1000
+SUMIF('Forecast Contributions'!$B$8:$B$20,'Gross Capex'!$B87,'Forecast Contributions'!M$8:M$20)/1000</f>
        <v>0</v>
      </c>
      <c r="P87" s="3"/>
      <c r="Q87" s="3"/>
      <c r="R87" s="3"/>
      <c r="S87" s="3"/>
      <c r="T87" s="3"/>
    </row>
    <row r="88" spans="1:20" x14ac:dyDescent="0.2">
      <c r="A88" s="3"/>
      <c r="B88" s="36">
        <v>245</v>
      </c>
      <c r="C88" s="33" t="s">
        <v>162</v>
      </c>
      <c r="D88" s="3"/>
      <c r="E88" s="3"/>
      <c r="F88" s="159">
        <f>SUMIF('Historical Expenditure-Volumes'!$B$9:$B$22,'Gross Capex'!$B88,'Historical Expenditure-Volumes'!E$9:E$22)/1000
+SUMIF('Historical Contributions'!$B$8:$B$21,'Gross Capex'!$B88,'Historical Contributions'!D$8:D$21)/1000</f>
        <v>0</v>
      </c>
      <c r="G88" s="159">
        <f>SUMIF('Historical Expenditure-Volumes'!$B$9:$B$22,'Gross Capex'!$B88,'Historical Expenditure-Volumes'!F$9:F$22)/1000
+SUMIF('Historical Contributions'!$B$8:$B$21,'Gross Capex'!$B88,'Historical Contributions'!E$8:E$21)/1000</f>
        <v>0</v>
      </c>
      <c r="H88" s="159">
        <f>SUMIF('Historical Expenditure-Volumes'!$B$9:$B$22,'Gross Capex'!$B88,'Historical Expenditure-Volumes'!G$9:G$22)/1000
+SUMIF('Historical Contributions'!$B$8:$B$21,'Gross Capex'!$B88,'Historical Contributions'!F$8:F$21)/1000</f>
        <v>0</v>
      </c>
      <c r="I88" s="91">
        <f>SUMIF('Forecast Expenditure-Volumes'!$B$95:$B$108,'Gross Capex'!$B88,'Forecast Expenditure-Volumes'!G$95:G$108)/1000
+SUMIF('Forecast Contributions'!$B$8:$B$20,'Gross Capex'!$B88,'Forecast Contributions'!G$8:G$20)/1000</f>
        <v>0</v>
      </c>
      <c r="J88" s="91">
        <f>SUMIF('Forecast Expenditure-Volumes'!$B$95:$B$108,'Gross Capex'!$B88,'Forecast Expenditure-Volumes'!H$95:H$108)/1000
+SUMIF('Forecast Contributions'!$B$8:$B$20,'Gross Capex'!$B88,'Forecast Contributions'!H$8:H$20)/1000</f>
        <v>0</v>
      </c>
      <c r="K88" s="91">
        <f>SUMIF('Forecast Expenditure-Volumes'!$B$95:$B$108,'Gross Capex'!$B88,'Forecast Expenditure-Volumes'!I$95:I$108)/1000
+SUMIF('Forecast Contributions'!$B$8:$B$20,'Gross Capex'!$B88,'Forecast Contributions'!I$8:I$20)/1000</f>
        <v>0</v>
      </c>
      <c r="L88" s="91">
        <f>SUMIF('Forecast Expenditure-Volumes'!$B$95:$B$108,'Gross Capex'!$B88,'Forecast Expenditure-Volumes'!J$95:J$108)/1000
+SUMIF('Forecast Contributions'!$B$8:$B$20,'Gross Capex'!$B88,'Forecast Contributions'!J$8:J$20)/1000</f>
        <v>0</v>
      </c>
      <c r="M88" s="91">
        <f>SUMIF('Forecast Expenditure-Volumes'!$B$95:$B$108,'Gross Capex'!$B88,'Forecast Expenditure-Volumes'!K$95:K$108)/1000
+SUMIF('Forecast Contributions'!$B$8:$B$20,'Gross Capex'!$B88,'Forecast Contributions'!K$8:K$20)/1000</f>
        <v>0</v>
      </c>
      <c r="N88" s="91">
        <f>SUMIF('Forecast Expenditure-Volumes'!$B$95:$B$108,'Gross Capex'!$B88,'Forecast Expenditure-Volumes'!L$95:L$108)/1000
+SUMIF('Forecast Contributions'!$B$8:$B$20,'Gross Capex'!$B88,'Forecast Contributions'!L$8:L$20)/1000</f>
        <v>0</v>
      </c>
      <c r="O88" s="91">
        <f>SUMIF('Forecast Expenditure-Volumes'!$B$95:$B$108,'Gross Capex'!$B88,'Forecast Expenditure-Volumes'!M$95:M$108)/1000
+SUMIF('Forecast Contributions'!$B$8:$B$20,'Gross Capex'!$B88,'Forecast Contributions'!M$8:M$20)/1000</f>
        <v>0</v>
      </c>
      <c r="P88" s="3"/>
      <c r="Q88" s="3"/>
      <c r="R88" s="3"/>
      <c r="S88" s="3"/>
      <c r="T88" s="3"/>
    </row>
    <row r="89" spans="1:20" x14ac:dyDescent="0.2">
      <c r="A89" s="3"/>
      <c r="B89" s="36">
        <v>260</v>
      </c>
      <c r="C89" s="33" t="s">
        <v>163</v>
      </c>
      <c r="D89" s="3"/>
      <c r="E89" s="3"/>
      <c r="F89" s="159">
        <f>SUMIF('Historical Expenditure-Volumes'!$B$9:$B$22,'Gross Capex'!$B89,'Historical Expenditure-Volumes'!E$9:E$22)/1000
+SUMIF('Historical Contributions'!$B$8:$B$21,'Gross Capex'!$B89,'Historical Contributions'!D$8:D$21)/1000</f>
        <v>0</v>
      </c>
      <c r="G89" s="159">
        <f>SUMIF('Historical Expenditure-Volumes'!$B$9:$B$22,'Gross Capex'!$B89,'Historical Expenditure-Volumes'!F$9:F$22)/1000
+SUMIF('Historical Contributions'!$B$8:$B$21,'Gross Capex'!$B89,'Historical Contributions'!E$8:E$21)/1000</f>
        <v>0</v>
      </c>
      <c r="H89" s="159">
        <f>SUMIF('Historical Expenditure-Volumes'!$B$9:$B$22,'Gross Capex'!$B89,'Historical Expenditure-Volumes'!G$9:G$22)/1000
+SUMIF('Historical Contributions'!$B$8:$B$21,'Gross Capex'!$B89,'Historical Contributions'!F$8:F$21)/1000</f>
        <v>0</v>
      </c>
      <c r="I89" s="91">
        <f>SUMIF('Forecast Expenditure-Volumes'!$B$95:$B$108,'Gross Capex'!$B89,'Forecast Expenditure-Volumes'!G$95:G$108)/1000
+SUMIF('Forecast Contributions'!$B$8:$B$20,'Gross Capex'!$B89,'Forecast Contributions'!G$8:G$20)/1000</f>
        <v>0</v>
      </c>
      <c r="J89" s="91">
        <f>SUMIF('Forecast Expenditure-Volumes'!$B$95:$B$108,'Gross Capex'!$B89,'Forecast Expenditure-Volumes'!H$95:H$108)/1000
+SUMIF('Forecast Contributions'!$B$8:$B$20,'Gross Capex'!$B89,'Forecast Contributions'!H$8:H$20)/1000</f>
        <v>0</v>
      </c>
      <c r="K89" s="91">
        <f>SUMIF('Forecast Expenditure-Volumes'!$B$95:$B$108,'Gross Capex'!$B89,'Forecast Expenditure-Volumes'!I$95:I$108)/1000
+SUMIF('Forecast Contributions'!$B$8:$B$20,'Gross Capex'!$B89,'Forecast Contributions'!I$8:I$20)/1000</f>
        <v>0</v>
      </c>
      <c r="L89" s="91">
        <f>SUMIF('Forecast Expenditure-Volumes'!$B$95:$B$108,'Gross Capex'!$B89,'Forecast Expenditure-Volumes'!J$95:J$108)/1000
+SUMIF('Forecast Contributions'!$B$8:$B$20,'Gross Capex'!$B89,'Forecast Contributions'!J$8:J$20)/1000</f>
        <v>0</v>
      </c>
      <c r="M89" s="91">
        <f>SUMIF('Forecast Expenditure-Volumes'!$B$95:$B$108,'Gross Capex'!$B89,'Forecast Expenditure-Volumes'!K$95:K$108)/1000
+SUMIF('Forecast Contributions'!$B$8:$B$20,'Gross Capex'!$B89,'Forecast Contributions'!K$8:K$20)/1000</f>
        <v>0</v>
      </c>
      <c r="N89" s="91">
        <f>SUMIF('Forecast Expenditure-Volumes'!$B$95:$B$108,'Gross Capex'!$B89,'Forecast Expenditure-Volumes'!L$95:L$108)/1000
+SUMIF('Forecast Contributions'!$B$8:$B$20,'Gross Capex'!$B89,'Forecast Contributions'!L$8:L$20)/1000</f>
        <v>0</v>
      </c>
      <c r="O89" s="91">
        <f>SUMIF('Forecast Expenditure-Volumes'!$B$95:$B$108,'Gross Capex'!$B89,'Forecast Expenditure-Volumes'!M$95:M$108)/1000
+SUMIF('Forecast Contributions'!$B$8:$B$20,'Gross Capex'!$B89,'Forecast Contributions'!M$8:M$20)/1000</f>
        <v>0</v>
      </c>
      <c r="P89" s="3"/>
      <c r="Q89" s="3"/>
      <c r="R89" s="3"/>
      <c r="S89" s="3"/>
      <c r="T89" s="3"/>
    </row>
    <row r="90" spans="1:20" x14ac:dyDescent="0.2">
      <c r="A90" s="3"/>
      <c r="B90" s="36">
        <v>270</v>
      </c>
      <c r="C90" s="33" t="s">
        <v>164</v>
      </c>
      <c r="D90" s="3"/>
      <c r="E90" s="3"/>
      <c r="F90" s="159">
        <f>SUMIF('Historical Expenditure-Volumes'!$B$9:$B$22,'Gross Capex'!$B90,'Historical Expenditure-Volumes'!E$9:E$22)/1000
+SUMIF('Historical Contributions'!$B$8:$B$21,'Gross Capex'!$B90,'Historical Contributions'!D$8:D$21)/1000</f>
        <v>0</v>
      </c>
      <c r="G90" s="159">
        <f>SUMIF('Historical Expenditure-Volumes'!$B$9:$B$22,'Gross Capex'!$B90,'Historical Expenditure-Volumes'!F$9:F$22)/1000
+SUMIF('Historical Contributions'!$B$8:$B$21,'Gross Capex'!$B90,'Historical Contributions'!E$8:E$21)/1000</f>
        <v>0</v>
      </c>
      <c r="H90" s="159">
        <f>SUMIF('Historical Expenditure-Volumes'!$B$9:$B$22,'Gross Capex'!$B90,'Historical Expenditure-Volumes'!G$9:G$22)/1000
+SUMIF('Historical Contributions'!$B$8:$B$21,'Gross Capex'!$B90,'Historical Contributions'!F$8:F$21)/1000</f>
        <v>0</v>
      </c>
      <c r="I90" s="91">
        <f>SUMIF('Forecast Expenditure-Volumes'!$B$95:$B$108,'Gross Capex'!$B90,'Forecast Expenditure-Volumes'!G$95:G$108)/1000
+SUMIF('Forecast Contributions'!$B$8:$B$20,'Gross Capex'!$B90,'Forecast Contributions'!G$8:G$20)/1000</f>
        <v>0</v>
      </c>
      <c r="J90" s="91">
        <f>SUMIF('Forecast Expenditure-Volumes'!$B$95:$B$108,'Gross Capex'!$B90,'Forecast Expenditure-Volumes'!H$95:H$108)/1000
+SUMIF('Forecast Contributions'!$B$8:$B$20,'Gross Capex'!$B90,'Forecast Contributions'!H$8:H$20)/1000</f>
        <v>0</v>
      </c>
      <c r="K90" s="91">
        <f>SUMIF('Forecast Expenditure-Volumes'!$B$95:$B$108,'Gross Capex'!$B90,'Forecast Expenditure-Volumes'!I$95:I$108)/1000
+SUMIF('Forecast Contributions'!$B$8:$B$20,'Gross Capex'!$B90,'Forecast Contributions'!I$8:I$20)/1000</f>
        <v>0</v>
      </c>
      <c r="L90" s="91">
        <f>SUMIF('Forecast Expenditure-Volumes'!$B$95:$B$108,'Gross Capex'!$B90,'Forecast Expenditure-Volumes'!J$95:J$108)/1000
+SUMIF('Forecast Contributions'!$B$8:$B$20,'Gross Capex'!$B90,'Forecast Contributions'!J$8:J$20)/1000</f>
        <v>0</v>
      </c>
      <c r="M90" s="91">
        <f>SUMIF('Forecast Expenditure-Volumes'!$B$95:$B$108,'Gross Capex'!$B90,'Forecast Expenditure-Volumes'!K$95:K$108)/1000
+SUMIF('Forecast Contributions'!$B$8:$B$20,'Gross Capex'!$B90,'Forecast Contributions'!K$8:K$20)/1000</f>
        <v>0</v>
      </c>
      <c r="N90" s="91">
        <f>SUMIF('Forecast Expenditure-Volumes'!$B$95:$B$108,'Gross Capex'!$B90,'Forecast Expenditure-Volumes'!L$95:L$108)/1000
+SUMIF('Forecast Contributions'!$B$8:$B$20,'Gross Capex'!$B90,'Forecast Contributions'!L$8:L$20)/1000</f>
        <v>0</v>
      </c>
      <c r="O90" s="91">
        <f>SUMIF('Forecast Expenditure-Volumes'!$B$95:$B$108,'Gross Capex'!$B90,'Forecast Expenditure-Volumes'!M$95:M$108)/1000
+SUMIF('Forecast Contributions'!$B$8:$B$20,'Gross Capex'!$B90,'Forecast Contributions'!M$8:M$20)/1000</f>
        <v>0</v>
      </c>
      <c r="P90" s="3"/>
      <c r="Q90" s="3"/>
      <c r="R90" s="3"/>
      <c r="S90" s="3"/>
      <c r="T90" s="3"/>
    </row>
    <row r="91" spans="1:20" x14ac:dyDescent="0.2">
      <c r="A91" s="3"/>
      <c r="B91" s="36">
        <v>273</v>
      </c>
      <c r="C91" s="33" t="s">
        <v>165</v>
      </c>
      <c r="D91" s="3"/>
      <c r="E91" s="3"/>
      <c r="F91" s="159">
        <f>SUMIF('Historical Expenditure-Volumes'!$B$9:$B$22,'Gross Capex'!$B91,'Historical Expenditure-Volumes'!E$9:E$22)/1000
+SUMIF('Historical Contributions'!$B$8:$B$21,'Gross Capex'!$B91,'Historical Contributions'!D$8:D$21)/1000</f>
        <v>0</v>
      </c>
      <c r="G91" s="159">
        <f>SUMIF('Historical Expenditure-Volumes'!$B$9:$B$22,'Gross Capex'!$B91,'Historical Expenditure-Volumes'!F$9:F$22)/1000
+SUMIF('Historical Contributions'!$B$8:$B$21,'Gross Capex'!$B91,'Historical Contributions'!E$8:E$21)/1000</f>
        <v>0</v>
      </c>
      <c r="H91" s="159">
        <f>SUMIF('Historical Expenditure-Volumes'!$B$9:$B$22,'Gross Capex'!$B91,'Historical Expenditure-Volumes'!G$9:G$22)/1000
+SUMIF('Historical Contributions'!$B$8:$B$21,'Gross Capex'!$B91,'Historical Contributions'!F$8:F$21)/1000</f>
        <v>0</v>
      </c>
      <c r="I91" s="91">
        <f>SUMIF('Forecast Expenditure-Volumes'!$B$95:$B$108,'Gross Capex'!$B91,'Forecast Expenditure-Volumes'!G$95:G$108)/1000
+SUMIF('Forecast Contributions'!$B$8:$B$20,'Gross Capex'!$B91,'Forecast Contributions'!G$8:G$20)/1000</f>
        <v>0</v>
      </c>
      <c r="J91" s="91">
        <f>SUMIF('Forecast Expenditure-Volumes'!$B$95:$B$108,'Gross Capex'!$B91,'Forecast Expenditure-Volumes'!H$95:H$108)/1000
+SUMIF('Forecast Contributions'!$B$8:$B$20,'Gross Capex'!$B91,'Forecast Contributions'!H$8:H$20)/1000</f>
        <v>0</v>
      </c>
      <c r="K91" s="91">
        <f>SUMIF('Forecast Expenditure-Volumes'!$B$95:$B$108,'Gross Capex'!$B91,'Forecast Expenditure-Volumes'!I$95:I$108)/1000
+SUMIF('Forecast Contributions'!$B$8:$B$20,'Gross Capex'!$B91,'Forecast Contributions'!I$8:I$20)/1000</f>
        <v>0</v>
      </c>
      <c r="L91" s="91">
        <f>SUMIF('Forecast Expenditure-Volumes'!$B$95:$B$108,'Gross Capex'!$B91,'Forecast Expenditure-Volumes'!J$95:J$108)/1000
+SUMIF('Forecast Contributions'!$B$8:$B$20,'Gross Capex'!$B91,'Forecast Contributions'!J$8:J$20)/1000</f>
        <v>0</v>
      </c>
      <c r="M91" s="91">
        <f>SUMIF('Forecast Expenditure-Volumes'!$B$95:$B$108,'Gross Capex'!$B91,'Forecast Expenditure-Volumes'!K$95:K$108)/1000
+SUMIF('Forecast Contributions'!$B$8:$B$20,'Gross Capex'!$B91,'Forecast Contributions'!K$8:K$20)/1000</f>
        <v>0</v>
      </c>
      <c r="N91" s="91">
        <f>SUMIF('Forecast Expenditure-Volumes'!$B$95:$B$108,'Gross Capex'!$B91,'Forecast Expenditure-Volumes'!L$95:L$108)/1000
+SUMIF('Forecast Contributions'!$B$8:$B$20,'Gross Capex'!$B91,'Forecast Contributions'!L$8:L$20)/1000</f>
        <v>0</v>
      </c>
      <c r="O91" s="91">
        <f>SUMIF('Forecast Expenditure-Volumes'!$B$95:$B$108,'Gross Capex'!$B91,'Forecast Expenditure-Volumes'!M$95:M$108)/1000
+SUMIF('Forecast Contributions'!$B$8:$B$20,'Gross Capex'!$B91,'Forecast Contributions'!M$8:M$20)/1000</f>
        <v>0</v>
      </c>
      <c r="P91" s="3"/>
      <c r="Q91" s="3"/>
      <c r="R91" s="3"/>
      <c r="S91" s="3"/>
      <c r="T91" s="3"/>
    </row>
    <row r="92" spans="1:2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">
      <c r="A93" s="3"/>
      <c r="B93" s="36" t="s">
        <v>227</v>
      </c>
      <c r="C93" s="33" t="s">
        <v>217</v>
      </c>
      <c r="D93" s="3"/>
      <c r="E93" s="3"/>
      <c r="F93" s="91">
        <f>'Historical Contributions'!D105/1000</f>
        <v>73957.088493999297</v>
      </c>
      <c r="G93" s="91">
        <f>'Historical Contributions'!E105/1000</f>
        <v>98532.643742360859</v>
      </c>
      <c r="H93" s="91">
        <f>'Historical Contributions'!F105/1000</f>
        <v>114328.02097371664</v>
      </c>
      <c r="I93" s="91">
        <f ca="1">'Forecast Contributions'!G104/1000</f>
        <v>105012.32601919753</v>
      </c>
      <c r="J93" s="91">
        <f ca="1">'Forecast Contributions'!H104/1000</f>
        <v>104563.27913856549</v>
      </c>
      <c r="K93" s="91">
        <f>'Forecast Contributions'!I104/1000</f>
        <v>78542.646959905484</v>
      </c>
      <c r="L93" s="91">
        <f>'Forecast Contributions'!J104/1000</f>
        <v>95059.247520560544</v>
      </c>
      <c r="M93" s="91">
        <f>'Forecast Contributions'!K104/1000</f>
        <v>94475.619062456797</v>
      </c>
      <c r="N93" s="91">
        <f>'Forecast Contributions'!L104/1000</f>
        <v>93900.775774484908</v>
      </c>
      <c r="O93" s="91">
        <f>'Forecast Contributions'!M104/1000</f>
        <v>93824.079293297342</v>
      </c>
      <c r="P93" s="3"/>
      <c r="Q93" s="3"/>
      <c r="R93" s="3"/>
      <c r="S93" s="3"/>
      <c r="T93" s="3"/>
    </row>
    <row r="94" spans="1:20" x14ac:dyDescent="0.2">
      <c r="A94" s="3"/>
      <c r="B94" s="36" t="s">
        <v>227</v>
      </c>
      <c r="C94" s="33" t="s">
        <v>228</v>
      </c>
      <c r="D94" s="3"/>
      <c r="E94" s="3"/>
      <c r="F94" s="91">
        <f>'Historical Contributions'!D22/1000</f>
        <v>37530.003777173319</v>
      </c>
      <c r="G94" s="91">
        <f>'Historical Contributions'!E22/1000</f>
        <v>43118.521500000003</v>
      </c>
      <c r="H94" s="91">
        <f>'Historical Contributions'!F22/1000</f>
        <v>53633.649530000002</v>
      </c>
      <c r="I94" s="91">
        <f>'Forecast Contributions'!G21/1000</f>
        <v>47667.238100305243</v>
      </c>
      <c r="J94" s="91">
        <f>'Forecast Contributions'!H21/1000</f>
        <v>47667.238100305243</v>
      </c>
      <c r="K94" s="91">
        <f>'Forecast Contributions'!I21/1000</f>
        <v>30169.208277017598</v>
      </c>
      <c r="L94" s="91">
        <f>'Forecast Contributions'!J21/1000</f>
        <v>50622.683214527977</v>
      </c>
      <c r="M94" s="91">
        <f>'Forecast Contributions'!K21/1000</f>
        <v>51478.104822027446</v>
      </c>
      <c r="N94" s="91">
        <f>'Forecast Contributions'!L21/1000</f>
        <v>51698.85839737449</v>
      </c>
      <c r="O94" s="91">
        <f>'Forecast Contributions'!M21/1000</f>
        <v>51458.607766279005</v>
      </c>
      <c r="P94" s="3"/>
      <c r="Q94" s="3"/>
      <c r="R94" s="3"/>
      <c r="S94" s="3"/>
      <c r="T94" s="3"/>
    </row>
    <row r="95" spans="1:2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.75" x14ac:dyDescent="0.25">
      <c r="A96" s="28"/>
      <c r="B96" s="28" t="s">
        <v>309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3"/>
      <c r="S96" s="3"/>
      <c r="T96" s="3"/>
    </row>
    <row r="97" spans="1:17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3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3"/>
    </row>
    <row r="99" spans="1:17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idden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idden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idden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idden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idden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idden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idden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idden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idden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idden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idden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</sheetData>
  <mergeCells count="2">
    <mergeCell ref="B6:B7"/>
    <mergeCell ref="C6:C7"/>
  </mergeCells>
  <conditionalFormatting sqref="O2">
    <cfRule type="expression" dxfId="1" priority="1">
      <formula>O2="Check!"</formula>
    </cfRule>
  </conditionalFormatting>
  <hyperlinks>
    <hyperlink ref="O1" location="Menu!A1" display="Menu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T110"/>
  <sheetViews>
    <sheetView zoomScale="80" zoomScaleNormal="80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3.7109375" style="147" customWidth="1"/>
    <col min="2" max="2" width="9.140625" style="147" customWidth="1"/>
    <col min="3" max="3" width="34.5703125" style="147" bestFit="1" customWidth="1"/>
    <col min="4" max="5" width="4.28515625" style="147" customWidth="1"/>
    <col min="6" max="10" width="11.28515625" style="147" customWidth="1"/>
    <col min="11" max="15" width="10.85546875" style="147" customWidth="1"/>
    <col min="16" max="16" width="3.7109375" style="147" customWidth="1"/>
    <col min="17" max="17" width="11.140625" style="147" hidden="1" customWidth="1"/>
    <col min="18" max="18" width="11.7109375" style="147" hidden="1" customWidth="1"/>
    <col min="19" max="16384" width="9.140625" style="147" hidden="1"/>
  </cols>
  <sheetData>
    <row r="1" spans="1:20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48" t="s">
        <v>39</v>
      </c>
      <c r="P1" s="26"/>
      <c r="Q1" s="26"/>
      <c r="R1" s="26"/>
      <c r="S1" s="26"/>
      <c r="T1" s="26"/>
    </row>
    <row r="2" spans="1:20" ht="15.75" x14ac:dyDescent="0.25">
      <c r="A2" s="28" t="str">
        <f ca="1">RIGHT(CELL("filename", $A$1), LEN(CELL("filename", $A$1)) - SEARCH("]", CELL("filename", $A$1)))</f>
        <v>Gross Capex_AER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8" t="s">
        <v>82</v>
      </c>
      <c r="O2" s="40" t="s">
        <v>382</v>
      </c>
      <c r="P2" s="28"/>
      <c r="Q2" s="28"/>
      <c r="R2" s="28"/>
      <c r="S2" s="28"/>
      <c r="T2" s="28"/>
    </row>
    <row r="3" spans="1:20" x14ac:dyDescent="0.2">
      <c r="A3" s="146"/>
      <c r="B3" s="146"/>
      <c r="C3" s="119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x14ac:dyDescent="0.2">
      <c r="A4" s="146"/>
      <c r="B4" s="144" t="s">
        <v>271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x14ac:dyDescent="0.2">
      <c r="A5" s="146"/>
      <c r="B5" s="146"/>
      <c r="C5" s="146"/>
      <c r="D5" s="146"/>
      <c r="E5" s="146"/>
      <c r="F5" s="141" t="s">
        <v>324</v>
      </c>
      <c r="G5" s="141" t="s">
        <v>325</v>
      </c>
      <c r="H5" s="141" t="s">
        <v>326</v>
      </c>
      <c r="I5" s="141" t="s">
        <v>315</v>
      </c>
      <c r="J5" s="141" t="s">
        <v>316</v>
      </c>
      <c r="K5" s="141" t="s">
        <v>317</v>
      </c>
      <c r="L5" s="141" t="s">
        <v>318</v>
      </c>
      <c r="M5" s="141" t="s">
        <v>319</v>
      </c>
      <c r="N5" s="141" t="s">
        <v>320</v>
      </c>
      <c r="O5" s="141" t="s">
        <v>321</v>
      </c>
      <c r="P5" s="146"/>
      <c r="Q5" s="146"/>
      <c r="R5" s="146"/>
      <c r="S5" s="146"/>
      <c r="T5" s="146"/>
    </row>
    <row r="6" spans="1:20" x14ac:dyDescent="0.2">
      <c r="A6" s="146"/>
      <c r="B6" s="287" t="s">
        <v>35</v>
      </c>
      <c r="C6" s="287" t="s">
        <v>75</v>
      </c>
      <c r="D6" s="146"/>
      <c r="E6" s="146"/>
      <c r="F6" s="141" t="s">
        <v>166</v>
      </c>
      <c r="G6" s="141" t="s">
        <v>166</v>
      </c>
      <c r="H6" s="141" t="s">
        <v>166</v>
      </c>
      <c r="I6" s="141" t="s">
        <v>322</v>
      </c>
      <c r="J6" s="141" t="s">
        <v>322</v>
      </c>
      <c r="K6" s="141" t="s">
        <v>322</v>
      </c>
      <c r="L6" s="141" t="s">
        <v>322</v>
      </c>
      <c r="M6" s="141" t="s">
        <v>322</v>
      </c>
      <c r="N6" s="141" t="s">
        <v>322</v>
      </c>
      <c r="O6" s="141" t="s">
        <v>322</v>
      </c>
      <c r="P6" s="146"/>
      <c r="Q6" s="146"/>
      <c r="R6" s="146"/>
      <c r="S6" s="146"/>
      <c r="T6" s="146"/>
    </row>
    <row r="7" spans="1:20" x14ac:dyDescent="0.2">
      <c r="A7" s="146"/>
      <c r="B7" s="286"/>
      <c r="C7" s="286"/>
      <c r="D7" s="146"/>
      <c r="E7" s="146"/>
      <c r="F7" s="141" t="s">
        <v>167</v>
      </c>
      <c r="G7" s="141" t="s">
        <v>167</v>
      </c>
      <c r="H7" s="141" t="s">
        <v>168</v>
      </c>
      <c r="I7" s="141" t="s">
        <v>168</v>
      </c>
      <c r="J7" s="141" t="s">
        <v>168</v>
      </c>
      <c r="K7" s="141" t="s">
        <v>168</v>
      </c>
      <c r="L7" s="141" t="s">
        <v>168</v>
      </c>
      <c r="M7" s="141" t="s">
        <v>168</v>
      </c>
      <c r="N7" s="141" t="s">
        <v>168</v>
      </c>
      <c r="O7" s="141" t="s">
        <v>168</v>
      </c>
      <c r="P7" s="146"/>
      <c r="Q7" s="146"/>
      <c r="R7" s="146"/>
      <c r="S7" s="146"/>
      <c r="T7" s="146"/>
    </row>
    <row r="8" spans="1:20" x14ac:dyDescent="0.2">
      <c r="A8" s="146"/>
      <c r="B8" s="43">
        <v>102</v>
      </c>
      <c r="C8" s="44" t="s">
        <v>83</v>
      </c>
      <c r="D8" s="146"/>
      <c r="E8" s="146"/>
      <c r="F8" s="159">
        <v>8700.6399208275434</v>
      </c>
      <c r="G8" s="159">
        <v>9866.2318499999983</v>
      </c>
      <c r="H8" s="159">
        <v>11142.38264911809</v>
      </c>
      <c r="I8" s="91">
        <v>10518.163922587801</v>
      </c>
      <c r="J8" s="91">
        <v>10533.246307559004</v>
      </c>
      <c r="K8" s="205">
        <v>5999.424839940787</v>
      </c>
      <c r="L8" s="205">
        <v>10954.322512851435</v>
      </c>
      <c r="M8" s="205">
        <v>11119.548806725434</v>
      </c>
      <c r="N8" s="205">
        <v>11237.907588233051</v>
      </c>
      <c r="O8" s="205">
        <v>11387.186051454866</v>
      </c>
      <c r="P8" s="146"/>
      <c r="Q8" s="146"/>
      <c r="R8" s="146"/>
      <c r="S8" s="146"/>
      <c r="T8" s="146"/>
    </row>
    <row r="9" spans="1:20" x14ac:dyDescent="0.2">
      <c r="A9" s="146"/>
      <c r="B9" s="36">
        <v>103</v>
      </c>
      <c r="C9" s="33" t="s">
        <v>84</v>
      </c>
      <c r="D9" s="146"/>
      <c r="E9" s="146"/>
      <c r="F9" s="159">
        <v>0</v>
      </c>
      <c r="G9" s="159">
        <v>0</v>
      </c>
      <c r="H9" s="159">
        <v>0</v>
      </c>
      <c r="I9" s="91">
        <v>0</v>
      </c>
      <c r="J9" s="91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146"/>
      <c r="Q9" s="146"/>
      <c r="R9" s="146"/>
      <c r="S9" s="146"/>
      <c r="T9" s="146"/>
    </row>
    <row r="10" spans="1:20" x14ac:dyDescent="0.2">
      <c r="A10" s="146"/>
      <c r="B10" s="36">
        <v>104</v>
      </c>
      <c r="C10" s="33" t="s">
        <v>85</v>
      </c>
      <c r="D10" s="146"/>
      <c r="E10" s="146"/>
      <c r="F10" s="159">
        <v>44590.728741901985</v>
      </c>
      <c r="G10" s="159">
        <v>51921.253284999999</v>
      </c>
      <c r="H10" s="159">
        <v>63509.397870154164</v>
      </c>
      <c r="I10" s="91">
        <v>56064.840381865317</v>
      </c>
      <c r="J10" s="91">
        <v>56085.214611592666</v>
      </c>
      <c r="K10" s="205">
        <v>31095.379228677564</v>
      </c>
      <c r="L10" s="205">
        <v>55551.257964336444</v>
      </c>
      <c r="M10" s="205">
        <v>56204.978669769873</v>
      </c>
      <c r="N10" s="205">
        <v>56297.152088863433</v>
      </c>
      <c r="O10" s="205">
        <v>56300.530774248764</v>
      </c>
      <c r="P10" s="146"/>
      <c r="Q10" s="146"/>
      <c r="R10" s="146"/>
      <c r="S10" s="146"/>
      <c r="T10" s="146"/>
    </row>
    <row r="11" spans="1:20" x14ac:dyDescent="0.2">
      <c r="A11" s="146"/>
      <c r="B11" s="36">
        <v>105</v>
      </c>
      <c r="C11" s="33" t="s">
        <v>86</v>
      </c>
      <c r="D11" s="146"/>
      <c r="E11" s="146"/>
      <c r="F11" s="159">
        <v>6516.378888863992</v>
      </c>
      <c r="G11" s="159">
        <v>6269.5626849999908</v>
      </c>
      <c r="H11" s="159">
        <v>7408.1150185513061</v>
      </c>
      <c r="I11" s="91">
        <v>7382.7649348032683</v>
      </c>
      <c r="J11" s="91">
        <v>7174.2294470384022</v>
      </c>
      <c r="K11" s="205">
        <v>3966.2427177419045</v>
      </c>
      <c r="L11" s="205">
        <v>6371.2060775283262</v>
      </c>
      <c r="M11" s="205">
        <v>6488.3470412756169</v>
      </c>
      <c r="N11" s="205">
        <v>6847.5322786280076</v>
      </c>
      <c r="O11" s="205">
        <v>6876.594348986584</v>
      </c>
      <c r="P11" s="146"/>
      <c r="Q11" s="73"/>
      <c r="R11" s="146"/>
      <c r="S11" s="146"/>
      <c r="T11" s="146"/>
    </row>
    <row r="12" spans="1:20" x14ac:dyDescent="0.2">
      <c r="A12" s="146"/>
      <c r="B12" s="36">
        <v>106</v>
      </c>
      <c r="C12" s="33" t="s">
        <v>87</v>
      </c>
      <c r="D12" s="146"/>
      <c r="E12" s="146"/>
      <c r="F12" s="159">
        <v>7502.7334699215171</v>
      </c>
      <c r="G12" s="159">
        <v>8570.1610349999992</v>
      </c>
      <c r="H12" s="159">
        <v>9456.5496444648161</v>
      </c>
      <c r="I12" s="91">
        <v>8510.8712793076575</v>
      </c>
      <c r="J12" s="91">
        <v>8080.3712014734447</v>
      </c>
      <c r="K12" s="205">
        <v>4453.4395951480174</v>
      </c>
      <c r="L12" s="205">
        <v>7342.6131440491945</v>
      </c>
      <c r="M12" s="205">
        <v>7514.8809555062307</v>
      </c>
      <c r="N12" s="205">
        <v>7807.6926906173312</v>
      </c>
      <c r="O12" s="205">
        <v>7706.0057792583239</v>
      </c>
      <c r="P12" s="146"/>
      <c r="Q12" s="73"/>
      <c r="R12" s="146"/>
      <c r="S12" s="146"/>
      <c r="T12" s="146"/>
    </row>
    <row r="13" spans="1:20" x14ac:dyDescent="0.2">
      <c r="A13" s="146"/>
      <c r="B13" s="36">
        <v>107</v>
      </c>
      <c r="C13" s="33" t="s">
        <v>88</v>
      </c>
      <c r="D13" s="146"/>
      <c r="E13" s="146"/>
      <c r="F13" s="159">
        <v>5129.8905499999992</v>
      </c>
      <c r="G13" s="159">
        <v>4863.52729</v>
      </c>
      <c r="H13" s="159">
        <v>1617.9483770602967</v>
      </c>
      <c r="I13" s="91">
        <v>3443.617480252467</v>
      </c>
      <c r="J13" s="91">
        <v>3443.617480252467</v>
      </c>
      <c r="K13" s="205">
        <v>1894.4590461955333</v>
      </c>
      <c r="L13" s="205">
        <v>3358.0987754538614</v>
      </c>
      <c r="M13" s="205">
        <v>3393.5753068862123</v>
      </c>
      <c r="N13" s="205">
        <v>3387.999399494644</v>
      </c>
      <c r="O13" s="205">
        <v>3371.6668354991066</v>
      </c>
      <c r="P13" s="146"/>
      <c r="Q13" s="73"/>
      <c r="R13" s="146"/>
      <c r="S13" s="146"/>
      <c r="T13" s="146"/>
    </row>
    <row r="14" spans="1:20" x14ac:dyDescent="0.2">
      <c r="A14" s="146"/>
      <c r="B14" s="36">
        <v>108</v>
      </c>
      <c r="C14" s="33" t="s">
        <v>89</v>
      </c>
      <c r="D14" s="146"/>
      <c r="E14" s="146"/>
      <c r="F14" s="159">
        <v>3816.7282154297286</v>
      </c>
      <c r="G14" s="159">
        <v>4377.7732649999998</v>
      </c>
      <c r="H14" s="159">
        <v>5030.7510564119784</v>
      </c>
      <c r="I14" s="91">
        <v>4778.2239454667651</v>
      </c>
      <c r="J14" s="91">
        <v>4701.2057097311763</v>
      </c>
      <c r="K14" s="205">
        <v>2611.191391789434</v>
      </c>
      <c r="L14" s="205">
        <v>4679.5345570554982</v>
      </c>
      <c r="M14" s="205">
        <v>4759.5269614034351</v>
      </c>
      <c r="N14" s="205">
        <v>4744.7104673205122</v>
      </c>
      <c r="O14" s="205">
        <v>4722.3863933556222</v>
      </c>
      <c r="P14" s="146"/>
      <c r="Q14" s="73"/>
      <c r="R14" s="146"/>
      <c r="S14" s="146"/>
      <c r="T14" s="146"/>
    </row>
    <row r="15" spans="1:20" x14ac:dyDescent="0.2">
      <c r="A15" s="146"/>
      <c r="B15" s="36">
        <v>109</v>
      </c>
      <c r="C15" s="33" t="s">
        <v>90</v>
      </c>
      <c r="D15" s="146"/>
      <c r="E15" s="146"/>
      <c r="F15" s="159">
        <v>10912.326094999999</v>
      </c>
      <c r="G15" s="159">
        <v>10857.659940000001</v>
      </c>
      <c r="H15" s="159">
        <v>12154.343165595958</v>
      </c>
      <c r="I15" s="91">
        <v>12088.285513844394</v>
      </c>
      <c r="J15" s="91">
        <v>12105.849575250873</v>
      </c>
      <c r="K15" s="205">
        <v>6899.6745254441894</v>
      </c>
      <c r="L15" s="205">
        <v>12602.796721510862</v>
      </c>
      <c r="M15" s="205">
        <v>12793.595389965754</v>
      </c>
      <c r="N15" s="205">
        <v>12931.718867118974</v>
      </c>
      <c r="O15" s="205">
        <v>13106.35927234705</v>
      </c>
      <c r="P15" s="146"/>
      <c r="Q15" s="73"/>
      <c r="R15" s="73"/>
      <c r="S15" s="146"/>
      <c r="T15" s="146"/>
    </row>
    <row r="16" spans="1:20" x14ac:dyDescent="0.2">
      <c r="A16" s="146"/>
      <c r="B16" s="36">
        <v>110</v>
      </c>
      <c r="C16" s="33" t="s">
        <v>91</v>
      </c>
      <c r="D16" s="146"/>
      <c r="E16" s="146"/>
      <c r="F16" s="159">
        <v>2617.3117656370096</v>
      </c>
      <c r="G16" s="159">
        <v>3234.2480249999999</v>
      </c>
      <c r="H16" s="159">
        <v>3855.1402469548721</v>
      </c>
      <c r="I16" s="91">
        <v>3410.5315852307758</v>
      </c>
      <c r="J16" s="91">
        <v>3413.5368079558175</v>
      </c>
      <c r="K16" s="205">
        <v>1917.3161031100983</v>
      </c>
      <c r="L16" s="205">
        <v>3462.335502552899</v>
      </c>
      <c r="M16" s="205">
        <v>3508.7760130554161</v>
      </c>
      <c r="N16" s="205">
        <v>3530.2340526634935</v>
      </c>
      <c r="O16" s="205">
        <v>3553.7536951899901</v>
      </c>
      <c r="P16" s="146"/>
      <c r="Q16" s="146"/>
      <c r="R16" s="146"/>
      <c r="S16" s="146"/>
      <c r="T16" s="146"/>
    </row>
    <row r="17" spans="1:20" x14ac:dyDescent="0.2">
      <c r="A17" s="146"/>
      <c r="B17" s="36">
        <v>111</v>
      </c>
      <c r="C17" s="33" t="s">
        <v>92</v>
      </c>
      <c r="D17" s="146"/>
      <c r="E17" s="146"/>
      <c r="F17" s="159">
        <v>9511.2634638756863</v>
      </c>
      <c r="G17" s="159">
        <v>9056.7248350000009</v>
      </c>
      <c r="H17" s="159">
        <v>6982.160385864262</v>
      </c>
      <c r="I17" s="91">
        <v>8880.0964336124453</v>
      </c>
      <c r="J17" s="91">
        <v>8767.8481297634316</v>
      </c>
      <c r="K17" s="205">
        <v>4989.8641506490012</v>
      </c>
      <c r="L17" s="205">
        <v>8659.0610627024944</v>
      </c>
      <c r="M17" s="205">
        <v>8827.5841649535414</v>
      </c>
      <c r="N17" s="205">
        <v>8995.007430076068</v>
      </c>
      <c r="O17" s="205">
        <v>8943.1216604287147</v>
      </c>
      <c r="P17" s="146"/>
      <c r="Q17" s="73"/>
      <c r="R17" s="146"/>
      <c r="S17" s="146"/>
      <c r="T17" s="146"/>
    </row>
    <row r="18" spans="1:20" x14ac:dyDescent="0.2">
      <c r="A18" s="146"/>
      <c r="B18" s="36">
        <v>112</v>
      </c>
      <c r="C18" s="33" t="s">
        <v>93</v>
      </c>
      <c r="D18" s="146"/>
      <c r="E18" s="146"/>
      <c r="F18" s="159">
        <v>0</v>
      </c>
      <c r="G18" s="159">
        <v>0</v>
      </c>
      <c r="H18" s="159">
        <v>0</v>
      </c>
      <c r="I18" s="91">
        <v>0</v>
      </c>
      <c r="J18" s="91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146"/>
      <c r="Q18" s="114"/>
      <c r="R18" s="146"/>
      <c r="S18" s="146"/>
      <c r="T18" s="146"/>
    </row>
    <row r="19" spans="1:20" x14ac:dyDescent="0.2">
      <c r="A19" s="146"/>
      <c r="B19" s="36">
        <v>113</v>
      </c>
      <c r="C19" s="33" t="s">
        <v>94</v>
      </c>
      <c r="D19" s="146"/>
      <c r="E19" s="146"/>
      <c r="F19" s="159">
        <v>0</v>
      </c>
      <c r="G19" s="159">
        <v>0</v>
      </c>
      <c r="H19" s="159">
        <v>0</v>
      </c>
      <c r="I19" s="91">
        <v>0</v>
      </c>
      <c r="J19" s="91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146"/>
      <c r="Q19" s="93"/>
      <c r="R19" s="93"/>
      <c r="S19" s="146"/>
      <c r="T19" s="146"/>
    </row>
    <row r="20" spans="1:20" x14ac:dyDescent="0.2">
      <c r="A20" s="146"/>
      <c r="B20" s="36">
        <v>114</v>
      </c>
      <c r="C20" s="33" t="s">
        <v>95</v>
      </c>
      <c r="D20" s="146"/>
      <c r="E20" s="146"/>
      <c r="F20" s="159">
        <v>0</v>
      </c>
      <c r="G20" s="159">
        <v>0</v>
      </c>
      <c r="H20" s="159">
        <v>0</v>
      </c>
      <c r="I20" s="91">
        <v>0</v>
      </c>
      <c r="J20" s="91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146"/>
      <c r="Q20" s="146"/>
      <c r="R20" s="146"/>
      <c r="S20" s="146"/>
      <c r="T20" s="146"/>
    </row>
    <row r="21" spans="1:20" x14ac:dyDescent="0.2">
      <c r="A21" s="146"/>
      <c r="B21" s="36">
        <v>115</v>
      </c>
      <c r="C21" s="33" t="s">
        <v>96</v>
      </c>
      <c r="D21" s="146"/>
      <c r="E21" s="146"/>
      <c r="F21" s="159">
        <v>0</v>
      </c>
      <c r="G21" s="159">
        <v>0</v>
      </c>
      <c r="H21" s="159">
        <v>0</v>
      </c>
      <c r="I21" s="91">
        <v>0</v>
      </c>
      <c r="J21" s="91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146"/>
      <c r="Q21" s="73"/>
      <c r="R21" s="146"/>
      <c r="S21" s="146"/>
      <c r="T21" s="146"/>
    </row>
    <row r="22" spans="1:20" x14ac:dyDescent="0.2">
      <c r="A22" s="146"/>
      <c r="B22" s="36">
        <v>116</v>
      </c>
      <c r="C22" s="33" t="s">
        <v>97</v>
      </c>
      <c r="D22" s="146"/>
      <c r="E22" s="146"/>
      <c r="F22" s="159">
        <v>24748.439175715852</v>
      </c>
      <c r="G22" s="159">
        <v>29561.455965000005</v>
      </c>
      <c r="H22" s="159">
        <v>35408.359439329128</v>
      </c>
      <c r="I22" s="91">
        <v>30895.332872157203</v>
      </c>
      <c r="J22" s="91">
        <v>30588.825600839078</v>
      </c>
      <c r="K22" s="205">
        <v>16522.338256073806</v>
      </c>
      <c r="L22" s="205">
        <v>25102.214319841907</v>
      </c>
      <c r="M22" s="205">
        <v>23230.755492550354</v>
      </c>
      <c r="N22" s="205">
        <v>22099.629351027485</v>
      </c>
      <c r="O22" s="205">
        <v>22023.331530364219</v>
      </c>
      <c r="P22" s="146"/>
      <c r="Q22" s="73"/>
      <c r="R22" s="73"/>
      <c r="S22" s="146"/>
      <c r="T22" s="146"/>
    </row>
    <row r="23" spans="1:20" x14ac:dyDescent="0.2">
      <c r="A23" s="146"/>
      <c r="B23" s="36">
        <v>118</v>
      </c>
      <c r="C23" s="33" t="s">
        <v>98</v>
      </c>
      <c r="D23" s="146"/>
      <c r="E23" s="146"/>
      <c r="F23" s="159">
        <v>7893.2972550000004</v>
      </c>
      <c r="G23" s="159">
        <v>18705.188865000004</v>
      </c>
      <c r="H23" s="159">
        <v>22434.617588295754</v>
      </c>
      <c r="I23" s="91">
        <v>23549.255318518219</v>
      </c>
      <c r="J23" s="91">
        <v>23549.255318518219</v>
      </c>
      <c r="K23" s="205">
        <v>12916.0396700033</v>
      </c>
      <c r="L23" s="205">
        <v>22894.840132149722</v>
      </c>
      <c r="M23" s="205">
        <v>23136.711967940817</v>
      </c>
      <c r="N23" s="205">
        <v>23098.696555989638</v>
      </c>
      <c r="O23" s="205">
        <v>22987.344428899396</v>
      </c>
      <c r="P23" s="146"/>
      <c r="Q23" s="74"/>
      <c r="R23" s="146"/>
      <c r="S23" s="146"/>
      <c r="T23" s="146"/>
    </row>
    <row r="24" spans="1:20" x14ac:dyDescent="0.2">
      <c r="A24" s="146"/>
      <c r="B24" s="36">
        <v>119</v>
      </c>
      <c r="C24" s="33" t="s">
        <v>99</v>
      </c>
      <c r="D24" s="146"/>
      <c r="E24" s="146"/>
      <c r="F24" s="159">
        <v>0</v>
      </c>
      <c r="G24" s="159">
        <v>0</v>
      </c>
      <c r="H24" s="159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146"/>
      <c r="Q24" s="73"/>
      <c r="R24" s="146"/>
      <c r="S24" s="146"/>
      <c r="T24" s="146"/>
    </row>
    <row r="25" spans="1:20" x14ac:dyDescent="0.2">
      <c r="A25" s="146"/>
      <c r="B25" s="36">
        <v>120</v>
      </c>
      <c r="C25" s="33" t="s">
        <v>100</v>
      </c>
      <c r="D25" s="146"/>
      <c r="E25" s="146"/>
      <c r="F25" s="159">
        <v>0</v>
      </c>
      <c r="G25" s="159">
        <v>0</v>
      </c>
      <c r="H25" s="159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146"/>
      <c r="Q25" s="146"/>
      <c r="R25" s="146"/>
      <c r="S25" s="146"/>
      <c r="T25" s="146"/>
    </row>
    <row r="26" spans="1:20" x14ac:dyDescent="0.2">
      <c r="A26" s="146"/>
      <c r="B26" s="36">
        <v>121</v>
      </c>
      <c r="C26" s="33" t="s">
        <v>101</v>
      </c>
      <c r="D26" s="146"/>
      <c r="E26" s="146"/>
      <c r="F26" s="159">
        <v>0</v>
      </c>
      <c r="G26" s="159">
        <v>0</v>
      </c>
      <c r="H26" s="159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146"/>
      <c r="Q26" s="94"/>
      <c r="R26" s="146"/>
      <c r="S26" s="146"/>
      <c r="T26" s="146"/>
    </row>
    <row r="27" spans="1:20" x14ac:dyDescent="0.2">
      <c r="A27" s="146"/>
      <c r="B27" s="36">
        <v>122</v>
      </c>
      <c r="C27" s="33" t="s">
        <v>102</v>
      </c>
      <c r="D27" s="146"/>
      <c r="E27" s="146"/>
      <c r="F27" s="159">
        <v>0</v>
      </c>
      <c r="G27" s="159">
        <v>0</v>
      </c>
      <c r="H27" s="159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146"/>
      <c r="Q27" s="146"/>
      <c r="R27" s="146"/>
      <c r="S27" s="146"/>
      <c r="T27" s="146"/>
    </row>
    <row r="28" spans="1:20" x14ac:dyDescent="0.2">
      <c r="A28" s="146"/>
      <c r="B28" s="36">
        <v>123</v>
      </c>
      <c r="C28" s="33" t="s">
        <v>103</v>
      </c>
      <c r="D28" s="146"/>
      <c r="E28" s="146"/>
      <c r="F28" s="159">
        <v>0</v>
      </c>
      <c r="G28" s="159">
        <v>0</v>
      </c>
      <c r="H28" s="159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146"/>
      <c r="Q28" s="146"/>
      <c r="R28" s="146"/>
      <c r="S28" s="146"/>
      <c r="T28" s="146"/>
    </row>
    <row r="29" spans="1:20" x14ac:dyDescent="0.2">
      <c r="A29" s="146"/>
      <c r="B29" s="36">
        <v>124</v>
      </c>
      <c r="C29" s="33" t="s">
        <v>104</v>
      </c>
      <c r="D29" s="146"/>
      <c r="E29" s="146"/>
      <c r="F29" s="159">
        <v>0</v>
      </c>
      <c r="G29" s="159">
        <v>0</v>
      </c>
      <c r="H29" s="159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146"/>
      <c r="Q29" s="146"/>
      <c r="R29" s="146"/>
      <c r="S29" s="146"/>
      <c r="T29" s="146"/>
    </row>
    <row r="30" spans="1:20" x14ac:dyDescent="0.2">
      <c r="A30" s="146"/>
      <c r="B30" s="36">
        <v>125</v>
      </c>
      <c r="C30" s="33" t="s">
        <v>105</v>
      </c>
      <c r="D30" s="146"/>
      <c r="E30" s="146"/>
      <c r="F30" s="159">
        <v>0</v>
      </c>
      <c r="G30" s="159">
        <v>0</v>
      </c>
      <c r="H30" s="159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146"/>
      <c r="Q30" s="146"/>
      <c r="R30" s="146"/>
      <c r="S30" s="146"/>
      <c r="T30" s="146"/>
    </row>
    <row r="31" spans="1:20" x14ac:dyDescent="0.2">
      <c r="A31" s="146"/>
      <c r="B31" s="36">
        <v>126</v>
      </c>
      <c r="C31" s="33" t="s">
        <v>106</v>
      </c>
      <c r="D31" s="146"/>
      <c r="E31" s="146"/>
      <c r="F31" s="159">
        <v>0</v>
      </c>
      <c r="G31" s="159">
        <v>0</v>
      </c>
      <c r="H31" s="159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146"/>
      <c r="Q31" s="146"/>
      <c r="R31" s="146"/>
      <c r="S31" s="146"/>
      <c r="T31" s="146"/>
    </row>
    <row r="32" spans="1:20" x14ac:dyDescent="0.2">
      <c r="A32" s="146"/>
      <c r="B32" s="36">
        <v>130</v>
      </c>
      <c r="C32" s="33" t="s">
        <v>107</v>
      </c>
      <c r="D32" s="146"/>
      <c r="E32" s="146"/>
      <c r="F32" s="159">
        <v>0</v>
      </c>
      <c r="G32" s="159">
        <v>0</v>
      </c>
      <c r="H32" s="159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146"/>
      <c r="Q32" s="146"/>
      <c r="R32" s="146"/>
      <c r="S32" s="146"/>
      <c r="T32" s="146"/>
    </row>
    <row r="33" spans="1:20" x14ac:dyDescent="0.2">
      <c r="A33" s="146"/>
      <c r="B33" s="36">
        <v>131</v>
      </c>
      <c r="C33" s="33" t="s">
        <v>108</v>
      </c>
      <c r="D33" s="146"/>
      <c r="E33" s="146"/>
      <c r="F33" s="159">
        <v>0</v>
      </c>
      <c r="G33" s="159">
        <v>0</v>
      </c>
      <c r="H33" s="159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146"/>
      <c r="Q33" s="146"/>
      <c r="R33" s="146"/>
      <c r="S33" s="146"/>
      <c r="T33" s="146"/>
    </row>
    <row r="34" spans="1:20" x14ac:dyDescent="0.2">
      <c r="A34" s="146"/>
      <c r="B34" s="36">
        <v>132</v>
      </c>
      <c r="C34" s="33" t="s">
        <v>109</v>
      </c>
      <c r="D34" s="146"/>
      <c r="E34" s="146"/>
      <c r="F34" s="159">
        <v>0</v>
      </c>
      <c r="G34" s="159">
        <v>0</v>
      </c>
      <c r="H34" s="159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146"/>
      <c r="Q34" s="146"/>
      <c r="R34" s="146"/>
      <c r="S34" s="146"/>
      <c r="T34" s="146"/>
    </row>
    <row r="35" spans="1:20" x14ac:dyDescent="0.2">
      <c r="A35" s="146"/>
      <c r="B35" s="36">
        <v>133</v>
      </c>
      <c r="C35" s="33" t="s">
        <v>110</v>
      </c>
      <c r="D35" s="146"/>
      <c r="E35" s="146"/>
      <c r="F35" s="159">
        <v>0</v>
      </c>
      <c r="G35" s="159">
        <v>0</v>
      </c>
      <c r="H35" s="159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146"/>
      <c r="Q35" s="146"/>
      <c r="R35" s="146"/>
      <c r="S35" s="146"/>
      <c r="T35" s="146"/>
    </row>
    <row r="36" spans="1:20" x14ac:dyDescent="0.2">
      <c r="A36" s="146"/>
      <c r="B36" s="36">
        <v>134</v>
      </c>
      <c r="C36" s="33" t="s">
        <v>111</v>
      </c>
      <c r="D36" s="146"/>
      <c r="E36" s="146"/>
      <c r="F36" s="159">
        <v>0</v>
      </c>
      <c r="G36" s="159">
        <v>0</v>
      </c>
      <c r="H36" s="159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146"/>
      <c r="Q36" s="146"/>
      <c r="R36" s="146"/>
      <c r="S36" s="146"/>
      <c r="T36" s="146"/>
    </row>
    <row r="37" spans="1:20" x14ac:dyDescent="0.2">
      <c r="A37" s="146"/>
      <c r="B37" s="36">
        <v>135</v>
      </c>
      <c r="C37" s="33" t="s">
        <v>112</v>
      </c>
      <c r="D37" s="146"/>
      <c r="E37" s="146"/>
      <c r="F37" s="159">
        <v>0</v>
      </c>
      <c r="G37" s="159">
        <v>0</v>
      </c>
      <c r="H37" s="159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146"/>
      <c r="Q37" s="146"/>
      <c r="R37" s="146"/>
      <c r="S37" s="146"/>
      <c r="T37" s="146"/>
    </row>
    <row r="38" spans="1:20" x14ac:dyDescent="0.2">
      <c r="A38" s="146"/>
      <c r="B38" s="36">
        <v>136</v>
      </c>
      <c r="C38" s="33" t="s">
        <v>113</v>
      </c>
      <c r="D38" s="146"/>
      <c r="E38" s="146"/>
      <c r="F38" s="159">
        <v>0</v>
      </c>
      <c r="G38" s="159">
        <v>0</v>
      </c>
      <c r="H38" s="159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146"/>
      <c r="Q38" s="146"/>
      <c r="R38" s="146"/>
      <c r="S38" s="146"/>
      <c r="T38" s="146"/>
    </row>
    <row r="39" spans="1:20" x14ac:dyDescent="0.2">
      <c r="A39" s="146"/>
      <c r="B39" s="36">
        <v>137</v>
      </c>
      <c r="C39" s="33" t="s">
        <v>114</v>
      </c>
      <c r="D39" s="146"/>
      <c r="E39" s="146"/>
      <c r="F39" s="159">
        <v>0</v>
      </c>
      <c r="G39" s="159">
        <v>0</v>
      </c>
      <c r="H39" s="159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146"/>
      <c r="Q39" s="146"/>
      <c r="R39" s="146"/>
      <c r="S39" s="146"/>
      <c r="T39" s="146"/>
    </row>
    <row r="40" spans="1:20" x14ac:dyDescent="0.2">
      <c r="A40" s="146"/>
      <c r="B40" s="36">
        <v>138</v>
      </c>
      <c r="C40" s="33" t="s">
        <v>115</v>
      </c>
      <c r="D40" s="146"/>
      <c r="E40" s="146"/>
      <c r="F40" s="159">
        <v>0</v>
      </c>
      <c r="G40" s="159">
        <v>0</v>
      </c>
      <c r="H40" s="159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146"/>
      <c r="Q40" s="146"/>
      <c r="R40" s="146"/>
      <c r="S40" s="146"/>
      <c r="T40" s="146"/>
    </row>
    <row r="41" spans="1:20" x14ac:dyDescent="0.2">
      <c r="A41" s="146"/>
      <c r="B41" s="36">
        <v>139</v>
      </c>
      <c r="C41" s="33" t="s">
        <v>116</v>
      </c>
      <c r="D41" s="146"/>
      <c r="E41" s="146"/>
      <c r="F41" s="159">
        <v>0</v>
      </c>
      <c r="G41" s="159">
        <v>0</v>
      </c>
      <c r="H41" s="159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1">
        <v>0</v>
      </c>
      <c r="P41" s="146"/>
      <c r="Q41" s="146"/>
      <c r="R41" s="146"/>
      <c r="S41" s="146"/>
      <c r="T41" s="146"/>
    </row>
    <row r="42" spans="1:20" x14ac:dyDescent="0.2">
      <c r="A42" s="146"/>
      <c r="B42" s="36">
        <v>140</v>
      </c>
      <c r="C42" s="33" t="s">
        <v>117</v>
      </c>
      <c r="D42" s="146"/>
      <c r="E42" s="146"/>
      <c r="F42" s="159">
        <v>0</v>
      </c>
      <c r="G42" s="159">
        <v>0</v>
      </c>
      <c r="H42" s="159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146"/>
      <c r="Q42" s="146"/>
      <c r="R42" s="146"/>
      <c r="S42" s="146"/>
      <c r="T42" s="146"/>
    </row>
    <row r="43" spans="1:20" x14ac:dyDescent="0.2">
      <c r="A43" s="146"/>
      <c r="B43" s="36">
        <v>141</v>
      </c>
      <c r="C43" s="33" t="s">
        <v>118</v>
      </c>
      <c r="D43" s="146"/>
      <c r="E43" s="146"/>
      <c r="F43" s="159">
        <v>0</v>
      </c>
      <c r="G43" s="159">
        <v>0</v>
      </c>
      <c r="H43" s="159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146"/>
      <c r="Q43" s="146"/>
      <c r="R43" s="146"/>
      <c r="S43" s="146"/>
      <c r="T43" s="146"/>
    </row>
    <row r="44" spans="1:20" x14ac:dyDescent="0.2">
      <c r="A44" s="146"/>
      <c r="B44" s="36">
        <v>142</v>
      </c>
      <c r="C44" s="33" t="s">
        <v>119</v>
      </c>
      <c r="D44" s="146"/>
      <c r="E44" s="146"/>
      <c r="F44" s="159">
        <v>0</v>
      </c>
      <c r="G44" s="159">
        <v>0</v>
      </c>
      <c r="H44" s="159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146"/>
      <c r="Q44" s="146"/>
      <c r="R44" s="146"/>
      <c r="S44" s="146"/>
      <c r="T44" s="146"/>
    </row>
    <row r="45" spans="1:20" x14ac:dyDescent="0.2">
      <c r="A45" s="146"/>
      <c r="B45" s="36">
        <v>143</v>
      </c>
      <c r="C45" s="33" t="s">
        <v>120</v>
      </c>
      <c r="D45" s="146"/>
      <c r="E45" s="146"/>
      <c r="F45" s="159">
        <v>0</v>
      </c>
      <c r="G45" s="159">
        <v>0</v>
      </c>
      <c r="H45" s="159">
        <v>0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146"/>
      <c r="Q45" s="146"/>
      <c r="R45" s="146"/>
      <c r="S45" s="146"/>
      <c r="T45" s="146"/>
    </row>
    <row r="46" spans="1:20" x14ac:dyDescent="0.2">
      <c r="A46" s="146"/>
      <c r="B46" s="36">
        <v>144</v>
      </c>
      <c r="C46" s="33" t="s">
        <v>121</v>
      </c>
      <c r="D46" s="146"/>
      <c r="E46" s="146"/>
      <c r="F46" s="159">
        <v>0</v>
      </c>
      <c r="G46" s="159">
        <v>0</v>
      </c>
      <c r="H46" s="159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91">
        <v>0</v>
      </c>
      <c r="P46" s="146"/>
      <c r="Q46" s="146"/>
      <c r="R46" s="146"/>
      <c r="S46" s="146"/>
      <c r="T46" s="146"/>
    </row>
    <row r="47" spans="1:20" x14ac:dyDescent="0.2">
      <c r="A47" s="146"/>
      <c r="B47" s="36">
        <v>145</v>
      </c>
      <c r="C47" s="33" t="s">
        <v>122</v>
      </c>
      <c r="D47" s="146"/>
      <c r="E47" s="146"/>
      <c r="F47" s="159">
        <v>0</v>
      </c>
      <c r="G47" s="159">
        <v>0</v>
      </c>
      <c r="H47" s="159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1">
        <v>0</v>
      </c>
      <c r="P47" s="146"/>
      <c r="Q47" s="146"/>
      <c r="R47" s="146"/>
      <c r="S47" s="146"/>
      <c r="T47" s="146"/>
    </row>
    <row r="48" spans="1:20" x14ac:dyDescent="0.2">
      <c r="A48" s="146"/>
      <c r="B48" s="36">
        <v>146</v>
      </c>
      <c r="C48" s="33" t="s">
        <v>123</v>
      </c>
      <c r="D48" s="146"/>
      <c r="E48" s="146"/>
      <c r="F48" s="159">
        <v>0</v>
      </c>
      <c r="G48" s="159">
        <v>0</v>
      </c>
      <c r="H48" s="159">
        <v>0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</v>
      </c>
      <c r="P48" s="146"/>
      <c r="Q48" s="146"/>
      <c r="R48" s="146"/>
      <c r="S48" s="146"/>
      <c r="T48" s="146"/>
    </row>
    <row r="49" spans="1:20" x14ac:dyDescent="0.2">
      <c r="A49" s="146"/>
      <c r="B49" s="36">
        <v>147</v>
      </c>
      <c r="C49" s="33" t="s">
        <v>124</v>
      </c>
      <c r="D49" s="146"/>
      <c r="E49" s="146"/>
      <c r="F49" s="159">
        <v>0</v>
      </c>
      <c r="G49" s="159">
        <v>0</v>
      </c>
      <c r="H49" s="159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146"/>
      <c r="Q49" s="146"/>
      <c r="R49" s="146"/>
      <c r="S49" s="146"/>
      <c r="T49" s="146"/>
    </row>
    <row r="50" spans="1:20" x14ac:dyDescent="0.2">
      <c r="A50" s="146"/>
      <c r="B50" s="36">
        <v>148</v>
      </c>
      <c r="C50" s="33" t="s">
        <v>125</v>
      </c>
      <c r="D50" s="146"/>
      <c r="E50" s="146"/>
      <c r="F50" s="159">
        <v>0</v>
      </c>
      <c r="G50" s="159">
        <v>0</v>
      </c>
      <c r="H50" s="159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146"/>
      <c r="Q50" s="146"/>
      <c r="R50" s="146"/>
      <c r="S50" s="146"/>
      <c r="T50" s="146"/>
    </row>
    <row r="51" spans="1:20" x14ac:dyDescent="0.2">
      <c r="A51" s="146"/>
      <c r="B51" s="36">
        <v>149</v>
      </c>
      <c r="C51" s="33" t="s">
        <v>126</v>
      </c>
      <c r="D51" s="146"/>
      <c r="E51" s="146"/>
      <c r="F51" s="159">
        <v>0</v>
      </c>
      <c r="G51" s="159">
        <v>0</v>
      </c>
      <c r="H51" s="159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146"/>
      <c r="Q51" s="146"/>
      <c r="R51" s="146"/>
      <c r="S51" s="146"/>
      <c r="T51" s="146"/>
    </row>
    <row r="52" spans="1:20" x14ac:dyDescent="0.2">
      <c r="A52" s="146"/>
      <c r="B52" s="36">
        <v>150</v>
      </c>
      <c r="C52" s="33" t="s">
        <v>127</v>
      </c>
      <c r="D52" s="146"/>
      <c r="E52" s="146"/>
      <c r="F52" s="159">
        <v>0</v>
      </c>
      <c r="G52" s="159">
        <v>0</v>
      </c>
      <c r="H52" s="159">
        <v>0</v>
      </c>
      <c r="I52" s="91">
        <v>0</v>
      </c>
      <c r="J52" s="91">
        <v>0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  <c r="P52" s="146"/>
      <c r="Q52" s="146"/>
      <c r="R52" s="146"/>
      <c r="S52" s="146"/>
      <c r="T52" s="146"/>
    </row>
    <row r="53" spans="1:20" x14ac:dyDescent="0.2">
      <c r="A53" s="146"/>
      <c r="B53" s="36">
        <v>151</v>
      </c>
      <c r="C53" s="33" t="s">
        <v>128</v>
      </c>
      <c r="D53" s="146"/>
      <c r="E53" s="146"/>
      <c r="F53" s="159">
        <v>0</v>
      </c>
      <c r="G53" s="159">
        <v>0</v>
      </c>
      <c r="H53" s="159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146"/>
      <c r="Q53" s="146"/>
      <c r="R53" s="146"/>
      <c r="S53" s="146"/>
      <c r="T53" s="146"/>
    </row>
    <row r="54" spans="1:20" x14ac:dyDescent="0.2">
      <c r="A54" s="146"/>
      <c r="B54" s="36">
        <v>152</v>
      </c>
      <c r="C54" s="33" t="s">
        <v>129</v>
      </c>
      <c r="D54" s="146"/>
      <c r="E54" s="146"/>
      <c r="F54" s="159">
        <v>0</v>
      </c>
      <c r="G54" s="159">
        <v>0</v>
      </c>
      <c r="H54" s="159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146"/>
      <c r="Q54" s="146"/>
      <c r="R54" s="146"/>
      <c r="S54" s="146"/>
      <c r="T54" s="146"/>
    </row>
    <row r="55" spans="1:20" x14ac:dyDescent="0.2">
      <c r="A55" s="146"/>
      <c r="B55" s="36">
        <v>153</v>
      </c>
      <c r="C55" s="33" t="s">
        <v>130</v>
      </c>
      <c r="D55" s="146"/>
      <c r="E55" s="146"/>
      <c r="F55" s="159">
        <v>0</v>
      </c>
      <c r="G55" s="159">
        <v>0</v>
      </c>
      <c r="H55" s="159">
        <v>0</v>
      </c>
      <c r="I55" s="91">
        <v>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146"/>
      <c r="Q55" s="146"/>
      <c r="R55" s="146"/>
      <c r="S55" s="146"/>
      <c r="T55" s="146"/>
    </row>
    <row r="56" spans="1:20" x14ac:dyDescent="0.2">
      <c r="A56" s="146"/>
      <c r="B56" s="36">
        <v>154</v>
      </c>
      <c r="C56" s="33" t="s">
        <v>131</v>
      </c>
      <c r="D56" s="146"/>
      <c r="E56" s="146"/>
      <c r="F56" s="159">
        <v>0</v>
      </c>
      <c r="G56" s="159">
        <v>0</v>
      </c>
      <c r="H56" s="159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146"/>
      <c r="Q56" s="146"/>
      <c r="R56" s="146"/>
      <c r="S56" s="146"/>
      <c r="T56" s="146"/>
    </row>
    <row r="57" spans="1:20" x14ac:dyDescent="0.2">
      <c r="A57" s="146"/>
      <c r="B57" s="36">
        <v>155</v>
      </c>
      <c r="C57" s="33" t="s">
        <v>132</v>
      </c>
      <c r="D57" s="146"/>
      <c r="E57" s="146"/>
      <c r="F57" s="159">
        <v>0</v>
      </c>
      <c r="G57" s="159">
        <v>0</v>
      </c>
      <c r="H57" s="159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146"/>
      <c r="Q57" s="146"/>
      <c r="R57" s="146"/>
      <c r="S57" s="146"/>
      <c r="T57" s="146"/>
    </row>
    <row r="58" spans="1:20" x14ac:dyDescent="0.2">
      <c r="A58" s="146"/>
      <c r="B58" s="36">
        <v>156</v>
      </c>
      <c r="C58" s="33" t="s">
        <v>133</v>
      </c>
      <c r="D58" s="146"/>
      <c r="E58" s="146"/>
      <c r="F58" s="159">
        <v>0</v>
      </c>
      <c r="G58" s="159">
        <v>0</v>
      </c>
      <c r="H58" s="159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146"/>
      <c r="Q58" s="146"/>
      <c r="R58" s="146"/>
      <c r="S58" s="146"/>
      <c r="T58" s="146"/>
    </row>
    <row r="59" spans="1:20" x14ac:dyDescent="0.2">
      <c r="A59" s="146"/>
      <c r="B59" s="36">
        <v>157</v>
      </c>
      <c r="C59" s="33" t="s">
        <v>134</v>
      </c>
      <c r="D59" s="146"/>
      <c r="E59" s="146"/>
      <c r="F59" s="159">
        <v>0</v>
      </c>
      <c r="G59" s="159">
        <v>0</v>
      </c>
      <c r="H59" s="159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146"/>
      <c r="Q59" s="146"/>
      <c r="R59" s="146"/>
      <c r="S59" s="146"/>
      <c r="T59" s="146"/>
    </row>
    <row r="60" spans="1:20" x14ac:dyDescent="0.2">
      <c r="A60" s="146"/>
      <c r="B60" s="36">
        <v>158</v>
      </c>
      <c r="C60" s="33" t="s">
        <v>135</v>
      </c>
      <c r="D60" s="146"/>
      <c r="E60" s="146"/>
      <c r="F60" s="159">
        <v>0</v>
      </c>
      <c r="G60" s="159">
        <v>0</v>
      </c>
      <c r="H60" s="159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146"/>
      <c r="Q60" s="146"/>
      <c r="R60" s="146"/>
      <c r="S60" s="146"/>
      <c r="T60" s="146"/>
    </row>
    <row r="61" spans="1:20" x14ac:dyDescent="0.2">
      <c r="A61" s="146"/>
      <c r="B61" s="36">
        <v>159</v>
      </c>
      <c r="C61" s="33" t="s">
        <v>136</v>
      </c>
      <c r="D61" s="146"/>
      <c r="E61" s="146"/>
      <c r="F61" s="159">
        <v>0</v>
      </c>
      <c r="G61" s="159">
        <v>0</v>
      </c>
      <c r="H61" s="159">
        <v>0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146"/>
      <c r="Q61" s="146"/>
      <c r="R61" s="146"/>
      <c r="S61" s="146"/>
      <c r="T61" s="146"/>
    </row>
    <row r="62" spans="1:20" x14ac:dyDescent="0.2">
      <c r="A62" s="146"/>
      <c r="B62" s="36">
        <v>160</v>
      </c>
      <c r="C62" s="33" t="s">
        <v>137</v>
      </c>
      <c r="D62" s="146"/>
      <c r="E62" s="146"/>
      <c r="F62" s="159">
        <v>0</v>
      </c>
      <c r="G62" s="159">
        <v>0</v>
      </c>
      <c r="H62" s="159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146"/>
      <c r="Q62" s="146"/>
      <c r="R62" s="146"/>
      <c r="S62" s="146"/>
      <c r="T62" s="146"/>
    </row>
    <row r="63" spans="1:20" x14ac:dyDescent="0.2">
      <c r="A63" s="146"/>
      <c r="B63" s="36">
        <v>161</v>
      </c>
      <c r="C63" s="33" t="s">
        <v>138</v>
      </c>
      <c r="D63" s="146"/>
      <c r="E63" s="146"/>
      <c r="F63" s="159">
        <v>0</v>
      </c>
      <c r="G63" s="159">
        <v>0</v>
      </c>
      <c r="H63" s="159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146"/>
      <c r="Q63" s="146"/>
      <c r="R63" s="146"/>
      <c r="S63" s="146"/>
      <c r="T63" s="146"/>
    </row>
    <row r="64" spans="1:20" x14ac:dyDescent="0.2">
      <c r="A64" s="146"/>
      <c r="B64" s="36">
        <v>162</v>
      </c>
      <c r="C64" s="33" t="s">
        <v>139</v>
      </c>
      <c r="D64" s="146"/>
      <c r="E64" s="146"/>
      <c r="F64" s="159">
        <v>0</v>
      </c>
      <c r="G64" s="159">
        <v>0</v>
      </c>
      <c r="H64" s="159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146"/>
      <c r="Q64" s="146"/>
      <c r="R64" s="146"/>
      <c r="S64" s="146"/>
      <c r="T64" s="146"/>
    </row>
    <row r="65" spans="1:20" x14ac:dyDescent="0.2">
      <c r="A65" s="146"/>
      <c r="B65" s="36">
        <v>163</v>
      </c>
      <c r="C65" s="33" t="s">
        <v>140</v>
      </c>
      <c r="D65" s="146"/>
      <c r="E65" s="146"/>
      <c r="F65" s="159">
        <v>0</v>
      </c>
      <c r="G65" s="159">
        <v>0</v>
      </c>
      <c r="H65" s="159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146"/>
      <c r="Q65" s="146"/>
      <c r="R65" s="146"/>
      <c r="S65" s="146"/>
      <c r="T65" s="146"/>
    </row>
    <row r="66" spans="1:20" x14ac:dyDescent="0.2">
      <c r="A66" s="146"/>
      <c r="B66" s="36">
        <v>164</v>
      </c>
      <c r="C66" s="33" t="s">
        <v>141</v>
      </c>
      <c r="D66" s="146"/>
      <c r="E66" s="146"/>
      <c r="F66" s="159">
        <v>0</v>
      </c>
      <c r="G66" s="159">
        <v>0</v>
      </c>
      <c r="H66" s="159">
        <v>0</v>
      </c>
      <c r="I66" s="91">
        <v>0</v>
      </c>
      <c r="J66" s="91">
        <v>0</v>
      </c>
      <c r="K66" s="91">
        <v>0</v>
      </c>
      <c r="L66" s="91">
        <v>0</v>
      </c>
      <c r="M66" s="91">
        <v>0</v>
      </c>
      <c r="N66" s="91">
        <v>0</v>
      </c>
      <c r="O66" s="91">
        <v>0</v>
      </c>
      <c r="P66" s="146"/>
      <c r="Q66" s="146"/>
      <c r="R66" s="146"/>
      <c r="S66" s="146"/>
      <c r="T66" s="146"/>
    </row>
    <row r="67" spans="1:20" x14ac:dyDescent="0.2">
      <c r="A67" s="146"/>
      <c r="B67" s="36">
        <v>165</v>
      </c>
      <c r="C67" s="33" t="s">
        <v>142</v>
      </c>
      <c r="D67" s="146"/>
      <c r="E67" s="146"/>
      <c r="F67" s="159">
        <v>0</v>
      </c>
      <c r="G67" s="159">
        <v>0</v>
      </c>
      <c r="H67" s="159">
        <v>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146"/>
      <c r="Q67" s="146"/>
      <c r="R67" s="146"/>
      <c r="S67" s="146"/>
      <c r="T67" s="146"/>
    </row>
    <row r="68" spans="1:20" x14ac:dyDescent="0.2">
      <c r="A68" s="146"/>
      <c r="B68" s="36">
        <v>166</v>
      </c>
      <c r="C68" s="33" t="s">
        <v>143</v>
      </c>
      <c r="D68" s="146"/>
      <c r="E68" s="146"/>
      <c r="F68" s="159">
        <v>0</v>
      </c>
      <c r="G68" s="159">
        <v>0</v>
      </c>
      <c r="H68" s="159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  <c r="P68" s="146"/>
      <c r="Q68" s="146"/>
      <c r="R68" s="146"/>
      <c r="S68" s="146"/>
      <c r="T68" s="146"/>
    </row>
    <row r="69" spans="1:20" x14ac:dyDescent="0.2">
      <c r="A69" s="146"/>
      <c r="B69" s="36">
        <v>167</v>
      </c>
      <c r="C69" s="33" t="s">
        <v>144</v>
      </c>
      <c r="D69" s="146"/>
      <c r="E69" s="146"/>
      <c r="F69" s="159">
        <v>0</v>
      </c>
      <c r="G69" s="159">
        <v>0</v>
      </c>
      <c r="H69" s="159">
        <v>0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1">
        <v>0</v>
      </c>
      <c r="P69" s="146"/>
      <c r="Q69" s="146"/>
      <c r="R69" s="146"/>
      <c r="S69" s="146"/>
      <c r="T69" s="146"/>
    </row>
    <row r="70" spans="1:20" x14ac:dyDescent="0.2">
      <c r="A70" s="146"/>
      <c r="B70" s="36">
        <v>168</v>
      </c>
      <c r="C70" s="33" t="s">
        <v>145</v>
      </c>
      <c r="D70" s="146"/>
      <c r="E70" s="146"/>
      <c r="F70" s="159">
        <v>0</v>
      </c>
      <c r="G70" s="159">
        <v>0</v>
      </c>
      <c r="H70" s="159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146"/>
      <c r="Q70" s="146"/>
      <c r="R70" s="146"/>
      <c r="S70" s="146"/>
      <c r="T70" s="146"/>
    </row>
    <row r="71" spans="1:20" x14ac:dyDescent="0.2">
      <c r="A71" s="146"/>
      <c r="B71" s="36">
        <v>169</v>
      </c>
      <c r="C71" s="33" t="s">
        <v>146</v>
      </c>
      <c r="D71" s="146"/>
      <c r="E71" s="146"/>
      <c r="F71" s="159">
        <v>0</v>
      </c>
      <c r="G71" s="159">
        <v>0</v>
      </c>
      <c r="H71" s="159">
        <v>0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1">
        <v>0</v>
      </c>
      <c r="P71" s="146"/>
      <c r="Q71" s="146"/>
      <c r="R71" s="146"/>
      <c r="S71" s="146"/>
      <c r="T71" s="146"/>
    </row>
    <row r="72" spans="1:20" x14ac:dyDescent="0.2">
      <c r="A72" s="146"/>
      <c r="B72" s="36">
        <v>170</v>
      </c>
      <c r="C72" s="33" t="s">
        <v>119</v>
      </c>
      <c r="D72" s="146"/>
      <c r="E72" s="146"/>
      <c r="F72" s="159">
        <v>0</v>
      </c>
      <c r="G72" s="159">
        <v>0</v>
      </c>
      <c r="H72" s="159"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146"/>
      <c r="Q72" s="146"/>
      <c r="R72" s="146"/>
      <c r="S72" s="146"/>
      <c r="T72" s="146"/>
    </row>
    <row r="73" spans="1:20" x14ac:dyDescent="0.2">
      <c r="A73" s="146"/>
      <c r="B73" s="36">
        <v>171</v>
      </c>
      <c r="C73" s="33" t="s">
        <v>147</v>
      </c>
      <c r="D73" s="146"/>
      <c r="E73" s="146"/>
      <c r="F73" s="159">
        <v>4.719875</v>
      </c>
      <c r="G73" s="159">
        <v>0</v>
      </c>
      <c r="H73" s="159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146"/>
      <c r="Q73" s="146"/>
      <c r="R73" s="146"/>
      <c r="S73" s="146"/>
      <c r="T73" s="146"/>
    </row>
    <row r="74" spans="1:20" x14ac:dyDescent="0.2">
      <c r="A74" s="146"/>
      <c r="B74" s="36">
        <v>172</v>
      </c>
      <c r="C74" s="33" t="s">
        <v>148</v>
      </c>
      <c r="D74" s="146"/>
      <c r="E74" s="146"/>
      <c r="F74" s="159">
        <v>0</v>
      </c>
      <c r="G74" s="159">
        <v>0</v>
      </c>
      <c r="H74" s="159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146"/>
      <c r="Q74" s="146"/>
      <c r="R74" s="146"/>
      <c r="S74" s="146"/>
      <c r="T74" s="146"/>
    </row>
    <row r="75" spans="1:20" x14ac:dyDescent="0.2">
      <c r="A75" s="146"/>
      <c r="B75" s="36">
        <v>174</v>
      </c>
      <c r="C75" s="33" t="s">
        <v>149</v>
      </c>
      <c r="D75" s="146"/>
      <c r="E75" s="146"/>
      <c r="F75" s="159">
        <v>0</v>
      </c>
      <c r="G75" s="159">
        <v>0</v>
      </c>
      <c r="H75" s="159">
        <v>0</v>
      </c>
      <c r="I75" s="91">
        <v>0</v>
      </c>
      <c r="J75" s="91">
        <v>0</v>
      </c>
      <c r="K75" s="91">
        <v>0</v>
      </c>
      <c r="L75" s="91">
        <v>0</v>
      </c>
      <c r="M75" s="91">
        <v>0</v>
      </c>
      <c r="N75" s="91">
        <v>0</v>
      </c>
      <c r="O75" s="91">
        <v>0</v>
      </c>
      <c r="P75" s="146"/>
      <c r="Q75" s="146"/>
      <c r="R75" s="146"/>
      <c r="S75" s="146"/>
      <c r="T75" s="146"/>
    </row>
    <row r="76" spans="1:20" x14ac:dyDescent="0.2">
      <c r="A76" s="146"/>
      <c r="B76" s="36">
        <v>175</v>
      </c>
      <c r="C76" s="33" t="s">
        <v>150</v>
      </c>
      <c r="D76" s="146"/>
      <c r="E76" s="146"/>
      <c r="F76" s="159">
        <v>0</v>
      </c>
      <c r="G76" s="159">
        <v>0</v>
      </c>
      <c r="H76" s="159">
        <v>0</v>
      </c>
      <c r="I76" s="91">
        <v>0</v>
      </c>
      <c r="J76" s="91">
        <v>0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  <c r="P76" s="146"/>
      <c r="Q76" s="146"/>
      <c r="R76" s="146"/>
      <c r="S76" s="146"/>
      <c r="T76" s="146"/>
    </row>
    <row r="77" spans="1:20" x14ac:dyDescent="0.2">
      <c r="A77" s="146"/>
      <c r="B77" s="36">
        <v>176</v>
      </c>
      <c r="C77" s="33" t="s">
        <v>151</v>
      </c>
      <c r="D77" s="146"/>
      <c r="E77" s="146"/>
      <c r="F77" s="159">
        <v>0</v>
      </c>
      <c r="G77" s="159">
        <v>0</v>
      </c>
      <c r="H77" s="159">
        <v>0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  <c r="P77" s="146"/>
      <c r="Q77" s="146"/>
      <c r="R77" s="146"/>
      <c r="S77" s="146"/>
      <c r="T77" s="146"/>
    </row>
    <row r="78" spans="1:20" x14ac:dyDescent="0.2">
      <c r="A78" s="146"/>
      <c r="B78" s="36">
        <v>177</v>
      </c>
      <c r="C78" s="33" t="s">
        <v>152</v>
      </c>
      <c r="D78" s="146"/>
      <c r="E78" s="146"/>
      <c r="F78" s="159">
        <v>0</v>
      </c>
      <c r="G78" s="159">
        <v>0</v>
      </c>
      <c r="H78" s="159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1">
        <v>0</v>
      </c>
      <c r="O78" s="91">
        <v>0</v>
      </c>
      <c r="P78" s="146"/>
      <c r="Q78" s="146"/>
      <c r="R78" s="146"/>
      <c r="S78" s="146"/>
      <c r="T78" s="146"/>
    </row>
    <row r="79" spans="1:20" x14ac:dyDescent="0.2">
      <c r="A79" s="146"/>
      <c r="B79" s="36">
        <v>200</v>
      </c>
      <c r="C79" s="33" t="s">
        <v>153</v>
      </c>
      <c r="D79" s="146"/>
      <c r="E79" s="146"/>
      <c r="F79" s="159">
        <v>0</v>
      </c>
      <c r="G79" s="159">
        <v>0</v>
      </c>
      <c r="H79" s="159">
        <v>0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91">
        <v>0</v>
      </c>
      <c r="O79" s="91">
        <v>0</v>
      </c>
      <c r="P79" s="146"/>
      <c r="Q79" s="146"/>
      <c r="R79" s="146"/>
      <c r="S79" s="146"/>
      <c r="T79" s="146"/>
    </row>
    <row r="80" spans="1:20" x14ac:dyDescent="0.2">
      <c r="A80" s="146"/>
      <c r="B80" s="36">
        <v>205</v>
      </c>
      <c r="C80" s="33" t="s">
        <v>154</v>
      </c>
      <c r="D80" s="146"/>
      <c r="E80" s="146"/>
      <c r="F80" s="159">
        <v>0</v>
      </c>
      <c r="G80" s="159">
        <v>0</v>
      </c>
      <c r="H80" s="159">
        <v>0</v>
      </c>
      <c r="I80" s="91">
        <v>0</v>
      </c>
      <c r="J80" s="91">
        <v>0</v>
      </c>
      <c r="K80" s="91">
        <v>0</v>
      </c>
      <c r="L80" s="91">
        <v>0</v>
      </c>
      <c r="M80" s="91">
        <v>0</v>
      </c>
      <c r="N80" s="91">
        <v>0</v>
      </c>
      <c r="O80" s="91">
        <v>0</v>
      </c>
      <c r="P80" s="146"/>
      <c r="Q80" s="146"/>
      <c r="R80" s="146"/>
      <c r="S80" s="146"/>
      <c r="T80" s="146"/>
    </row>
    <row r="81" spans="1:20" x14ac:dyDescent="0.2">
      <c r="A81" s="146"/>
      <c r="B81" s="36">
        <v>210</v>
      </c>
      <c r="C81" s="33" t="s">
        <v>155</v>
      </c>
      <c r="D81" s="146"/>
      <c r="E81" s="146"/>
      <c r="F81" s="159">
        <v>0</v>
      </c>
      <c r="G81" s="159">
        <v>0</v>
      </c>
      <c r="H81" s="159">
        <v>0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91">
        <v>0</v>
      </c>
      <c r="O81" s="91">
        <v>0</v>
      </c>
      <c r="P81" s="146"/>
      <c r="Q81" s="146"/>
      <c r="R81" s="146"/>
      <c r="S81" s="146"/>
      <c r="T81" s="146"/>
    </row>
    <row r="82" spans="1:20" x14ac:dyDescent="0.2">
      <c r="A82" s="146"/>
      <c r="B82" s="36">
        <v>215</v>
      </c>
      <c r="C82" s="33" t="s">
        <v>156</v>
      </c>
      <c r="D82" s="146"/>
      <c r="E82" s="146"/>
      <c r="F82" s="159">
        <v>0</v>
      </c>
      <c r="G82" s="159">
        <v>0</v>
      </c>
      <c r="H82" s="159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146"/>
      <c r="Q82" s="146"/>
      <c r="R82" s="146"/>
      <c r="S82" s="146"/>
      <c r="T82" s="146"/>
    </row>
    <row r="83" spans="1:20" x14ac:dyDescent="0.2">
      <c r="A83" s="146"/>
      <c r="B83" s="36">
        <v>220</v>
      </c>
      <c r="C83" s="33" t="s">
        <v>157</v>
      </c>
      <c r="D83" s="146"/>
      <c r="E83" s="146"/>
      <c r="F83" s="159">
        <v>0</v>
      </c>
      <c r="G83" s="159">
        <v>0</v>
      </c>
      <c r="H83" s="159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0</v>
      </c>
      <c r="P83" s="146"/>
      <c r="Q83" s="146"/>
      <c r="R83" s="146"/>
      <c r="S83" s="146"/>
      <c r="T83" s="146"/>
    </row>
    <row r="84" spans="1:20" x14ac:dyDescent="0.2">
      <c r="A84" s="146"/>
      <c r="B84" s="36">
        <v>225</v>
      </c>
      <c r="C84" s="33" t="s">
        <v>158</v>
      </c>
      <c r="D84" s="146"/>
      <c r="E84" s="146"/>
      <c r="F84" s="159">
        <v>0</v>
      </c>
      <c r="G84" s="159">
        <v>0</v>
      </c>
      <c r="H84" s="159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146"/>
      <c r="Q84" s="146"/>
      <c r="R84" s="146"/>
      <c r="S84" s="146"/>
      <c r="T84" s="146"/>
    </row>
    <row r="85" spans="1:20" x14ac:dyDescent="0.2">
      <c r="A85" s="146"/>
      <c r="B85" s="36">
        <v>230</v>
      </c>
      <c r="C85" s="33" t="s">
        <v>159</v>
      </c>
      <c r="D85" s="146"/>
      <c r="E85" s="146"/>
      <c r="F85" s="159">
        <v>0</v>
      </c>
      <c r="G85" s="159">
        <v>0</v>
      </c>
      <c r="H85" s="159">
        <v>0</v>
      </c>
      <c r="I85" s="91">
        <v>0</v>
      </c>
      <c r="J85" s="91">
        <v>0</v>
      </c>
      <c r="K85" s="91">
        <v>0</v>
      </c>
      <c r="L85" s="91">
        <v>0</v>
      </c>
      <c r="M85" s="91">
        <v>0</v>
      </c>
      <c r="N85" s="91">
        <v>0</v>
      </c>
      <c r="O85" s="91">
        <v>0</v>
      </c>
      <c r="P85" s="146"/>
      <c r="Q85" s="146"/>
      <c r="R85" s="146"/>
      <c r="S85" s="146"/>
      <c r="T85" s="146"/>
    </row>
    <row r="86" spans="1:20" x14ac:dyDescent="0.2">
      <c r="A86" s="146"/>
      <c r="B86" s="36">
        <v>235</v>
      </c>
      <c r="C86" s="33" t="s">
        <v>160</v>
      </c>
      <c r="D86" s="146"/>
      <c r="E86" s="146"/>
      <c r="F86" s="159">
        <v>0</v>
      </c>
      <c r="G86" s="159">
        <v>0</v>
      </c>
      <c r="H86" s="159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1">
        <v>0</v>
      </c>
      <c r="O86" s="91">
        <v>0</v>
      </c>
      <c r="P86" s="146"/>
      <c r="Q86" s="146"/>
      <c r="R86" s="146"/>
      <c r="S86" s="146"/>
      <c r="T86" s="146"/>
    </row>
    <row r="87" spans="1:20" x14ac:dyDescent="0.2">
      <c r="A87" s="146"/>
      <c r="B87" s="36">
        <v>240</v>
      </c>
      <c r="C87" s="33" t="s">
        <v>161</v>
      </c>
      <c r="D87" s="146"/>
      <c r="E87" s="146"/>
      <c r="F87" s="159">
        <v>0</v>
      </c>
      <c r="G87" s="159">
        <v>0</v>
      </c>
      <c r="H87" s="159">
        <v>0</v>
      </c>
      <c r="I87" s="91">
        <v>0</v>
      </c>
      <c r="J87" s="91">
        <v>0</v>
      </c>
      <c r="K87" s="91">
        <v>0</v>
      </c>
      <c r="L87" s="91">
        <v>0</v>
      </c>
      <c r="M87" s="91">
        <v>0</v>
      </c>
      <c r="N87" s="91">
        <v>0</v>
      </c>
      <c r="O87" s="91">
        <v>0</v>
      </c>
      <c r="P87" s="146"/>
      <c r="Q87" s="146"/>
      <c r="R87" s="146"/>
      <c r="S87" s="146"/>
      <c r="T87" s="146"/>
    </row>
    <row r="88" spans="1:20" x14ac:dyDescent="0.2">
      <c r="A88" s="146"/>
      <c r="B88" s="36">
        <v>245</v>
      </c>
      <c r="C88" s="33" t="s">
        <v>162</v>
      </c>
      <c r="D88" s="146"/>
      <c r="E88" s="146"/>
      <c r="F88" s="159">
        <v>0</v>
      </c>
      <c r="G88" s="159">
        <v>0</v>
      </c>
      <c r="H88" s="159">
        <v>0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91">
        <v>0</v>
      </c>
      <c r="O88" s="91">
        <v>0</v>
      </c>
      <c r="P88" s="146"/>
      <c r="Q88" s="146"/>
      <c r="R88" s="146"/>
      <c r="S88" s="146"/>
      <c r="T88" s="146"/>
    </row>
    <row r="89" spans="1:20" x14ac:dyDescent="0.2">
      <c r="A89" s="146"/>
      <c r="B89" s="36">
        <v>260</v>
      </c>
      <c r="C89" s="33" t="s">
        <v>163</v>
      </c>
      <c r="D89" s="146"/>
      <c r="E89" s="146"/>
      <c r="F89" s="159">
        <v>0</v>
      </c>
      <c r="G89" s="159">
        <v>0</v>
      </c>
      <c r="H89" s="159">
        <v>0</v>
      </c>
      <c r="I89" s="91">
        <v>0</v>
      </c>
      <c r="J89" s="91">
        <v>0</v>
      </c>
      <c r="K89" s="91">
        <v>0</v>
      </c>
      <c r="L89" s="91">
        <v>0</v>
      </c>
      <c r="M89" s="91">
        <v>0</v>
      </c>
      <c r="N89" s="91">
        <v>0</v>
      </c>
      <c r="O89" s="91">
        <v>0</v>
      </c>
      <c r="P89" s="146"/>
      <c r="Q89" s="146"/>
      <c r="R89" s="146"/>
      <c r="S89" s="146"/>
      <c r="T89" s="146"/>
    </row>
    <row r="90" spans="1:20" x14ac:dyDescent="0.2">
      <c r="A90" s="146"/>
      <c r="B90" s="36">
        <v>270</v>
      </c>
      <c r="C90" s="33" t="s">
        <v>164</v>
      </c>
      <c r="D90" s="146"/>
      <c r="E90" s="146"/>
      <c r="F90" s="159">
        <v>0</v>
      </c>
      <c r="G90" s="159">
        <v>0</v>
      </c>
      <c r="H90" s="159">
        <v>0</v>
      </c>
      <c r="I90" s="91">
        <v>0</v>
      </c>
      <c r="J90" s="91">
        <v>0</v>
      </c>
      <c r="K90" s="91">
        <v>0</v>
      </c>
      <c r="L90" s="91">
        <v>0</v>
      </c>
      <c r="M90" s="91">
        <v>0</v>
      </c>
      <c r="N90" s="91">
        <v>0</v>
      </c>
      <c r="O90" s="91">
        <v>0</v>
      </c>
      <c r="P90" s="146"/>
      <c r="Q90" s="146"/>
      <c r="R90" s="146"/>
      <c r="S90" s="146"/>
      <c r="T90" s="146"/>
    </row>
    <row r="91" spans="1:20" x14ac:dyDescent="0.2">
      <c r="A91" s="146"/>
      <c r="B91" s="36">
        <v>273</v>
      </c>
      <c r="C91" s="33" t="s">
        <v>165</v>
      </c>
      <c r="D91" s="146"/>
      <c r="E91" s="146"/>
      <c r="F91" s="159">
        <v>0</v>
      </c>
      <c r="G91" s="159">
        <v>0</v>
      </c>
      <c r="H91" s="159">
        <v>0</v>
      </c>
      <c r="I91" s="91">
        <v>0</v>
      </c>
      <c r="J91" s="91">
        <v>0</v>
      </c>
      <c r="K91" s="91">
        <v>0</v>
      </c>
      <c r="L91" s="91">
        <v>0</v>
      </c>
      <c r="M91" s="91">
        <v>0</v>
      </c>
      <c r="N91" s="91">
        <v>0</v>
      </c>
      <c r="O91" s="91">
        <v>0</v>
      </c>
      <c r="P91" s="146"/>
      <c r="Q91" s="146"/>
      <c r="R91" s="146"/>
      <c r="S91" s="146"/>
      <c r="T91" s="146"/>
    </row>
    <row r="92" spans="1:20" x14ac:dyDescent="0.2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</row>
    <row r="93" spans="1:20" x14ac:dyDescent="0.2">
      <c r="A93" s="146"/>
      <c r="B93" s="36" t="s">
        <v>227</v>
      </c>
      <c r="C93" s="33" t="s">
        <v>217</v>
      </c>
      <c r="D93" s="146"/>
      <c r="E93" s="146"/>
      <c r="F93" s="91">
        <v>73957.088493999297</v>
      </c>
      <c r="G93" s="91">
        <v>98532.643742360859</v>
      </c>
      <c r="H93" s="91">
        <v>114328.02097371664</v>
      </c>
      <c r="I93" s="91">
        <v>105012.32601919753</v>
      </c>
      <c r="J93" s="91">
        <v>104563.27913856549</v>
      </c>
      <c r="K93" s="91">
        <v>62487.770507249523</v>
      </c>
      <c r="L93" s="91">
        <v>107858.78968868573</v>
      </c>
      <c r="M93" s="91">
        <v>107860.53525342775</v>
      </c>
      <c r="N93" s="91">
        <v>107860.832868941</v>
      </c>
      <c r="O93" s="91">
        <v>107860.19708637739</v>
      </c>
      <c r="P93" s="146"/>
      <c r="Q93" s="146"/>
      <c r="R93" s="146"/>
      <c r="S93" s="146"/>
      <c r="T93" s="146"/>
    </row>
    <row r="94" spans="1:20" x14ac:dyDescent="0.2">
      <c r="A94" s="146"/>
      <c r="B94" s="36" t="s">
        <v>227</v>
      </c>
      <c r="C94" s="33" t="s">
        <v>228</v>
      </c>
      <c r="D94" s="146"/>
      <c r="E94" s="146"/>
      <c r="F94" s="91">
        <v>37530.003777173319</v>
      </c>
      <c r="G94" s="91">
        <v>43118.521500000003</v>
      </c>
      <c r="H94" s="91">
        <v>53633.649530000002</v>
      </c>
      <c r="I94" s="91">
        <v>47667.238100305243</v>
      </c>
      <c r="J94" s="91">
        <v>47667.238100305243</v>
      </c>
      <c r="K94" s="91">
        <v>28382.159087072145</v>
      </c>
      <c r="L94" s="91">
        <v>50622.683214527977</v>
      </c>
      <c r="M94" s="91">
        <v>51478.104822027446</v>
      </c>
      <c r="N94" s="91">
        <v>51698.85839737449</v>
      </c>
      <c r="O94" s="91">
        <v>51458.607766279005</v>
      </c>
      <c r="P94" s="146"/>
      <c r="Q94" s="146"/>
      <c r="R94" s="146"/>
      <c r="S94" s="146"/>
      <c r="T94" s="146"/>
    </row>
    <row r="95" spans="1:20" x14ac:dyDescent="0.2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</row>
    <row r="96" spans="1:20" ht="15.75" x14ac:dyDescent="0.25">
      <c r="A96" s="28"/>
      <c r="B96" s="28" t="s">
        <v>309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146"/>
      <c r="S96" s="146"/>
      <c r="T96" s="146"/>
    </row>
    <row r="97" spans="1:17" x14ac:dyDescent="0.2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</row>
    <row r="98" spans="1:17" x14ac:dyDescent="0.2">
      <c r="A98" s="146"/>
      <c r="B98" s="146"/>
      <c r="C98" s="146" t="s">
        <v>231</v>
      </c>
      <c r="D98" s="146"/>
      <c r="E98" s="146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46"/>
      <c r="Q98" s="146"/>
    </row>
    <row r="99" spans="1:17" x14ac:dyDescent="0.2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</row>
    <row r="100" spans="1:17" hidden="1" x14ac:dyDescent="0.2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</row>
    <row r="101" spans="1:17" hidden="1" x14ac:dyDescent="0.2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</row>
    <row r="102" spans="1:17" hidden="1" x14ac:dyDescent="0.2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</row>
    <row r="103" spans="1:17" hidden="1" x14ac:dyDescent="0.2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</row>
    <row r="104" spans="1:17" hidden="1" x14ac:dyDescent="0.2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</row>
    <row r="105" spans="1:17" hidden="1" x14ac:dyDescent="0.2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</row>
    <row r="106" spans="1:17" hidden="1" x14ac:dyDescent="0.2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</row>
    <row r="107" spans="1:17" hidden="1" x14ac:dyDescent="0.2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</row>
    <row r="108" spans="1:17" hidden="1" x14ac:dyDescent="0.2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</row>
    <row r="109" spans="1:17" hidden="1" x14ac:dyDescent="0.2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</row>
    <row r="110" spans="1:17" hidden="1" x14ac:dyDescent="0.2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</row>
  </sheetData>
  <mergeCells count="2">
    <mergeCell ref="B6:B7"/>
    <mergeCell ref="C6:C7"/>
  </mergeCells>
  <conditionalFormatting sqref="O2">
    <cfRule type="expression" dxfId="0" priority="1">
      <formula>O2="Check!"</formula>
    </cfRule>
  </conditionalFormatting>
  <hyperlinks>
    <hyperlink ref="O1" location="Menu!A1" display="Menu" xr:uid="{00000000-0004-0000-1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52"/>
  <sheetViews>
    <sheetView workbookViewId="0"/>
  </sheetViews>
  <sheetFormatPr defaultColWidth="0" defaultRowHeight="0" customHeight="1" zeroHeight="1" x14ac:dyDescent="0.2"/>
  <cols>
    <col min="1" max="1" width="5.28515625" style="27" customWidth="1"/>
    <col min="2" max="2" width="14" style="27" customWidth="1"/>
    <col min="3" max="3" width="13.28515625" style="27" customWidth="1"/>
    <col min="4" max="4" width="9.140625" style="27" customWidth="1"/>
    <col min="5" max="6" width="12.7109375" style="27" customWidth="1"/>
    <col min="7" max="7" width="9.5703125" style="27" customWidth="1"/>
    <col min="8" max="8" width="13.140625" style="27" customWidth="1"/>
    <col min="9" max="9" width="13.42578125" style="27" customWidth="1"/>
    <col min="10" max="11" width="10.28515625" style="27" customWidth="1"/>
    <col min="12" max="14" width="0" style="27" hidden="1" customWidth="1"/>
    <col min="15" max="16384" width="10.28515625" style="27" hidden="1"/>
  </cols>
  <sheetData>
    <row r="1" spans="1:14" ht="18" x14ac:dyDescent="0.25">
      <c r="A1" s="26" t="s">
        <v>386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x14ac:dyDescent="0.25">
      <c r="A2" s="28" t="str">
        <f ca="1">RIGHT(CELL("filename", $A$1), LEN(CELL("filename", $A$1)) - SEARCH("]", CELL("filename", $A$1)))</f>
        <v>Menu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2.7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8" x14ac:dyDescent="0.25">
      <c r="A5" s="29"/>
      <c r="B5" s="248" t="s">
        <v>37</v>
      </c>
      <c r="C5" s="248"/>
      <c r="D5" s="32"/>
      <c r="E5" s="249" t="s">
        <v>40</v>
      </c>
      <c r="F5" s="249"/>
      <c r="G5" s="32"/>
      <c r="H5" s="247" t="s">
        <v>41</v>
      </c>
      <c r="I5" s="247"/>
      <c r="J5" s="29"/>
      <c r="K5" s="29"/>
      <c r="L5" s="29"/>
      <c r="M5" s="29"/>
      <c r="N5" s="29"/>
    </row>
    <row r="6" spans="1:14" ht="12.75" x14ac:dyDescent="0.2">
      <c r="A6" s="29"/>
      <c r="B6" s="242" t="s">
        <v>38</v>
      </c>
      <c r="C6" s="242"/>
      <c r="D6" s="31"/>
      <c r="E6" s="242"/>
      <c r="F6" s="242"/>
      <c r="G6" s="31"/>
      <c r="H6" s="242" t="s">
        <v>169</v>
      </c>
      <c r="I6" s="242"/>
      <c r="J6" s="39" t="str">
        <f>Inflation!M2</f>
        <v>OK</v>
      </c>
      <c r="K6" s="29"/>
      <c r="L6" s="29"/>
      <c r="M6" s="29"/>
      <c r="N6" s="29"/>
    </row>
    <row r="7" spans="1:14" ht="12.75" x14ac:dyDescent="0.2">
      <c r="A7" s="29"/>
      <c r="B7" s="242" t="s">
        <v>39</v>
      </c>
      <c r="C7" s="242"/>
      <c r="D7" s="31"/>
      <c r="E7" s="242"/>
      <c r="F7" s="242"/>
      <c r="G7" s="31"/>
      <c r="H7" s="242" t="s">
        <v>330</v>
      </c>
      <c r="I7" s="242"/>
      <c r="J7" s="39" t="str">
        <f>'Historical Expenditure-Volumes'!K2</f>
        <v>OK</v>
      </c>
      <c r="K7" s="29"/>
      <c r="L7" s="29"/>
      <c r="M7" s="29"/>
      <c r="N7" s="29"/>
    </row>
    <row r="8" spans="1:14" ht="12.75" x14ac:dyDescent="0.2">
      <c r="A8" s="29"/>
      <c r="B8" s="242"/>
      <c r="C8" s="242"/>
      <c r="D8" s="31"/>
      <c r="E8" s="245"/>
      <c r="F8" s="245"/>
      <c r="G8" s="31"/>
      <c r="H8" s="242" t="s">
        <v>225</v>
      </c>
      <c r="I8" s="242"/>
      <c r="J8" s="39" t="str">
        <f>'Historical Contributions'!F2</f>
        <v>OK</v>
      </c>
      <c r="K8" s="29"/>
      <c r="L8" s="29"/>
      <c r="M8" s="29"/>
      <c r="N8" s="29"/>
    </row>
    <row r="9" spans="1:14" ht="12.75" x14ac:dyDescent="0.2">
      <c r="A9" s="29"/>
      <c r="B9" s="246"/>
      <c r="C9" s="246"/>
      <c r="D9" s="31"/>
      <c r="E9" s="31"/>
      <c r="F9" s="31"/>
      <c r="G9" s="31"/>
      <c r="H9" s="242" t="s">
        <v>331</v>
      </c>
      <c r="I9" s="242"/>
      <c r="K9" s="29"/>
      <c r="L9" s="29"/>
      <c r="M9" s="29"/>
      <c r="N9" s="29"/>
    </row>
    <row r="10" spans="1:14" ht="12.75" x14ac:dyDescent="0.2">
      <c r="A10" s="29"/>
      <c r="B10" s="31"/>
      <c r="C10" s="31"/>
      <c r="D10" s="31"/>
      <c r="E10" s="31"/>
      <c r="F10" s="31"/>
      <c r="G10" s="31"/>
      <c r="H10" s="242" t="s">
        <v>170</v>
      </c>
      <c r="I10" s="242"/>
      <c r="J10" s="29"/>
      <c r="K10" s="29"/>
      <c r="L10" s="29"/>
      <c r="M10" s="29"/>
      <c r="N10" s="29"/>
    </row>
    <row r="11" spans="1:14" ht="12.75" x14ac:dyDescent="0.2">
      <c r="A11" s="29"/>
      <c r="B11" s="32"/>
      <c r="C11" s="32"/>
      <c r="D11" s="32"/>
      <c r="E11" s="32"/>
      <c r="F11" s="32"/>
      <c r="G11" s="32"/>
      <c r="H11" s="243"/>
      <c r="I11" s="243"/>
      <c r="J11" s="39"/>
      <c r="K11" s="29"/>
      <c r="L11" s="29"/>
      <c r="M11" s="29"/>
      <c r="N11" s="29"/>
    </row>
    <row r="12" spans="1:14" ht="12.75" x14ac:dyDescent="0.2">
      <c r="A12" s="29"/>
      <c r="B12" s="32"/>
      <c r="C12" s="32"/>
      <c r="D12" s="32"/>
      <c r="E12" s="32"/>
      <c r="F12" s="32"/>
      <c r="G12" s="32"/>
      <c r="H12" s="243"/>
      <c r="I12" s="243"/>
      <c r="J12" s="29"/>
      <c r="K12" s="29"/>
      <c r="L12" s="29"/>
      <c r="M12" s="29"/>
      <c r="N12" s="29"/>
    </row>
    <row r="13" spans="1:14" ht="18" x14ac:dyDescent="0.25">
      <c r="A13" s="29"/>
      <c r="B13" s="253" t="s">
        <v>42</v>
      </c>
      <c r="C13" s="254"/>
      <c r="D13" s="46"/>
      <c r="E13" s="255" t="s">
        <v>43</v>
      </c>
      <c r="F13" s="255"/>
      <c r="G13" s="32"/>
      <c r="H13" s="244" t="s">
        <v>354</v>
      </c>
      <c r="I13" s="244"/>
      <c r="J13" s="29"/>
      <c r="K13" s="29"/>
      <c r="L13" s="29"/>
      <c r="M13" s="29"/>
      <c r="N13" s="29"/>
    </row>
    <row r="14" spans="1:14" ht="12.75" x14ac:dyDescent="0.2">
      <c r="A14" s="29"/>
      <c r="B14" s="242" t="s">
        <v>174</v>
      </c>
      <c r="C14" s="242"/>
      <c r="D14" s="39" t="str">
        <f>'Function Code Mapping'!D2</f>
        <v>OK</v>
      </c>
      <c r="E14" s="242"/>
      <c r="F14" s="242"/>
      <c r="H14" s="250" t="s">
        <v>355</v>
      </c>
      <c r="I14" s="251"/>
      <c r="J14" s="29"/>
      <c r="K14" s="29"/>
      <c r="L14" s="29"/>
      <c r="M14" s="29"/>
      <c r="N14" s="29"/>
    </row>
    <row r="15" spans="1:14" ht="12.75" x14ac:dyDescent="0.2">
      <c r="A15" s="29"/>
      <c r="B15" s="242" t="s">
        <v>214</v>
      </c>
      <c r="C15" s="242"/>
      <c r="E15" s="242" t="s">
        <v>310</v>
      </c>
      <c r="F15" s="242"/>
      <c r="G15" s="39" t="str">
        <f ca="1">'Expenditure &amp; Volume Output'!O2</f>
        <v>OK</v>
      </c>
      <c r="H15" s="250" t="s">
        <v>385</v>
      </c>
      <c r="I15" s="251"/>
      <c r="J15" s="29"/>
      <c r="K15" s="29"/>
      <c r="L15" s="29"/>
      <c r="M15" s="29"/>
      <c r="N15" s="29"/>
    </row>
    <row r="16" spans="1:14" ht="12.75" x14ac:dyDescent="0.2">
      <c r="A16" s="29"/>
      <c r="B16" s="242" t="s">
        <v>196</v>
      </c>
      <c r="C16" s="242"/>
      <c r="D16" s="31"/>
      <c r="E16" s="242" t="s">
        <v>384</v>
      </c>
      <c r="F16" s="242"/>
      <c r="G16" s="39"/>
      <c r="H16" s="252"/>
      <c r="I16" s="252"/>
      <c r="J16" s="29"/>
      <c r="K16" s="29"/>
      <c r="L16" s="29"/>
      <c r="M16" s="29"/>
      <c r="N16" s="29"/>
    </row>
    <row r="17" spans="1:14" ht="12.75" x14ac:dyDescent="0.2">
      <c r="A17" s="29"/>
      <c r="B17" s="242" t="s">
        <v>332</v>
      </c>
      <c r="C17" s="242"/>
      <c r="D17" s="39" t="str">
        <f>'Forecast Expenditure-Volumes'!N2</f>
        <v>OK</v>
      </c>
      <c r="E17" s="242" t="s">
        <v>311</v>
      </c>
      <c r="F17" s="242"/>
      <c r="G17" s="39" t="e">
        <f>#REF!</f>
        <v>#REF!</v>
      </c>
      <c r="H17" s="32"/>
      <c r="I17" s="32"/>
      <c r="J17" s="61"/>
      <c r="K17" s="29"/>
      <c r="L17" s="29"/>
      <c r="M17" s="29"/>
      <c r="N17" s="29"/>
    </row>
    <row r="18" spans="1:14" ht="12.75" x14ac:dyDescent="0.2">
      <c r="A18" s="29"/>
      <c r="B18" s="242" t="s">
        <v>356</v>
      </c>
      <c r="C18" s="242"/>
      <c r="D18" s="39"/>
      <c r="E18" s="242"/>
      <c r="F18" s="242"/>
      <c r="G18" s="29"/>
      <c r="H18" s="32"/>
      <c r="I18" s="32"/>
      <c r="J18" s="61"/>
      <c r="K18" s="29"/>
      <c r="L18" s="29"/>
      <c r="M18" s="29"/>
      <c r="N18" s="29"/>
    </row>
    <row r="19" spans="1:14" ht="12.75" x14ac:dyDescent="0.2">
      <c r="A19" s="29"/>
      <c r="B19" s="242" t="s">
        <v>383</v>
      </c>
      <c r="C19" s="242"/>
      <c r="D19" s="39"/>
      <c r="E19" s="242"/>
      <c r="F19" s="242"/>
      <c r="G19" s="29"/>
      <c r="H19" s="32"/>
      <c r="I19" s="32"/>
      <c r="J19" s="61"/>
      <c r="K19" s="29"/>
      <c r="L19" s="29"/>
      <c r="M19" s="29"/>
      <c r="N19" s="29"/>
    </row>
    <row r="20" spans="1:14" ht="12.75" x14ac:dyDescent="0.2">
      <c r="A20" s="29"/>
      <c r="B20" s="45"/>
      <c r="C20" s="45"/>
      <c r="D20" s="31"/>
      <c r="E20" s="242"/>
      <c r="F20" s="242"/>
      <c r="G20" s="29"/>
      <c r="H20" s="32"/>
      <c r="I20" s="32"/>
      <c r="J20" s="61"/>
      <c r="K20" s="29"/>
      <c r="L20" s="29"/>
      <c r="M20" s="29"/>
      <c r="N20" s="29"/>
    </row>
    <row r="21" spans="1:14" ht="12.75" x14ac:dyDescent="0.2">
      <c r="A21" s="29"/>
      <c r="B21" s="29"/>
      <c r="C21" s="29"/>
      <c r="D21" s="31"/>
      <c r="E21" s="29"/>
      <c r="F21" s="29"/>
      <c r="G21" s="29"/>
      <c r="H21" s="32"/>
      <c r="I21" s="32"/>
      <c r="J21" s="61"/>
      <c r="K21" s="29"/>
      <c r="L21" s="29"/>
      <c r="M21" s="29"/>
      <c r="N21" s="29"/>
    </row>
    <row r="22" spans="1:14" ht="12.75" x14ac:dyDescent="0.2">
      <c r="A22" s="29"/>
      <c r="B22" s="29"/>
      <c r="C22" s="29"/>
      <c r="D22" s="29"/>
      <c r="E22" s="29"/>
      <c r="F22" s="29"/>
      <c r="G22" s="29"/>
      <c r="H22" s="32"/>
      <c r="I22" s="46"/>
      <c r="J22" s="29"/>
      <c r="K22" s="29"/>
      <c r="L22" s="29"/>
      <c r="M22" s="29"/>
      <c r="N22" s="29"/>
    </row>
    <row r="23" spans="1:14" ht="12.75" hidden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2.75" hidden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2.75" hidden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2.75" hidden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2.75" hidden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2.75" hidden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2.75" hidden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2.75" hidden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2.75" hidden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2.75" hidden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ht="12.75" hidden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ht="12.75" hidden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ht="12.75" hidden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2.75" hidden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2.75" hidden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2.75" hidden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2.75" hidden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ht="12.75" hidden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2.75" hidden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2.75" hidden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ht="12.75" hidden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2.75" hidden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ht="12.75" hidden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ht="12.75" hidden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2.75" hidden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2.75" hidden="1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ht="12.75" customHeight="1" x14ac:dyDescent="0.2">
      <c r="A49" s="29"/>
      <c r="B49" s="29"/>
      <c r="C49" s="29"/>
      <c r="D49" s="29"/>
      <c r="E49" s="29"/>
      <c r="F49" s="29"/>
      <c r="G49" s="29"/>
      <c r="H49" s="75"/>
      <c r="I49" s="89"/>
      <c r="J49" s="29"/>
      <c r="K49" s="29"/>
    </row>
    <row r="50" spans="1:11" ht="12.7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2.7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ht="0" hidden="1" customHeight="1" x14ac:dyDescent="0.2">
      <c r="H52" s="29"/>
      <c r="I52" s="29"/>
    </row>
  </sheetData>
  <mergeCells count="36">
    <mergeCell ref="B19:C19"/>
    <mergeCell ref="B13:C13"/>
    <mergeCell ref="E13:F13"/>
    <mergeCell ref="B14:C14"/>
    <mergeCell ref="E16:F16"/>
    <mergeCell ref="E14:F14"/>
    <mergeCell ref="H14:I14"/>
    <mergeCell ref="H15:I15"/>
    <mergeCell ref="H16:I16"/>
    <mergeCell ref="H11:I11"/>
    <mergeCell ref="H9:I9"/>
    <mergeCell ref="H5:I5"/>
    <mergeCell ref="B6:C6"/>
    <mergeCell ref="E6:F6"/>
    <mergeCell ref="H6:I6"/>
    <mergeCell ref="B7:C7"/>
    <mergeCell ref="B5:C5"/>
    <mergeCell ref="E5:F5"/>
    <mergeCell ref="E7:F7"/>
    <mergeCell ref="H7:I7"/>
    <mergeCell ref="E20:F20"/>
    <mergeCell ref="B8:C8"/>
    <mergeCell ref="E19:F19"/>
    <mergeCell ref="H12:I12"/>
    <mergeCell ref="H13:I13"/>
    <mergeCell ref="H10:I10"/>
    <mergeCell ref="E18:F18"/>
    <mergeCell ref="B18:C18"/>
    <mergeCell ref="B17:C17"/>
    <mergeCell ref="E17:F17"/>
    <mergeCell ref="B15:C15"/>
    <mergeCell ref="E15:F15"/>
    <mergeCell ref="E8:F8"/>
    <mergeCell ref="H8:I8"/>
    <mergeCell ref="B9:C9"/>
    <mergeCell ref="B16:C16"/>
  </mergeCells>
  <conditionalFormatting sqref="D14">
    <cfRule type="expression" dxfId="20" priority="19">
      <formula>D14="Check!"</formula>
    </cfRule>
  </conditionalFormatting>
  <conditionalFormatting sqref="D17">
    <cfRule type="expression" dxfId="19" priority="17">
      <formula>D17="Check!"</formula>
    </cfRule>
  </conditionalFormatting>
  <conditionalFormatting sqref="J6">
    <cfRule type="expression" dxfId="18" priority="16">
      <formula>J6="Check!"</formula>
    </cfRule>
  </conditionalFormatting>
  <conditionalFormatting sqref="D18">
    <cfRule type="expression" dxfId="17" priority="15">
      <formula>D18="Check!"</formula>
    </cfRule>
  </conditionalFormatting>
  <conditionalFormatting sqref="G15:G16">
    <cfRule type="expression" dxfId="16" priority="14">
      <formula>G15="Check!"</formula>
    </cfRule>
  </conditionalFormatting>
  <conditionalFormatting sqref="J11">
    <cfRule type="expression" dxfId="15" priority="13">
      <formula>J11="Check!"</formula>
    </cfRule>
  </conditionalFormatting>
  <conditionalFormatting sqref="D19">
    <cfRule type="expression" dxfId="14" priority="12">
      <formula>D19="Check!"</formula>
    </cfRule>
  </conditionalFormatting>
  <conditionalFormatting sqref="J7">
    <cfRule type="expression" dxfId="13" priority="11">
      <formula>J7="Check!"</formula>
    </cfRule>
  </conditionalFormatting>
  <conditionalFormatting sqref="G17">
    <cfRule type="expression" dxfId="12" priority="6">
      <formula>G17="Check!"</formula>
    </cfRule>
  </conditionalFormatting>
  <conditionalFormatting sqref="J8">
    <cfRule type="expression" dxfId="11" priority="5">
      <formula>J8="Check!"</formula>
    </cfRule>
  </conditionalFormatting>
  <conditionalFormatting sqref="G17">
    <cfRule type="expression" dxfId="10" priority="4">
      <formula>G17="Check!"</formula>
    </cfRule>
  </conditionalFormatting>
  <hyperlinks>
    <hyperlink ref="B6:C6" location="Legend!A1" display="Legend" xr:uid="{00000000-0004-0000-0100-000000000000}"/>
    <hyperlink ref="H6:I6" location="Inflation!A1" display="Inflation" xr:uid="{00000000-0004-0000-0100-000001000000}"/>
    <hyperlink ref="H7:I7" location="'Historical Expenditure-Volumes'!A1" display="Historical Expenditure-Volumes" xr:uid="{00000000-0004-0000-0100-000002000000}"/>
    <hyperlink ref="H10:I10" location="'Major Projects'!A1" display="Major Projects" xr:uid="{00000000-0004-0000-0100-000003000000}"/>
    <hyperlink ref="B14:C14" location="'Function Code Mapping'!A1" display="Function Code Mapping" xr:uid="{00000000-0004-0000-0100-000004000000}"/>
    <hyperlink ref="B15:C15" location="'Growth Rates'!A1" display="Growth Rates" xr:uid="{00000000-0004-0000-0100-000005000000}"/>
    <hyperlink ref="E15:F15" location="'Expenditure &amp; Volume Output'!A1" display="Expenditure &amp; Volume Output" xr:uid="{00000000-0004-0000-0100-000006000000}"/>
    <hyperlink ref="E16:F16" location="'Direct Capex'!A1" display="Direct Capex" xr:uid="{00000000-0004-0000-0100-000007000000}"/>
    <hyperlink ref="B17:C17" location="'Forecast Expenditure-Volumes'!A1" display="Forecast Expenditure-Volumes" xr:uid="{00000000-0004-0000-0100-000008000000}"/>
    <hyperlink ref="B16:C16" location="'Unit Rates'!A1" display="Unit Rates" xr:uid="{00000000-0004-0000-0100-000009000000}"/>
    <hyperlink ref="H9:I9" location="'ACIF Growth Figures'!A1" display="ACIF Growth Figures" xr:uid="{00000000-0004-0000-0100-00000A000000}"/>
    <hyperlink ref="H8:I8" location="'Historical Contributions'!A1" display="Historical Contributions" xr:uid="{00000000-0004-0000-0100-00000B000000}"/>
    <hyperlink ref="B18:C18" location="'Forecast Contributions'!A1" display="Forecast Contributions" xr:uid="{00000000-0004-0000-0100-00000C000000}"/>
    <hyperlink ref="E17:F17" location="'Reset RIN 2.5 Connections'!A1" display="Reset RIN 2.5 Connections" xr:uid="{00000000-0004-0000-0100-00000D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8" tint="0.59999389629810485"/>
  </sheetPr>
  <dimension ref="A1:S52"/>
  <sheetViews>
    <sheetView tabSelected="1" workbookViewId="0"/>
  </sheetViews>
  <sheetFormatPr defaultColWidth="0" defaultRowHeight="12.75" zeroHeight="1" x14ac:dyDescent="0.2"/>
  <cols>
    <col min="1" max="1" width="3.7109375" customWidth="1"/>
    <col min="2" max="2" width="24.28515625" customWidth="1"/>
    <col min="3" max="13" width="9.140625" customWidth="1"/>
    <col min="14" max="14" width="3.7109375" customWidth="1"/>
    <col min="15" max="15" width="9.140625" hidden="1" customWidth="1"/>
    <col min="16" max="19" width="0" hidden="1" customWidth="1"/>
    <col min="20" max="16384" width="9.140625" hidden="1"/>
  </cols>
  <sheetData>
    <row r="1" spans="1:15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39" t="s">
        <v>351</v>
      </c>
      <c r="J1" s="239"/>
      <c r="K1" s="26"/>
      <c r="L1" s="26"/>
      <c r="M1" s="30" t="s">
        <v>39</v>
      </c>
      <c r="N1" s="26"/>
      <c r="O1" s="26"/>
    </row>
    <row r="2" spans="1:15" ht="15.75" x14ac:dyDescent="0.25">
      <c r="A2" s="28" t="str">
        <f ca="1">RIGHT(CELL("filename", $A$1), LEN(CELL("filename", $A$1)) - SEARCH("]", CELL("filename", $A$1)))</f>
        <v>Inflation</v>
      </c>
      <c r="B2" s="28"/>
      <c r="C2" s="28"/>
      <c r="D2" s="28"/>
      <c r="E2" s="28"/>
      <c r="F2" s="28"/>
      <c r="G2" s="28"/>
      <c r="H2" s="28"/>
      <c r="I2" s="240" t="s">
        <v>352</v>
      </c>
      <c r="J2" s="240"/>
      <c r="K2" s="28"/>
      <c r="L2" s="38" t="s">
        <v>82</v>
      </c>
      <c r="M2" s="40" t="str">
        <f>IF(COUNTIF(C9:M9,"=0")&gt;0,"Check!","OK")</f>
        <v>OK</v>
      </c>
      <c r="N2" s="28"/>
      <c r="O2" s="28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A4" s="3"/>
      <c r="B4" s="47" t="s">
        <v>171</v>
      </c>
      <c r="C4" s="120">
        <v>2021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3"/>
      <c r="O4" s="3"/>
    </row>
    <row r="5" spans="1:15" x14ac:dyDescent="0.2">
      <c r="A5" s="3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3"/>
      <c r="O5" s="3"/>
    </row>
    <row r="6" spans="1:15" x14ac:dyDescent="0.2">
      <c r="A6" s="3"/>
      <c r="B6" s="34" t="s">
        <v>343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3"/>
      <c r="O6" s="3"/>
    </row>
    <row r="7" spans="1:15" ht="18" customHeight="1" x14ac:dyDescent="0.2">
      <c r="A7" s="3"/>
      <c r="B7" s="35" t="s">
        <v>347</v>
      </c>
      <c r="C7" s="141" t="str">
        <f>"FY"&amp;RIGHT(C8,2)&amp;"/"&amp;RIGHT(C8+1,2)</f>
        <v>FY11/12</v>
      </c>
      <c r="D7" s="141" t="str">
        <f t="shared" ref="D7:M7" si="0">"FY"&amp;RIGHT(D8,2)&amp;"/"&amp;RIGHT(D8+1,2)</f>
        <v>FY12/13</v>
      </c>
      <c r="E7" s="141" t="str">
        <f t="shared" si="0"/>
        <v>FY13/14</v>
      </c>
      <c r="F7" s="141" t="str">
        <f t="shared" si="0"/>
        <v>FY14/15</v>
      </c>
      <c r="G7" s="141" t="str">
        <f t="shared" si="0"/>
        <v>FY15/16</v>
      </c>
      <c r="H7" s="141" t="str">
        <f t="shared" si="0"/>
        <v>FY16/17</v>
      </c>
      <c r="I7" s="141" t="str">
        <f t="shared" si="0"/>
        <v>FY17/18</v>
      </c>
      <c r="J7" s="141" t="str">
        <f t="shared" si="0"/>
        <v>FY18/19</v>
      </c>
      <c r="K7" s="141" t="str">
        <f t="shared" si="0"/>
        <v>FY19/20</v>
      </c>
      <c r="L7" s="141" t="str">
        <f t="shared" si="0"/>
        <v>FY20/21</v>
      </c>
      <c r="M7" s="141" t="str">
        <f t="shared" si="0"/>
        <v>FY21/22</v>
      </c>
      <c r="N7" s="3"/>
      <c r="O7" s="3"/>
    </row>
    <row r="8" spans="1:15" x14ac:dyDescent="0.2">
      <c r="A8" s="3"/>
      <c r="B8" s="35" t="s">
        <v>349</v>
      </c>
      <c r="C8" s="2">
        <v>2011</v>
      </c>
      <c r="D8" s="2">
        <f>C8+1</f>
        <v>2012</v>
      </c>
      <c r="E8" s="2">
        <f t="shared" ref="E8:M8" si="1">D8+1</f>
        <v>2013</v>
      </c>
      <c r="F8" s="2">
        <f t="shared" si="1"/>
        <v>2014</v>
      </c>
      <c r="G8" s="2">
        <f t="shared" si="1"/>
        <v>2015</v>
      </c>
      <c r="H8" s="2">
        <f t="shared" si="1"/>
        <v>2016</v>
      </c>
      <c r="I8" s="2">
        <f t="shared" si="1"/>
        <v>2017</v>
      </c>
      <c r="J8" s="2">
        <f t="shared" si="1"/>
        <v>2018</v>
      </c>
      <c r="K8" s="2">
        <f t="shared" si="1"/>
        <v>2019</v>
      </c>
      <c r="L8" s="2">
        <f>K8+1</f>
        <v>2020</v>
      </c>
      <c r="M8" s="2">
        <f t="shared" si="1"/>
        <v>2021</v>
      </c>
      <c r="N8" s="3"/>
      <c r="O8" s="3"/>
    </row>
    <row r="9" spans="1:15" x14ac:dyDescent="0.2">
      <c r="A9" s="3"/>
      <c r="B9" s="50" t="s">
        <v>169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3"/>
      <c r="O9" s="3"/>
    </row>
    <row r="10" spans="1:15" x14ac:dyDescent="0.2">
      <c r="A10" s="3"/>
      <c r="B10" s="50" t="str">
        <f>"Conversion Factor to" &amp; " " &amp;C4</f>
        <v>Conversion Factor to 2021</v>
      </c>
      <c r="C10" s="241">
        <v>1.2110027534934977</v>
      </c>
      <c r="D10" s="241">
        <v>1.1698259597570968</v>
      </c>
      <c r="E10" s="241">
        <v>1.1468431314711027</v>
      </c>
      <c r="F10" s="241">
        <v>1.122582988305368</v>
      </c>
      <c r="G10" s="241">
        <v>1.0972615675165249</v>
      </c>
      <c r="H10" s="241">
        <v>1.0809302325581396</v>
      </c>
      <c r="I10" s="241">
        <v>1.0699815837937385</v>
      </c>
      <c r="J10" s="241">
        <v>1.0496838301716351</v>
      </c>
      <c r="K10" s="241">
        <v>1.0283185840707965</v>
      </c>
      <c r="L10" s="241">
        <v>1.0121951219512195</v>
      </c>
      <c r="M10" s="241">
        <v>1</v>
      </c>
      <c r="N10" s="3"/>
      <c r="O10" s="3"/>
    </row>
    <row r="11" spans="1: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47" customFormat="1" ht="15.75" x14ac:dyDescent="0.25">
      <c r="A12" s="28"/>
      <c r="B12" s="28" t="s">
        <v>309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5" hidden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idden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idden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idden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idden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idden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idden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idden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idden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idden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idden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idden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idden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idden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idden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idden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idden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idden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idden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idden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idden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idden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idden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idden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idden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idden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idden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idden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idden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idden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idden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idden="1" x14ac:dyDescent="0.2"/>
    <row r="47" spans="1:15" hidden="1" x14ac:dyDescent="0.2"/>
    <row r="48" spans="1:15" hidden="1" x14ac:dyDescent="0.2"/>
    <row r="49" hidden="1" x14ac:dyDescent="0.2"/>
    <row r="50" hidden="1" x14ac:dyDescent="0.2"/>
    <row r="51" hidden="1" x14ac:dyDescent="0.2"/>
    <row r="52" hidden="1" x14ac:dyDescent="0.2"/>
  </sheetData>
  <conditionalFormatting sqref="M2">
    <cfRule type="expression" dxfId="9" priority="1">
      <formula>M2="Check!"</formula>
    </cfRule>
  </conditionalFormatting>
  <dataValidations count="1">
    <dataValidation type="list" allowBlank="1" showInputMessage="1" showErrorMessage="1" sqref="E4" xr:uid="{00000000-0002-0000-0200-000000000000}">
      <formula1>"1,2"</formula1>
    </dataValidation>
  </dataValidations>
  <hyperlinks>
    <hyperlink ref="M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8" tint="0.59999389629810485"/>
    <pageSetUpPr fitToPage="1"/>
  </sheetPr>
  <dimension ref="A1:L158"/>
  <sheetViews>
    <sheetView workbookViewId="0"/>
  </sheetViews>
  <sheetFormatPr defaultColWidth="0" defaultRowHeight="12.75" zeroHeight="1" x14ac:dyDescent="0.2"/>
  <cols>
    <col min="1" max="1" width="3.7109375" customWidth="1"/>
    <col min="2" max="2" width="15.5703125" customWidth="1"/>
    <col min="3" max="3" width="33.7109375" style="60" customWidth="1"/>
    <col min="4" max="6" width="12.28515625" customWidth="1"/>
    <col min="7" max="7" width="12.28515625" bestFit="1" customWidth="1"/>
    <col min="8" max="11" width="12.28515625" customWidth="1"/>
    <col min="12" max="12" width="3.7109375" customWidth="1"/>
    <col min="13" max="16384" width="9.140625" hidden="1"/>
  </cols>
  <sheetData>
    <row r="1" spans="1:12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30" t="s">
        <v>39</v>
      </c>
      <c r="L1" s="26"/>
    </row>
    <row r="2" spans="1:12" ht="15.75" x14ac:dyDescent="0.25">
      <c r="A2" s="173" t="str">
        <f ca="1">RIGHT(CELL("filename", $A$1), LEN(CELL("filename", $A$1)) - SEARCH("]", CELL("filename", $A$1)))</f>
        <v>Historical Expenditure-Volumes</v>
      </c>
      <c r="B2" s="28"/>
      <c r="C2" s="28"/>
      <c r="D2" s="28"/>
      <c r="E2" s="28"/>
      <c r="F2" s="28"/>
      <c r="G2" s="28"/>
      <c r="H2" s="28"/>
      <c r="I2" s="28"/>
      <c r="J2" s="38" t="s">
        <v>82</v>
      </c>
      <c r="K2" s="172" t="str">
        <f>IF(SUM(D76:G76,D100:G100)=0,"OK","Check!")</f>
        <v>OK</v>
      </c>
      <c r="L2" s="28"/>
    </row>
    <row r="3" spans="1:1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3"/>
      <c r="B4" s="34" t="s">
        <v>195</v>
      </c>
      <c r="C4" s="34"/>
      <c r="D4" s="3"/>
      <c r="E4" s="3"/>
      <c r="F4" s="3"/>
      <c r="G4" s="3"/>
      <c r="H4" s="3"/>
      <c r="I4" s="3"/>
      <c r="J4" s="84"/>
      <c r="K4" s="3"/>
      <c r="L4" s="3"/>
    </row>
    <row r="5" spans="1:12" x14ac:dyDescent="0.2">
      <c r="A5" s="3"/>
      <c r="B5" s="106"/>
      <c r="C5" s="51"/>
      <c r="D5" s="133"/>
      <c r="E5" s="133"/>
      <c r="F5" s="133"/>
      <c r="G5" s="133"/>
      <c r="H5" s="133"/>
      <c r="I5" s="3"/>
      <c r="J5" s="3"/>
      <c r="K5" s="3"/>
      <c r="L5" s="3"/>
    </row>
    <row r="6" spans="1:12" s="60" customFormat="1" ht="18.75" customHeight="1" x14ac:dyDescent="0.2">
      <c r="A6" s="3"/>
      <c r="B6" s="127"/>
      <c r="C6" s="51"/>
      <c r="D6" s="154"/>
      <c r="E6" s="154"/>
      <c r="F6" s="154"/>
      <c r="G6" s="3"/>
      <c r="H6" s="3"/>
      <c r="I6" s="3"/>
      <c r="J6" s="3"/>
      <c r="K6" s="3"/>
      <c r="L6" s="3" t="s">
        <v>295</v>
      </c>
    </row>
    <row r="7" spans="1:12" x14ac:dyDescent="0.2">
      <c r="A7" s="3"/>
      <c r="B7" s="3"/>
      <c r="C7" s="3"/>
      <c r="D7" s="256" t="s">
        <v>173</v>
      </c>
      <c r="E7" s="256"/>
      <c r="F7" s="256"/>
      <c r="G7" s="256"/>
      <c r="H7" s="146"/>
      <c r="I7" s="3"/>
      <c r="J7" s="3"/>
      <c r="K7" s="3"/>
      <c r="L7" s="3"/>
    </row>
    <row r="8" spans="1:12" ht="25.5" x14ac:dyDescent="0.2">
      <c r="A8" s="3"/>
      <c r="B8" s="2" t="s">
        <v>35</v>
      </c>
      <c r="C8" s="2" t="s">
        <v>75</v>
      </c>
      <c r="D8" s="2" t="s">
        <v>323</v>
      </c>
      <c r="E8" s="2" t="s">
        <v>324</v>
      </c>
      <c r="F8" s="2" t="s">
        <v>325</v>
      </c>
      <c r="G8" s="76" t="s">
        <v>326</v>
      </c>
      <c r="H8" s="146"/>
      <c r="I8" s="110" t="s">
        <v>216</v>
      </c>
      <c r="J8" s="110" t="s">
        <v>274</v>
      </c>
      <c r="K8" s="3"/>
      <c r="L8" s="3"/>
    </row>
    <row r="9" spans="1:12" x14ac:dyDescent="0.2">
      <c r="A9" s="3"/>
      <c r="B9" s="179">
        <v>102</v>
      </c>
      <c r="C9" s="95" t="s">
        <v>284</v>
      </c>
      <c r="D9" s="161">
        <v>9366352.7149999756</v>
      </c>
      <c r="E9" s="161">
        <v>8479456.2199999988</v>
      </c>
      <c r="F9" s="161">
        <v>9734325.8499999978</v>
      </c>
      <c r="G9" s="161">
        <v>11110583.2508389</v>
      </c>
      <c r="H9" s="146"/>
      <c r="I9" s="167">
        <v>1</v>
      </c>
      <c r="J9" s="180">
        <f>IF(I9=1,0,1)</f>
        <v>0</v>
      </c>
      <c r="K9" s="3"/>
      <c r="L9" s="73"/>
    </row>
    <row r="10" spans="1:12" x14ac:dyDescent="0.2">
      <c r="A10" s="3"/>
      <c r="B10" s="179">
        <v>104</v>
      </c>
      <c r="C10" s="95" t="s">
        <v>285</v>
      </c>
      <c r="D10" s="161">
        <v>10752073.140000001</v>
      </c>
      <c r="E10" s="161">
        <v>11748004.734999999</v>
      </c>
      <c r="F10" s="161">
        <v>14045675.285</v>
      </c>
      <c r="G10" s="161">
        <v>15780176.778616333</v>
      </c>
      <c r="H10" s="125"/>
      <c r="I10" s="167">
        <v>1</v>
      </c>
      <c r="J10" s="180">
        <f t="shared" ref="J10:J22" si="0">IF(I10=1,0,1)</f>
        <v>0</v>
      </c>
      <c r="K10" s="3"/>
      <c r="L10" s="73"/>
    </row>
    <row r="11" spans="1:12" x14ac:dyDescent="0.2">
      <c r="A11" s="3"/>
      <c r="B11" s="179">
        <v>105</v>
      </c>
      <c r="C11" s="95" t="s">
        <v>286</v>
      </c>
      <c r="D11" s="161">
        <v>7172041.915000001</v>
      </c>
      <c r="E11" s="161">
        <v>6257869.9399999995</v>
      </c>
      <c r="F11" s="161">
        <v>6171052.1849999903</v>
      </c>
      <c r="G11" s="161">
        <v>7394026.5113528837</v>
      </c>
      <c r="H11" s="125"/>
      <c r="I11" s="167">
        <v>1</v>
      </c>
      <c r="J11" s="180">
        <f t="shared" si="0"/>
        <v>0</v>
      </c>
      <c r="K11" s="3"/>
      <c r="L11" s="73"/>
    </row>
    <row r="12" spans="1:12" x14ac:dyDescent="0.2">
      <c r="A12" s="3"/>
      <c r="B12" s="179">
        <v>106</v>
      </c>
      <c r="C12" s="95" t="s">
        <v>287</v>
      </c>
      <c r="D12" s="161">
        <v>6062998.0549999997</v>
      </c>
      <c r="E12" s="161">
        <v>7269050.2400000012</v>
      </c>
      <c r="F12" s="161">
        <v>8429984.0350000001</v>
      </c>
      <c r="G12" s="161">
        <v>9312611.5056038126</v>
      </c>
      <c r="H12" s="125"/>
      <c r="I12" s="167">
        <v>1</v>
      </c>
      <c r="J12" s="180">
        <f t="shared" si="0"/>
        <v>0</v>
      </c>
      <c r="K12" s="3"/>
      <c r="L12" s="73"/>
    </row>
    <row r="13" spans="1:12" x14ac:dyDescent="0.2">
      <c r="A13" s="3"/>
      <c r="B13" s="179">
        <v>107</v>
      </c>
      <c r="C13" s="95" t="s">
        <v>288</v>
      </c>
      <c r="D13" s="161">
        <v>1181901.7950000004</v>
      </c>
      <c r="E13" s="161">
        <v>5087571.05</v>
      </c>
      <c r="F13" s="161">
        <v>4821207.79</v>
      </c>
      <c r="G13" s="161">
        <v>1617948.3770602967</v>
      </c>
      <c r="H13" s="125"/>
      <c r="I13" s="167">
        <v>0</v>
      </c>
      <c r="J13" s="180">
        <f t="shared" si="0"/>
        <v>1</v>
      </c>
      <c r="K13" s="3"/>
      <c r="L13" s="73"/>
    </row>
    <row r="14" spans="1:12" x14ac:dyDescent="0.2">
      <c r="A14" s="3"/>
      <c r="B14" s="179">
        <v>108</v>
      </c>
      <c r="C14" s="95" t="s">
        <v>289</v>
      </c>
      <c r="D14" s="161">
        <v>1539233.5799999998</v>
      </c>
      <c r="E14" s="161">
        <v>1384068.585</v>
      </c>
      <c r="F14" s="161">
        <v>1114659.7650000001</v>
      </c>
      <c r="G14" s="161">
        <v>1334876.3453440303</v>
      </c>
      <c r="H14" s="125"/>
      <c r="I14" s="167">
        <v>1</v>
      </c>
      <c r="J14" s="180">
        <f t="shared" si="0"/>
        <v>0</v>
      </c>
      <c r="K14" s="3"/>
      <c r="L14" s="73"/>
    </row>
    <row r="15" spans="1:12" x14ac:dyDescent="0.2">
      <c r="A15" s="3"/>
      <c r="B15" s="179">
        <v>109</v>
      </c>
      <c r="C15" s="95" t="s">
        <v>290</v>
      </c>
      <c r="D15" s="161">
        <v>11102152.455</v>
      </c>
      <c r="E15" s="161">
        <v>10912326.094999999</v>
      </c>
      <c r="F15" s="161">
        <v>10857659.940000001</v>
      </c>
      <c r="G15" s="161">
        <v>12154343.165595958</v>
      </c>
      <c r="H15" s="125"/>
      <c r="I15" s="167">
        <v>1</v>
      </c>
      <c r="J15" s="180">
        <f t="shared" si="0"/>
        <v>0</v>
      </c>
      <c r="K15" s="3"/>
      <c r="L15" s="73"/>
    </row>
    <row r="16" spans="1:12" x14ac:dyDescent="0.2">
      <c r="A16" s="3"/>
      <c r="B16" s="179">
        <v>110</v>
      </c>
      <c r="C16" s="95" t="s">
        <v>293</v>
      </c>
      <c r="D16" s="161">
        <v>1789466.595</v>
      </c>
      <c r="E16" s="161">
        <v>1758094.79</v>
      </c>
      <c r="F16" s="161">
        <v>2033278.0249999999</v>
      </c>
      <c r="G16" s="161">
        <v>2128063.9982011244</v>
      </c>
      <c r="H16" s="125"/>
      <c r="I16" s="167">
        <v>1</v>
      </c>
      <c r="J16" s="180">
        <f t="shared" si="0"/>
        <v>0</v>
      </c>
      <c r="K16" s="3"/>
      <c r="L16" s="73"/>
    </row>
    <row r="17" spans="1:12" x14ac:dyDescent="0.2">
      <c r="A17" s="3"/>
      <c r="B17" s="179">
        <v>111</v>
      </c>
      <c r="C17" s="95" t="s">
        <v>291</v>
      </c>
      <c r="D17" s="161">
        <v>7308942.4249999998</v>
      </c>
      <c r="E17" s="161">
        <v>9250174.9049999993</v>
      </c>
      <c r="F17" s="161">
        <v>8831865.8350000009</v>
      </c>
      <c r="G17" s="161">
        <v>6908735.2016606266</v>
      </c>
      <c r="H17" s="125"/>
      <c r="I17" s="181">
        <v>1</v>
      </c>
      <c r="J17" s="180">
        <f t="shared" si="0"/>
        <v>0</v>
      </c>
      <c r="K17" s="3"/>
      <c r="L17" s="73"/>
    </row>
    <row r="18" spans="1:12" x14ac:dyDescent="0.2">
      <c r="A18" s="3"/>
      <c r="B18" s="179">
        <v>114</v>
      </c>
      <c r="C18" s="95" t="s">
        <v>95</v>
      </c>
      <c r="D18" s="161">
        <v>571327.1050000001</v>
      </c>
      <c r="E18" s="161">
        <v>0</v>
      </c>
      <c r="F18" s="161">
        <v>0</v>
      </c>
      <c r="G18" s="161">
        <v>0</v>
      </c>
      <c r="H18" s="125"/>
      <c r="I18" s="181">
        <v>1</v>
      </c>
      <c r="J18" s="180">
        <f t="shared" ref="J18:J19" si="1">IF(I18=1,0,1)</f>
        <v>0</v>
      </c>
      <c r="K18" s="3"/>
      <c r="L18" s="73"/>
    </row>
    <row r="19" spans="1:12" x14ac:dyDescent="0.2">
      <c r="A19" s="3"/>
      <c r="B19" s="179">
        <v>115</v>
      </c>
      <c r="C19" s="95" t="s">
        <v>96</v>
      </c>
      <c r="D19" s="161">
        <v>1829570.37</v>
      </c>
      <c r="E19" s="161">
        <v>0</v>
      </c>
      <c r="F19" s="161">
        <v>0</v>
      </c>
      <c r="G19" s="161">
        <v>0</v>
      </c>
      <c r="H19" s="125"/>
      <c r="I19" s="181">
        <v>1</v>
      </c>
      <c r="J19" s="180">
        <f t="shared" si="1"/>
        <v>0</v>
      </c>
      <c r="K19" s="3"/>
      <c r="L19" s="73"/>
    </row>
    <row r="20" spans="1:12" x14ac:dyDescent="0.2">
      <c r="A20" s="3"/>
      <c r="B20" s="179">
        <v>116</v>
      </c>
      <c r="C20" s="95" t="s">
        <v>97</v>
      </c>
      <c r="D20" s="161">
        <v>25307641.619999997</v>
      </c>
      <c r="E20" s="161">
        <v>24369819.950000003</v>
      </c>
      <c r="F20" s="161">
        <v>29420367.965000004</v>
      </c>
      <c r="G20" s="161">
        <v>35190133.189230904</v>
      </c>
      <c r="H20" s="125"/>
      <c r="I20" s="181">
        <v>1</v>
      </c>
      <c r="J20" s="180">
        <f t="shared" si="0"/>
        <v>0</v>
      </c>
      <c r="K20" s="3"/>
      <c r="L20" s="73"/>
    </row>
    <row r="21" spans="1:12" x14ac:dyDescent="0.2">
      <c r="A21" s="3"/>
      <c r="B21" s="179">
        <v>118</v>
      </c>
      <c r="C21" s="95" t="s">
        <v>292</v>
      </c>
      <c r="D21" s="161">
        <v>3719435.1799999997</v>
      </c>
      <c r="E21" s="161">
        <v>7893297.2550000008</v>
      </c>
      <c r="F21" s="161">
        <v>18705188.865000002</v>
      </c>
      <c r="G21" s="161">
        <v>22434617.588295754</v>
      </c>
      <c r="H21" s="125"/>
      <c r="I21" s="167">
        <v>0</v>
      </c>
      <c r="J21" s="180">
        <f t="shared" si="0"/>
        <v>1</v>
      </c>
      <c r="K21" s="3"/>
      <c r="L21" s="73"/>
    </row>
    <row r="22" spans="1:12" x14ac:dyDescent="0.2">
      <c r="A22" s="3"/>
      <c r="B22" s="179">
        <v>171</v>
      </c>
      <c r="C22" s="95" t="s">
        <v>294</v>
      </c>
      <c r="D22" s="161">
        <v>125984.290000045</v>
      </c>
      <c r="E22" s="161">
        <v>4719.875</v>
      </c>
      <c r="F22" s="161">
        <v>0</v>
      </c>
      <c r="G22" s="161">
        <v>0</v>
      </c>
      <c r="H22" s="3"/>
      <c r="I22" s="167">
        <v>0</v>
      </c>
      <c r="J22" s="180">
        <f t="shared" si="0"/>
        <v>1</v>
      </c>
      <c r="K22" s="3"/>
      <c r="L22" s="73"/>
    </row>
    <row r="23" spans="1:12" s="60" customFormat="1" x14ac:dyDescent="0.2">
      <c r="A23" s="3"/>
      <c r="B23" s="3"/>
      <c r="C23" s="121" t="s">
        <v>36</v>
      </c>
      <c r="D23" s="163">
        <f>SUM(D9:D22)</f>
        <v>87829121.24000001</v>
      </c>
      <c r="E23" s="163">
        <f>SUM(E9:E22)</f>
        <v>94414453.639999986</v>
      </c>
      <c r="F23" s="163">
        <f>SUM(F9:F22)</f>
        <v>114165265.53999999</v>
      </c>
      <c r="G23" s="163">
        <f>SUM(G9:G22)</f>
        <v>125366115.91180062</v>
      </c>
      <c r="H23" s="3"/>
      <c r="I23" s="3"/>
      <c r="J23" s="3"/>
      <c r="K23" s="3"/>
      <c r="L23" s="73"/>
    </row>
    <row r="24" spans="1:12" s="147" customFormat="1" x14ac:dyDescent="0.2">
      <c r="A24" s="146"/>
      <c r="B24" s="151" t="s">
        <v>344</v>
      </c>
      <c r="C24" s="146"/>
      <c r="D24" s="73"/>
      <c r="E24" s="73"/>
      <c r="F24" s="73"/>
      <c r="G24" s="73"/>
      <c r="H24" s="146"/>
      <c r="I24" s="146"/>
      <c r="J24" s="146"/>
      <c r="K24" s="146"/>
      <c r="L24" s="146"/>
    </row>
    <row r="25" spans="1:12" s="147" customFormat="1" x14ac:dyDescent="0.2">
      <c r="A25" s="146"/>
      <c r="B25" s="260" t="s">
        <v>345</v>
      </c>
      <c r="C25" s="260"/>
      <c r="D25" s="260"/>
      <c r="E25" s="260"/>
      <c r="F25" s="260"/>
      <c r="G25" s="260"/>
      <c r="H25" s="260"/>
      <c r="I25" s="260"/>
      <c r="J25" s="146"/>
      <c r="K25" s="146"/>
      <c r="L25" s="146"/>
    </row>
    <row r="26" spans="1:12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">
      <c r="A27" s="3"/>
      <c r="B27" s="3"/>
      <c r="C27" s="3"/>
      <c r="D27" s="257" t="str">
        <f>"$ "&amp;Inflation!$C$4</f>
        <v>$ 2021</v>
      </c>
      <c r="E27" s="258"/>
      <c r="F27" s="258"/>
      <c r="G27" s="258"/>
      <c r="H27" s="258"/>
      <c r="I27" s="146"/>
      <c r="J27" s="3"/>
      <c r="K27" s="3"/>
      <c r="L27" s="3"/>
    </row>
    <row r="28" spans="1:12" ht="38.25" x14ac:dyDescent="0.2">
      <c r="A28" s="3"/>
      <c r="B28" s="2" t="s">
        <v>35</v>
      </c>
      <c r="C28" s="2" t="s">
        <v>75</v>
      </c>
      <c r="D28" s="2" t="s">
        <v>323</v>
      </c>
      <c r="E28" s="2" t="s">
        <v>324</v>
      </c>
      <c r="F28" s="2" t="s">
        <v>325</v>
      </c>
      <c r="G28" s="136" t="s">
        <v>326</v>
      </c>
      <c r="H28" s="136" t="s">
        <v>328</v>
      </c>
      <c r="I28" s="3"/>
      <c r="J28" s="125"/>
      <c r="K28" s="3"/>
      <c r="L28" s="3"/>
    </row>
    <row r="29" spans="1:12" ht="12.75" customHeight="1" x14ac:dyDescent="0.2">
      <c r="A29" s="3"/>
      <c r="B29" s="179">
        <f t="shared" ref="B29:C42" si="2">IF(B9=0," ",B9)</f>
        <v>102</v>
      </c>
      <c r="C29" s="178" t="str">
        <f t="shared" si="2"/>
        <v>LV supplies to 63kVA</v>
      </c>
      <c r="D29" s="158">
        <f>D9*Inflation!$G$10</f>
        <v>10277338.861973532</v>
      </c>
      <c r="E29" s="158">
        <f>E9*Inflation!$H$10</f>
        <v>9165700.5838511623</v>
      </c>
      <c r="F29" s="158">
        <f>F9*Inflation!$I$10</f>
        <v>10415549.390147328</v>
      </c>
      <c r="G29" s="158">
        <f>G9*Inflation!$J$10</f>
        <v>11662599.582181394</v>
      </c>
      <c r="H29" s="158">
        <f>AVERAGE(D29:G29)</f>
        <v>10380297.104538355</v>
      </c>
      <c r="I29" s="3"/>
      <c r="J29" s="3"/>
      <c r="K29" s="3"/>
      <c r="L29" s="3"/>
    </row>
    <row r="30" spans="1:12" x14ac:dyDescent="0.2">
      <c r="A30" s="3"/>
      <c r="B30" s="179">
        <f t="shared" si="2"/>
        <v>104</v>
      </c>
      <c r="C30" s="178" t="str">
        <f t="shared" si="2"/>
        <v>Medium Density Developments</v>
      </c>
      <c r="D30" s="157">
        <f>D10*Inflation!$G$10</f>
        <v>11797836.627648724</v>
      </c>
      <c r="E30" s="158">
        <f>E10*Inflation!$H$10</f>
        <v>12698773.490297675</v>
      </c>
      <c r="F30" s="158">
        <f>F10*Inflation!$I$10</f>
        <v>15028613.886896869</v>
      </c>
      <c r="G30" s="158">
        <f>G10*Inflation!$J$10</f>
        <v>16564196.401763488</v>
      </c>
      <c r="H30" s="158">
        <f t="shared" ref="H30:H42" si="3">AVERAGE(D30:G30)</f>
        <v>14022355.101651691</v>
      </c>
      <c r="I30" s="3"/>
      <c r="J30" s="3"/>
      <c r="K30" s="3"/>
      <c r="L30" s="3"/>
    </row>
    <row r="31" spans="1:12" x14ac:dyDescent="0.2">
      <c r="A31" s="3"/>
      <c r="B31" s="179">
        <f t="shared" si="2"/>
        <v>105</v>
      </c>
      <c r="C31" s="178" t="str">
        <f t="shared" si="2"/>
        <v>LV supplies &gt;63kVA to 200kVA</v>
      </c>
      <c r="D31" s="158">
        <f>D11*Inflation!$G$10</f>
        <v>7869605.9539471203</v>
      </c>
      <c r="E31" s="158">
        <f>E11*Inflation!$H$10</f>
        <v>6764320.8095627902</v>
      </c>
      <c r="F31" s="158">
        <f>F11*Inflation!$I$10</f>
        <v>6602912.1905801008</v>
      </c>
      <c r="G31" s="157">
        <f>G11*Inflation!$J$10</f>
        <v>7761390.068827508</v>
      </c>
      <c r="H31" s="158">
        <f t="shared" si="3"/>
        <v>7249557.2557293791</v>
      </c>
      <c r="I31" s="3"/>
      <c r="J31" s="3"/>
      <c r="K31" s="3"/>
      <c r="L31" s="3"/>
    </row>
    <row r="32" spans="1:12" x14ac:dyDescent="0.2">
      <c r="A32" s="3"/>
      <c r="B32" s="179">
        <f t="shared" si="2"/>
        <v>106</v>
      </c>
      <c r="C32" s="178" t="str">
        <f t="shared" si="2"/>
        <v>LV supplies &gt;200kVA to 500kVA</v>
      </c>
      <c r="D32" s="158">
        <f>D12*Inflation!$G$10</f>
        <v>6652694.7496789414</v>
      </c>
      <c r="E32" s="158">
        <f>E12*Inflation!$H$10</f>
        <v>7857336.1664000014</v>
      </c>
      <c r="F32" s="158">
        <f>F12*Inflation!$I$10</f>
        <v>9019927.669125231</v>
      </c>
      <c r="G32" s="158">
        <f>G12*Inflation!$J$10</f>
        <v>9775297.7141026482</v>
      </c>
      <c r="H32" s="158">
        <f t="shared" si="3"/>
        <v>8326314.0748267062</v>
      </c>
      <c r="I32" s="3"/>
      <c r="J32" s="3"/>
      <c r="K32" s="3"/>
      <c r="L32" s="3"/>
    </row>
    <row r="33" spans="1:12" x14ac:dyDescent="0.2">
      <c r="A33" s="3"/>
      <c r="B33" s="179">
        <f t="shared" si="2"/>
        <v>107</v>
      </c>
      <c r="C33" s="178" t="str">
        <f t="shared" si="2"/>
        <v>HV connection</v>
      </c>
      <c r="D33" s="158">
        <f>D13*Inflation!$G$10</f>
        <v>1296855.4162322949</v>
      </c>
      <c r="E33" s="158">
        <f>E13*Inflation!$H$10</f>
        <v>5499309.3582325578</v>
      </c>
      <c r="F33" s="158">
        <f>F13*Inflation!$I$10</f>
        <v>5158603.5469429102</v>
      </c>
      <c r="G33" s="158">
        <f>G13*Inflation!$J$10</f>
        <v>1698334.2494526331</v>
      </c>
      <c r="H33" s="158">
        <f t="shared" si="3"/>
        <v>3413275.6427150993</v>
      </c>
      <c r="I33" s="3"/>
      <c r="J33" s="3"/>
      <c r="K33" s="3"/>
      <c r="L33" s="3"/>
    </row>
    <row r="34" spans="1:12" x14ac:dyDescent="0.2">
      <c r="A34" s="3"/>
      <c r="B34" s="179">
        <f t="shared" si="2"/>
        <v>108</v>
      </c>
      <c r="C34" s="178" t="str">
        <f t="shared" si="2"/>
        <v>Business subdivisions</v>
      </c>
      <c r="D34" s="158">
        <f>D14*Inflation!$G$10</f>
        <v>1688941.8507648723</v>
      </c>
      <c r="E34" s="158">
        <f>E14*Inflation!$H$10</f>
        <v>1496081.5774604653</v>
      </c>
      <c r="F34" s="158">
        <f>F14*Inflation!$I$10</f>
        <v>1192665.4207458566</v>
      </c>
      <c r="G34" s="158">
        <f>G14*Inflation!$J$10</f>
        <v>1401198.114986236</v>
      </c>
      <c r="H34" s="158">
        <f t="shared" si="3"/>
        <v>1444721.7409893575</v>
      </c>
      <c r="I34" s="3"/>
      <c r="J34" s="3"/>
      <c r="K34" s="3"/>
      <c r="L34" s="3"/>
    </row>
    <row r="35" spans="1:12" x14ac:dyDescent="0.2">
      <c r="A35" s="3"/>
      <c r="B35" s="179">
        <f t="shared" si="2"/>
        <v>109</v>
      </c>
      <c r="C35" s="178" t="str">
        <f t="shared" si="2"/>
        <v>Underground service pits</v>
      </c>
      <c r="D35" s="158">
        <f>D15*Inflation!$G$10</f>
        <v>12181965.205580736</v>
      </c>
      <c r="E35" s="158">
        <f>E15*Inflation!$H$10</f>
        <v>11795463.183618603</v>
      </c>
      <c r="F35" s="157">
        <f>F15*Inflation!$I$10</f>
        <v>11617496.17889503</v>
      </c>
      <c r="G35" s="158">
        <f>G15*Inflation!$J$10</f>
        <v>12758217.487283202</v>
      </c>
      <c r="H35" s="158">
        <f t="shared" si="3"/>
        <v>12088285.513844393</v>
      </c>
      <c r="I35" s="3"/>
      <c r="J35" s="3"/>
      <c r="K35" s="3"/>
      <c r="L35" s="3"/>
    </row>
    <row r="36" spans="1:12" x14ac:dyDescent="0.2">
      <c r="A36" s="3"/>
      <c r="B36" s="179">
        <f t="shared" si="2"/>
        <v>110</v>
      </c>
      <c r="C36" s="178" t="str">
        <f t="shared" si="2"/>
        <v>Rural subdivisions</v>
      </c>
      <c r="D36" s="158">
        <f>D16*Inflation!$G$10</f>
        <v>1963512.9210481585</v>
      </c>
      <c r="E36" s="158">
        <f>E16*Inflation!$H$10</f>
        <v>1900377.8102139537</v>
      </c>
      <c r="F36" s="158">
        <f>F16*Inflation!$I$10</f>
        <v>2175570.0414825045</v>
      </c>
      <c r="G36" s="158">
        <f>G16*Inflation!$J$10</f>
        <v>2233794.3684821199</v>
      </c>
      <c r="H36" s="158">
        <f t="shared" si="3"/>
        <v>2068313.7853066842</v>
      </c>
      <c r="I36" s="3"/>
      <c r="J36" s="3"/>
      <c r="K36" s="3"/>
      <c r="L36" s="3"/>
    </row>
    <row r="37" spans="1:12" x14ac:dyDescent="0.2">
      <c r="A37" s="3"/>
      <c r="B37" s="179">
        <f t="shared" si="2"/>
        <v>111</v>
      </c>
      <c r="C37" s="178" t="str">
        <f t="shared" si="2"/>
        <v>LV supplies &gt;500kVA</v>
      </c>
      <c r="D37" s="158">
        <f>D17*Inflation!$G$10</f>
        <v>8019821.6221435303</v>
      </c>
      <c r="E37" s="158">
        <f>E17*Inflation!$H$10</f>
        <v>9998793.7112651151</v>
      </c>
      <c r="F37" s="158">
        <f>F17*Inflation!$I$10</f>
        <v>9449933.7939871103</v>
      </c>
      <c r="G37" s="158">
        <f>G17*Inflation!$J$10</f>
        <v>7251987.6281207306</v>
      </c>
      <c r="H37" s="158">
        <f t="shared" si="3"/>
        <v>8680134.1888791211</v>
      </c>
      <c r="I37" s="3"/>
      <c r="J37" s="3"/>
      <c r="K37" s="3"/>
      <c r="L37" s="3"/>
    </row>
    <row r="38" spans="1:12" x14ac:dyDescent="0.2">
      <c r="A38" s="3"/>
      <c r="B38" s="179">
        <f t="shared" si="2"/>
        <v>114</v>
      </c>
      <c r="C38" s="178" t="str">
        <f t="shared" si="2"/>
        <v>New Conn. Service/Materials</v>
      </c>
      <c r="D38" s="158">
        <f>D18*Inflation!$G$10</f>
        <v>626895.27479697834</v>
      </c>
      <c r="E38" s="158">
        <f>E18*Inflation!$H$10</f>
        <v>0</v>
      </c>
      <c r="F38" s="158">
        <f>F18*Inflation!$I$10</f>
        <v>0</v>
      </c>
      <c r="G38" s="158">
        <f>G18*Inflation!$J$10</f>
        <v>0</v>
      </c>
      <c r="H38" s="158">
        <f t="shared" si="3"/>
        <v>156723.81869924458</v>
      </c>
      <c r="I38" s="3"/>
      <c r="J38" s="3"/>
      <c r="K38" s="3"/>
      <c r="L38" s="3"/>
    </row>
    <row r="39" spans="1:12" x14ac:dyDescent="0.2">
      <c r="A39" s="3"/>
      <c r="B39" s="179">
        <f t="shared" si="2"/>
        <v>115</v>
      </c>
      <c r="C39" s="178" t="str">
        <f t="shared" si="2"/>
        <v>New Conn. Servicing Labour</v>
      </c>
      <c r="D39" s="158">
        <f>D19*Inflation!$G$10</f>
        <v>2007517.2520679885</v>
      </c>
      <c r="E39" s="158">
        <f>E19*Inflation!$H$10</f>
        <v>0</v>
      </c>
      <c r="F39" s="158">
        <f>F19*Inflation!$I$10</f>
        <v>0</v>
      </c>
      <c r="G39" s="158">
        <f>G19*Inflation!$J$10</f>
        <v>0</v>
      </c>
      <c r="H39" s="158">
        <f t="shared" si="3"/>
        <v>501879.31301699713</v>
      </c>
      <c r="I39" s="3"/>
      <c r="J39" s="3"/>
      <c r="K39" s="3"/>
      <c r="L39" s="3"/>
    </row>
    <row r="40" spans="1:12" x14ac:dyDescent="0.2">
      <c r="A40" s="3"/>
      <c r="B40" s="179">
        <f t="shared" si="2"/>
        <v>116</v>
      </c>
      <c r="C40" s="178" t="str">
        <f t="shared" si="2"/>
        <v>Recoverable Works</v>
      </c>
      <c r="D40" s="158">
        <f>D20*Inflation!$G$10</f>
        <v>27769102.514107645</v>
      </c>
      <c r="E40" s="158">
        <f>E20*Inflation!$H$10</f>
        <v>26342075.145953491</v>
      </c>
      <c r="F40" s="158">
        <f>F20*Inflation!$I$10</f>
        <v>31479251.910985272</v>
      </c>
      <c r="G40" s="158">
        <f>G20*Inflation!$J$10</f>
        <v>36938513.790321872</v>
      </c>
      <c r="H40" s="158">
        <f t="shared" si="3"/>
        <v>30632235.840342071</v>
      </c>
      <c r="I40" s="3"/>
      <c r="J40" s="3"/>
      <c r="K40" s="3"/>
      <c r="L40" s="3"/>
    </row>
    <row r="41" spans="1:12" x14ac:dyDescent="0.2">
      <c r="A41" s="3"/>
      <c r="B41" s="179">
        <f t="shared" si="2"/>
        <v>118</v>
      </c>
      <c r="C41" s="178" t="str">
        <f t="shared" si="2"/>
        <v xml:space="preserve">Co-generation projects </v>
      </c>
      <c r="D41" s="158">
        <f>D21*Inflation!$G$10</f>
        <v>4081193.2758829077</v>
      </c>
      <c r="E41" s="158">
        <f>E21*Inflation!$H$10</f>
        <v>8532103.6374976765</v>
      </c>
      <c r="F41" s="158">
        <f>F21*Inflation!$I$10</f>
        <v>20014207.606933706</v>
      </c>
      <c r="G41" s="158">
        <f>G21*Inflation!$J$10</f>
        <v>23549255.318518218</v>
      </c>
      <c r="H41" s="158">
        <f t="shared" si="3"/>
        <v>14044189.959708128</v>
      </c>
      <c r="I41" s="3"/>
      <c r="J41" s="3"/>
      <c r="K41" s="3"/>
      <c r="L41" s="3"/>
    </row>
    <row r="42" spans="1:12" x14ac:dyDescent="0.2">
      <c r="A42" s="3"/>
      <c r="B42" s="179">
        <f t="shared" si="2"/>
        <v>171</v>
      </c>
      <c r="C42" s="178" t="str">
        <f t="shared" si="2"/>
        <v>SWER &amp; 1Ø Backbone Augmentation</v>
      </c>
      <c r="D42" s="158">
        <f>D22*Inflation!$G$10</f>
        <v>138237.71952790584</v>
      </c>
      <c r="E42" s="158">
        <f>E22*Inflation!$H$10</f>
        <v>5101.855581395349</v>
      </c>
      <c r="F42" s="158">
        <f>F22*Inflation!$I$10</f>
        <v>0</v>
      </c>
      <c r="G42" s="158">
        <f>G22*Inflation!$J$10</f>
        <v>0</v>
      </c>
      <c r="H42" s="158">
        <f t="shared" si="3"/>
        <v>35834.893777325298</v>
      </c>
      <c r="I42" s="3"/>
      <c r="J42" s="3"/>
      <c r="K42" s="3"/>
      <c r="L42" s="3"/>
    </row>
    <row r="43" spans="1:12" x14ac:dyDescent="0.2">
      <c r="A43" s="3"/>
      <c r="B43" s="3"/>
      <c r="C43" s="121" t="s">
        <v>36</v>
      </c>
      <c r="D43" s="163">
        <f t="shared" ref="D43:H43" si="4">SUM(D29:D42)</f>
        <v>96371519.245401338</v>
      </c>
      <c r="E43" s="163">
        <f t="shared" si="4"/>
        <v>102055437.3299349</v>
      </c>
      <c r="F43" s="163">
        <f t="shared" si="4"/>
        <v>122154731.63672194</v>
      </c>
      <c r="G43" s="163">
        <f t="shared" si="4"/>
        <v>131594784.72404005</v>
      </c>
      <c r="H43" s="163">
        <f t="shared" si="4"/>
        <v>113044118.23402454</v>
      </c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60" customFormat="1" x14ac:dyDescent="0.2">
      <c r="A46" s="3"/>
      <c r="B46" s="34"/>
      <c r="C46" s="34"/>
      <c r="D46" s="3"/>
      <c r="E46" s="3"/>
      <c r="F46" s="3"/>
      <c r="G46" s="3"/>
      <c r="H46" s="3"/>
      <c r="I46" s="3"/>
      <c r="J46" s="3"/>
      <c r="K46" s="3"/>
      <c r="L46" s="3"/>
    </row>
    <row r="47" spans="1:12" s="60" customFormat="1" x14ac:dyDescent="0.2">
      <c r="A47" s="3"/>
      <c r="B47" s="34" t="s">
        <v>302</v>
      </c>
      <c r="C47" s="34"/>
      <c r="D47" s="3"/>
      <c r="E47" s="3"/>
      <c r="F47" s="3"/>
      <c r="G47" s="3"/>
      <c r="H47" s="3"/>
      <c r="I47" s="3"/>
      <c r="J47" s="3"/>
      <c r="K47" s="3"/>
      <c r="L47" s="3"/>
    </row>
    <row r="48" spans="1:12" s="60" customFormat="1" x14ac:dyDescent="0.2">
      <c r="A48" s="3"/>
      <c r="B48" s="51"/>
      <c r="C48" s="51"/>
      <c r="D48" s="3"/>
      <c r="E48" s="3"/>
      <c r="F48" s="3"/>
      <c r="G48" s="3"/>
      <c r="H48" s="3"/>
      <c r="I48" s="3"/>
      <c r="J48" s="3"/>
      <c r="K48" s="3"/>
      <c r="L48" s="3"/>
    </row>
    <row r="49" spans="1:12" s="60" customFormat="1" ht="18.75" customHeight="1" x14ac:dyDescent="0.2">
      <c r="A49" s="3"/>
      <c r="B49" s="97"/>
      <c r="C49" s="97"/>
      <c r="D49" s="125"/>
      <c r="E49" s="3"/>
      <c r="F49" s="3"/>
      <c r="G49" s="3"/>
      <c r="H49" s="3"/>
      <c r="I49" s="3"/>
      <c r="J49" s="3"/>
      <c r="K49" s="3"/>
      <c r="L49" s="3"/>
    </row>
    <row r="50" spans="1:12" s="60" customFormat="1" x14ac:dyDescent="0.2">
      <c r="A50" s="3"/>
      <c r="B50" s="3"/>
      <c r="C50" s="3"/>
      <c r="D50" s="256" t="s">
        <v>173</v>
      </c>
      <c r="E50" s="256"/>
      <c r="F50" s="256"/>
      <c r="G50" s="256"/>
      <c r="H50" s="146"/>
      <c r="I50" s="3"/>
      <c r="J50" s="3"/>
      <c r="K50" s="3"/>
      <c r="L50" s="3"/>
    </row>
    <row r="51" spans="1:12" s="60" customFormat="1" ht="25.5" x14ac:dyDescent="0.2">
      <c r="A51" s="3"/>
      <c r="B51" s="2" t="s">
        <v>32</v>
      </c>
      <c r="C51" s="2" t="s">
        <v>33</v>
      </c>
      <c r="D51" s="2" t="s">
        <v>323</v>
      </c>
      <c r="E51" s="2" t="s">
        <v>324</v>
      </c>
      <c r="F51" s="2" t="s">
        <v>325</v>
      </c>
      <c r="G51" s="2" t="s">
        <v>326</v>
      </c>
      <c r="H51" s="146"/>
      <c r="I51" s="3"/>
      <c r="J51" s="3"/>
      <c r="K51" s="3"/>
      <c r="L51" s="3"/>
    </row>
    <row r="52" spans="1:12" s="60" customFormat="1" x14ac:dyDescent="0.2">
      <c r="A52" s="3"/>
      <c r="B52" s="259" t="s">
        <v>44</v>
      </c>
      <c r="C52" s="33" t="s">
        <v>198</v>
      </c>
      <c r="D52" s="161">
        <v>2064772</v>
      </c>
      <c r="E52" s="161">
        <v>0</v>
      </c>
      <c r="F52" s="161">
        <v>0</v>
      </c>
      <c r="G52" s="161">
        <v>0</v>
      </c>
      <c r="I52" s="146"/>
      <c r="J52" s="146"/>
      <c r="K52" s="3"/>
      <c r="L52" s="73"/>
    </row>
    <row r="53" spans="1:12" s="60" customFormat="1" x14ac:dyDescent="0.2">
      <c r="A53" s="3"/>
      <c r="B53" s="259"/>
      <c r="C53" s="33" t="s">
        <v>199</v>
      </c>
      <c r="D53" s="161">
        <v>15812457.5</v>
      </c>
      <c r="E53" s="161">
        <v>15170201.5</v>
      </c>
      <c r="F53" s="161">
        <v>15715257.4476</v>
      </c>
      <c r="G53" s="161">
        <v>17709243.921339214</v>
      </c>
      <c r="H53" s="146"/>
      <c r="I53" s="146"/>
      <c r="J53" s="146"/>
      <c r="K53" s="146"/>
      <c r="L53" s="73"/>
    </row>
    <row r="54" spans="1:12" s="60" customFormat="1" x14ac:dyDescent="0.2">
      <c r="A54" s="3"/>
      <c r="B54" s="259"/>
      <c r="C54" s="33" t="s">
        <v>200</v>
      </c>
      <c r="D54" s="161">
        <v>5228341</v>
      </c>
      <c r="E54" s="161">
        <v>4722210.5</v>
      </c>
      <c r="F54" s="161">
        <v>5370384.0921999998</v>
      </c>
      <c r="G54" s="161">
        <v>6147204.6160038691</v>
      </c>
      <c r="H54" s="146"/>
      <c r="I54" s="146"/>
      <c r="J54" s="146"/>
      <c r="K54" s="146"/>
      <c r="L54" s="73"/>
    </row>
    <row r="55" spans="1:12" s="60" customFormat="1" x14ac:dyDescent="0.2">
      <c r="A55" s="3"/>
      <c r="B55" s="259" t="s">
        <v>176</v>
      </c>
      <c r="C55" s="33" t="s">
        <v>198</v>
      </c>
      <c r="D55" s="161">
        <v>336125.5</v>
      </c>
      <c r="E55" s="161">
        <v>0</v>
      </c>
      <c r="F55" s="161">
        <v>0</v>
      </c>
      <c r="G55" s="161">
        <v>0</v>
      </c>
      <c r="H55" s="146"/>
      <c r="I55" s="146"/>
      <c r="J55" s="146"/>
      <c r="K55" s="146"/>
      <c r="L55" s="73"/>
    </row>
    <row r="56" spans="1:12" s="60" customFormat="1" x14ac:dyDescent="0.2">
      <c r="A56" s="3"/>
      <c r="B56" s="259"/>
      <c r="C56" s="33" t="s">
        <v>201</v>
      </c>
      <c r="D56" s="161">
        <v>0</v>
      </c>
      <c r="E56" s="161">
        <v>0</v>
      </c>
      <c r="F56" s="161">
        <v>0</v>
      </c>
      <c r="G56" s="161">
        <v>0</v>
      </c>
      <c r="H56" s="146"/>
      <c r="I56" s="146"/>
      <c r="J56" s="146"/>
      <c r="K56" s="146"/>
      <c r="L56" s="73"/>
    </row>
    <row r="57" spans="1:12" s="60" customFormat="1" x14ac:dyDescent="0.2">
      <c r="A57" s="3"/>
      <c r="B57" s="259"/>
      <c r="C57" s="33" t="s">
        <v>202</v>
      </c>
      <c r="D57" s="161">
        <v>21636907</v>
      </c>
      <c r="E57" s="161">
        <v>23665254</v>
      </c>
      <c r="F57" s="161">
        <v>24053906.220200002</v>
      </c>
      <c r="G57" s="161">
        <v>24358727.443053123</v>
      </c>
      <c r="H57" s="146"/>
      <c r="I57" s="146"/>
      <c r="J57" s="146"/>
      <c r="K57" s="146"/>
      <c r="L57" s="73"/>
    </row>
    <row r="58" spans="1:12" s="60" customFormat="1" x14ac:dyDescent="0.2">
      <c r="A58" s="3"/>
      <c r="B58" s="259"/>
      <c r="C58" s="33" t="s">
        <v>203</v>
      </c>
      <c r="D58" s="161">
        <v>1181901.5</v>
      </c>
      <c r="E58" s="161">
        <v>1556476</v>
      </c>
      <c r="F58" s="161">
        <v>1290112.8999999999</v>
      </c>
      <c r="G58" s="161">
        <v>1617948.3770602967</v>
      </c>
      <c r="H58" s="146"/>
      <c r="I58" s="146"/>
      <c r="J58" s="146"/>
      <c r="K58" s="146"/>
      <c r="L58" s="73"/>
    </row>
    <row r="59" spans="1:12" s="60" customFormat="1" x14ac:dyDescent="0.2">
      <c r="A59" s="3"/>
      <c r="B59" s="259"/>
      <c r="C59" s="33" t="s">
        <v>204</v>
      </c>
      <c r="D59" s="161">
        <v>0</v>
      </c>
      <c r="E59" s="161">
        <v>3531095</v>
      </c>
      <c r="F59" s="161">
        <v>3531095</v>
      </c>
      <c r="G59" s="161">
        <v>0</v>
      </c>
      <c r="H59" s="146"/>
      <c r="I59" s="146"/>
      <c r="J59" s="146"/>
      <c r="K59" s="146"/>
      <c r="L59" s="73"/>
    </row>
    <row r="60" spans="1:12" s="60" customFormat="1" x14ac:dyDescent="0.2">
      <c r="A60" s="3"/>
      <c r="B60" s="259" t="s">
        <v>60</v>
      </c>
      <c r="C60" s="33" t="s">
        <v>199</v>
      </c>
      <c r="D60" s="161">
        <v>0</v>
      </c>
      <c r="E60" s="161">
        <v>0</v>
      </c>
      <c r="F60" s="161">
        <v>0</v>
      </c>
      <c r="G60" s="161">
        <v>0</v>
      </c>
      <c r="H60" s="146"/>
      <c r="I60" s="146"/>
      <c r="J60" s="146"/>
      <c r="K60" s="146"/>
      <c r="L60" s="73"/>
    </row>
    <row r="61" spans="1:12" s="60" customFormat="1" x14ac:dyDescent="0.2">
      <c r="A61" s="3"/>
      <c r="B61" s="259"/>
      <c r="C61" s="33" t="s">
        <v>205</v>
      </c>
      <c r="D61" s="161">
        <v>0</v>
      </c>
      <c r="E61" s="161">
        <v>0</v>
      </c>
      <c r="F61" s="161">
        <v>0</v>
      </c>
      <c r="G61" s="161">
        <v>0</v>
      </c>
      <c r="H61" s="146"/>
      <c r="I61" s="146"/>
      <c r="J61" s="146"/>
      <c r="K61" s="146"/>
      <c r="L61" s="73"/>
    </row>
    <row r="62" spans="1:12" s="60" customFormat="1" x14ac:dyDescent="0.2">
      <c r="A62" s="3"/>
      <c r="B62" s="259"/>
      <c r="C62" s="33" t="s">
        <v>206</v>
      </c>
      <c r="D62" s="161">
        <v>12541540</v>
      </c>
      <c r="E62" s="161">
        <v>13506099.5</v>
      </c>
      <c r="F62" s="161">
        <v>16078953.150000002</v>
      </c>
      <c r="G62" s="161">
        <v>17908240.776817456</v>
      </c>
      <c r="H62" s="146"/>
      <c r="I62" s="146"/>
      <c r="J62" s="146"/>
      <c r="K62" s="146"/>
      <c r="L62" s="73"/>
    </row>
    <row r="63" spans="1:12" s="60" customFormat="1" x14ac:dyDescent="0.2">
      <c r="A63" s="3"/>
      <c r="B63" s="259" t="s">
        <v>66</v>
      </c>
      <c r="C63" s="33" t="s">
        <v>198</v>
      </c>
      <c r="D63" s="161">
        <v>0</v>
      </c>
      <c r="E63" s="161">
        <v>0</v>
      </c>
      <c r="F63" s="161">
        <v>0</v>
      </c>
      <c r="G63" s="161">
        <v>0</v>
      </c>
      <c r="H63" s="146"/>
      <c r="I63" s="146"/>
      <c r="J63" s="146"/>
      <c r="K63" s="146"/>
      <c r="L63" s="73"/>
    </row>
    <row r="64" spans="1:12" s="60" customFormat="1" x14ac:dyDescent="0.2">
      <c r="A64" s="3"/>
      <c r="B64" s="259"/>
      <c r="C64" s="33" t="s">
        <v>207</v>
      </c>
      <c r="D64" s="161">
        <v>702632.5</v>
      </c>
      <c r="E64" s="161">
        <v>1834074</v>
      </c>
      <c r="F64" s="161">
        <v>2400153.669999999</v>
      </c>
      <c r="G64" s="161">
        <v>20864194.357115053</v>
      </c>
      <c r="H64" s="155"/>
      <c r="I64" s="155"/>
      <c r="J64" s="155"/>
      <c r="K64" s="155"/>
      <c r="L64" s="146"/>
    </row>
    <row r="65" spans="1:12" s="60" customFormat="1" x14ac:dyDescent="0.2">
      <c r="A65" s="3"/>
      <c r="B65" s="259"/>
      <c r="C65" s="33" t="s">
        <v>208</v>
      </c>
      <c r="D65" s="161">
        <v>3016802.5</v>
      </c>
      <c r="E65" s="161">
        <v>6059223</v>
      </c>
      <c r="F65" s="161">
        <v>16305035</v>
      </c>
      <c r="G65" s="161">
        <v>1570423.231180703</v>
      </c>
      <c r="I65" s="146"/>
      <c r="J65" s="146"/>
      <c r="L65" s="73"/>
    </row>
    <row r="66" spans="1:12" s="60" customFormat="1" x14ac:dyDescent="0.2">
      <c r="A66" s="3"/>
      <c r="B66" s="3"/>
      <c r="C66" s="121" t="s">
        <v>36</v>
      </c>
      <c r="D66" s="163">
        <f t="shared" ref="D66:F66" si="5">SUM(D52:D65)</f>
        <v>62521479.5</v>
      </c>
      <c r="E66" s="163">
        <f>SUM(E52:E65)</f>
        <v>70044633.5</v>
      </c>
      <c r="F66" s="163">
        <f t="shared" si="5"/>
        <v>84744897.480000004</v>
      </c>
      <c r="G66" s="163">
        <f>SUM(G52:G65)</f>
        <v>90175982.722569704</v>
      </c>
      <c r="H66" s="146"/>
      <c r="I66" s="146"/>
      <c r="J66" s="3"/>
      <c r="K66" s="3"/>
      <c r="L66" s="3"/>
    </row>
    <row r="67" spans="1:12" s="60" customForma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60" customForma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60" customFormat="1" x14ac:dyDescent="0.2">
      <c r="A69" s="3"/>
      <c r="B69" s="34" t="s">
        <v>303</v>
      </c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60" customFormat="1" x14ac:dyDescent="0.2">
      <c r="A70" s="3"/>
      <c r="B70" s="106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60" customFormat="1" ht="16.5" customHeight="1" x14ac:dyDescent="0.2">
      <c r="A71" s="3"/>
      <c r="B71" s="97"/>
      <c r="C71" s="3"/>
      <c r="D71" s="3"/>
      <c r="E71" s="3"/>
      <c r="F71" s="3"/>
      <c r="G71" s="3"/>
      <c r="H71" s="146"/>
      <c r="I71" s="3"/>
      <c r="J71" s="3"/>
      <c r="K71" s="3"/>
      <c r="L71" s="3"/>
    </row>
    <row r="72" spans="1:12" s="60" customFormat="1" x14ac:dyDescent="0.2">
      <c r="A72" s="3"/>
      <c r="B72" s="3"/>
      <c r="C72" s="3"/>
      <c r="D72" s="256" t="s">
        <v>173</v>
      </c>
      <c r="E72" s="256"/>
      <c r="F72" s="256"/>
      <c r="G72" s="256"/>
      <c r="H72" s="146"/>
      <c r="I72" s="3"/>
      <c r="J72" s="3"/>
      <c r="K72" s="3"/>
      <c r="L72" s="3"/>
    </row>
    <row r="73" spans="1:12" s="60" customFormat="1" x14ac:dyDescent="0.2">
      <c r="A73" s="3"/>
      <c r="B73" s="2" t="s">
        <v>304</v>
      </c>
      <c r="C73" s="2" t="s">
        <v>305</v>
      </c>
      <c r="D73" s="2" t="s">
        <v>323</v>
      </c>
      <c r="E73" s="2" t="s">
        <v>324</v>
      </c>
      <c r="F73" s="2" t="s">
        <v>325</v>
      </c>
      <c r="G73" s="2" t="s">
        <v>326</v>
      </c>
      <c r="H73" s="146"/>
      <c r="I73" s="3"/>
      <c r="J73" s="3"/>
      <c r="K73" s="3"/>
      <c r="L73" s="3"/>
    </row>
    <row r="74" spans="1:12" s="60" customFormat="1" x14ac:dyDescent="0.2">
      <c r="A74" s="3"/>
      <c r="B74" s="67" t="s">
        <v>306</v>
      </c>
      <c r="C74" s="95" t="s">
        <v>307</v>
      </c>
      <c r="D74" s="161">
        <v>25307641.739999998</v>
      </c>
      <c r="E74" s="161">
        <v>24369820.140000001</v>
      </c>
      <c r="F74" s="161">
        <v>29420368.059999999</v>
      </c>
      <c r="G74" s="161">
        <v>35190133.189230904</v>
      </c>
      <c r="H74" s="146"/>
      <c r="I74" s="3"/>
      <c r="J74" s="3"/>
      <c r="K74" s="73"/>
      <c r="L74" s="73"/>
    </row>
    <row r="75" spans="1:12" s="60" customFormat="1" x14ac:dyDescent="0.2">
      <c r="A75" s="3"/>
      <c r="B75" s="3"/>
      <c r="C75" s="121" t="s">
        <v>36</v>
      </c>
      <c r="D75" s="163">
        <f>SUM(D74)</f>
        <v>25307641.739999998</v>
      </c>
      <c r="E75" s="163">
        <f t="shared" ref="E75:G75" si="6">SUM(E74)</f>
        <v>24369820.140000001</v>
      </c>
      <c r="F75" s="163">
        <f t="shared" si="6"/>
        <v>29420368.059999999</v>
      </c>
      <c r="G75" s="163">
        <f t="shared" si="6"/>
        <v>35190133.189230904</v>
      </c>
      <c r="H75" s="96"/>
      <c r="I75" s="3"/>
      <c r="J75" s="3"/>
      <c r="K75" s="3"/>
      <c r="L75" s="3"/>
    </row>
    <row r="76" spans="1:12" s="60" customFormat="1" x14ac:dyDescent="0.2">
      <c r="A76" s="3"/>
      <c r="B76" s="3"/>
      <c r="C76" s="3"/>
      <c r="D76" s="169">
        <f>D66+D75-D23</f>
        <v>0</v>
      </c>
      <c r="E76" s="169">
        <f>E66+E75-E23</f>
        <v>0</v>
      </c>
      <c r="F76" s="169">
        <f>F66+F75-F23</f>
        <v>0</v>
      </c>
      <c r="G76" s="169">
        <f>G66+G75-G23</f>
        <v>0</v>
      </c>
      <c r="H76" s="3"/>
      <c r="I76" s="3"/>
      <c r="J76" s="3"/>
      <c r="K76" s="3"/>
      <c r="L76" s="3"/>
    </row>
    <row r="77" spans="1:12" s="60" customFormat="1" x14ac:dyDescent="0.2">
      <c r="A77" s="3"/>
      <c r="B77" s="3"/>
      <c r="C77" s="3"/>
      <c r="D77" s="73"/>
      <c r="E77" s="73"/>
      <c r="F77" s="73"/>
      <c r="G77" s="73"/>
      <c r="H77" s="132"/>
      <c r="I77" s="3"/>
      <c r="J77" s="3"/>
      <c r="K77" s="3"/>
      <c r="L77" s="3"/>
    </row>
    <row r="78" spans="1:12" s="60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4" t="s">
        <v>197</v>
      </c>
      <c r="C79" s="34"/>
      <c r="D79" s="3"/>
      <c r="E79" s="3"/>
      <c r="F79" s="3"/>
      <c r="G79" s="3"/>
      <c r="H79" s="3"/>
      <c r="I79" s="3"/>
      <c r="J79" s="3"/>
      <c r="K79" s="3"/>
      <c r="L79" s="3"/>
    </row>
    <row r="80" spans="1:12" ht="17.25" customHeight="1" x14ac:dyDescent="0.2">
      <c r="A80" s="3"/>
      <c r="B80" s="122"/>
      <c r="C80" s="122"/>
      <c r="D80" s="128"/>
      <c r="E80" s="129"/>
      <c r="F80" s="129"/>
      <c r="G80" s="129"/>
      <c r="H80" s="3"/>
      <c r="I80" s="3"/>
      <c r="J80" s="3"/>
      <c r="K80" s="3"/>
      <c r="L80" s="3"/>
    </row>
    <row r="81" spans="1:12" s="60" customFormat="1" ht="17.25" customHeight="1" x14ac:dyDescent="0.2">
      <c r="A81" s="3"/>
      <c r="B81" s="97"/>
      <c r="C81" s="122"/>
      <c r="D81" s="107"/>
      <c r="E81" s="97"/>
      <c r="F81" s="97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256" t="s">
        <v>191</v>
      </c>
      <c r="E82" s="256"/>
      <c r="F82" s="256"/>
      <c r="G82" s="256"/>
      <c r="H82" s="256"/>
      <c r="I82" s="3"/>
      <c r="J82" s="3"/>
      <c r="K82" s="3"/>
      <c r="L82" s="3"/>
    </row>
    <row r="83" spans="1:12" ht="38.25" x14ac:dyDescent="0.2">
      <c r="A83" s="3"/>
      <c r="B83" s="2" t="s">
        <v>35</v>
      </c>
      <c r="C83" s="2" t="s">
        <v>75</v>
      </c>
      <c r="D83" s="2" t="s">
        <v>323</v>
      </c>
      <c r="E83" s="2" t="s">
        <v>324</v>
      </c>
      <c r="F83" s="2" t="s">
        <v>325</v>
      </c>
      <c r="G83" s="2" t="s">
        <v>326</v>
      </c>
      <c r="H83" s="136" t="s">
        <v>328</v>
      </c>
      <c r="I83" s="3"/>
      <c r="J83" s="3"/>
      <c r="K83" s="3"/>
      <c r="L83" s="3"/>
    </row>
    <row r="84" spans="1:12" x14ac:dyDescent="0.2">
      <c r="A84" s="3"/>
      <c r="B84" s="179">
        <f t="shared" ref="B84:C97" si="7">IF(B9=0," ",B9)</f>
        <v>102</v>
      </c>
      <c r="C84" s="178" t="str">
        <f t="shared" si="7"/>
        <v>LV supplies to 63kVA</v>
      </c>
      <c r="D84" s="161">
        <v>339.5</v>
      </c>
      <c r="E84" s="161">
        <v>324</v>
      </c>
      <c r="F84" s="161">
        <v>440.5</v>
      </c>
      <c r="G84" s="161">
        <v>539.96272941526104</v>
      </c>
      <c r="H84" s="165">
        <f>AVERAGE(D84:G84)</f>
        <v>410.99068235381526</v>
      </c>
      <c r="I84" s="98"/>
      <c r="J84" s="3"/>
      <c r="K84" s="73"/>
      <c r="L84" s="73"/>
    </row>
    <row r="85" spans="1:12" x14ac:dyDescent="0.2">
      <c r="A85" s="3"/>
      <c r="B85" s="179">
        <f t="shared" si="7"/>
        <v>104</v>
      </c>
      <c r="C85" s="178" t="str">
        <f t="shared" si="7"/>
        <v>Medium Density Developments</v>
      </c>
      <c r="D85" s="161">
        <v>309</v>
      </c>
      <c r="E85" s="161">
        <v>336.5</v>
      </c>
      <c r="F85" s="161">
        <v>456</v>
      </c>
      <c r="G85" s="161">
        <v>539.55066445542013</v>
      </c>
      <c r="H85" s="165">
        <f t="shared" ref="H85:H92" si="8">AVERAGE(D85:G85)</f>
        <v>410.26266611385506</v>
      </c>
      <c r="I85" s="98"/>
      <c r="J85" s="3"/>
      <c r="K85" s="73"/>
      <c r="L85" s="73"/>
    </row>
    <row r="86" spans="1:12" x14ac:dyDescent="0.2">
      <c r="A86" s="3"/>
      <c r="B86" s="179">
        <f t="shared" si="7"/>
        <v>105</v>
      </c>
      <c r="C86" s="178" t="str">
        <f t="shared" si="7"/>
        <v>LV supplies &gt;63kVA to 200kVA</v>
      </c>
      <c r="D86" s="161">
        <v>147</v>
      </c>
      <c r="E86" s="161">
        <v>169.5</v>
      </c>
      <c r="F86" s="161">
        <v>185.5</v>
      </c>
      <c r="G86" s="161">
        <v>219.12750763401363</v>
      </c>
      <c r="H86" s="165">
        <f t="shared" si="8"/>
        <v>180.28187690850342</v>
      </c>
      <c r="I86" s="98"/>
      <c r="J86" s="3"/>
      <c r="K86" s="73"/>
      <c r="L86" s="73"/>
    </row>
    <row r="87" spans="1:12" x14ac:dyDescent="0.2">
      <c r="A87" s="3"/>
      <c r="B87" s="179">
        <f t="shared" si="7"/>
        <v>106</v>
      </c>
      <c r="C87" s="178" t="str">
        <f t="shared" si="7"/>
        <v>LV supplies &gt;200kVA to 500kVA</v>
      </c>
      <c r="D87" s="161">
        <v>67.5</v>
      </c>
      <c r="E87" s="161">
        <v>82.5</v>
      </c>
      <c r="F87" s="161">
        <v>96</v>
      </c>
      <c r="G87" s="161">
        <v>111.31931661320543</v>
      </c>
      <c r="H87" s="165">
        <f t="shared" si="8"/>
        <v>89.329829153301361</v>
      </c>
      <c r="I87" s="98"/>
      <c r="J87" s="3"/>
      <c r="K87" s="73"/>
      <c r="L87" s="73"/>
    </row>
    <row r="88" spans="1:12" x14ac:dyDescent="0.2">
      <c r="A88" s="3"/>
      <c r="B88" s="179">
        <f t="shared" si="7"/>
        <v>107</v>
      </c>
      <c r="C88" s="178" t="str">
        <f t="shared" si="7"/>
        <v>HV connection</v>
      </c>
      <c r="D88" s="161">
        <v>8</v>
      </c>
      <c r="E88" s="161">
        <v>9.5</v>
      </c>
      <c r="F88" s="161">
        <v>5</v>
      </c>
      <c r="G88" s="161">
        <v>2.7980161761974549</v>
      </c>
      <c r="H88" s="165">
        <f t="shared" si="8"/>
        <v>6.3245040440493634</v>
      </c>
      <c r="I88" s="98"/>
      <c r="J88" s="3"/>
      <c r="K88" s="73"/>
      <c r="L88" s="73"/>
    </row>
    <row r="89" spans="1:12" x14ac:dyDescent="0.2">
      <c r="A89" s="3"/>
      <c r="B89" s="179">
        <f t="shared" si="7"/>
        <v>108</v>
      </c>
      <c r="C89" s="178" t="str">
        <f t="shared" si="7"/>
        <v>Business subdivisions</v>
      </c>
      <c r="D89" s="161">
        <v>23</v>
      </c>
      <c r="E89" s="161">
        <v>25.5</v>
      </c>
      <c r="F89" s="161">
        <v>36.5</v>
      </c>
      <c r="G89" s="161">
        <v>42.022511657707156</v>
      </c>
      <c r="H89" s="165">
        <f t="shared" si="8"/>
        <v>31.755627914426789</v>
      </c>
      <c r="I89" s="98"/>
      <c r="J89" s="3"/>
      <c r="K89" s="73"/>
      <c r="L89" s="73"/>
    </row>
    <row r="90" spans="1:12" x14ac:dyDescent="0.2">
      <c r="A90" s="3"/>
      <c r="B90" s="179">
        <f t="shared" si="7"/>
        <v>109</v>
      </c>
      <c r="C90" s="178" t="str">
        <f t="shared" si="7"/>
        <v>Underground service pits</v>
      </c>
      <c r="D90" s="161">
        <v>2166</v>
      </c>
      <c r="E90" s="161">
        <v>1942</v>
      </c>
      <c r="F90" s="161">
        <v>1998.5</v>
      </c>
      <c r="G90" s="161">
        <v>2274.2703567907411</v>
      </c>
      <c r="H90" s="165">
        <f t="shared" si="8"/>
        <v>2095.1925891976853</v>
      </c>
      <c r="I90" s="98"/>
      <c r="J90" s="3"/>
      <c r="K90" s="73"/>
      <c r="L90" s="73"/>
    </row>
    <row r="91" spans="1:12" x14ac:dyDescent="0.2">
      <c r="A91" s="3"/>
      <c r="B91" s="179">
        <f t="shared" si="7"/>
        <v>110</v>
      </c>
      <c r="C91" s="178" t="str">
        <f t="shared" si="7"/>
        <v>Rural subdivisions</v>
      </c>
      <c r="D91" s="161">
        <v>46</v>
      </c>
      <c r="E91" s="161">
        <v>51.5</v>
      </c>
      <c r="F91" s="161">
        <v>60</v>
      </c>
      <c r="G91" s="161">
        <v>66.099402781792804</v>
      </c>
      <c r="H91" s="165">
        <f t="shared" si="8"/>
        <v>55.899850695448201</v>
      </c>
      <c r="I91" s="98"/>
      <c r="J91" s="3"/>
      <c r="K91" s="73"/>
      <c r="L91" s="73"/>
    </row>
    <row r="92" spans="1:12" x14ac:dyDescent="0.2">
      <c r="A92" s="3"/>
      <c r="B92" s="179">
        <f t="shared" si="7"/>
        <v>111</v>
      </c>
      <c r="C92" s="178" t="str">
        <f t="shared" si="7"/>
        <v>LV supplies &gt;500kVA</v>
      </c>
      <c r="D92" s="161">
        <v>65</v>
      </c>
      <c r="E92" s="161">
        <v>67.5</v>
      </c>
      <c r="F92" s="161">
        <v>75.5</v>
      </c>
      <c r="G92" s="161">
        <v>51.076311419427029</v>
      </c>
      <c r="H92" s="165">
        <f t="shared" si="8"/>
        <v>64.769077854856761</v>
      </c>
      <c r="I92" s="98"/>
      <c r="J92" s="3"/>
      <c r="K92" s="73"/>
      <c r="L92" s="73"/>
    </row>
    <row r="93" spans="1:12" x14ac:dyDescent="0.2">
      <c r="A93" s="3"/>
      <c r="B93" s="179">
        <f t="shared" si="7"/>
        <v>114</v>
      </c>
      <c r="C93" s="178" t="str">
        <f t="shared" si="7"/>
        <v>New Conn. Service/Materials</v>
      </c>
      <c r="D93" s="161">
        <v>911.5</v>
      </c>
      <c r="E93" s="161">
        <v>0</v>
      </c>
      <c r="F93" s="161">
        <v>0</v>
      </c>
      <c r="G93" s="161">
        <v>0</v>
      </c>
      <c r="H93" s="126"/>
      <c r="I93" s="51" t="s">
        <v>301</v>
      </c>
      <c r="J93" s="3"/>
      <c r="K93" s="73"/>
      <c r="L93" s="73"/>
    </row>
    <row r="94" spans="1:12" x14ac:dyDescent="0.2">
      <c r="A94" s="3"/>
      <c r="B94" s="179">
        <f t="shared" si="7"/>
        <v>115</v>
      </c>
      <c r="C94" s="178" t="str">
        <f t="shared" si="7"/>
        <v>New Conn. Servicing Labour</v>
      </c>
      <c r="D94" s="161">
        <v>6511.5</v>
      </c>
      <c r="E94" s="161">
        <v>0</v>
      </c>
      <c r="F94" s="161">
        <v>0</v>
      </c>
      <c r="G94" s="161">
        <v>0</v>
      </c>
      <c r="H94" s="126"/>
      <c r="I94" s="51" t="s">
        <v>301</v>
      </c>
      <c r="J94" s="3"/>
      <c r="K94" s="73"/>
      <c r="L94" s="73"/>
    </row>
    <row r="95" spans="1:12" x14ac:dyDescent="0.2">
      <c r="A95" s="3"/>
      <c r="B95" s="179">
        <f t="shared" si="7"/>
        <v>116</v>
      </c>
      <c r="C95" s="178" t="str">
        <f t="shared" si="7"/>
        <v>Recoverable Works</v>
      </c>
      <c r="D95" s="161">
        <v>325.5</v>
      </c>
      <c r="E95" s="161">
        <v>305.5</v>
      </c>
      <c r="F95" s="161">
        <v>399.5</v>
      </c>
      <c r="G95" s="161">
        <v>535.34601849635692</v>
      </c>
      <c r="H95" s="165">
        <f>AVERAGE(D95:G95)</f>
        <v>391.46150462408923</v>
      </c>
      <c r="I95" s="98"/>
      <c r="J95" s="3"/>
      <c r="K95" s="73"/>
      <c r="L95" s="73"/>
    </row>
    <row r="96" spans="1:12" x14ac:dyDescent="0.2">
      <c r="A96" s="3"/>
      <c r="B96" s="179">
        <f t="shared" si="7"/>
        <v>118</v>
      </c>
      <c r="C96" s="178" t="str">
        <f t="shared" si="7"/>
        <v xml:space="preserve">Co-generation projects </v>
      </c>
      <c r="D96" s="161">
        <v>35.5</v>
      </c>
      <c r="E96" s="161">
        <v>48.5</v>
      </c>
      <c r="F96" s="161">
        <v>39</v>
      </c>
      <c r="G96" s="161">
        <v>11.402567573295791</v>
      </c>
      <c r="H96" s="165">
        <f>AVERAGE(D96:G96)</f>
        <v>33.600641893323946</v>
      </c>
      <c r="I96" s="98"/>
      <c r="J96" s="3"/>
      <c r="K96" s="73"/>
      <c r="L96" s="73"/>
    </row>
    <row r="97" spans="1:12" x14ac:dyDescent="0.2">
      <c r="A97" s="3"/>
      <c r="B97" s="179">
        <f t="shared" si="7"/>
        <v>171</v>
      </c>
      <c r="C97" s="178" t="str">
        <f t="shared" si="7"/>
        <v>SWER &amp; 1Ø Backbone Augmentation</v>
      </c>
      <c r="D97" s="161">
        <v>0</v>
      </c>
      <c r="E97" s="161">
        <v>0</v>
      </c>
      <c r="F97" s="161">
        <v>0</v>
      </c>
      <c r="G97" s="161">
        <v>0</v>
      </c>
      <c r="H97" s="165">
        <f>AVERAGE(D97:G97)</f>
        <v>0</v>
      </c>
      <c r="I97" s="98"/>
      <c r="J97" s="3"/>
      <c r="K97" s="73"/>
      <c r="L97" s="73"/>
    </row>
    <row r="98" spans="1:12" x14ac:dyDescent="0.2">
      <c r="A98" s="3"/>
      <c r="B98" s="3"/>
      <c r="C98" s="121" t="s">
        <v>36</v>
      </c>
      <c r="D98" s="163">
        <f>SUM(D84:D97)</f>
        <v>10955</v>
      </c>
      <c r="E98" s="163">
        <f>SUM(E84:E97)</f>
        <v>3362.5</v>
      </c>
      <c r="F98" s="163">
        <f>SUM(F84:F97)</f>
        <v>3792</v>
      </c>
      <c r="G98" s="163">
        <f>SUM(G84:G97)</f>
        <v>4392.9754030134191</v>
      </c>
      <c r="H98" s="165">
        <f>SUM(H84:H97)</f>
        <v>3769.8688507533543</v>
      </c>
      <c r="I98" s="3"/>
      <c r="J98" s="3"/>
      <c r="K98" s="112"/>
      <c r="L98" s="112"/>
    </row>
    <row r="99" spans="1:12" x14ac:dyDescent="0.2">
      <c r="A99" s="3"/>
      <c r="B99" s="3"/>
      <c r="C99" s="124" t="s">
        <v>230</v>
      </c>
      <c r="D99" s="177">
        <f>D122+D131</f>
        <v>10955</v>
      </c>
      <c r="E99" s="177">
        <f>E122+E131</f>
        <v>3362.5</v>
      </c>
      <c r="F99" s="177">
        <f>F122+F131</f>
        <v>3792.0000000000009</v>
      </c>
      <c r="G99" s="177">
        <f>G122+G131</f>
        <v>4392.9754030134191</v>
      </c>
      <c r="H99" s="119"/>
      <c r="I99" s="3"/>
      <c r="J99" s="3"/>
      <c r="K99" s="3"/>
      <c r="L99" s="3"/>
    </row>
    <row r="100" spans="1:12" x14ac:dyDescent="0.2">
      <c r="A100" s="3"/>
      <c r="B100" s="3"/>
      <c r="C100" s="123" t="s">
        <v>231</v>
      </c>
      <c r="D100" s="176">
        <f t="shared" ref="D100:G100" si="9">D99/(D98)-1</f>
        <v>0</v>
      </c>
      <c r="E100" s="176">
        <f t="shared" si="9"/>
        <v>0</v>
      </c>
      <c r="F100" s="176">
        <f t="shared" si="9"/>
        <v>0</v>
      </c>
      <c r="G100" s="175">
        <f t="shared" si="9"/>
        <v>0</v>
      </c>
      <c r="H100" s="96"/>
      <c r="I100" s="3"/>
      <c r="J100" s="73"/>
      <c r="K100" s="73"/>
      <c r="L100" s="73"/>
    </row>
    <row r="101" spans="1:1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">
      <c r="A102" s="3"/>
      <c r="B102" s="3"/>
      <c r="C102" s="3"/>
      <c r="D102" s="3"/>
      <c r="E102" s="3"/>
      <c r="F102" s="3"/>
      <c r="G102" s="3"/>
      <c r="H102" s="131"/>
      <c r="I102" s="3"/>
      <c r="J102" s="3"/>
      <c r="K102" s="3"/>
      <c r="L102" s="3"/>
    </row>
    <row r="103" spans="1:12" x14ac:dyDescent="0.2">
      <c r="A103" s="3"/>
      <c r="B103" s="34" t="s">
        <v>296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122"/>
      <c r="C104" s="3"/>
      <c r="D104" s="3"/>
      <c r="E104" s="3"/>
      <c r="F104" s="3"/>
      <c r="G104" s="3"/>
      <c r="H104" s="146"/>
      <c r="I104" s="3"/>
      <c r="J104" s="3"/>
      <c r="K104" s="3"/>
      <c r="L104" s="3"/>
    </row>
    <row r="105" spans="1:12" ht="17.25" customHeight="1" x14ac:dyDescent="0.2">
      <c r="A105" s="3"/>
      <c r="B105" s="97"/>
      <c r="C105" s="3"/>
      <c r="D105" s="3"/>
      <c r="E105" s="3"/>
      <c r="F105" s="3"/>
      <c r="G105" s="3"/>
      <c r="H105" s="146"/>
      <c r="I105" s="3"/>
      <c r="J105" s="3"/>
      <c r="K105" s="3"/>
      <c r="L105" s="3"/>
    </row>
    <row r="106" spans="1:12" x14ac:dyDescent="0.2">
      <c r="A106" s="3"/>
      <c r="B106" s="3"/>
      <c r="C106" s="3"/>
      <c r="D106" s="256" t="s">
        <v>191</v>
      </c>
      <c r="E106" s="256"/>
      <c r="F106" s="256"/>
      <c r="G106" s="256"/>
      <c r="H106" s="146"/>
      <c r="I106" s="3"/>
      <c r="J106" s="3"/>
      <c r="K106" s="3"/>
      <c r="L106" s="3"/>
    </row>
    <row r="107" spans="1:12" ht="25.5" x14ac:dyDescent="0.2">
      <c r="A107" s="3"/>
      <c r="B107" s="2" t="s">
        <v>32</v>
      </c>
      <c r="C107" s="2" t="s">
        <v>33</v>
      </c>
      <c r="D107" s="2" t="s">
        <v>323</v>
      </c>
      <c r="E107" s="2" t="s">
        <v>324</v>
      </c>
      <c r="F107" s="2" t="s">
        <v>325</v>
      </c>
      <c r="G107" s="2" t="s">
        <v>326</v>
      </c>
      <c r="H107" s="146"/>
      <c r="I107" s="3"/>
      <c r="J107" s="3"/>
      <c r="K107" s="3"/>
      <c r="L107" s="3"/>
    </row>
    <row r="108" spans="1:12" x14ac:dyDescent="0.2">
      <c r="A108" s="3"/>
      <c r="B108" s="259" t="s">
        <v>44</v>
      </c>
      <c r="C108" s="33" t="s">
        <v>198</v>
      </c>
      <c r="D108" s="161">
        <v>6511.5</v>
      </c>
      <c r="E108" s="161">
        <v>0</v>
      </c>
      <c r="F108" s="161">
        <v>0</v>
      </c>
      <c r="G108" s="161">
        <v>0</v>
      </c>
      <c r="H108" s="3"/>
      <c r="I108" s="3"/>
      <c r="J108" s="3"/>
      <c r="K108" s="73"/>
      <c r="L108" s="73"/>
    </row>
    <row r="109" spans="1:12" x14ac:dyDescent="0.2">
      <c r="A109" s="3"/>
      <c r="B109" s="259"/>
      <c r="C109" s="33" t="s">
        <v>199</v>
      </c>
      <c r="D109" s="161">
        <v>2333.5</v>
      </c>
      <c r="E109" s="161">
        <v>2102.4499999999998</v>
      </c>
      <c r="F109" s="161">
        <v>2215.971342019986</v>
      </c>
      <c r="G109" s="161">
        <v>2540.0262921390868</v>
      </c>
      <c r="H109" s="3"/>
      <c r="I109" s="112"/>
      <c r="J109" s="112"/>
      <c r="K109" s="73"/>
      <c r="L109" s="73"/>
    </row>
    <row r="110" spans="1:12" x14ac:dyDescent="0.2">
      <c r="A110" s="3"/>
      <c r="B110" s="259"/>
      <c r="C110" s="33" t="s">
        <v>200</v>
      </c>
      <c r="D110" s="161">
        <v>184</v>
      </c>
      <c r="E110" s="161">
        <v>176.92500000000001</v>
      </c>
      <c r="F110" s="161">
        <v>238.17500000000001</v>
      </c>
      <c r="G110" s="161">
        <v>291.73699467763646</v>
      </c>
      <c r="H110" s="3"/>
      <c r="I110" s="112"/>
      <c r="J110" s="112"/>
      <c r="K110" s="73"/>
      <c r="L110" s="73"/>
    </row>
    <row r="111" spans="1:12" x14ac:dyDescent="0.2">
      <c r="A111" s="3"/>
      <c r="B111" s="259" t="s">
        <v>176</v>
      </c>
      <c r="C111" s="33" t="s">
        <v>198</v>
      </c>
      <c r="D111" s="161">
        <v>911.5</v>
      </c>
      <c r="E111" s="161">
        <v>0</v>
      </c>
      <c r="F111" s="161">
        <v>0</v>
      </c>
      <c r="G111" s="161">
        <v>0</v>
      </c>
      <c r="H111" s="3"/>
      <c r="I111" s="112"/>
      <c r="J111" s="112"/>
      <c r="K111" s="73"/>
      <c r="L111" s="73"/>
    </row>
    <row r="112" spans="1:12" s="3" customFormat="1" x14ac:dyDescent="0.2">
      <c r="B112" s="259"/>
      <c r="C112" s="33" t="s">
        <v>201</v>
      </c>
      <c r="D112" s="161">
        <v>0</v>
      </c>
      <c r="E112" s="161">
        <v>0</v>
      </c>
      <c r="F112" s="161">
        <v>0</v>
      </c>
      <c r="G112" s="161">
        <v>0</v>
      </c>
      <c r="I112" s="112"/>
      <c r="J112" s="112"/>
      <c r="K112" s="73"/>
      <c r="L112" s="73"/>
    </row>
    <row r="113" spans="1:12" s="3" customFormat="1" x14ac:dyDescent="0.2">
      <c r="B113" s="259"/>
      <c r="C113" s="33" t="s">
        <v>202</v>
      </c>
      <c r="D113" s="161">
        <v>290.5</v>
      </c>
      <c r="E113" s="161">
        <v>331.5</v>
      </c>
      <c r="F113" s="161">
        <v>378.77118712295476</v>
      </c>
      <c r="G113" s="161">
        <v>406.01544671363217</v>
      </c>
      <c r="I113" s="112"/>
      <c r="J113" s="112"/>
      <c r="K113" s="73"/>
      <c r="L113" s="73"/>
    </row>
    <row r="114" spans="1:12" s="3" customFormat="1" x14ac:dyDescent="0.2">
      <c r="B114" s="259"/>
      <c r="C114" s="33" t="s">
        <v>203</v>
      </c>
      <c r="D114" s="161">
        <v>8</v>
      </c>
      <c r="E114" s="161">
        <v>9.625</v>
      </c>
      <c r="F114" s="161">
        <v>5.0738912918353565</v>
      </c>
      <c r="G114" s="161">
        <v>2.7980161761974549</v>
      </c>
      <c r="I114" s="112"/>
      <c r="J114" s="112"/>
      <c r="K114" s="73"/>
      <c r="L114" s="73"/>
    </row>
    <row r="115" spans="1:12" x14ac:dyDescent="0.2">
      <c r="A115" s="3"/>
      <c r="B115" s="259"/>
      <c r="C115" s="33" t="s">
        <v>204</v>
      </c>
      <c r="D115" s="161">
        <v>0</v>
      </c>
      <c r="E115" s="161">
        <v>0.5</v>
      </c>
      <c r="F115" s="161">
        <v>0.5</v>
      </c>
      <c r="G115" s="161">
        <v>0</v>
      </c>
      <c r="H115" s="3"/>
      <c r="I115" s="112"/>
      <c r="J115" s="112"/>
      <c r="K115" s="73"/>
      <c r="L115" s="73"/>
    </row>
    <row r="116" spans="1:12" x14ac:dyDescent="0.2">
      <c r="A116" s="3"/>
      <c r="B116" s="259" t="s">
        <v>60</v>
      </c>
      <c r="C116" s="33" t="s">
        <v>199</v>
      </c>
      <c r="D116" s="161">
        <v>0</v>
      </c>
      <c r="E116" s="161">
        <v>0</v>
      </c>
      <c r="F116" s="161">
        <v>0</v>
      </c>
      <c r="G116" s="161">
        <v>0</v>
      </c>
      <c r="H116" s="3"/>
      <c r="I116" s="112"/>
      <c r="J116" s="112"/>
      <c r="K116" s="73"/>
      <c r="L116" s="73"/>
    </row>
    <row r="117" spans="1:12" x14ac:dyDescent="0.2">
      <c r="A117" s="3"/>
      <c r="B117" s="259"/>
      <c r="C117" s="33" t="s">
        <v>205</v>
      </c>
      <c r="D117" s="161">
        <v>0</v>
      </c>
      <c r="E117" s="161">
        <v>0</v>
      </c>
      <c r="F117" s="161">
        <v>0</v>
      </c>
      <c r="G117" s="161">
        <v>0</v>
      </c>
      <c r="H117" s="3"/>
      <c r="I117" s="112"/>
      <c r="J117" s="112"/>
      <c r="K117" s="73"/>
      <c r="L117" s="73"/>
    </row>
    <row r="118" spans="1:12" x14ac:dyDescent="0.2">
      <c r="A118" s="3"/>
      <c r="B118" s="259"/>
      <c r="C118" s="33" t="s">
        <v>206</v>
      </c>
      <c r="D118" s="161">
        <v>355</v>
      </c>
      <c r="E118" s="161">
        <v>387.75</v>
      </c>
      <c r="F118" s="161">
        <v>515.57021205533624</v>
      </c>
      <c r="G118" s="161">
        <v>605.65006723721297</v>
      </c>
      <c r="H118" s="3"/>
      <c r="I118" s="112"/>
      <c r="J118" s="112"/>
      <c r="K118" s="73"/>
      <c r="L118" s="73"/>
    </row>
    <row r="119" spans="1:12" x14ac:dyDescent="0.2">
      <c r="A119" s="3"/>
      <c r="B119" s="259" t="s">
        <v>66</v>
      </c>
      <c r="C119" s="33" t="s">
        <v>198</v>
      </c>
      <c r="D119" s="161">
        <v>0</v>
      </c>
      <c r="E119" s="161">
        <v>0</v>
      </c>
      <c r="F119" s="161">
        <v>0</v>
      </c>
      <c r="G119" s="161">
        <v>0</v>
      </c>
      <c r="H119" s="3"/>
      <c r="I119" s="112"/>
      <c r="J119" s="112"/>
      <c r="K119" s="73"/>
      <c r="L119" s="73"/>
    </row>
    <row r="120" spans="1:12" x14ac:dyDescent="0.2">
      <c r="A120" s="3"/>
      <c r="B120" s="259"/>
      <c r="C120" s="33" t="s">
        <v>207</v>
      </c>
      <c r="D120" s="161">
        <v>33.5</v>
      </c>
      <c r="E120" s="161">
        <v>44.75</v>
      </c>
      <c r="F120" s="161">
        <v>33.57543044092251</v>
      </c>
      <c r="G120" s="161">
        <v>10.604387843165085</v>
      </c>
      <c r="H120" s="3"/>
      <c r="I120" s="112"/>
      <c r="J120" s="112"/>
      <c r="K120" s="73"/>
      <c r="L120" s="73"/>
    </row>
    <row r="121" spans="1:12" x14ac:dyDescent="0.2">
      <c r="A121" s="3"/>
      <c r="B121" s="259"/>
      <c r="C121" s="33" t="s">
        <v>208</v>
      </c>
      <c r="D121" s="161">
        <v>2</v>
      </c>
      <c r="E121" s="161">
        <v>3.5</v>
      </c>
      <c r="F121" s="161">
        <v>4.8629370689655174</v>
      </c>
      <c r="G121" s="161">
        <v>0.79817973013070542</v>
      </c>
      <c r="H121" s="3"/>
      <c r="I121" s="112"/>
      <c r="J121" s="112"/>
      <c r="K121" s="73"/>
      <c r="L121" s="73"/>
    </row>
    <row r="122" spans="1:12" x14ac:dyDescent="0.2">
      <c r="A122" s="3"/>
      <c r="B122" s="3"/>
      <c r="C122" s="121" t="s">
        <v>36</v>
      </c>
      <c r="D122" s="163">
        <f t="shared" ref="D122" si="10">SUM(D108:D121)</f>
        <v>10629.5</v>
      </c>
      <c r="E122" s="163">
        <f t="shared" ref="E122" si="11">SUM(E108:E121)</f>
        <v>3057</v>
      </c>
      <c r="F122" s="163">
        <f t="shared" ref="F122" si="12">SUM(F108:F121)</f>
        <v>3392.5000000000009</v>
      </c>
      <c r="G122" s="163">
        <f t="shared" ref="G122" si="13">SUM(G108:G121)</f>
        <v>3857.6293845170621</v>
      </c>
      <c r="H122" s="3"/>
      <c r="I122" s="112"/>
      <c r="J122" s="112"/>
      <c r="K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0.5" customHeight="1" x14ac:dyDescent="0.2">
      <c r="A124" s="3"/>
      <c r="B124" s="3"/>
      <c r="C124" s="3"/>
      <c r="D124" s="3"/>
      <c r="E124" s="3"/>
      <c r="F124" s="3"/>
      <c r="G124" s="3"/>
      <c r="H124" s="3"/>
      <c r="I124" s="73"/>
      <c r="J124" s="156"/>
      <c r="K124" s="3"/>
      <c r="L124" s="3"/>
    </row>
    <row r="125" spans="1:12" x14ac:dyDescent="0.2">
      <c r="A125" s="3"/>
      <c r="B125" s="34" t="s">
        <v>308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3"/>
      <c r="B126" s="122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7.25" customHeight="1" x14ac:dyDescent="0.2">
      <c r="A127" s="3"/>
      <c r="B127" s="97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3"/>
      <c r="B128" s="3"/>
      <c r="C128" s="3"/>
      <c r="D128" s="256" t="s">
        <v>191</v>
      </c>
      <c r="E128" s="256"/>
      <c r="F128" s="256"/>
      <c r="G128" s="256"/>
      <c r="H128" s="146"/>
      <c r="I128" s="3"/>
      <c r="J128" s="3"/>
      <c r="K128" s="3"/>
      <c r="L128" s="3"/>
    </row>
    <row r="129" spans="1:12" x14ac:dyDescent="0.2">
      <c r="A129" s="3"/>
      <c r="B129" s="2" t="s">
        <v>304</v>
      </c>
      <c r="C129" s="2" t="s">
        <v>305</v>
      </c>
      <c r="D129" s="2" t="s">
        <v>323</v>
      </c>
      <c r="E129" s="2" t="s">
        <v>324</v>
      </c>
      <c r="F129" s="2" t="s">
        <v>325</v>
      </c>
      <c r="G129" s="2" t="s">
        <v>326</v>
      </c>
      <c r="H129" s="146"/>
      <c r="I129" s="3"/>
      <c r="J129" s="3"/>
      <c r="K129" s="3"/>
      <c r="L129" s="3"/>
    </row>
    <row r="130" spans="1:12" x14ac:dyDescent="0.2">
      <c r="A130" s="3"/>
      <c r="B130" s="67" t="s">
        <v>306</v>
      </c>
      <c r="C130" s="95" t="s">
        <v>307</v>
      </c>
      <c r="D130" s="161">
        <v>325.5</v>
      </c>
      <c r="E130" s="161">
        <v>305.5</v>
      </c>
      <c r="F130" s="161">
        <v>399.5</v>
      </c>
      <c r="G130" s="161">
        <v>535.34601849635692</v>
      </c>
      <c r="H130" s="3"/>
      <c r="I130" s="3"/>
      <c r="J130" s="3"/>
      <c r="K130" s="73"/>
      <c r="L130" s="73"/>
    </row>
    <row r="131" spans="1:12" x14ac:dyDescent="0.2">
      <c r="A131" s="3"/>
      <c r="B131" s="3"/>
      <c r="C131" s="121" t="s">
        <v>36</v>
      </c>
      <c r="D131" s="163">
        <f t="shared" ref="D131:G131" si="14">SUM(D130)</f>
        <v>325.5</v>
      </c>
      <c r="E131" s="163">
        <f t="shared" si="14"/>
        <v>305.5</v>
      </c>
      <c r="F131" s="163">
        <f t="shared" si="14"/>
        <v>399.5</v>
      </c>
      <c r="G131" s="163">
        <f t="shared" si="14"/>
        <v>535.34601849635692</v>
      </c>
      <c r="H131" s="3"/>
      <c r="I131" s="3"/>
      <c r="J131" s="3"/>
      <c r="K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x14ac:dyDescent="0.25">
      <c r="A134" s="28"/>
      <c r="B134" s="28" t="s">
        <v>309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idden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idden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idden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idden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idden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idden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idden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idden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idden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idden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idden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idden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idden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idden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idden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idden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idden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idden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idden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idden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idden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idden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idden="1" x14ac:dyDescent="0.2"/>
  </sheetData>
  <mergeCells count="16">
    <mergeCell ref="B116:B118"/>
    <mergeCell ref="B119:B121"/>
    <mergeCell ref="B108:B110"/>
    <mergeCell ref="D128:G128"/>
    <mergeCell ref="D106:G106"/>
    <mergeCell ref="D7:G7"/>
    <mergeCell ref="D27:H27"/>
    <mergeCell ref="D72:G72"/>
    <mergeCell ref="D50:G50"/>
    <mergeCell ref="B111:B115"/>
    <mergeCell ref="D82:H82"/>
    <mergeCell ref="B25:I25"/>
    <mergeCell ref="B52:B54"/>
    <mergeCell ref="B55:B59"/>
    <mergeCell ref="B60:B62"/>
    <mergeCell ref="B63:B65"/>
  </mergeCells>
  <conditionalFormatting sqref="H100">
    <cfRule type="expression" dxfId="8" priority="3">
      <formula>H100="Check!"</formula>
    </cfRule>
  </conditionalFormatting>
  <conditionalFormatting sqref="K2">
    <cfRule type="expression" dxfId="7" priority="2">
      <formula>$K$2="Check!"</formula>
    </cfRule>
  </conditionalFormatting>
  <conditionalFormatting sqref="H75">
    <cfRule type="expression" dxfId="6" priority="1">
      <formula>H75="Check!"</formula>
    </cfRule>
  </conditionalFormatting>
  <hyperlinks>
    <hyperlink ref="K1" location="Menu!A1" display="Menu" xr:uid="{00000000-0004-0000-0300-000000000000}"/>
  </hyperlinks>
  <pageMargins left="0.25" right="0.25" top="0.75" bottom="0.75" header="0.3" footer="0.3"/>
  <pageSetup paperSize="9" scale="26" orientation="landscape" r:id="rId1"/>
  <ignoredErrors>
    <ignoredError sqref="H85:H97" formulaRange="1"/>
    <ignoredError sqref="J9:J17 J20:J2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theme="8" tint="0.59999389629810485"/>
  </sheetPr>
  <dimension ref="A1:S235"/>
  <sheetViews>
    <sheetView zoomScaleNormal="100"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4" width="13.7109375" bestFit="1" customWidth="1"/>
    <col min="5" max="5" width="15.28515625" bestFit="1" customWidth="1"/>
    <col min="6" max="6" width="14.7109375" customWidth="1"/>
    <col min="7" max="7" width="3.7109375" customWidth="1"/>
    <col min="8" max="16" width="9.140625" hidden="1" customWidth="1"/>
    <col min="17" max="19" width="0" hidden="1" customWidth="1"/>
    <col min="20" max="16384" width="9.140625" hidden="1"/>
  </cols>
  <sheetData>
    <row r="1" spans="1:7" ht="18" x14ac:dyDescent="0.25">
      <c r="A1" s="26" t="str">
        <f>Menu!A1</f>
        <v>Powercor - Connections</v>
      </c>
      <c r="B1" s="26"/>
      <c r="C1" s="26"/>
      <c r="D1" s="26"/>
      <c r="E1" s="26"/>
      <c r="F1" s="30" t="s">
        <v>39</v>
      </c>
      <c r="G1" s="26"/>
    </row>
    <row r="2" spans="1:7" ht="15.75" x14ac:dyDescent="0.25">
      <c r="A2" s="28" t="str">
        <f ca="1">RIGHT(CELL("filename", $A$1), LEN(CELL("filename", $A$1)) - SEARCH("]", CELL("filename", $A$1)))</f>
        <v>Historical Contributions</v>
      </c>
      <c r="B2" s="28"/>
      <c r="C2" s="28"/>
      <c r="D2" s="28"/>
      <c r="E2" s="38" t="s">
        <v>82</v>
      </c>
      <c r="F2" s="40" t="str">
        <f>IF(SUM(C105:F105)=(SUM(C84:F84)-SUM(C43:F43)+SUM(C22:F22)),"OK","Check!")</f>
        <v>OK</v>
      </c>
      <c r="G2" s="28"/>
    </row>
    <row r="3" spans="1:7" x14ac:dyDescent="0.2">
      <c r="A3" s="3"/>
      <c r="B3" s="3"/>
      <c r="C3" s="3"/>
      <c r="D3" s="3"/>
      <c r="E3" s="3"/>
      <c r="F3" s="3"/>
      <c r="G3" s="3"/>
    </row>
    <row r="4" spans="1:7" x14ac:dyDescent="0.2">
      <c r="A4" s="3"/>
      <c r="B4" s="34" t="s">
        <v>219</v>
      </c>
      <c r="C4" s="3"/>
      <c r="D4" s="3"/>
      <c r="E4" s="3"/>
      <c r="F4" s="3"/>
      <c r="G4" s="3"/>
    </row>
    <row r="5" spans="1:7" x14ac:dyDescent="0.2">
      <c r="A5" s="3"/>
      <c r="B5" s="49"/>
      <c r="C5" s="146"/>
      <c r="D5" s="146"/>
      <c r="E5" s="146"/>
      <c r="F5" s="3"/>
      <c r="G5" s="3"/>
    </row>
    <row r="6" spans="1:7" x14ac:dyDescent="0.2">
      <c r="A6" s="3"/>
      <c r="B6" s="3"/>
      <c r="C6" s="261" t="s">
        <v>173</v>
      </c>
      <c r="D6" s="262"/>
      <c r="E6" s="262"/>
      <c r="F6" s="263"/>
      <c r="G6" s="3"/>
    </row>
    <row r="7" spans="1:7" ht="25.5" x14ac:dyDescent="0.2">
      <c r="A7" s="3"/>
      <c r="B7" s="2" t="s">
        <v>35</v>
      </c>
      <c r="C7" s="2" t="s">
        <v>323</v>
      </c>
      <c r="D7" s="2" t="s">
        <v>324</v>
      </c>
      <c r="E7" s="2" t="s">
        <v>325</v>
      </c>
      <c r="F7" s="136" t="s">
        <v>326</v>
      </c>
      <c r="G7" s="3"/>
    </row>
    <row r="8" spans="1:7" x14ac:dyDescent="0.2">
      <c r="A8" s="146"/>
      <c r="B8" s="67">
        <v>102</v>
      </c>
      <c r="C8" s="161">
        <v>239586.41669025729</v>
      </c>
      <c r="D8" s="65">
        <v>221183.7008275447</v>
      </c>
      <c r="E8" s="65">
        <v>131906</v>
      </c>
      <c r="F8" s="65">
        <v>31799.398279189631</v>
      </c>
      <c r="G8" s="3"/>
    </row>
    <row r="9" spans="1:7" x14ac:dyDescent="0.2">
      <c r="A9" s="146"/>
      <c r="B9" s="67">
        <v>104</v>
      </c>
      <c r="C9" s="65">
        <v>23989698.940240785</v>
      </c>
      <c r="D9" s="65">
        <v>32842724.006901991</v>
      </c>
      <c r="E9" s="65">
        <v>37875578</v>
      </c>
      <c r="F9" s="65">
        <v>47729221.091537833</v>
      </c>
      <c r="G9" s="3"/>
    </row>
    <row r="10" spans="1:7" x14ac:dyDescent="0.2">
      <c r="A10" s="146"/>
      <c r="B10" s="67">
        <v>105</v>
      </c>
      <c r="C10" s="65">
        <v>208866.55457703568</v>
      </c>
      <c r="D10" s="65">
        <v>258508.94886399267</v>
      </c>
      <c r="E10" s="65">
        <v>98510.500000000015</v>
      </c>
      <c r="F10" s="65">
        <v>14088.507198421888</v>
      </c>
      <c r="G10" s="3"/>
    </row>
    <row r="11" spans="1:7" x14ac:dyDescent="0.2">
      <c r="A11" s="146"/>
      <c r="B11" s="67">
        <v>106</v>
      </c>
      <c r="C11" s="65">
        <v>199505.37839297261</v>
      </c>
      <c r="D11" s="65">
        <v>233683.22992151548</v>
      </c>
      <c r="E11" s="65">
        <v>140177</v>
      </c>
      <c r="F11" s="65">
        <v>143938.13886100327</v>
      </c>
      <c r="G11" s="3"/>
    </row>
    <row r="12" spans="1:7" x14ac:dyDescent="0.2">
      <c r="A12" s="146"/>
      <c r="B12" s="67">
        <v>107</v>
      </c>
      <c r="C12" s="65">
        <v>0</v>
      </c>
      <c r="D12" s="65">
        <v>42319.5</v>
      </c>
      <c r="E12" s="65">
        <v>42319.5</v>
      </c>
      <c r="F12" s="65">
        <v>0</v>
      </c>
      <c r="G12" s="3"/>
    </row>
    <row r="13" spans="1:7" x14ac:dyDescent="0.2">
      <c r="A13" s="146"/>
      <c r="B13" s="67">
        <v>108</v>
      </c>
      <c r="C13" s="65">
        <v>1971678.5666596016</v>
      </c>
      <c r="D13" s="65">
        <v>2432659.6304297284</v>
      </c>
      <c r="E13" s="65">
        <v>3263113.5</v>
      </c>
      <c r="F13" s="65">
        <v>3695874.711067948</v>
      </c>
      <c r="G13" s="3"/>
    </row>
    <row r="14" spans="1:7" x14ac:dyDescent="0.2">
      <c r="A14" s="146"/>
      <c r="B14" s="67">
        <v>109</v>
      </c>
      <c r="C14" s="65">
        <v>0</v>
      </c>
      <c r="D14" s="65">
        <v>0</v>
      </c>
      <c r="E14" s="65">
        <v>0</v>
      </c>
      <c r="F14" s="65">
        <v>0</v>
      </c>
      <c r="G14" s="3"/>
    </row>
    <row r="15" spans="1:7" x14ac:dyDescent="0.2">
      <c r="A15" s="146"/>
      <c r="B15" s="67">
        <v>110</v>
      </c>
      <c r="C15" s="65">
        <v>1108452.2097425866</v>
      </c>
      <c r="D15" s="65">
        <v>859216.97563700925</v>
      </c>
      <c r="E15" s="65">
        <v>1200970</v>
      </c>
      <c r="F15" s="65">
        <v>1727076.2487537474</v>
      </c>
      <c r="G15" s="3"/>
    </row>
    <row r="16" spans="1:7" x14ac:dyDescent="0.2">
      <c r="A16" s="146"/>
      <c r="B16" s="67">
        <v>111</v>
      </c>
      <c r="C16" s="65">
        <v>138644.3264784682</v>
      </c>
      <c r="D16" s="65">
        <v>261088.55887568582</v>
      </c>
      <c r="E16" s="65">
        <v>224859</v>
      </c>
      <c r="F16" s="65">
        <v>73425.184203635727</v>
      </c>
      <c r="G16" s="3"/>
    </row>
    <row r="17" spans="1:7" x14ac:dyDescent="0.2">
      <c r="A17" s="146"/>
      <c r="B17" s="67">
        <v>114</v>
      </c>
      <c r="C17" s="65">
        <v>0</v>
      </c>
      <c r="D17" s="65">
        <v>0</v>
      </c>
      <c r="E17" s="65">
        <v>0</v>
      </c>
      <c r="F17" s="65">
        <v>0</v>
      </c>
      <c r="G17" s="3"/>
    </row>
    <row r="18" spans="1:7" x14ac:dyDescent="0.2">
      <c r="A18" s="146"/>
      <c r="B18" s="67">
        <v>115</v>
      </c>
      <c r="C18" s="65">
        <v>0</v>
      </c>
      <c r="D18" s="65">
        <v>0</v>
      </c>
      <c r="E18" s="65">
        <v>0</v>
      </c>
      <c r="F18" s="65">
        <v>0</v>
      </c>
      <c r="G18" s="3"/>
    </row>
    <row r="19" spans="1:7" x14ac:dyDescent="0.2">
      <c r="A19" s="146"/>
      <c r="B19" s="67">
        <v>116</v>
      </c>
      <c r="C19" s="65">
        <v>481242.46761823655</v>
      </c>
      <c r="D19" s="65">
        <v>378619.22571584705</v>
      </c>
      <c r="E19" s="65">
        <v>141088</v>
      </c>
      <c r="F19" s="65">
        <v>218226.25009822586</v>
      </c>
      <c r="G19" s="3"/>
    </row>
    <row r="20" spans="1:7" x14ac:dyDescent="0.2">
      <c r="A20" s="146"/>
      <c r="B20" s="67">
        <v>118</v>
      </c>
      <c r="C20" s="65">
        <v>0</v>
      </c>
      <c r="D20" s="65">
        <v>0</v>
      </c>
      <c r="E20" s="65">
        <v>0</v>
      </c>
      <c r="F20" s="65"/>
      <c r="G20" s="3"/>
    </row>
    <row r="21" spans="1:7" x14ac:dyDescent="0.2">
      <c r="A21" s="3"/>
      <c r="B21" s="67">
        <v>171</v>
      </c>
      <c r="C21" s="65"/>
      <c r="D21" s="65"/>
      <c r="E21" s="65"/>
      <c r="F21" s="65"/>
      <c r="G21" s="3"/>
    </row>
    <row r="22" spans="1:7" x14ac:dyDescent="0.2">
      <c r="A22" s="3"/>
      <c r="B22" s="71" t="s">
        <v>36</v>
      </c>
      <c r="C22" s="72">
        <f>SUM(C8:C21)</f>
        <v>28337674.860399943</v>
      </c>
      <c r="D22" s="72">
        <f>SUM(D8:D21)</f>
        <v>37530003.777173318</v>
      </c>
      <c r="E22" s="72">
        <f>SUM(E8:E21)</f>
        <v>43118521.5</v>
      </c>
      <c r="F22" s="72">
        <f>SUM(F8:F21)</f>
        <v>53633649.530000001</v>
      </c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4" t="s">
        <v>220</v>
      </c>
      <c r="C25" s="3"/>
      <c r="D25" s="3"/>
      <c r="E25" s="3"/>
      <c r="F25" s="3"/>
      <c r="G25" s="3"/>
    </row>
    <row r="26" spans="1:7" x14ac:dyDescent="0.2">
      <c r="A26" s="3"/>
      <c r="B26" s="49"/>
      <c r="C26" s="146"/>
      <c r="D26" s="146"/>
      <c r="E26" s="146"/>
      <c r="F26" s="146"/>
      <c r="G26" s="3"/>
    </row>
    <row r="27" spans="1:7" x14ac:dyDescent="0.2">
      <c r="A27" s="3"/>
      <c r="B27" s="3"/>
      <c r="C27" s="261" t="s">
        <v>173</v>
      </c>
      <c r="D27" s="262"/>
      <c r="E27" s="262"/>
      <c r="F27" s="263"/>
      <c r="G27" s="3"/>
    </row>
    <row r="28" spans="1:7" ht="25.5" x14ac:dyDescent="0.2">
      <c r="A28" s="3"/>
      <c r="B28" s="2" t="s">
        <v>35</v>
      </c>
      <c r="C28" s="2" t="s">
        <v>323</v>
      </c>
      <c r="D28" s="2" t="s">
        <v>324</v>
      </c>
      <c r="E28" s="2" t="s">
        <v>325</v>
      </c>
      <c r="F28" s="136" t="s">
        <v>326</v>
      </c>
      <c r="G28" s="3"/>
    </row>
    <row r="29" spans="1:7" x14ac:dyDescent="0.2">
      <c r="A29" s="3"/>
      <c r="B29" s="67">
        <v>102</v>
      </c>
      <c r="C29" s="161">
        <v>13328</v>
      </c>
      <c r="D29" s="65">
        <v>63411.500000000007</v>
      </c>
      <c r="E29" s="65">
        <v>100326.50000000001</v>
      </c>
      <c r="F29" s="161">
        <v>95795.505340679592</v>
      </c>
      <c r="G29" s="3"/>
    </row>
    <row r="30" spans="1:7" x14ac:dyDescent="0.2">
      <c r="A30" s="3"/>
      <c r="B30" s="67">
        <v>104</v>
      </c>
      <c r="C30" s="65">
        <v>18319144.609999999</v>
      </c>
      <c r="D30" s="65">
        <v>20484076.065000001</v>
      </c>
      <c r="E30" s="65">
        <v>17235204.5</v>
      </c>
      <c r="F30" s="65">
        <v>17900567.460192654</v>
      </c>
      <c r="G30" s="3"/>
    </row>
    <row r="31" spans="1:7" x14ac:dyDescent="0.2">
      <c r="A31" s="3"/>
      <c r="B31" s="67">
        <v>105</v>
      </c>
      <c r="C31" s="65">
        <v>25239.5</v>
      </c>
      <c r="D31" s="65">
        <v>64864.499999999993</v>
      </c>
      <c r="E31" s="65">
        <v>39625</v>
      </c>
      <c r="F31" s="65">
        <v>0</v>
      </c>
      <c r="G31" s="3"/>
    </row>
    <row r="32" spans="1:7" x14ac:dyDescent="0.2">
      <c r="A32" s="3"/>
      <c r="B32" s="67">
        <v>106</v>
      </c>
      <c r="C32" s="65">
        <v>173941</v>
      </c>
      <c r="D32" s="65">
        <v>194406</v>
      </c>
      <c r="E32" s="65">
        <v>179954.99999999997</v>
      </c>
      <c r="F32" s="65">
        <v>243403.32566530054</v>
      </c>
      <c r="G32" s="3"/>
    </row>
    <row r="33" spans="1:7" x14ac:dyDescent="0.2">
      <c r="A33" s="3"/>
      <c r="B33" s="67">
        <v>107</v>
      </c>
      <c r="C33" s="65">
        <v>0</v>
      </c>
      <c r="D33" s="65">
        <v>22099</v>
      </c>
      <c r="E33" s="65">
        <v>22099</v>
      </c>
      <c r="F33" s="65">
        <v>0</v>
      </c>
      <c r="G33" s="3"/>
    </row>
    <row r="34" spans="1:7" x14ac:dyDescent="0.2">
      <c r="A34" s="3"/>
      <c r="B34" s="67">
        <v>108</v>
      </c>
      <c r="C34" s="65">
        <v>967768.60499999998</v>
      </c>
      <c r="D34" s="65">
        <v>1228266.605</v>
      </c>
      <c r="E34" s="65">
        <v>1664538.105</v>
      </c>
      <c r="F34" s="65">
        <v>1601060.8505840155</v>
      </c>
      <c r="G34" s="3"/>
    </row>
    <row r="35" spans="1:7" x14ac:dyDescent="0.2">
      <c r="A35" s="3"/>
      <c r="B35" s="67">
        <v>109</v>
      </c>
      <c r="C35" s="65">
        <v>321</v>
      </c>
      <c r="D35" s="65">
        <v>321</v>
      </c>
      <c r="E35" s="65">
        <v>0</v>
      </c>
      <c r="F35" s="65">
        <v>0</v>
      </c>
      <c r="G35" s="3"/>
    </row>
    <row r="36" spans="1:7" x14ac:dyDescent="0.2">
      <c r="A36" s="3"/>
      <c r="B36" s="67">
        <v>110</v>
      </c>
      <c r="C36" s="65">
        <v>316840.29999999993</v>
      </c>
      <c r="D36" s="65">
        <v>176430.3</v>
      </c>
      <c r="E36" s="65">
        <v>102168.50000000001</v>
      </c>
      <c r="F36" s="65">
        <v>62238.987017746746</v>
      </c>
      <c r="G36" s="3"/>
    </row>
    <row r="37" spans="1:7" x14ac:dyDescent="0.2">
      <c r="A37" s="3"/>
      <c r="B37" s="67">
        <v>111</v>
      </c>
      <c r="C37" s="65">
        <v>66938.5</v>
      </c>
      <c r="D37" s="65">
        <v>391717.99999999994</v>
      </c>
      <c r="E37" s="65">
        <v>180596.99999999997</v>
      </c>
      <c r="F37" s="65">
        <v>-350674.98029254668</v>
      </c>
      <c r="G37" s="3"/>
    </row>
    <row r="38" spans="1:7" x14ac:dyDescent="0.2">
      <c r="A38" s="3"/>
      <c r="B38" s="67">
        <v>114</v>
      </c>
      <c r="C38" s="65">
        <v>0</v>
      </c>
      <c r="D38" s="65">
        <v>0</v>
      </c>
      <c r="E38" s="65">
        <v>0</v>
      </c>
      <c r="F38" s="65">
        <v>0</v>
      </c>
      <c r="G38" s="3"/>
    </row>
    <row r="39" spans="1:7" x14ac:dyDescent="0.2">
      <c r="A39" s="3"/>
      <c r="B39" s="67">
        <v>115</v>
      </c>
      <c r="C39" s="65">
        <v>0</v>
      </c>
      <c r="D39" s="65">
        <v>0</v>
      </c>
      <c r="E39" s="65">
        <v>0</v>
      </c>
      <c r="F39" s="65">
        <v>0</v>
      </c>
      <c r="G39" s="3"/>
    </row>
    <row r="40" spans="1:7" x14ac:dyDescent="0.2">
      <c r="A40" s="3"/>
      <c r="B40" s="67">
        <v>116</v>
      </c>
      <c r="C40" s="65">
        <v>0</v>
      </c>
      <c r="D40" s="65">
        <v>0</v>
      </c>
      <c r="E40" s="65">
        <v>0</v>
      </c>
      <c r="F40" s="65">
        <v>0</v>
      </c>
      <c r="G40" s="3"/>
    </row>
    <row r="41" spans="1:7" x14ac:dyDescent="0.2">
      <c r="A41" s="3"/>
      <c r="B41" s="67">
        <v>118</v>
      </c>
      <c r="C41" s="65">
        <v>0</v>
      </c>
      <c r="D41" s="65">
        <v>0</v>
      </c>
      <c r="E41" s="65">
        <v>0</v>
      </c>
      <c r="F41" s="65">
        <v>0</v>
      </c>
      <c r="G41" s="3"/>
    </row>
    <row r="42" spans="1:7" x14ac:dyDescent="0.2">
      <c r="A42" s="3"/>
      <c r="B42" s="67">
        <v>171</v>
      </c>
      <c r="C42" s="65"/>
      <c r="D42" s="65"/>
      <c r="E42" s="65"/>
      <c r="F42" s="65"/>
      <c r="G42" s="3"/>
    </row>
    <row r="43" spans="1:7" x14ac:dyDescent="0.2">
      <c r="A43" s="3"/>
      <c r="B43" s="71" t="s">
        <v>36</v>
      </c>
      <c r="C43" s="72">
        <f>SUM(C29:C42)</f>
        <v>19883521.515000001</v>
      </c>
      <c r="D43" s="72">
        <f>SUM(D29:D42)</f>
        <v>22625592.970000003</v>
      </c>
      <c r="E43" s="72">
        <f>SUM(E29:E42)</f>
        <v>19524513.605</v>
      </c>
      <c r="F43" s="72">
        <f>SUM(F29:F42)</f>
        <v>19552391.148507848</v>
      </c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4" t="s">
        <v>221</v>
      </c>
      <c r="C46" s="3"/>
      <c r="D46" s="3"/>
      <c r="E46" s="3"/>
      <c r="F46" s="3"/>
      <c r="G46" s="3"/>
    </row>
    <row r="47" spans="1:7" x14ac:dyDescent="0.2">
      <c r="A47" s="3"/>
      <c r="B47" s="49"/>
      <c r="C47" s="3"/>
      <c r="D47" s="3"/>
      <c r="E47" s="3"/>
      <c r="F47" s="3"/>
      <c r="G47" s="3"/>
    </row>
    <row r="48" spans="1:7" x14ac:dyDescent="0.2">
      <c r="A48" s="3"/>
      <c r="B48" s="3"/>
      <c r="C48" s="261" t="s">
        <v>194</v>
      </c>
      <c r="D48" s="262"/>
      <c r="E48" s="262"/>
      <c r="F48" s="263"/>
      <c r="G48" s="3"/>
    </row>
    <row r="49" spans="1:7" ht="25.5" x14ac:dyDescent="0.2">
      <c r="A49" s="3"/>
      <c r="B49" s="2" t="s">
        <v>35</v>
      </c>
      <c r="C49" s="2" t="s">
        <v>323</v>
      </c>
      <c r="D49" s="2" t="s">
        <v>324</v>
      </c>
      <c r="E49" s="2" t="s">
        <v>325</v>
      </c>
      <c r="F49" s="136" t="s">
        <v>326</v>
      </c>
      <c r="G49" s="3"/>
    </row>
    <row r="50" spans="1:7" x14ac:dyDescent="0.2">
      <c r="A50" s="3"/>
      <c r="B50" s="67">
        <v>102</v>
      </c>
      <c r="C50" s="54">
        <v>0.50813750752841857</v>
      </c>
      <c r="D50" s="54">
        <v>0.58541255516697421</v>
      </c>
      <c r="E50" s="54">
        <v>0.65862779323986409</v>
      </c>
      <c r="F50" s="54">
        <v>0.68558692931616783</v>
      </c>
      <c r="G50" s="98"/>
    </row>
    <row r="51" spans="1:7" x14ac:dyDescent="0.2">
      <c r="A51" s="3"/>
      <c r="B51" s="67">
        <v>104</v>
      </c>
      <c r="C51" s="54">
        <v>0.14081701738598845</v>
      </c>
      <c r="D51" s="54">
        <v>0.17729875146809573</v>
      </c>
      <c r="E51" s="54">
        <v>0.24081269061001356</v>
      </c>
      <c r="F51" s="54">
        <v>0.28939301467221762</v>
      </c>
      <c r="G51" s="98"/>
    </row>
    <row r="52" spans="1:7" x14ac:dyDescent="0.2">
      <c r="A52" s="3"/>
      <c r="B52" s="67">
        <v>105</v>
      </c>
      <c r="C52" s="54">
        <v>0.29519695427115328</v>
      </c>
      <c r="D52" s="54">
        <v>0.39751024694048992</v>
      </c>
      <c r="E52" s="54">
        <v>0.39223320892796237</v>
      </c>
      <c r="F52" s="54">
        <v>0.3718645142189953</v>
      </c>
      <c r="G52" s="98"/>
    </row>
    <row r="53" spans="1:7" x14ac:dyDescent="0.2">
      <c r="A53" s="3"/>
      <c r="B53" s="67">
        <v>106</v>
      </c>
      <c r="C53" s="54">
        <v>0.13249542646644785</v>
      </c>
      <c r="D53" s="54">
        <v>0.19445505342731148</v>
      </c>
      <c r="E53" s="54">
        <v>0.23676896646783804</v>
      </c>
      <c r="F53" s="54">
        <v>0.19579461528440117</v>
      </c>
      <c r="G53" s="98"/>
    </row>
    <row r="54" spans="1:7" x14ac:dyDescent="0.2">
      <c r="A54" s="3"/>
      <c r="B54" s="67">
        <v>107</v>
      </c>
      <c r="C54" s="54">
        <v>0.36927214980620293</v>
      </c>
      <c r="D54" s="54">
        <v>0.53670515200860447</v>
      </c>
      <c r="E54" s="54">
        <v>0.47630244886504425</v>
      </c>
      <c r="F54" s="54">
        <v>0.48793046132777901</v>
      </c>
      <c r="G54" s="98"/>
    </row>
    <row r="55" spans="1:7" x14ac:dyDescent="0.2">
      <c r="A55" s="3"/>
      <c r="B55" s="67">
        <v>108</v>
      </c>
      <c r="C55" s="54">
        <v>0.29509326179766066</v>
      </c>
      <c r="D55" s="54">
        <v>0.30975466359256032</v>
      </c>
      <c r="E55" s="54">
        <v>0.35666230549684252</v>
      </c>
      <c r="F55" s="54">
        <v>0.47038239509661112</v>
      </c>
      <c r="G55" s="98"/>
    </row>
    <row r="56" spans="1:7" x14ac:dyDescent="0.2">
      <c r="A56" s="3"/>
      <c r="B56" s="67">
        <v>109</v>
      </c>
      <c r="C56" s="54">
        <v>0.59686722706577733</v>
      </c>
      <c r="D56" s="54">
        <v>0.74250258543246395</v>
      </c>
      <c r="E56" s="54">
        <v>0.80426758568847523</v>
      </c>
      <c r="F56" s="54">
        <v>0.89800671568727319</v>
      </c>
      <c r="G56" s="98"/>
    </row>
    <row r="57" spans="1:7" x14ac:dyDescent="0.2">
      <c r="A57" s="3"/>
      <c r="B57" s="67">
        <v>110</v>
      </c>
      <c r="C57" s="54">
        <v>0.42733399617410922</v>
      </c>
      <c r="D57" s="54">
        <v>0.71939862869509053</v>
      </c>
      <c r="E57" s="54">
        <v>0.79439872455287563</v>
      </c>
      <c r="F57" s="54">
        <v>0.70092694489759721</v>
      </c>
      <c r="G57" s="98"/>
    </row>
    <row r="58" spans="1:7" x14ac:dyDescent="0.2">
      <c r="A58" s="3"/>
      <c r="B58" s="67">
        <v>111</v>
      </c>
      <c r="C58" s="54">
        <v>0.14038424268268285</v>
      </c>
      <c r="D58" s="54">
        <v>0.14937061725501469</v>
      </c>
      <c r="E58" s="54">
        <v>0.1601750814651238</v>
      </c>
      <c r="F58" s="54">
        <v>0.17743398103025002</v>
      </c>
      <c r="G58" s="98"/>
    </row>
    <row r="59" spans="1:7" x14ac:dyDescent="0.2">
      <c r="A59" s="3"/>
      <c r="B59" s="67">
        <v>114</v>
      </c>
      <c r="C59" s="54">
        <v>0</v>
      </c>
      <c r="D59" s="54">
        <v>0</v>
      </c>
      <c r="E59" s="54">
        <v>0</v>
      </c>
      <c r="F59" s="54">
        <v>0</v>
      </c>
      <c r="G59" s="3"/>
    </row>
    <row r="60" spans="1:7" x14ac:dyDescent="0.2">
      <c r="A60" s="3"/>
      <c r="B60" s="67">
        <v>115</v>
      </c>
      <c r="C60" s="54">
        <v>0</v>
      </c>
      <c r="D60" s="54">
        <v>0</v>
      </c>
      <c r="E60" s="54">
        <v>0</v>
      </c>
      <c r="F60" s="54">
        <v>0</v>
      </c>
      <c r="G60" s="3"/>
    </row>
    <row r="61" spans="1:7" x14ac:dyDescent="0.2">
      <c r="A61" s="3"/>
      <c r="B61" s="67">
        <v>116</v>
      </c>
      <c r="C61" s="54">
        <v>1</v>
      </c>
      <c r="D61" s="54">
        <v>1</v>
      </c>
      <c r="E61" s="54">
        <v>0.88261953492923584</v>
      </c>
      <c r="F61" s="54">
        <v>0.68133220788794946</v>
      </c>
      <c r="G61" s="3"/>
    </row>
    <row r="62" spans="1:7" x14ac:dyDescent="0.2">
      <c r="A62" s="3"/>
      <c r="B62" s="67">
        <v>118</v>
      </c>
      <c r="C62" s="54">
        <v>1</v>
      </c>
      <c r="D62" s="54">
        <v>1</v>
      </c>
      <c r="E62" s="54">
        <v>1</v>
      </c>
      <c r="F62" s="54">
        <v>1</v>
      </c>
      <c r="G62" s="3"/>
    </row>
    <row r="63" spans="1:7" x14ac:dyDescent="0.2">
      <c r="A63" s="3"/>
      <c r="B63" s="67">
        <v>171</v>
      </c>
      <c r="C63" s="54"/>
      <c r="D63" s="54"/>
      <c r="E63" s="54"/>
      <c r="F63" s="54"/>
      <c r="G63" s="3"/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3"/>
      <c r="B65" s="3"/>
      <c r="C65" s="3"/>
      <c r="D65" s="3"/>
      <c r="E65" s="3"/>
      <c r="F65" s="3"/>
      <c r="G65" s="3"/>
    </row>
    <row r="66" spans="1:7" x14ac:dyDescent="0.2">
      <c r="A66" s="3"/>
      <c r="B66" s="34" t="s">
        <v>222</v>
      </c>
      <c r="C66" s="3"/>
      <c r="D66" s="3"/>
      <c r="E66" s="3"/>
      <c r="F66" s="3"/>
      <c r="G66" s="3"/>
    </row>
    <row r="67" spans="1:7" x14ac:dyDescent="0.2">
      <c r="A67" s="3"/>
      <c r="B67" s="49"/>
      <c r="C67" s="146"/>
      <c r="D67" s="146"/>
      <c r="E67" s="146"/>
      <c r="F67" s="146"/>
      <c r="G67" s="3"/>
    </row>
    <row r="68" spans="1:7" x14ac:dyDescent="0.2">
      <c r="A68" s="3"/>
      <c r="B68" s="3"/>
      <c r="C68" s="261" t="s">
        <v>173</v>
      </c>
      <c r="D68" s="262"/>
      <c r="E68" s="262"/>
      <c r="F68" s="263"/>
      <c r="G68" s="3"/>
    </row>
    <row r="69" spans="1:7" ht="25.5" x14ac:dyDescent="0.2">
      <c r="A69" s="3"/>
      <c r="B69" s="2" t="s">
        <v>35</v>
      </c>
      <c r="C69" s="2" t="s">
        <v>323</v>
      </c>
      <c r="D69" s="2" t="s">
        <v>324</v>
      </c>
      <c r="E69" s="2" t="s">
        <v>325</v>
      </c>
      <c r="F69" s="136" t="s">
        <v>326</v>
      </c>
      <c r="G69" s="3"/>
    </row>
    <row r="70" spans="1:7" x14ac:dyDescent="0.2">
      <c r="A70" s="3"/>
      <c r="B70" s="67">
        <v>102</v>
      </c>
      <c r="C70" s="161">
        <v>4759395.1232321244</v>
      </c>
      <c r="D70" s="65">
        <v>4963980.1321766917</v>
      </c>
      <c r="E70" s="65">
        <v>6411297.5532632628</v>
      </c>
      <c r="F70" s="65">
        <v>7617270.6538542872</v>
      </c>
      <c r="G70" s="3"/>
    </row>
    <row r="71" spans="1:7" x14ac:dyDescent="0.2">
      <c r="A71" s="3"/>
      <c r="B71" s="67">
        <v>104</v>
      </c>
      <c r="C71" s="65">
        <v>1514074.8702907995</v>
      </c>
      <c r="D71" s="65">
        <v>2082906.5717567769</v>
      </c>
      <c r="E71" s="65">
        <v>3382376.8568154192</v>
      </c>
      <c r="F71" s="65">
        <v>4566672.9300243044</v>
      </c>
      <c r="G71" s="119"/>
    </row>
    <row r="72" spans="1:7" s="3" customFormat="1" x14ac:dyDescent="0.2">
      <c r="B72" s="67">
        <v>105</v>
      </c>
      <c r="C72" s="65">
        <v>2117164.9292130498</v>
      </c>
      <c r="D72" s="65">
        <v>2487567.4251708686</v>
      </c>
      <c r="E72" s="65">
        <v>2420491.6009844597</v>
      </c>
      <c r="F72" s="65">
        <v>2749576.0767666125</v>
      </c>
    </row>
    <row r="73" spans="1:7" s="3" customFormat="1" x14ac:dyDescent="0.2">
      <c r="B73" s="67">
        <v>106</v>
      </c>
      <c r="C73" s="65">
        <v>803319.51296246878</v>
      </c>
      <c r="D73" s="65">
        <v>1413503.5527850115</v>
      </c>
      <c r="E73" s="65">
        <v>1995958.6073073251</v>
      </c>
      <c r="F73" s="65">
        <v>1823359.1870327864</v>
      </c>
    </row>
    <row r="74" spans="1:7" s="3" customFormat="1" x14ac:dyDescent="0.2">
      <c r="B74" s="67">
        <v>107</v>
      </c>
      <c r="C74" s="65">
        <v>436443.4166994603</v>
      </c>
      <c r="D74" s="65">
        <v>2730525.5937448256</v>
      </c>
      <c r="E74" s="65">
        <v>2296353.0768642281</v>
      </c>
      <c r="F74" s="65">
        <v>789446.29802356195</v>
      </c>
    </row>
    <row r="75" spans="1:7" s="3" customFormat="1" x14ac:dyDescent="0.2">
      <c r="B75" s="67">
        <v>108</v>
      </c>
      <c r="C75" s="65">
        <v>454217.45779069036</v>
      </c>
      <c r="D75" s="65">
        <v>428721.69893570599</v>
      </c>
      <c r="E75" s="65">
        <v>397557.12162946875</v>
      </c>
      <c r="F75" s="65">
        <v>627902.33248073596</v>
      </c>
      <c r="G75" s="119"/>
    </row>
    <row r="76" spans="1:7" s="3" customFormat="1" x14ac:dyDescent="0.2">
      <c r="B76" s="67">
        <v>109</v>
      </c>
      <c r="C76" s="65">
        <v>6626510.950277362</v>
      </c>
      <c r="D76" s="65">
        <v>8102430.338619642</v>
      </c>
      <c r="E76" s="65">
        <v>8732463.946170276</v>
      </c>
      <c r="F76" s="65">
        <v>10914681.787472881</v>
      </c>
      <c r="G76" s="119"/>
    </row>
    <row r="77" spans="1:7" s="3" customFormat="1" x14ac:dyDescent="0.2">
      <c r="B77" s="67">
        <v>110</v>
      </c>
      <c r="C77" s="65">
        <v>764699.91106142628</v>
      </c>
      <c r="D77" s="65">
        <v>1264770.9810419832</v>
      </c>
      <c r="E77" s="65">
        <v>1615233.4697213899</v>
      </c>
      <c r="F77" s="65">
        <v>1491617.3968056799</v>
      </c>
    </row>
    <row r="78" spans="1:7" s="3" customFormat="1" x14ac:dyDescent="0.2">
      <c r="B78" s="67">
        <v>111</v>
      </c>
      <c r="C78" s="65">
        <v>1026060.3471449565</v>
      </c>
      <c r="D78" s="65">
        <v>1381704.3352766968</v>
      </c>
      <c r="E78" s="65">
        <v>1414644.8296101687</v>
      </c>
      <c r="F78" s="65">
        <v>1225844.3907144722</v>
      </c>
    </row>
    <row r="79" spans="1:7" s="3" customFormat="1" x14ac:dyDescent="0.2">
      <c r="B79" s="67">
        <v>114</v>
      </c>
      <c r="C79" s="65">
        <v>0</v>
      </c>
      <c r="D79" s="65">
        <v>0</v>
      </c>
      <c r="E79" s="65">
        <v>0</v>
      </c>
      <c r="F79" s="65">
        <v>0</v>
      </c>
    </row>
    <row r="80" spans="1:7" s="3" customFormat="1" x14ac:dyDescent="0.2">
      <c r="B80" s="67">
        <v>115</v>
      </c>
      <c r="C80" s="65">
        <v>0</v>
      </c>
      <c r="D80" s="65">
        <v>0</v>
      </c>
      <c r="E80" s="65">
        <v>0</v>
      </c>
      <c r="F80" s="65">
        <v>0</v>
      </c>
    </row>
    <row r="81" spans="2:7" s="3" customFormat="1" x14ac:dyDescent="0.2">
      <c r="B81" s="67">
        <v>116</v>
      </c>
      <c r="C81" s="65">
        <v>28862076.743731532</v>
      </c>
      <c r="D81" s="65">
        <v>24466217.089347519</v>
      </c>
      <c r="E81" s="65">
        <v>25966991.490715291</v>
      </c>
      <c r="F81" s="65">
        <v>23976171.141689699</v>
      </c>
    </row>
    <row r="82" spans="2:7" s="3" customFormat="1" x14ac:dyDescent="0.2">
      <c r="B82" s="67">
        <v>118</v>
      </c>
      <c r="C82" s="65">
        <v>4406833.5438814284</v>
      </c>
      <c r="D82" s="65">
        <v>9730349.9679702614</v>
      </c>
      <c r="E82" s="65">
        <v>20305267.294279572</v>
      </c>
      <c r="F82" s="65">
        <v>24464220.397359487</v>
      </c>
      <c r="G82" s="73"/>
    </row>
    <row r="83" spans="2:7" s="3" customFormat="1" x14ac:dyDescent="0.2">
      <c r="B83" s="67">
        <v>171</v>
      </c>
      <c r="C83" s="65">
        <v>0</v>
      </c>
      <c r="D83" s="65">
        <v>0</v>
      </c>
      <c r="E83" s="65"/>
      <c r="F83" s="65"/>
    </row>
    <row r="84" spans="2:7" s="3" customFormat="1" x14ac:dyDescent="0.2">
      <c r="B84" s="71" t="s">
        <v>36</v>
      </c>
      <c r="C84" s="72">
        <f>SUM(C70:C83)</f>
        <v>51770796.806285299</v>
      </c>
      <c r="D84" s="72">
        <f>SUM(D70:D83)</f>
        <v>59052677.686825983</v>
      </c>
      <c r="E84" s="72">
        <f>SUM(E70:E83)</f>
        <v>74938635.847360864</v>
      </c>
      <c r="F84" s="72">
        <f>SUM(F70:F83)</f>
        <v>80246762.592224509</v>
      </c>
    </row>
    <row r="85" spans="2:7" s="3" customFormat="1" x14ac:dyDescent="0.2">
      <c r="C85" s="119"/>
      <c r="D85" s="119"/>
      <c r="E85" s="119"/>
      <c r="F85" s="119"/>
    </row>
    <row r="86" spans="2:7" s="3" customFormat="1" x14ac:dyDescent="0.2">
      <c r="B86" s="146"/>
      <c r="C86" s="146"/>
      <c r="D86" s="146"/>
      <c r="E86" s="146"/>
      <c r="F86" s="146"/>
    </row>
    <row r="87" spans="2:7" s="3" customFormat="1" x14ac:dyDescent="0.2">
      <c r="B87" s="34" t="s">
        <v>223</v>
      </c>
    </row>
    <row r="88" spans="2:7" s="3" customFormat="1" x14ac:dyDescent="0.2">
      <c r="B88" s="49" t="s">
        <v>224</v>
      </c>
    </row>
    <row r="89" spans="2:7" s="3" customFormat="1" x14ac:dyDescent="0.2">
      <c r="C89" s="261" t="s">
        <v>173</v>
      </c>
      <c r="D89" s="262"/>
      <c r="E89" s="262"/>
      <c r="F89" s="263"/>
    </row>
    <row r="90" spans="2:7" s="3" customFormat="1" ht="25.5" x14ac:dyDescent="0.2">
      <c r="B90" s="2" t="s">
        <v>35</v>
      </c>
      <c r="C90" s="2" t="s">
        <v>323</v>
      </c>
      <c r="D90" s="2" t="s">
        <v>324</v>
      </c>
      <c r="E90" s="2" t="s">
        <v>325</v>
      </c>
      <c r="F90" s="136" t="s">
        <v>326</v>
      </c>
    </row>
    <row r="91" spans="2:7" s="3" customFormat="1" x14ac:dyDescent="0.2">
      <c r="B91" s="67">
        <v>102</v>
      </c>
      <c r="C91" s="158">
        <f>C70-C29+C8</f>
        <v>4985653.5399223818</v>
      </c>
      <c r="D91" s="53">
        <f t="shared" ref="D91:F91" si="0">D70-D29+D8</f>
        <v>5121752.3330042362</v>
      </c>
      <c r="E91" s="53">
        <f t="shared" si="0"/>
        <v>6442877.0532632628</v>
      </c>
      <c r="F91" s="53">
        <f t="shared" si="0"/>
        <v>7553274.5467927977</v>
      </c>
    </row>
    <row r="92" spans="2:7" s="3" customFormat="1" x14ac:dyDescent="0.2">
      <c r="B92" s="67">
        <v>104</v>
      </c>
      <c r="C92" s="53">
        <f t="shared" ref="C92:F92" si="1">C71-C30+C9</f>
        <v>7184629.200531587</v>
      </c>
      <c r="D92" s="53">
        <f t="shared" si="1"/>
        <v>14441554.513658766</v>
      </c>
      <c r="E92" s="53">
        <f t="shared" si="1"/>
        <v>24022750.35681542</v>
      </c>
      <c r="F92" s="53">
        <f t="shared" si="1"/>
        <v>34395326.561369479</v>
      </c>
    </row>
    <row r="93" spans="2:7" s="3" customFormat="1" x14ac:dyDescent="0.2">
      <c r="B93" s="67">
        <v>105</v>
      </c>
      <c r="C93" s="53">
        <f t="shared" ref="C93:F93" si="2">C72-C31+C10</f>
        <v>2300791.9837900857</v>
      </c>
      <c r="D93" s="53">
        <f t="shared" si="2"/>
        <v>2681211.8740348611</v>
      </c>
      <c r="E93" s="53">
        <f>E72-E31+E10</f>
        <v>2479377.1009844597</v>
      </c>
      <c r="F93" s="53">
        <f t="shared" si="2"/>
        <v>2763664.5839650342</v>
      </c>
    </row>
    <row r="94" spans="2:7" s="3" customFormat="1" x14ac:dyDescent="0.2">
      <c r="B94" s="67">
        <v>106</v>
      </c>
      <c r="C94" s="53">
        <f t="shared" ref="C94:F94" si="3">C73-C32+C11</f>
        <v>828883.89135544142</v>
      </c>
      <c r="D94" s="53">
        <f t="shared" si="3"/>
        <v>1452780.782706527</v>
      </c>
      <c r="E94" s="53">
        <f t="shared" si="3"/>
        <v>1956180.6073073251</v>
      </c>
      <c r="F94" s="53">
        <f t="shared" si="3"/>
        <v>1723894.0002284893</v>
      </c>
    </row>
    <row r="95" spans="2:7" s="3" customFormat="1" x14ac:dyDescent="0.2">
      <c r="B95" s="67">
        <v>107</v>
      </c>
      <c r="C95" s="53">
        <f t="shared" ref="C95:F95" si="4">C74-C33+C12</f>
        <v>436443.4166994603</v>
      </c>
      <c r="D95" s="53">
        <f t="shared" si="4"/>
        <v>2750746.0937448256</v>
      </c>
      <c r="E95" s="53">
        <f t="shared" si="4"/>
        <v>2316573.5768642281</v>
      </c>
      <c r="F95" s="53">
        <f t="shared" si="4"/>
        <v>789446.29802356195</v>
      </c>
    </row>
    <row r="96" spans="2:7" s="3" customFormat="1" x14ac:dyDescent="0.2">
      <c r="B96" s="67">
        <v>108</v>
      </c>
      <c r="C96" s="53">
        <f t="shared" ref="C96:F96" si="5">C75-C34+C13</f>
        <v>1458127.4194502919</v>
      </c>
      <c r="D96" s="53">
        <f t="shared" si="5"/>
        <v>1633114.7243654344</v>
      </c>
      <c r="E96" s="53">
        <f t="shared" si="5"/>
        <v>1996132.5166294686</v>
      </c>
      <c r="F96" s="53">
        <f t="shared" si="5"/>
        <v>2722716.1929646684</v>
      </c>
    </row>
    <row r="97" spans="1:7" s="3" customFormat="1" x14ac:dyDescent="0.2">
      <c r="B97" s="67">
        <v>109</v>
      </c>
      <c r="C97" s="53">
        <f t="shared" ref="C97:F97" si="6">C76-C35+C14</f>
        <v>6626189.950277362</v>
      </c>
      <c r="D97" s="53">
        <f t="shared" si="6"/>
        <v>8102109.338619642</v>
      </c>
      <c r="E97" s="53">
        <f t="shared" si="6"/>
        <v>8732463.946170276</v>
      </c>
      <c r="F97" s="53">
        <f t="shared" si="6"/>
        <v>10914681.787472881</v>
      </c>
    </row>
    <row r="98" spans="1:7" s="3" customFormat="1" x14ac:dyDescent="0.2">
      <c r="B98" s="67">
        <v>110</v>
      </c>
      <c r="C98" s="53">
        <f t="shared" ref="C98:F98" si="7">C77-C36+C15</f>
        <v>1556311.8208040129</v>
      </c>
      <c r="D98" s="53">
        <f t="shared" si="7"/>
        <v>1947557.6566789923</v>
      </c>
      <c r="E98" s="53">
        <f t="shared" si="7"/>
        <v>2714034.9697213899</v>
      </c>
      <c r="F98" s="53">
        <f t="shared" si="7"/>
        <v>3156454.6585416803</v>
      </c>
    </row>
    <row r="99" spans="1:7" s="3" customFormat="1" x14ac:dyDescent="0.2">
      <c r="B99" s="67">
        <v>111</v>
      </c>
      <c r="C99" s="53">
        <f t="shared" ref="C99:F99" si="8">C78-C37+C16</f>
        <v>1097766.1736234247</v>
      </c>
      <c r="D99" s="53">
        <f t="shared" si="8"/>
        <v>1251074.8941523826</v>
      </c>
      <c r="E99" s="53">
        <f t="shared" si="8"/>
        <v>1458906.8296101687</v>
      </c>
      <c r="F99" s="53">
        <f t="shared" si="8"/>
        <v>1649944.5552106544</v>
      </c>
    </row>
    <row r="100" spans="1:7" s="3" customFormat="1" x14ac:dyDescent="0.2">
      <c r="B100" s="67">
        <v>114</v>
      </c>
      <c r="C100" s="53">
        <f t="shared" ref="C100:F100" si="9">C79-C38+C17</f>
        <v>0</v>
      </c>
      <c r="D100" s="53">
        <f t="shared" si="9"/>
        <v>0</v>
      </c>
      <c r="E100" s="53">
        <f t="shared" si="9"/>
        <v>0</v>
      </c>
      <c r="F100" s="53">
        <f t="shared" si="9"/>
        <v>0</v>
      </c>
    </row>
    <row r="101" spans="1:7" s="3" customFormat="1" x14ac:dyDescent="0.2">
      <c r="B101" s="67">
        <v>115</v>
      </c>
      <c r="C101" s="53">
        <f t="shared" ref="C101:F101" si="10">C80-C39+C18</f>
        <v>0</v>
      </c>
      <c r="D101" s="53">
        <f t="shared" si="10"/>
        <v>0</v>
      </c>
      <c r="E101" s="53">
        <f t="shared" si="10"/>
        <v>0</v>
      </c>
      <c r="F101" s="53">
        <f t="shared" si="10"/>
        <v>0</v>
      </c>
    </row>
    <row r="102" spans="1:7" s="3" customFormat="1" x14ac:dyDescent="0.2">
      <c r="B102" s="67">
        <v>116</v>
      </c>
      <c r="C102" s="53">
        <f t="shared" ref="C102:F102" si="11">C81-C40+C19</f>
        <v>29343319.21134977</v>
      </c>
      <c r="D102" s="53">
        <f t="shared" si="11"/>
        <v>24844836.315063365</v>
      </c>
      <c r="E102" s="53">
        <f t="shared" si="11"/>
        <v>26108079.490715291</v>
      </c>
      <c r="F102" s="53">
        <f t="shared" si="11"/>
        <v>24194397.391787924</v>
      </c>
    </row>
    <row r="103" spans="1:7" s="3" customFormat="1" x14ac:dyDescent="0.2">
      <c r="B103" s="67">
        <v>118</v>
      </c>
      <c r="C103" s="53">
        <f t="shared" ref="C103:F104" si="12">C82-C41+C20</f>
        <v>4406833.5438814284</v>
      </c>
      <c r="D103" s="53">
        <f t="shared" si="12"/>
        <v>9730349.9679702614</v>
      </c>
      <c r="E103" s="53">
        <f t="shared" si="12"/>
        <v>20305267.294279572</v>
      </c>
      <c r="F103" s="53">
        <f t="shared" si="12"/>
        <v>24464220.397359487</v>
      </c>
    </row>
    <row r="104" spans="1:7" s="3" customFormat="1" x14ac:dyDescent="0.2">
      <c r="B104" s="67">
        <v>171</v>
      </c>
      <c r="C104" s="53">
        <f>C83-C42+C21</f>
        <v>0</v>
      </c>
      <c r="D104" s="53">
        <f t="shared" si="12"/>
        <v>0</v>
      </c>
      <c r="E104" s="53">
        <f t="shared" si="12"/>
        <v>0</v>
      </c>
      <c r="F104" s="53">
        <f t="shared" si="12"/>
        <v>0</v>
      </c>
    </row>
    <row r="105" spans="1:7" s="3" customFormat="1" x14ac:dyDescent="0.2">
      <c r="B105" s="71" t="s">
        <v>36</v>
      </c>
      <c r="C105" s="72">
        <f>SUM(C91:C104)</f>
        <v>60224950.151685253</v>
      </c>
      <c r="D105" s="72">
        <f>SUM(D91:D104)</f>
        <v>73957088.493999302</v>
      </c>
      <c r="E105" s="72">
        <f>SUM(E91:E104)</f>
        <v>98532643.74236086</v>
      </c>
      <c r="F105" s="72">
        <f>SUM(F91:F104)</f>
        <v>114328020.97371665</v>
      </c>
    </row>
    <row r="106" spans="1:7" s="3" customFormat="1" x14ac:dyDescent="0.2"/>
    <row r="107" spans="1:7" s="3" customFormat="1" x14ac:dyDescent="0.2"/>
    <row r="108" spans="1:7" s="3" customFormat="1" x14ac:dyDescent="0.2"/>
    <row r="109" spans="1:7" s="3" customFormat="1" ht="15.75" x14ac:dyDescent="0.25">
      <c r="A109" s="28"/>
      <c r="B109" s="28" t="s">
        <v>309</v>
      </c>
      <c r="C109" s="28"/>
      <c r="D109" s="28"/>
      <c r="E109" s="28"/>
      <c r="F109" s="28"/>
      <c r="G109" s="28"/>
    </row>
    <row r="110" spans="1:7" s="3" customFormat="1" x14ac:dyDescent="0.2"/>
    <row r="111" spans="1:7" s="3" customFormat="1" hidden="1" x14ac:dyDescent="0.2"/>
    <row r="112" spans="1:7" s="3" customFormat="1" hidden="1" x14ac:dyDescent="0.2"/>
    <row r="113" s="3" customFormat="1" hidden="1" x14ac:dyDescent="0.2"/>
    <row r="114" s="3" customFormat="1" hidden="1" x14ac:dyDescent="0.2"/>
    <row r="115" s="3" customFormat="1" hidden="1" x14ac:dyDescent="0.2"/>
    <row r="116" s="3" customFormat="1" hidden="1" x14ac:dyDescent="0.2"/>
    <row r="117" s="3" customFormat="1" hidden="1" x14ac:dyDescent="0.2"/>
    <row r="118" s="3" customFormat="1" hidden="1" x14ac:dyDescent="0.2"/>
    <row r="119" s="3" customFormat="1" hidden="1" x14ac:dyDescent="0.2"/>
    <row r="120" s="3" customFormat="1" hidden="1" x14ac:dyDescent="0.2"/>
    <row r="121" s="3" customFormat="1" hidden="1" x14ac:dyDescent="0.2"/>
    <row r="122" s="3" customFormat="1" hidden="1" x14ac:dyDescent="0.2"/>
    <row r="123" s="3" customFormat="1" hidden="1" x14ac:dyDescent="0.2"/>
    <row r="124" s="3" customFormat="1" hidden="1" x14ac:dyDescent="0.2"/>
    <row r="125" s="3" customFormat="1" hidden="1" x14ac:dyDescent="0.2"/>
    <row r="126" s="3" customFormat="1" hidden="1" x14ac:dyDescent="0.2"/>
    <row r="127" s="3" customFormat="1" hidden="1" x14ac:dyDescent="0.2"/>
    <row r="128" s="3" customFormat="1" hidden="1" x14ac:dyDescent="0.2"/>
    <row r="129" s="3" customFormat="1" hidden="1" x14ac:dyDescent="0.2"/>
    <row r="130" s="3" customFormat="1" hidden="1" x14ac:dyDescent="0.2"/>
    <row r="131" s="3" customFormat="1" hidden="1" x14ac:dyDescent="0.2"/>
    <row r="132" s="3" customFormat="1" hidden="1" x14ac:dyDescent="0.2"/>
    <row r="133" s="3" customFormat="1" hidden="1" x14ac:dyDescent="0.2"/>
    <row r="134" s="3" customFormat="1" hidden="1" x14ac:dyDescent="0.2"/>
    <row r="135" s="3" customFormat="1" hidden="1" x14ac:dyDescent="0.2"/>
    <row r="136" s="3" customFormat="1" hidden="1" x14ac:dyDescent="0.2"/>
    <row r="137" s="3" customFormat="1" hidden="1" x14ac:dyDescent="0.2"/>
    <row r="138" s="3" customFormat="1" hidden="1" x14ac:dyDescent="0.2"/>
    <row r="139" s="3" customFormat="1" hidden="1" x14ac:dyDescent="0.2"/>
    <row r="140" s="3" customFormat="1" hidden="1" x14ac:dyDescent="0.2"/>
    <row r="141" s="3" customFormat="1" hidden="1" x14ac:dyDescent="0.2"/>
    <row r="142" s="3" customFormat="1" hidden="1" x14ac:dyDescent="0.2"/>
    <row r="143" s="3" customFormat="1" hidden="1" x14ac:dyDescent="0.2"/>
    <row r="144" s="3" customFormat="1" hidden="1" x14ac:dyDescent="0.2"/>
    <row r="145" s="3" customFormat="1" hidden="1" x14ac:dyDescent="0.2"/>
    <row r="146" s="3" customFormat="1" hidden="1" x14ac:dyDescent="0.2"/>
    <row r="147" s="3" customFormat="1" hidden="1" x14ac:dyDescent="0.2"/>
    <row r="148" s="3" customFormat="1" hidden="1" x14ac:dyDescent="0.2"/>
    <row r="149" s="3" customFormat="1" hidden="1" x14ac:dyDescent="0.2"/>
    <row r="150" s="3" customFormat="1" hidden="1" x14ac:dyDescent="0.2"/>
    <row r="151" s="3" customFormat="1" hidden="1" x14ac:dyDescent="0.2"/>
    <row r="152" s="3" customFormat="1" hidden="1" x14ac:dyDescent="0.2"/>
    <row r="153" s="3" customFormat="1" hidden="1" x14ac:dyDescent="0.2"/>
    <row r="154" s="3" customFormat="1" hidden="1" x14ac:dyDescent="0.2"/>
    <row r="155" s="3" customFormat="1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dataConsolidate/>
  <mergeCells count="5">
    <mergeCell ref="C6:F6"/>
    <mergeCell ref="C27:F27"/>
    <mergeCell ref="C48:F48"/>
    <mergeCell ref="C68:F68"/>
    <mergeCell ref="C89:F89"/>
  </mergeCells>
  <conditionalFormatting sqref="F2">
    <cfRule type="expression" dxfId="5" priority="1">
      <formula>F2="Check!"</formula>
    </cfRule>
  </conditionalFormatting>
  <hyperlinks>
    <hyperlink ref="F1" location="Menu!A1" display="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8" tint="0.59999389629810485"/>
  </sheetPr>
  <dimension ref="A1:T89"/>
  <sheetViews>
    <sheetView workbookViewId="0"/>
  </sheetViews>
  <sheetFormatPr defaultColWidth="0" defaultRowHeight="12.75" zeroHeight="1" x14ac:dyDescent="0.2"/>
  <cols>
    <col min="1" max="1" width="3.7109375" customWidth="1"/>
    <col min="2" max="2" width="14.140625" customWidth="1"/>
    <col min="3" max="3" width="71.7109375" customWidth="1"/>
    <col min="4" max="4" width="9.7109375" bestFit="1" customWidth="1"/>
    <col min="5" max="15" width="9.140625" customWidth="1"/>
    <col min="16" max="16" width="3.7109375" customWidth="1"/>
    <col min="17" max="20" width="9.140625" hidden="1" customWidth="1"/>
  </cols>
  <sheetData>
    <row r="1" spans="1:20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0" t="s">
        <v>39</v>
      </c>
      <c r="P1" s="26"/>
      <c r="Q1" s="26"/>
      <c r="R1" s="26"/>
      <c r="S1" s="26"/>
      <c r="T1" s="26"/>
    </row>
    <row r="2" spans="1:20" ht="15.75" x14ac:dyDescent="0.25">
      <c r="A2" s="28" t="str">
        <f ca="1">RIGHT(CELL("filename", $A$1), LEN(CELL("filename", $A$1)) - SEARCH("]", CELL("filename", $A$1)))</f>
        <v>ACIF Growth Figures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60" customFormat="1" x14ac:dyDescent="0.2">
      <c r="A4" s="3"/>
      <c r="B4" s="34" t="s">
        <v>175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60" customFormat="1" x14ac:dyDescent="0.2">
      <c r="A5" s="3"/>
      <c r="B5" s="49" t="s">
        <v>232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60" customFormat="1" ht="17.25" customHeight="1" x14ac:dyDescent="0.2">
      <c r="A6" s="3"/>
      <c r="B6" s="9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0" customFormat="1" x14ac:dyDescent="0.2">
      <c r="A7" s="3"/>
      <c r="B7" s="2" t="s">
        <v>234</v>
      </c>
      <c r="C7" s="35" t="s">
        <v>235</v>
      </c>
      <c r="D7" s="2" t="s">
        <v>236</v>
      </c>
      <c r="E7" s="2" t="s">
        <v>261</v>
      </c>
      <c r="F7" s="2" t="s">
        <v>262</v>
      </c>
      <c r="G7" s="2" t="s">
        <v>263</v>
      </c>
      <c r="H7" s="2" t="s">
        <v>264</v>
      </c>
      <c r="I7" s="2" t="s">
        <v>265</v>
      </c>
      <c r="J7" s="2" t="s">
        <v>266</v>
      </c>
      <c r="K7" s="2" t="s">
        <v>267</v>
      </c>
      <c r="L7" s="2" t="s">
        <v>268</v>
      </c>
      <c r="M7" s="2" t="s">
        <v>269</v>
      </c>
      <c r="N7" s="2" t="s">
        <v>270</v>
      </c>
      <c r="O7" s="2" t="s">
        <v>314</v>
      </c>
      <c r="P7" s="3"/>
      <c r="Q7" s="3"/>
      <c r="R7" s="3"/>
      <c r="S7" s="3"/>
      <c r="T7" s="3"/>
    </row>
    <row r="8" spans="1:20" s="60" customFormat="1" x14ac:dyDescent="0.2">
      <c r="A8" s="3"/>
      <c r="B8" s="1" t="s">
        <v>237</v>
      </c>
      <c r="C8" s="1" t="s">
        <v>238</v>
      </c>
      <c r="D8" s="90" t="s">
        <v>239</v>
      </c>
      <c r="E8" s="65">
        <v>7178</v>
      </c>
      <c r="F8" s="65">
        <v>7635</v>
      </c>
      <c r="G8" s="65">
        <v>7965</v>
      </c>
      <c r="H8" s="65">
        <v>8166</v>
      </c>
      <c r="I8" s="65">
        <v>7697</v>
      </c>
      <c r="J8" s="65">
        <v>7778</v>
      </c>
      <c r="K8" s="65">
        <v>8085</v>
      </c>
      <c r="L8" s="65">
        <v>8296</v>
      </c>
      <c r="M8" s="65">
        <v>8349</v>
      </c>
      <c r="N8" s="65">
        <v>8454</v>
      </c>
      <c r="O8" s="65">
        <v>8603</v>
      </c>
      <c r="P8" s="3"/>
      <c r="Q8" s="3"/>
      <c r="R8" s="3"/>
      <c r="S8" s="3"/>
      <c r="T8" s="3"/>
    </row>
    <row r="9" spans="1:20" s="60" customFormat="1" x14ac:dyDescent="0.2">
      <c r="A9" s="3"/>
      <c r="B9" s="1" t="s">
        <v>237</v>
      </c>
      <c r="C9" s="1" t="s">
        <v>240</v>
      </c>
      <c r="D9" s="90" t="s">
        <v>239</v>
      </c>
      <c r="E9" s="65">
        <v>8123</v>
      </c>
      <c r="F9" s="65">
        <v>8683</v>
      </c>
      <c r="G9" s="65">
        <v>9244</v>
      </c>
      <c r="H9" s="65">
        <v>11011.538379870475</v>
      </c>
      <c r="I9" s="65">
        <v>8420.7813000000006</v>
      </c>
      <c r="J9" s="65">
        <v>7857.3787049686807</v>
      </c>
      <c r="K9" s="65">
        <v>7426.3124630451448</v>
      </c>
      <c r="L9" s="65">
        <v>8338.4975326121748</v>
      </c>
      <c r="M9" s="65">
        <v>8725.4894454518653</v>
      </c>
      <c r="N9" s="65">
        <v>8872.5612930320767</v>
      </c>
      <c r="O9" s="65">
        <v>8909.7973073822268</v>
      </c>
      <c r="P9" s="3"/>
      <c r="Q9" s="3"/>
      <c r="R9" s="3"/>
      <c r="S9" s="3"/>
      <c r="T9" s="3"/>
    </row>
    <row r="10" spans="1:20" s="60" customFormat="1" x14ac:dyDescent="0.2">
      <c r="A10" s="3"/>
      <c r="B10" s="1" t="s">
        <v>237</v>
      </c>
      <c r="C10" s="1" t="s">
        <v>241</v>
      </c>
      <c r="D10" s="90" t="s">
        <v>239</v>
      </c>
      <c r="E10" s="65">
        <v>2370</v>
      </c>
      <c r="F10" s="65">
        <v>2483</v>
      </c>
      <c r="G10" s="65">
        <v>2363</v>
      </c>
      <c r="H10" s="65">
        <v>2123</v>
      </c>
      <c r="I10" s="65">
        <v>2085</v>
      </c>
      <c r="J10" s="65">
        <v>2232</v>
      </c>
      <c r="K10" s="65">
        <v>2376</v>
      </c>
      <c r="L10" s="65">
        <v>2532</v>
      </c>
      <c r="M10" s="65">
        <v>2567</v>
      </c>
      <c r="N10" s="65">
        <v>2636</v>
      </c>
      <c r="O10" s="65">
        <v>2678</v>
      </c>
      <c r="P10" s="3"/>
      <c r="Q10" s="3"/>
      <c r="R10" s="3"/>
      <c r="S10" s="3"/>
      <c r="T10" s="3"/>
    </row>
    <row r="11" spans="1:20" s="60" customFormat="1" x14ac:dyDescent="0.2">
      <c r="A11" s="3"/>
      <c r="B11" s="1" t="s">
        <v>237</v>
      </c>
      <c r="C11" s="1" t="s">
        <v>242</v>
      </c>
      <c r="D11" s="90" t="s">
        <v>239</v>
      </c>
      <c r="E11" s="65">
        <v>4536</v>
      </c>
      <c r="F11" s="65">
        <v>5093</v>
      </c>
      <c r="G11" s="65">
        <v>4706</v>
      </c>
      <c r="H11" s="65">
        <v>4654</v>
      </c>
      <c r="I11" s="65">
        <v>4520</v>
      </c>
      <c r="J11" s="65">
        <v>4719</v>
      </c>
      <c r="K11" s="65">
        <v>4954</v>
      </c>
      <c r="L11" s="65">
        <v>5263</v>
      </c>
      <c r="M11" s="65">
        <v>5314</v>
      </c>
      <c r="N11" s="65">
        <v>5401</v>
      </c>
      <c r="O11" s="65">
        <v>5425</v>
      </c>
      <c r="P11" s="3"/>
      <c r="Q11" s="3"/>
      <c r="R11" s="3"/>
      <c r="S11" s="3"/>
      <c r="T11" s="3"/>
    </row>
    <row r="12" spans="1:20" s="60" customFormat="1" x14ac:dyDescent="0.2">
      <c r="A12" s="3"/>
      <c r="B12" s="1" t="s">
        <v>243</v>
      </c>
      <c r="C12" s="1" t="s">
        <v>244</v>
      </c>
      <c r="D12" s="90" t="s">
        <v>239</v>
      </c>
      <c r="E12" s="65">
        <v>1278</v>
      </c>
      <c r="F12" s="65">
        <v>1359</v>
      </c>
      <c r="G12" s="65">
        <v>1155</v>
      </c>
      <c r="H12" s="65">
        <v>1294.8760623229462</v>
      </c>
      <c r="I12" s="65">
        <v>1360.3151558073655</v>
      </c>
      <c r="J12" s="65">
        <v>1510.0070821529744</v>
      </c>
      <c r="K12" s="65">
        <v>1435.5701133144476</v>
      </c>
      <c r="L12" s="65">
        <v>1355.407223796034</v>
      </c>
      <c r="M12" s="65">
        <v>1312.0538243626063</v>
      </c>
      <c r="N12" s="65">
        <v>1317.7797450424928</v>
      </c>
      <c r="O12" s="65">
        <v>1381.5828611898016</v>
      </c>
      <c r="P12" s="3"/>
      <c r="Q12" s="3"/>
      <c r="R12" s="3"/>
      <c r="S12" s="3"/>
      <c r="T12" s="3"/>
    </row>
    <row r="13" spans="1:20" s="60" customFormat="1" x14ac:dyDescent="0.2">
      <c r="A13" s="3"/>
      <c r="B13" s="1" t="s">
        <v>243</v>
      </c>
      <c r="C13" s="1" t="s">
        <v>245</v>
      </c>
      <c r="D13" s="90" t="s">
        <v>239</v>
      </c>
      <c r="E13" s="65">
        <v>1782</v>
      </c>
      <c r="F13" s="65">
        <v>1450</v>
      </c>
      <c r="G13" s="65">
        <v>2200</v>
      </c>
      <c r="H13" s="65">
        <v>2387.5851822666359</v>
      </c>
      <c r="I13" s="65">
        <v>2380.6005544922232</v>
      </c>
      <c r="J13" s="65">
        <v>2287.0736521276276</v>
      </c>
      <c r="K13" s="65">
        <v>2320.0062985044633</v>
      </c>
      <c r="L13" s="65">
        <v>1893.0196578153088</v>
      </c>
      <c r="M13" s="65">
        <v>2002.1919005840693</v>
      </c>
      <c r="N13" s="65">
        <v>2260.7923913394134</v>
      </c>
      <c r="O13" s="65">
        <v>2152.2400681086742</v>
      </c>
      <c r="P13" s="3"/>
      <c r="Q13" s="3"/>
      <c r="R13" s="3"/>
      <c r="S13" s="3"/>
      <c r="T13" s="3"/>
    </row>
    <row r="14" spans="1:20" s="60" customFormat="1" x14ac:dyDescent="0.2">
      <c r="A14" s="3"/>
      <c r="B14" s="1" t="s">
        <v>243</v>
      </c>
      <c r="C14" s="1" t="s">
        <v>246</v>
      </c>
      <c r="D14" s="90" t="s">
        <v>239</v>
      </c>
      <c r="E14" s="65">
        <v>214</v>
      </c>
      <c r="F14" s="65">
        <v>139</v>
      </c>
      <c r="G14" s="65">
        <v>318</v>
      </c>
      <c r="H14" s="65">
        <v>321.26645020332484</v>
      </c>
      <c r="I14" s="65">
        <v>269.36867390375363</v>
      </c>
      <c r="J14" s="65">
        <v>236.70969572606154</v>
      </c>
      <c r="K14" s="65">
        <v>241.82957164624378</v>
      </c>
      <c r="L14" s="65">
        <v>245.04014386959662</v>
      </c>
      <c r="M14" s="65">
        <v>249.32201672662325</v>
      </c>
      <c r="N14" s="65">
        <v>252.85775740295171</v>
      </c>
      <c r="O14" s="65">
        <v>266.91067573675133</v>
      </c>
      <c r="P14" s="3"/>
      <c r="Q14" s="3"/>
      <c r="R14" s="3"/>
      <c r="S14" s="3"/>
      <c r="T14" s="3"/>
    </row>
    <row r="15" spans="1:20" s="60" customFormat="1" x14ac:dyDescent="0.2">
      <c r="A15" s="3"/>
      <c r="B15" s="1" t="s">
        <v>243</v>
      </c>
      <c r="C15" s="1" t="s">
        <v>247</v>
      </c>
      <c r="D15" s="90" t="s">
        <v>239</v>
      </c>
      <c r="E15" s="65">
        <v>1297</v>
      </c>
      <c r="F15" s="65">
        <v>1443</v>
      </c>
      <c r="G15" s="65">
        <v>1407</v>
      </c>
      <c r="H15" s="65">
        <v>1356.0349807214054</v>
      </c>
      <c r="I15" s="65">
        <v>1444.931625510158</v>
      </c>
      <c r="J15" s="65">
        <v>1394.0070870647303</v>
      </c>
      <c r="K15" s="65">
        <v>1472.8208941935848</v>
      </c>
      <c r="L15" s="65">
        <v>1573.3616578631138</v>
      </c>
      <c r="M15" s="65">
        <v>1639.1552528770956</v>
      </c>
      <c r="N15" s="65">
        <v>1625.4976243994515</v>
      </c>
      <c r="O15" s="65">
        <v>1613.5486813233579</v>
      </c>
      <c r="P15" s="3"/>
      <c r="Q15" s="3"/>
      <c r="R15" s="3"/>
      <c r="S15" s="3"/>
      <c r="T15" s="3"/>
    </row>
    <row r="16" spans="1:20" s="60" customFormat="1" x14ac:dyDescent="0.2">
      <c r="A16" s="3"/>
      <c r="B16" s="1" t="s">
        <v>243</v>
      </c>
      <c r="C16" s="1" t="s">
        <v>248</v>
      </c>
      <c r="D16" s="90" t="s">
        <v>239</v>
      </c>
      <c r="E16" s="65">
        <v>1133</v>
      </c>
      <c r="F16" s="65">
        <v>874</v>
      </c>
      <c r="G16" s="65">
        <v>1162</v>
      </c>
      <c r="H16" s="65">
        <v>943.24257419777223</v>
      </c>
      <c r="I16" s="65">
        <v>1054.1289607251772</v>
      </c>
      <c r="J16" s="65">
        <v>1087.0863869228581</v>
      </c>
      <c r="K16" s="65">
        <v>1098.9028005212381</v>
      </c>
      <c r="L16" s="65">
        <v>1068.4049654360904</v>
      </c>
      <c r="M16" s="65">
        <v>981.97627862659533</v>
      </c>
      <c r="N16" s="65">
        <v>1020.2311009632361</v>
      </c>
      <c r="O16" s="65">
        <v>1057.8053601866077</v>
      </c>
      <c r="P16" s="3"/>
      <c r="Q16" s="3"/>
      <c r="R16" s="3"/>
      <c r="S16" s="3"/>
      <c r="T16" s="3"/>
    </row>
    <row r="17" spans="1:20" s="60" customFormat="1" x14ac:dyDescent="0.2">
      <c r="A17" s="3"/>
      <c r="B17" s="1" t="s">
        <v>243</v>
      </c>
      <c r="C17" s="1" t="s">
        <v>249</v>
      </c>
      <c r="D17" s="90" t="s">
        <v>239</v>
      </c>
      <c r="E17" s="65">
        <v>342</v>
      </c>
      <c r="F17" s="65">
        <v>662</v>
      </c>
      <c r="G17" s="65">
        <v>752</v>
      </c>
      <c r="H17" s="65">
        <v>696.23641993821252</v>
      </c>
      <c r="I17" s="65">
        <v>622.86718184635208</v>
      </c>
      <c r="J17" s="65">
        <v>670.41377704811089</v>
      </c>
      <c r="K17" s="65">
        <v>636.38076056374393</v>
      </c>
      <c r="L17" s="65">
        <v>505.58323189344742</v>
      </c>
      <c r="M17" s="65">
        <v>512.90936802425108</v>
      </c>
      <c r="N17" s="65">
        <v>536.56479901019009</v>
      </c>
      <c r="O17" s="65">
        <v>544.06448899460349</v>
      </c>
      <c r="P17" s="3"/>
      <c r="Q17" s="3"/>
      <c r="R17" s="3"/>
      <c r="S17" s="3"/>
      <c r="T17" s="3"/>
    </row>
    <row r="18" spans="1:20" s="60" customFormat="1" x14ac:dyDescent="0.2">
      <c r="A18" s="3"/>
      <c r="B18" s="1" t="s">
        <v>243</v>
      </c>
      <c r="C18" s="1" t="s">
        <v>250</v>
      </c>
      <c r="D18" s="90" t="s">
        <v>239</v>
      </c>
      <c r="E18" s="65">
        <v>205</v>
      </c>
      <c r="F18" s="65">
        <v>392</v>
      </c>
      <c r="G18" s="65">
        <v>664</v>
      </c>
      <c r="H18" s="65">
        <v>543.79662968177706</v>
      </c>
      <c r="I18" s="65">
        <v>471.39420226760325</v>
      </c>
      <c r="J18" s="65">
        <v>458.86661608953267</v>
      </c>
      <c r="K18" s="65">
        <v>457.27043064811249</v>
      </c>
      <c r="L18" s="65">
        <v>386.21483988706035</v>
      </c>
      <c r="M18" s="65">
        <v>363.74620783591405</v>
      </c>
      <c r="N18" s="65">
        <v>364.45347840410773</v>
      </c>
      <c r="O18" s="65">
        <v>322.17259073527134</v>
      </c>
      <c r="P18" s="3"/>
      <c r="Q18" s="3"/>
      <c r="R18" s="3"/>
      <c r="S18" s="3"/>
      <c r="T18" s="3"/>
    </row>
    <row r="19" spans="1:20" s="60" customFormat="1" x14ac:dyDescent="0.2">
      <c r="A19" s="3"/>
      <c r="B19" s="1" t="s">
        <v>243</v>
      </c>
      <c r="C19" s="1" t="s">
        <v>251</v>
      </c>
      <c r="D19" s="90" t="s">
        <v>239</v>
      </c>
      <c r="E19" s="65">
        <v>507</v>
      </c>
      <c r="F19" s="65">
        <v>550</v>
      </c>
      <c r="G19" s="65">
        <v>417</v>
      </c>
      <c r="H19" s="65">
        <v>676.49658654753671</v>
      </c>
      <c r="I19" s="65">
        <v>770.51981172792057</v>
      </c>
      <c r="J19" s="65">
        <v>745.44550265777627</v>
      </c>
      <c r="K19" s="65">
        <v>741.28849706419339</v>
      </c>
      <c r="L19" s="65">
        <v>724.11430578873069</v>
      </c>
      <c r="M19" s="65">
        <v>711.1138724060113</v>
      </c>
      <c r="N19" s="65">
        <v>707.69100799936291</v>
      </c>
      <c r="O19" s="65">
        <v>704.0217978752662</v>
      </c>
      <c r="P19" s="3"/>
      <c r="Q19" s="3"/>
      <c r="R19" s="3"/>
      <c r="S19" s="3"/>
      <c r="T19" s="3"/>
    </row>
    <row r="20" spans="1:20" s="60" customFormat="1" x14ac:dyDescent="0.2">
      <c r="A20" s="3"/>
      <c r="B20" s="1" t="s">
        <v>237</v>
      </c>
      <c r="C20" s="1" t="s">
        <v>238</v>
      </c>
      <c r="D20" s="90" t="s">
        <v>313</v>
      </c>
      <c r="E20" s="65">
        <v>2617.9257948141758</v>
      </c>
      <c r="F20" s="65">
        <v>2678.0976361945891</v>
      </c>
      <c r="G20" s="65">
        <v>2984.9392077807111</v>
      </c>
      <c r="H20" s="65">
        <v>3142.7247169780494</v>
      </c>
      <c r="I20" s="65">
        <v>3059.9139999999998</v>
      </c>
      <c r="J20" s="65">
        <v>3064.3599999999997</v>
      </c>
      <c r="K20" s="65">
        <v>3174.2743042064208</v>
      </c>
      <c r="L20" s="65">
        <v>3270.9547427265852</v>
      </c>
      <c r="M20" s="65">
        <v>3285.7626669950482</v>
      </c>
      <c r="N20" s="65">
        <v>3326.7027728057355</v>
      </c>
      <c r="O20" s="65">
        <v>3387.9616433942324</v>
      </c>
      <c r="P20" s="3"/>
      <c r="Q20" s="3"/>
      <c r="R20" s="3"/>
      <c r="S20" s="3"/>
      <c r="T20" s="3"/>
    </row>
    <row r="21" spans="1:20" s="60" customFormat="1" x14ac:dyDescent="0.2">
      <c r="A21" s="3"/>
      <c r="B21" s="1" t="s">
        <v>237</v>
      </c>
      <c r="C21" s="1" t="s">
        <v>240</v>
      </c>
      <c r="D21" s="90" t="s">
        <v>313</v>
      </c>
      <c r="E21" s="65">
        <v>372.56632838462684</v>
      </c>
      <c r="F21" s="65">
        <v>413.18965960160705</v>
      </c>
      <c r="G21" s="65">
        <v>614.08291966409161</v>
      </c>
      <c r="H21" s="65">
        <v>733.78800000000001</v>
      </c>
      <c r="I21" s="65">
        <v>552.74519999999995</v>
      </c>
      <c r="J21" s="65">
        <v>520.44483282550823</v>
      </c>
      <c r="K21" s="65">
        <v>491.4122634204839</v>
      </c>
      <c r="L21" s="65">
        <v>550.47675971586909</v>
      </c>
      <c r="M21" s="65">
        <v>577.11704240896017</v>
      </c>
      <c r="N21" s="65">
        <v>586.56380726047587</v>
      </c>
      <c r="O21" s="65">
        <v>588.84160046005502</v>
      </c>
      <c r="P21" s="3"/>
      <c r="Q21" s="3"/>
      <c r="R21" s="3"/>
      <c r="S21" s="3"/>
      <c r="T21" s="3"/>
    </row>
    <row r="22" spans="1:20" s="60" customFormat="1" x14ac:dyDescent="0.2">
      <c r="A22" s="3"/>
      <c r="B22" s="1" t="s">
        <v>237</v>
      </c>
      <c r="C22" s="1" t="s">
        <v>241</v>
      </c>
      <c r="D22" s="90" t="s">
        <v>313</v>
      </c>
      <c r="E22" s="65">
        <v>452.68042565886748</v>
      </c>
      <c r="F22" s="65">
        <v>493.29219134184075</v>
      </c>
      <c r="G22" s="65">
        <v>451.87589126960461</v>
      </c>
      <c r="H22" s="65">
        <v>428.1520095531917</v>
      </c>
      <c r="I22" s="65">
        <v>416.39178179928649</v>
      </c>
      <c r="J22" s="65">
        <v>449.93022207755382</v>
      </c>
      <c r="K22" s="65">
        <v>476.48171176393402</v>
      </c>
      <c r="L22" s="65">
        <v>507.85859403117377</v>
      </c>
      <c r="M22" s="65">
        <v>515.36924684339363</v>
      </c>
      <c r="N22" s="65">
        <v>528.86121438980376</v>
      </c>
      <c r="O22" s="65">
        <v>537.51128135646218</v>
      </c>
      <c r="P22" s="3"/>
      <c r="Q22" s="3"/>
      <c r="R22" s="3"/>
      <c r="S22" s="3"/>
      <c r="T22" s="3"/>
    </row>
    <row r="23" spans="1:20" s="60" customFormat="1" x14ac:dyDescent="0.2">
      <c r="A23" s="3"/>
      <c r="B23" s="1" t="s">
        <v>237</v>
      </c>
      <c r="C23" s="1" t="s">
        <v>242</v>
      </c>
      <c r="D23" s="90" t="s">
        <v>313</v>
      </c>
      <c r="E23" s="65">
        <v>1333.8081475956319</v>
      </c>
      <c r="F23" s="65">
        <v>1486.4818136592496</v>
      </c>
      <c r="G23" s="65">
        <v>1372.4260772257765</v>
      </c>
      <c r="H23" s="65">
        <v>1350.5928669233085</v>
      </c>
      <c r="I23" s="65">
        <v>1323.9881740568248</v>
      </c>
      <c r="J23" s="65">
        <v>1378.6474813929196</v>
      </c>
      <c r="K23" s="65">
        <v>1446.1982383427837</v>
      </c>
      <c r="L23" s="65">
        <v>1535.4845757781097</v>
      </c>
      <c r="M23" s="65">
        <v>1550.5758558103551</v>
      </c>
      <c r="N23" s="65">
        <v>1577.4968347190613</v>
      </c>
      <c r="O23" s="65">
        <v>1583.8137388235309</v>
      </c>
      <c r="P23" s="3"/>
      <c r="Q23" s="3"/>
      <c r="R23" s="3"/>
      <c r="S23" s="3"/>
      <c r="T23" s="3"/>
    </row>
    <row r="24" spans="1:20" s="60" customFormat="1" x14ac:dyDescent="0.2">
      <c r="A24" s="3"/>
      <c r="B24" s="1" t="s">
        <v>243</v>
      </c>
      <c r="C24" s="1" t="s">
        <v>244</v>
      </c>
      <c r="D24" s="90" t="s">
        <v>313</v>
      </c>
      <c r="E24" s="65">
        <v>438.02588484189471</v>
      </c>
      <c r="F24" s="65">
        <v>258.7938365372558</v>
      </c>
      <c r="G24" s="65">
        <v>180.8099674935074</v>
      </c>
      <c r="H24" s="65">
        <v>202.70692531318855</v>
      </c>
      <c r="I24" s="65">
        <v>212.95111610602183</v>
      </c>
      <c r="J24" s="65">
        <v>221.51999999999998</v>
      </c>
      <c r="K24" s="65">
        <v>220.02129034518674</v>
      </c>
      <c r="L24" s="65">
        <v>206.25266766475517</v>
      </c>
      <c r="M24" s="65">
        <v>197.74208442071779</v>
      </c>
      <c r="N24" s="65">
        <v>200.3667315060485</v>
      </c>
      <c r="O24" s="65">
        <v>209.50822357971401</v>
      </c>
      <c r="P24" s="3"/>
      <c r="Q24" s="3"/>
      <c r="R24" s="3"/>
      <c r="S24" s="3"/>
      <c r="T24" s="3"/>
    </row>
    <row r="25" spans="1:20" s="60" customFormat="1" x14ac:dyDescent="0.2">
      <c r="A25" s="3"/>
      <c r="B25" s="1" t="s">
        <v>243</v>
      </c>
      <c r="C25" s="1" t="s">
        <v>245</v>
      </c>
      <c r="D25" s="90" t="s">
        <v>313</v>
      </c>
      <c r="E25" s="65">
        <v>261.86554942357208</v>
      </c>
      <c r="F25" s="65">
        <v>176.5210147297432</v>
      </c>
      <c r="G25" s="65">
        <v>227.15386167725484</v>
      </c>
      <c r="H25" s="65">
        <v>230.55999999999997</v>
      </c>
      <c r="I25" s="65">
        <v>237.51</v>
      </c>
      <c r="J25" s="65">
        <v>228.34138981619174</v>
      </c>
      <c r="K25" s="65">
        <v>229.02583459551605</v>
      </c>
      <c r="L25" s="65">
        <v>188.24455368042743</v>
      </c>
      <c r="M25" s="65">
        <v>198.88255149861783</v>
      </c>
      <c r="N25" s="65">
        <v>224.18820303124619</v>
      </c>
      <c r="O25" s="65">
        <v>213.74416648501622</v>
      </c>
      <c r="P25" s="3"/>
      <c r="Q25" s="3"/>
      <c r="R25" s="3"/>
      <c r="S25" s="3"/>
      <c r="T25" s="3"/>
    </row>
    <row r="26" spans="1:20" s="60" customFormat="1" x14ac:dyDescent="0.2">
      <c r="A26" s="3"/>
      <c r="B26" s="1" t="s">
        <v>243</v>
      </c>
      <c r="C26" s="1" t="s">
        <v>246</v>
      </c>
      <c r="D26" s="90" t="s">
        <v>313</v>
      </c>
      <c r="E26" s="65">
        <v>103.38038683051307</v>
      </c>
      <c r="F26" s="65">
        <v>65.435514306672147</v>
      </c>
      <c r="G26" s="65">
        <v>140.53520347339881</v>
      </c>
      <c r="H26" s="65">
        <v>149.47957565611961</v>
      </c>
      <c r="I26" s="65">
        <v>123.62630632601706</v>
      </c>
      <c r="J26" s="65">
        <v>107.71225164502631</v>
      </c>
      <c r="K26" s="65">
        <v>111.18953456652292</v>
      </c>
      <c r="L26" s="65">
        <v>112.21032379103994</v>
      </c>
      <c r="M26" s="65">
        <v>114.08646623007155</v>
      </c>
      <c r="N26" s="65">
        <v>115.9185770070923</v>
      </c>
      <c r="O26" s="65">
        <v>122.24040516293098</v>
      </c>
      <c r="P26" s="3"/>
      <c r="Q26" s="3"/>
      <c r="R26" s="3"/>
      <c r="S26" s="3"/>
      <c r="T26" s="3"/>
    </row>
    <row r="27" spans="1:20" s="60" customFormat="1" x14ac:dyDescent="0.2">
      <c r="A27" s="3"/>
      <c r="B27" s="1" t="s">
        <v>243</v>
      </c>
      <c r="C27" s="1" t="s">
        <v>247</v>
      </c>
      <c r="D27" s="90" t="s">
        <v>313</v>
      </c>
      <c r="E27" s="65">
        <v>495.76937612933108</v>
      </c>
      <c r="F27" s="65">
        <v>682.42315358252131</v>
      </c>
      <c r="G27" s="65">
        <v>557.43487111861157</v>
      </c>
      <c r="H27" s="65">
        <v>545.09999999999991</v>
      </c>
      <c r="I27" s="65">
        <v>589.51</v>
      </c>
      <c r="J27" s="65">
        <v>560.49990738336498</v>
      </c>
      <c r="K27" s="65">
        <v>595.05617899629033</v>
      </c>
      <c r="L27" s="65">
        <v>636.74491747299919</v>
      </c>
      <c r="M27" s="65">
        <v>661.56903635345998</v>
      </c>
      <c r="N27" s="65">
        <v>656.88131281175959</v>
      </c>
      <c r="O27" s="65">
        <v>652.09890879007162</v>
      </c>
      <c r="P27" s="3"/>
      <c r="Q27" s="3"/>
      <c r="R27" s="3"/>
      <c r="S27" s="3"/>
      <c r="T27" s="3"/>
    </row>
    <row r="28" spans="1:20" s="60" customFormat="1" x14ac:dyDescent="0.2">
      <c r="A28" s="3"/>
      <c r="B28" s="1" t="s">
        <v>243</v>
      </c>
      <c r="C28" s="1" t="s">
        <v>248</v>
      </c>
      <c r="D28" s="90" t="s">
        <v>313</v>
      </c>
      <c r="E28" s="65">
        <v>207.31430342424997</v>
      </c>
      <c r="F28" s="65">
        <v>161.094523569768</v>
      </c>
      <c r="G28" s="65">
        <v>324.60443066208501</v>
      </c>
      <c r="H28" s="65">
        <v>365.4</v>
      </c>
      <c r="I28" s="65">
        <v>299.56369265053064</v>
      </c>
      <c r="J28" s="65">
        <v>343.05290524483428</v>
      </c>
      <c r="K28" s="65">
        <v>360.99569813792613</v>
      </c>
      <c r="L28" s="65">
        <v>330.59424641512737</v>
      </c>
      <c r="M28" s="65">
        <v>312.07389655824096</v>
      </c>
      <c r="N28" s="65">
        <v>324.99962371645159</v>
      </c>
      <c r="O28" s="65">
        <v>333.48422182481426</v>
      </c>
      <c r="P28" s="3"/>
      <c r="Q28" s="3"/>
      <c r="R28" s="3"/>
      <c r="S28" s="3"/>
      <c r="T28" s="3"/>
    </row>
    <row r="29" spans="1:20" s="60" customFormat="1" x14ac:dyDescent="0.2">
      <c r="A29" s="3"/>
      <c r="B29" s="1" t="s">
        <v>243</v>
      </c>
      <c r="C29" s="1" t="s">
        <v>249</v>
      </c>
      <c r="D29" s="90" t="s">
        <v>313</v>
      </c>
      <c r="E29" s="65">
        <v>90.410845560527662</v>
      </c>
      <c r="F29" s="65">
        <v>144.4417238554658</v>
      </c>
      <c r="G29" s="65">
        <v>211.63698972501649</v>
      </c>
      <c r="H29" s="65">
        <v>210.78199999999998</v>
      </c>
      <c r="I29" s="65">
        <v>195.26499999999999</v>
      </c>
      <c r="J29" s="65">
        <v>200.61638406381857</v>
      </c>
      <c r="K29" s="65">
        <v>194.1766657091413</v>
      </c>
      <c r="L29" s="65">
        <v>154.6749165442148</v>
      </c>
      <c r="M29" s="65">
        <v>155.6341097362029</v>
      </c>
      <c r="N29" s="65">
        <v>163.5614994887066</v>
      </c>
      <c r="O29" s="65">
        <v>165.79385872326398</v>
      </c>
      <c r="P29" s="3"/>
      <c r="Q29" s="3"/>
      <c r="R29" s="3"/>
      <c r="S29" s="3"/>
      <c r="T29" s="3"/>
    </row>
    <row r="30" spans="1:20" s="60" customFormat="1" x14ac:dyDescent="0.2">
      <c r="A30" s="3"/>
      <c r="B30" s="1" t="s">
        <v>243</v>
      </c>
      <c r="C30" s="1" t="s">
        <v>250</v>
      </c>
      <c r="D30" s="90" t="s">
        <v>313</v>
      </c>
      <c r="E30" s="65">
        <v>4.9694258228507042</v>
      </c>
      <c r="F30" s="65">
        <v>21.350565215469857</v>
      </c>
      <c r="G30" s="65">
        <v>11.680781869322592</v>
      </c>
      <c r="H30" s="65">
        <v>12.76</v>
      </c>
      <c r="I30" s="65">
        <v>13.026</v>
      </c>
      <c r="J30" s="65">
        <v>10.494802676480258</v>
      </c>
      <c r="K30" s="65">
        <v>11.274267558826754</v>
      </c>
      <c r="L30" s="65">
        <v>9.6749511635637013</v>
      </c>
      <c r="M30" s="65">
        <v>8.7994834118230525</v>
      </c>
      <c r="N30" s="65">
        <v>8.9773825007499077</v>
      </c>
      <c r="O30" s="65">
        <v>7.933419806923963</v>
      </c>
      <c r="P30" s="3"/>
      <c r="Q30" s="3"/>
      <c r="R30" s="3"/>
      <c r="S30" s="3"/>
      <c r="T30" s="3"/>
    </row>
    <row r="31" spans="1:20" s="60" customFormat="1" x14ac:dyDescent="0.2">
      <c r="A31" s="3"/>
      <c r="B31" s="1" t="s">
        <v>243</v>
      </c>
      <c r="C31" s="1" t="s">
        <v>251</v>
      </c>
      <c r="D31" s="90" t="s">
        <v>313</v>
      </c>
      <c r="E31" s="65">
        <v>237.27450963366303</v>
      </c>
      <c r="F31" s="65">
        <v>247.18227328438292</v>
      </c>
      <c r="G31" s="65">
        <v>183.50704903965587</v>
      </c>
      <c r="H31" s="65">
        <v>271.89778021642678</v>
      </c>
      <c r="I31" s="65">
        <v>308.84054955587663</v>
      </c>
      <c r="J31" s="65">
        <v>299.2830259756729</v>
      </c>
      <c r="K31" s="65">
        <v>296.52271385273264</v>
      </c>
      <c r="L31" s="65">
        <v>290.76093565183658</v>
      </c>
      <c r="M31" s="65">
        <v>285.98150373177953</v>
      </c>
      <c r="N31" s="65">
        <v>283.80971172380077</v>
      </c>
      <c r="O31" s="65">
        <v>282.66656013787025</v>
      </c>
      <c r="P31" s="3"/>
      <c r="Q31" s="3"/>
      <c r="R31" s="3"/>
      <c r="S31" s="3"/>
      <c r="T31" s="3"/>
    </row>
    <row r="32" spans="1:20" s="60" customFormat="1" x14ac:dyDescent="0.2">
      <c r="A32" s="3"/>
      <c r="B32" s="1" t="s">
        <v>252</v>
      </c>
      <c r="C32" s="1" t="s">
        <v>253</v>
      </c>
      <c r="D32" s="90" t="s">
        <v>254</v>
      </c>
      <c r="E32" s="65">
        <v>2836</v>
      </c>
      <c r="F32" s="65">
        <v>3247</v>
      </c>
      <c r="G32" s="65">
        <v>4286</v>
      </c>
      <c r="H32" s="65">
        <v>4882</v>
      </c>
      <c r="I32" s="65">
        <v>5306</v>
      </c>
      <c r="J32" s="65">
        <v>5236</v>
      </c>
      <c r="K32" s="65">
        <v>5070</v>
      </c>
      <c r="L32" s="65">
        <v>4153</v>
      </c>
      <c r="M32" s="65">
        <v>3691</v>
      </c>
      <c r="N32" s="65">
        <v>3449</v>
      </c>
      <c r="O32" s="65">
        <v>3453</v>
      </c>
      <c r="P32" s="3"/>
      <c r="Q32" s="3"/>
      <c r="R32" s="3"/>
      <c r="S32" s="3"/>
      <c r="T32" s="3"/>
    </row>
    <row r="33" spans="1:20" s="60" customFormat="1" x14ac:dyDescent="0.2">
      <c r="A33" s="3"/>
      <c r="B33" s="1" t="s">
        <v>252</v>
      </c>
      <c r="C33" s="1" t="s">
        <v>255</v>
      </c>
      <c r="D33" s="90" t="s">
        <v>254</v>
      </c>
      <c r="E33" s="65">
        <v>1202</v>
      </c>
      <c r="F33" s="65">
        <v>1449</v>
      </c>
      <c r="G33" s="65">
        <v>2965</v>
      </c>
      <c r="H33" s="65">
        <v>4153</v>
      </c>
      <c r="I33" s="65">
        <v>4389</v>
      </c>
      <c r="J33" s="65">
        <v>4664</v>
      </c>
      <c r="K33" s="65">
        <v>4385</v>
      </c>
      <c r="L33" s="65">
        <v>4127</v>
      </c>
      <c r="M33" s="65">
        <v>3257</v>
      </c>
      <c r="N33" s="65">
        <v>2581</v>
      </c>
      <c r="O33" s="65">
        <v>1987</v>
      </c>
      <c r="P33" s="3"/>
      <c r="Q33" s="3"/>
      <c r="R33" s="3"/>
      <c r="S33" s="3"/>
      <c r="T33" s="3"/>
    </row>
    <row r="34" spans="1:20" s="60" customFormat="1" x14ac:dyDescent="0.2">
      <c r="A34" s="3"/>
      <c r="B34" s="1" t="s">
        <v>252</v>
      </c>
      <c r="C34" s="1" t="s">
        <v>256</v>
      </c>
      <c r="D34" s="90" t="s">
        <v>254</v>
      </c>
      <c r="E34" s="65">
        <v>2339</v>
      </c>
      <c r="F34" s="65">
        <v>2027</v>
      </c>
      <c r="G34" s="65">
        <v>2671</v>
      </c>
      <c r="H34" s="65">
        <v>3295</v>
      </c>
      <c r="I34" s="65">
        <v>3179</v>
      </c>
      <c r="J34" s="65">
        <v>3127</v>
      </c>
      <c r="K34" s="65">
        <v>2715</v>
      </c>
      <c r="L34" s="65">
        <v>2596</v>
      </c>
      <c r="M34" s="65">
        <v>2303</v>
      </c>
      <c r="N34" s="65">
        <v>2363</v>
      </c>
      <c r="O34" s="65">
        <v>2303</v>
      </c>
      <c r="P34" s="3"/>
      <c r="Q34" s="3"/>
      <c r="R34" s="3"/>
      <c r="S34" s="3"/>
      <c r="T34" s="3"/>
    </row>
    <row r="35" spans="1:20" s="60" customFormat="1" x14ac:dyDescent="0.2">
      <c r="A35" s="3"/>
      <c r="B35" s="1" t="s">
        <v>252</v>
      </c>
      <c r="C35" s="1" t="s">
        <v>257</v>
      </c>
      <c r="D35" s="90" t="s">
        <v>254</v>
      </c>
      <c r="E35" s="65">
        <v>724</v>
      </c>
      <c r="F35" s="65">
        <v>720</v>
      </c>
      <c r="G35" s="65">
        <v>1174</v>
      </c>
      <c r="H35" s="65">
        <v>1320</v>
      </c>
      <c r="I35" s="65">
        <v>1340</v>
      </c>
      <c r="J35" s="65">
        <v>1292</v>
      </c>
      <c r="K35" s="65">
        <v>1222</v>
      </c>
      <c r="L35" s="65">
        <v>1093</v>
      </c>
      <c r="M35" s="65">
        <v>1026</v>
      </c>
      <c r="N35" s="65">
        <v>1046</v>
      </c>
      <c r="O35" s="65">
        <v>1085</v>
      </c>
      <c r="P35" s="3"/>
      <c r="Q35" s="3"/>
      <c r="R35" s="3"/>
      <c r="S35" s="3"/>
      <c r="T35" s="3"/>
    </row>
    <row r="36" spans="1:20" s="60" customFormat="1" x14ac:dyDescent="0.2">
      <c r="A36" s="3"/>
      <c r="B36" s="1" t="s">
        <v>252</v>
      </c>
      <c r="C36" s="1" t="s">
        <v>258</v>
      </c>
      <c r="D36" s="90" t="s">
        <v>254</v>
      </c>
      <c r="E36" s="65">
        <v>1904</v>
      </c>
      <c r="F36" s="65">
        <v>2507</v>
      </c>
      <c r="G36" s="65">
        <v>2682</v>
      </c>
      <c r="H36" s="65">
        <v>2077</v>
      </c>
      <c r="I36" s="65">
        <v>1431</v>
      </c>
      <c r="J36" s="65">
        <v>1272</v>
      </c>
      <c r="K36" s="65">
        <v>1421</v>
      </c>
      <c r="L36" s="65">
        <v>1596</v>
      </c>
      <c r="M36" s="65">
        <v>1670</v>
      </c>
      <c r="N36" s="65">
        <v>1879</v>
      </c>
      <c r="O36" s="65">
        <v>2125</v>
      </c>
      <c r="P36" s="3"/>
      <c r="Q36" s="3"/>
      <c r="R36" s="3"/>
      <c r="S36" s="3"/>
      <c r="T36" s="3"/>
    </row>
    <row r="37" spans="1:20" s="60" customFormat="1" x14ac:dyDescent="0.2">
      <c r="A37" s="3"/>
      <c r="B37" s="1" t="s">
        <v>252</v>
      </c>
      <c r="C37" s="1" t="s">
        <v>259</v>
      </c>
      <c r="D37" s="90" t="s">
        <v>254</v>
      </c>
      <c r="E37" s="65">
        <v>1014</v>
      </c>
      <c r="F37" s="65">
        <v>788</v>
      </c>
      <c r="G37" s="65">
        <v>445</v>
      </c>
      <c r="H37" s="65">
        <v>454</v>
      </c>
      <c r="I37" s="65">
        <v>602</v>
      </c>
      <c r="J37" s="65">
        <v>640</v>
      </c>
      <c r="K37" s="65">
        <v>599</v>
      </c>
      <c r="L37" s="65">
        <v>652</v>
      </c>
      <c r="M37" s="65">
        <v>665</v>
      </c>
      <c r="N37" s="65">
        <v>672</v>
      </c>
      <c r="O37" s="65">
        <v>667</v>
      </c>
      <c r="P37" s="3"/>
      <c r="Q37" s="3"/>
      <c r="R37" s="3"/>
      <c r="S37" s="3"/>
      <c r="T37" s="3"/>
    </row>
    <row r="38" spans="1:20" s="60" customFormat="1" x14ac:dyDescent="0.2">
      <c r="A38" s="3"/>
      <c r="B38" s="1" t="s">
        <v>252</v>
      </c>
      <c r="C38" s="1" t="s">
        <v>260</v>
      </c>
      <c r="D38" s="90" t="s">
        <v>254</v>
      </c>
      <c r="E38" s="65">
        <v>1052</v>
      </c>
      <c r="F38" s="65">
        <v>1202</v>
      </c>
      <c r="G38" s="65">
        <v>1609</v>
      </c>
      <c r="H38" s="65">
        <v>1425</v>
      </c>
      <c r="I38" s="65">
        <v>1344</v>
      </c>
      <c r="J38" s="65">
        <v>1443</v>
      </c>
      <c r="K38" s="65">
        <v>1391</v>
      </c>
      <c r="L38" s="65">
        <v>1303</v>
      </c>
      <c r="M38" s="65">
        <v>1367</v>
      </c>
      <c r="N38" s="65">
        <v>1438</v>
      </c>
      <c r="O38" s="65">
        <v>1490</v>
      </c>
      <c r="P38" s="3"/>
      <c r="Q38" s="3"/>
      <c r="R38" s="3"/>
      <c r="S38" s="3"/>
      <c r="T38" s="3"/>
    </row>
    <row r="39" spans="1:20" s="60" customForma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60" customFormat="1" x14ac:dyDescent="0.2">
      <c r="A40" s="3"/>
      <c r="B40" s="3"/>
      <c r="C40" s="3"/>
      <c r="D40" s="3"/>
      <c r="E40" s="3"/>
      <c r="F40" s="98"/>
      <c r="G40" s="98"/>
      <c r="H40" s="98"/>
      <c r="I40" s="98"/>
      <c r="J40" s="98"/>
      <c r="K40" s="98"/>
      <c r="L40" s="98"/>
      <c r="M40" s="98"/>
      <c r="N40" s="98"/>
      <c r="O40" s="99"/>
      <c r="P40" s="3"/>
      <c r="Q40" s="3"/>
      <c r="R40" s="3"/>
      <c r="S40" s="3"/>
      <c r="T40" s="3"/>
    </row>
    <row r="41" spans="1:20" x14ac:dyDescent="0.2">
      <c r="A41" s="3"/>
      <c r="B41" s="34" t="s">
        <v>233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4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x14ac:dyDescent="0.2">
      <c r="A43" s="3"/>
      <c r="B43" s="3"/>
      <c r="C43" s="256" t="s">
        <v>172</v>
      </c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3"/>
      <c r="Q43" s="3"/>
      <c r="R43" s="3"/>
      <c r="S43" s="3"/>
      <c r="T43" s="3"/>
    </row>
    <row r="44" spans="1:20" x14ac:dyDescent="0.2">
      <c r="A44" s="3"/>
      <c r="B44" s="2" t="s">
        <v>35</v>
      </c>
      <c r="C44" s="264" t="s">
        <v>272</v>
      </c>
      <c r="D44" s="265"/>
      <c r="E44" s="24"/>
      <c r="F44" s="2" t="s">
        <v>262</v>
      </c>
      <c r="G44" s="2" t="s">
        <v>263</v>
      </c>
      <c r="H44" s="2" t="s">
        <v>264</v>
      </c>
      <c r="I44" s="2" t="s">
        <v>265</v>
      </c>
      <c r="J44" s="2" t="s">
        <v>266</v>
      </c>
      <c r="K44" s="2" t="s">
        <v>267</v>
      </c>
      <c r="L44" s="2" t="s">
        <v>268</v>
      </c>
      <c r="M44" s="2" t="s">
        <v>269</v>
      </c>
      <c r="N44" s="2" t="s">
        <v>270</v>
      </c>
      <c r="O44" s="2" t="s">
        <v>314</v>
      </c>
      <c r="P44" s="3"/>
      <c r="Q44" s="3"/>
      <c r="R44" s="3"/>
      <c r="S44" s="3"/>
      <c r="T44" s="3"/>
    </row>
    <row r="45" spans="1:20" x14ac:dyDescent="0.2">
      <c r="A45" s="3"/>
      <c r="B45" s="111">
        <f>'Historical Expenditure-Volumes'!B9</f>
        <v>102</v>
      </c>
      <c r="C45" s="101" t="str">
        <f>CONCATENATE(B20," - ",C20," - ",D20)</f>
        <v>Residential - New Houses - Powercor</v>
      </c>
      <c r="D45" s="102"/>
      <c r="E45" s="100"/>
      <c r="F45" s="117">
        <f>F20/E20</f>
        <v>1.0229845481104189</v>
      </c>
      <c r="G45" s="117">
        <f t="shared" ref="G45" si="0">G20/F20</f>
        <v>1.1145744529397086</v>
      </c>
      <c r="H45" s="117">
        <f t="shared" ref="H45" si="1">H20/G20</f>
        <v>1.0528605436204683</v>
      </c>
      <c r="I45" s="117">
        <f t="shared" ref="I45" si="2">I20/H20</f>
        <v>0.9736500252374386</v>
      </c>
      <c r="J45" s="191">
        <f t="shared" ref="J45" si="3">J20/I20</f>
        <v>1.0014529820119127</v>
      </c>
      <c r="K45" s="117">
        <f t="shared" ref="K45" si="4">K20/J20</f>
        <v>1.0358686003623665</v>
      </c>
      <c r="L45" s="117">
        <f t="shared" ref="L45" si="5">L20/K20</f>
        <v>1.0304574933527475</v>
      </c>
      <c r="M45" s="117">
        <f t="shared" ref="M45" si="6">M20/L20</f>
        <v>1.0045270954302838</v>
      </c>
      <c r="N45" s="117">
        <f t="shared" ref="N45:O45" si="7">N20/M20</f>
        <v>1.0124598487352492</v>
      </c>
      <c r="O45" s="117">
        <f t="shared" si="7"/>
        <v>1.0184142902964641</v>
      </c>
      <c r="P45" s="3"/>
      <c r="Q45" s="3"/>
      <c r="R45" s="3"/>
      <c r="S45" s="3"/>
      <c r="T45" s="3"/>
    </row>
    <row r="46" spans="1:20" x14ac:dyDescent="0.2">
      <c r="A46" s="3"/>
      <c r="B46" s="111">
        <f>'Historical Expenditure-Volumes'!B10</f>
        <v>104</v>
      </c>
      <c r="C46" s="101" t="str">
        <f>CONCATENATE(B20," - ",C20," - ",D20)</f>
        <v>Residential - New Houses - Powercor</v>
      </c>
      <c r="D46" s="102"/>
      <c r="E46" s="100"/>
      <c r="F46" s="117">
        <f t="shared" ref="F46" si="8">F20/E20</f>
        <v>1.0229845481104189</v>
      </c>
      <c r="G46" s="117">
        <f t="shared" ref="G46" si="9">G20/F20</f>
        <v>1.1145744529397086</v>
      </c>
      <c r="H46" s="117">
        <f t="shared" ref="H46" si="10">H20/G20</f>
        <v>1.0528605436204683</v>
      </c>
      <c r="I46" s="117">
        <f t="shared" ref="I46" si="11">I20/H20</f>
        <v>0.9736500252374386</v>
      </c>
      <c r="J46" s="117">
        <f t="shared" ref="J46" si="12">J20/I20</f>
        <v>1.0014529820119127</v>
      </c>
      <c r="K46" s="117">
        <f t="shared" ref="K46" si="13">K20/J20</f>
        <v>1.0358686003623665</v>
      </c>
      <c r="L46" s="117">
        <f t="shared" ref="L46" si="14">L20/K20</f>
        <v>1.0304574933527475</v>
      </c>
      <c r="M46" s="117">
        <f t="shared" ref="M46" si="15">M20/L20</f>
        <v>1.0045270954302838</v>
      </c>
      <c r="N46" s="117">
        <f t="shared" ref="N46:O46" si="16">N20/M20</f>
        <v>1.0124598487352492</v>
      </c>
      <c r="O46" s="117">
        <f t="shared" si="16"/>
        <v>1.0184142902964641</v>
      </c>
      <c r="P46" s="3"/>
      <c r="Q46" s="3"/>
      <c r="R46" s="3"/>
      <c r="S46" s="3"/>
      <c r="T46" s="3"/>
    </row>
    <row r="47" spans="1:20" x14ac:dyDescent="0.2">
      <c r="A47" s="3"/>
      <c r="B47" s="111">
        <f>'Historical Expenditure-Volumes'!B11</f>
        <v>105</v>
      </c>
      <c r="C47" s="101" t="s">
        <v>297</v>
      </c>
      <c r="D47" s="102"/>
      <c r="E47" s="100"/>
      <c r="F47" s="117">
        <f t="shared" ref="F47" si="17">SUM(F24,F25,F26)/SUM(E24,E25,E26)</f>
        <v>0.6233884376654093</v>
      </c>
      <c r="G47" s="117">
        <f t="shared" ref="G47" si="18">SUM(G24,G25,G26)/SUM(F24,F25,F26)</f>
        <v>1.0953542330733756</v>
      </c>
      <c r="H47" s="117">
        <f t="shared" ref="H47" si="19">SUM(H24,H25,H26)/SUM(G24,G25,G26)</f>
        <v>1.0624385209214491</v>
      </c>
      <c r="I47" s="117">
        <f t="shared" ref="I47" si="20">SUM(I24,I25,I26)/SUM(H24,H25,H26)</f>
        <v>0.98514091715202712</v>
      </c>
      <c r="J47" s="117">
        <f t="shared" ref="J47" si="21">SUM(J24,J25,J26)/SUM(I24,I25,I26)</f>
        <v>0.97123472780354159</v>
      </c>
      <c r="K47" s="117">
        <f t="shared" ref="K47" si="22">SUM(K24,K25,K26)/SUM(J24,J25,J26)</f>
        <v>1.0047760831000347</v>
      </c>
      <c r="L47" s="117">
        <f t="shared" ref="L47" si="23">SUM(L24,L25,L26)/SUM(K24,K25,K26)</f>
        <v>0.90445267466415613</v>
      </c>
      <c r="M47" s="117">
        <f t="shared" ref="M47" si="24">SUM(M24,M25,M26)/SUM(L24,L25,L26)</f>
        <v>1.0079011197911181</v>
      </c>
      <c r="N47" s="117">
        <f t="shared" ref="N47:O47" si="25">SUM(N24,N25,N26)/SUM(M24,M25,M26)</f>
        <v>1.0582764096369162</v>
      </c>
      <c r="O47" s="117">
        <f t="shared" si="25"/>
        <v>1.0092868264143635</v>
      </c>
      <c r="P47" s="3"/>
      <c r="Q47" s="3"/>
      <c r="R47" s="3"/>
      <c r="S47" s="3"/>
      <c r="T47" s="3"/>
    </row>
    <row r="48" spans="1:20" x14ac:dyDescent="0.2">
      <c r="A48" s="3"/>
      <c r="B48" s="111">
        <f>'Historical Expenditure-Volumes'!B12</f>
        <v>106</v>
      </c>
      <c r="C48" s="101" t="s">
        <v>312</v>
      </c>
      <c r="D48" s="102"/>
      <c r="E48" s="100"/>
      <c r="F48" s="117">
        <f>SUM(F25,F26,F31)/SUM(E25,E26,E31)</f>
        <v>0.81182108534110498</v>
      </c>
      <c r="G48" s="117">
        <f t="shared" ref="G48" si="26">SUM(G25,G26,G31)/SUM(F25,F26,F31)</f>
        <v>1.1268705561183661</v>
      </c>
      <c r="H48" s="117">
        <f t="shared" ref="H48" si="27">SUM(H25,H26,H31)/SUM(G25,G26,G31)</f>
        <v>1.1827684177894155</v>
      </c>
      <c r="I48" s="117">
        <f t="shared" ref="I48" si="28">SUM(I25,I26,I31)/SUM(H25,H26,H31)</f>
        <v>1.0276706033898049</v>
      </c>
      <c r="J48" s="117">
        <f t="shared" ref="J48" si="29">SUM(J25,J26,J31)/SUM(I25,I26,I31)</f>
        <v>0.94829644018164516</v>
      </c>
      <c r="K48" s="117">
        <f t="shared" ref="K48" si="30">SUM(K25,K26,K31)/SUM(J25,J26,J31)</f>
        <v>1.0022057841923941</v>
      </c>
      <c r="L48" s="117">
        <f t="shared" ref="L48" si="31">SUM(L25,L26,L31)/SUM(K25,K26,K31)</f>
        <v>0.92850707205083005</v>
      </c>
      <c r="M48" s="117">
        <f t="shared" ref="M48" si="32">SUM(M25,M26,M31)/SUM(L25,L26,L31)</f>
        <v>1.0130827155929807</v>
      </c>
      <c r="N48" s="117">
        <f t="shared" ref="N48:O48" si="33">SUM(N25,N26,N31)/SUM(M25,M26,M31)</f>
        <v>1.0416828592799181</v>
      </c>
      <c r="O48" s="117">
        <f t="shared" si="33"/>
        <v>0.99156079371864203</v>
      </c>
      <c r="P48" s="99"/>
      <c r="Q48" s="3"/>
      <c r="R48" s="3"/>
      <c r="S48" s="3"/>
      <c r="T48" s="3"/>
    </row>
    <row r="49" spans="1:20" x14ac:dyDescent="0.2">
      <c r="A49" s="3"/>
      <c r="B49" s="111">
        <f>'Historical Expenditure-Volumes'!B13</f>
        <v>107</v>
      </c>
      <c r="C49" s="101" t="str">
        <f>CONCATENATE(B27," - ",C27," - ",D27)</f>
        <v>Non-residential - Industrial - Powercor</v>
      </c>
      <c r="D49" s="102"/>
      <c r="E49" s="100"/>
      <c r="F49" s="117">
        <f t="shared" ref="F49" si="34">F27/E27</f>
        <v>1.3764931567788043</v>
      </c>
      <c r="G49" s="117">
        <f t="shared" ref="G49" si="35">G27/F27</f>
        <v>0.81684636312856918</v>
      </c>
      <c r="H49" s="117">
        <f t="shared" ref="H49" si="36">H27/G27</f>
        <v>0.97787208558757888</v>
      </c>
      <c r="I49" s="117">
        <f t="shared" ref="I49" si="37">I27/H27</f>
        <v>1.0814712896716201</v>
      </c>
      <c r="J49" s="117">
        <f t="shared" ref="J49" si="38">J27/I27</f>
        <v>0.95078948174477951</v>
      </c>
      <c r="K49" s="117">
        <f t="shared" ref="K49" si="39">K27/J27</f>
        <v>1.061652591120394</v>
      </c>
      <c r="L49" s="117">
        <f t="shared" ref="L49" si="40">L27/K27</f>
        <v>1.0700584918671499</v>
      </c>
      <c r="M49" s="117">
        <f t="shared" ref="M49" si="41">M27/L27</f>
        <v>1.0389859709897307</v>
      </c>
      <c r="N49" s="117">
        <f t="shared" ref="N49:O49" si="42">N27/M27</f>
        <v>0.99291423376230104</v>
      </c>
      <c r="O49" s="117">
        <f t="shared" si="42"/>
        <v>0.9927195310196647</v>
      </c>
      <c r="P49" s="3"/>
      <c r="Q49" s="3"/>
      <c r="R49" s="3"/>
      <c r="S49" s="3"/>
      <c r="T49" s="3"/>
    </row>
    <row r="50" spans="1:20" x14ac:dyDescent="0.2">
      <c r="A50" s="3"/>
      <c r="B50" s="111">
        <f>'Historical Expenditure-Volumes'!B14</f>
        <v>108</v>
      </c>
      <c r="C50" s="101" t="s">
        <v>298</v>
      </c>
      <c r="D50" s="102"/>
      <c r="E50" s="100"/>
      <c r="F50" s="117">
        <f t="shared" ref="F50" si="43">SUM(F26,F27,F31)/SUM(E26,E27,E31)</f>
        <v>1.1896366159822758</v>
      </c>
      <c r="G50" s="117">
        <f t="shared" ref="G50" si="44">SUM(G26,G27,G31)/SUM(F26,F27,F31)</f>
        <v>0.88587020609627365</v>
      </c>
      <c r="H50" s="117">
        <f t="shared" ref="H50" si="45">SUM(H26,H27,H31)/SUM(G26,G27,G31)</f>
        <v>1.0964293116203412</v>
      </c>
      <c r="I50" s="117">
        <f t="shared" ref="I50" si="46">SUM(I26,I27,I31)/SUM(H26,H27,H31)</f>
        <v>1.0574245218184568</v>
      </c>
      <c r="J50" s="117">
        <f t="shared" ref="J50" si="47">SUM(J26,J27,J31)/SUM(I26,I27,I31)</f>
        <v>0.94668991713044648</v>
      </c>
      <c r="K50" s="117">
        <f t="shared" ref="K50" si="48">SUM(K26,K27,K31)/SUM(J26,J27,J31)</f>
        <v>1.0364583131349987</v>
      </c>
      <c r="L50" s="117">
        <f t="shared" ref="L50" si="49">SUM(L26,L27,L31)/SUM(K26,K27,K31)</f>
        <v>1.0368457447304715</v>
      </c>
      <c r="M50" s="117">
        <f t="shared" ref="M50" si="50">SUM(M26,M27,M31)/SUM(L26,L27,L31)</f>
        <v>1.0210834744001573</v>
      </c>
      <c r="N50" s="117">
        <f t="shared" ref="N50:O50" si="51">SUM(N26,N27,N31)/SUM(M26,M27,M31)</f>
        <v>0.99526447859037304</v>
      </c>
      <c r="O50" s="117">
        <f t="shared" si="51"/>
        <v>1.0003750415930743</v>
      </c>
      <c r="P50" s="3"/>
      <c r="Q50" s="3"/>
      <c r="R50" s="3"/>
      <c r="S50" s="3"/>
      <c r="T50" s="3"/>
    </row>
    <row r="51" spans="1:20" x14ac:dyDescent="0.2">
      <c r="A51" s="3"/>
      <c r="B51" s="111">
        <f>'Historical Expenditure-Volumes'!B15</f>
        <v>109</v>
      </c>
      <c r="C51" s="101" t="str">
        <f>CONCATENATE(B20," - ",C20," - ",D20)</f>
        <v>Residential - New Houses - Powercor</v>
      </c>
      <c r="D51" s="102"/>
      <c r="E51" s="100"/>
      <c r="F51" s="117">
        <f t="shared" ref="F51" si="52">F20/E20</f>
        <v>1.0229845481104189</v>
      </c>
      <c r="G51" s="117">
        <f>G20/F20</f>
        <v>1.1145744529397086</v>
      </c>
      <c r="H51" s="117">
        <f t="shared" ref="H51" si="53">H20/G20</f>
        <v>1.0528605436204683</v>
      </c>
      <c r="I51" s="117">
        <f t="shared" ref="I51" si="54">I20/H20</f>
        <v>0.9736500252374386</v>
      </c>
      <c r="J51" s="117">
        <f t="shared" ref="J51" si="55">J20/I20</f>
        <v>1.0014529820119127</v>
      </c>
      <c r="K51" s="117">
        <f t="shared" ref="K51" si="56">K20/J20</f>
        <v>1.0358686003623665</v>
      </c>
      <c r="L51" s="117">
        <f t="shared" ref="L51" si="57">L20/K20</f>
        <v>1.0304574933527475</v>
      </c>
      <c r="M51" s="117">
        <f t="shared" ref="M51" si="58">M20/L20</f>
        <v>1.0045270954302838</v>
      </c>
      <c r="N51" s="117">
        <f t="shared" ref="N51:O51" si="59">N20/M20</f>
        <v>1.0124598487352492</v>
      </c>
      <c r="O51" s="117">
        <f t="shared" si="59"/>
        <v>1.0184142902964641</v>
      </c>
      <c r="P51" s="3"/>
      <c r="Q51" s="3"/>
      <c r="R51" s="3"/>
      <c r="S51" s="3"/>
      <c r="T51" s="3"/>
    </row>
    <row r="52" spans="1:20" x14ac:dyDescent="0.2">
      <c r="A52" s="3"/>
      <c r="B52" s="111">
        <f>'Historical Expenditure-Volumes'!B16</f>
        <v>110</v>
      </c>
      <c r="C52" s="101" t="str">
        <f>CONCATENATE(B20," - ",C20," - ",D20)</f>
        <v>Residential - New Houses - Powercor</v>
      </c>
      <c r="D52" s="102"/>
      <c r="E52" s="100"/>
      <c r="F52" s="117">
        <f t="shared" ref="F52" si="60">F20/E20</f>
        <v>1.0229845481104189</v>
      </c>
      <c r="G52" s="117">
        <f t="shared" ref="G52" si="61">G20/F20</f>
        <v>1.1145744529397086</v>
      </c>
      <c r="H52" s="117">
        <f t="shared" ref="H52" si="62">H20/G20</f>
        <v>1.0528605436204683</v>
      </c>
      <c r="I52" s="117">
        <f t="shared" ref="I52" si="63">I20/H20</f>
        <v>0.9736500252374386</v>
      </c>
      <c r="J52" s="117">
        <f t="shared" ref="J52" si="64">J20/I20</f>
        <v>1.0014529820119127</v>
      </c>
      <c r="K52" s="117">
        <f t="shared" ref="K52" si="65">K20/J20</f>
        <v>1.0358686003623665</v>
      </c>
      <c r="L52" s="117">
        <f t="shared" ref="L52" si="66">L20/K20</f>
        <v>1.0304574933527475</v>
      </c>
      <c r="M52" s="117">
        <f t="shared" ref="M52" si="67">M20/L20</f>
        <v>1.0045270954302838</v>
      </c>
      <c r="N52" s="117">
        <f t="shared" ref="N52:O52" si="68">N20/M20</f>
        <v>1.0124598487352492</v>
      </c>
      <c r="O52" s="117">
        <f t="shared" si="68"/>
        <v>1.0184142902964641</v>
      </c>
      <c r="P52" s="3"/>
      <c r="Q52" s="3"/>
      <c r="R52" s="3"/>
      <c r="S52" s="3"/>
      <c r="T52" s="3"/>
    </row>
    <row r="53" spans="1:20" x14ac:dyDescent="0.2">
      <c r="A53" s="3"/>
      <c r="B53" s="111">
        <f>'Historical Expenditure-Volumes'!B17</f>
        <v>111</v>
      </c>
      <c r="C53" s="101" t="s">
        <v>300</v>
      </c>
      <c r="D53" s="102"/>
      <c r="E53" s="108"/>
      <c r="F53" s="117">
        <f t="shared" ref="F53" si="69">SUM(F25,F26,F27,F28,F31)/SUM(E25,E26,E27,E28,E31)</f>
        <v>1.0207201811824957</v>
      </c>
      <c r="G53" s="117">
        <f t="shared" ref="G53" si="70">SUM(G25,G26,G27,G28,G31)/SUM(F25,F26,F27,F28,F31)</f>
        <v>1.0754725152709166</v>
      </c>
      <c r="H53" s="117">
        <f t="shared" ref="H53" si="71">SUM(H25,H26,H27,H28,H31)/SUM(G25,G26,G27,G28,G31)</f>
        <v>1.0901470466483045</v>
      </c>
      <c r="I53" s="117">
        <f t="shared" ref="I53" si="72">SUM(I25,I26,I27,I28,I31)/SUM(H25,H26,H27,H28,H31)</f>
        <v>0.99783235639663093</v>
      </c>
      <c r="J53" s="117">
        <f t="shared" ref="J53" si="73">SUM(J25,J26,J27,J28,J31)/SUM(I25,I26,I27,I28,I31)</f>
        <v>0.98706836767652439</v>
      </c>
      <c r="K53" s="117">
        <f t="shared" ref="K53" si="74">SUM(K25,K26,K27,K28,K31)/SUM(J25,J26,J27,J28,J31)</f>
        <v>1.0350255692706523</v>
      </c>
      <c r="L53" s="117">
        <f t="shared" ref="L53" si="75">SUM(L25,L26,L27,L28,L31)/SUM(K25,K26,K27,K28,K31)</f>
        <v>0.97850627892308195</v>
      </c>
      <c r="M53" s="117">
        <f t="shared" ref="M53" si="76">SUM(M25,M26,M27,M28,M31)/SUM(L25,L26,L27,L28,L31)</f>
        <v>1.0090073674447202</v>
      </c>
      <c r="N53" s="117">
        <f t="shared" ref="N53:O53" si="77">SUM(N25,N26,N27,N28,N31)/SUM(M25,M26,M27,M28,M31)</f>
        <v>1.0211141498941549</v>
      </c>
      <c r="O53" s="117">
        <f t="shared" si="77"/>
        <v>0.99902654851595363</v>
      </c>
      <c r="P53" s="3"/>
      <c r="Q53" s="3"/>
      <c r="R53" s="3"/>
      <c r="S53" s="3"/>
      <c r="T53" s="3"/>
    </row>
    <row r="54" spans="1:20" x14ac:dyDescent="0.2">
      <c r="A54" s="3"/>
      <c r="B54" s="111">
        <f>'Historical Expenditure-Volumes'!B18</f>
        <v>114</v>
      </c>
      <c r="C54" s="103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3"/>
      <c r="Q54" s="3"/>
      <c r="R54" s="3"/>
      <c r="S54" s="3"/>
      <c r="T54" s="3"/>
    </row>
    <row r="55" spans="1:20" x14ac:dyDescent="0.2">
      <c r="A55" s="3"/>
      <c r="B55" s="111">
        <f>'Historical Expenditure-Volumes'!B19</f>
        <v>115</v>
      </c>
      <c r="C55" s="103"/>
      <c r="D55" s="104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3"/>
      <c r="Q55" s="3"/>
      <c r="R55" s="3"/>
      <c r="S55" s="3"/>
      <c r="T55" s="3"/>
    </row>
    <row r="56" spans="1:20" x14ac:dyDescent="0.2">
      <c r="A56" s="3"/>
      <c r="B56" s="111">
        <f>'Historical Expenditure-Volumes'!B20</f>
        <v>116</v>
      </c>
      <c r="C56" s="101" t="s">
        <v>299</v>
      </c>
      <c r="D56" s="102"/>
      <c r="E56" s="109"/>
      <c r="F56" s="117">
        <f t="shared" ref="F56:O56" si="78">SUM(F27,F28,F31,F32)/SUM(E27,E28,E31,E32)</f>
        <v>1.1486463235549806</v>
      </c>
      <c r="G56" s="117">
        <f t="shared" si="78"/>
        <v>1.2337290296627403</v>
      </c>
      <c r="H56" s="117">
        <f t="shared" si="78"/>
        <v>1.1332047566563259</v>
      </c>
      <c r="I56" s="117">
        <f t="shared" si="78"/>
        <v>1.0724748735024923</v>
      </c>
      <c r="J56" s="117">
        <f t="shared" si="78"/>
        <v>0.98999396345354385</v>
      </c>
      <c r="K56" s="117">
        <f t="shared" si="78"/>
        <v>0.98194374720351119</v>
      </c>
      <c r="L56" s="117">
        <f t="shared" si="78"/>
        <v>0.85583808014755169</v>
      </c>
      <c r="M56" s="117">
        <f t="shared" si="78"/>
        <v>0.91490165503764553</v>
      </c>
      <c r="N56" s="117">
        <f t="shared" si="78"/>
        <v>0.95234262032782446</v>
      </c>
      <c r="O56" s="117">
        <f t="shared" si="78"/>
        <v>1.001391192549012</v>
      </c>
      <c r="P56" s="3"/>
      <c r="Q56" s="3"/>
      <c r="R56" s="3"/>
      <c r="S56" s="3"/>
      <c r="T56" s="3"/>
    </row>
    <row r="57" spans="1:20" x14ac:dyDescent="0.2">
      <c r="A57" s="3"/>
      <c r="B57" s="111">
        <f>'Historical Expenditure-Volumes'!B21</f>
        <v>118</v>
      </c>
      <c r="C57" s="103"/>
      <c r="D57" s="104"/>
      <c r="E57" s="100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3"/>
      <c r="Q57" s="3"/>
      <c r="R57" s="3"/>
      <c r="S57" s="3"/>
      <c r="T57" s="3"/>
    </row>
    <row r="58" spans="1:20" x14ac:dyDescent="0.2">
      <c r="A58" s="3"/>
      <c r="B58" s="111"/>
      <c r="C58" s="101"/>
      <c r="D58" s="102"/>
      <c r="E58" s="118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3"/>
      <c r="Q58" s="3"/>
      <c r="R58" s="3"/>
      <c r="S58" s="3"/>
      <c r="T58" s="3"/>
    </row>
    <row r="59" spans="1:2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116" t="s">
        <v>279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customHeight="1" x14ac:dyDescent="0.2">
      <c r="A61" s="3"/>
      <c r="B61" s="266" t="s">
        <v>283</v>
      </c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3"/>
      <c r="Q61" s="3"/>
      <c r="R61" s="3"/>
      <c r="S61" s="3"/>
      <c r="T61" s="3"/>
    </row>
    <row r="62" spans="1:20" x14ac:dyDescent="0.2">
      <c r="A62" s="3"/>
      <c r="B62" s="3"/>
      <c r="C62" s="3"/>
      <c r="D62" s="3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3"/>
      <c r="P63" s="3"/>
      <c r="Q63" s="3"/>
      <c r="R63" s="3"/>
      <c r="S63" s="3"/>
      <c r="T63" s="3"/>
    </row>
    <row r="64" spans="1:20" ht="15.75" x14ac:dyDescent="0.25">
      <c r="A64" s="28"/>
      <c r="B64" s="28" t="s">
        <v>309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 x14ac:dyDescent="0.2">
      <c r="A65" s="3"/>
      <c r="B65" s="3"/>
      <c r="C65" s="3"/>
      <c r="D65" s="3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3"/>
      <c r="P65" s="3"/>
      <c r="Q65" s="3"/>
      <c r="R65" s="3"/>
      <c r="S65" s="3"/>
      <c r="T65" s="3"/>
    </row>
    <row r="66" spans="1:20" hidden="1" x14ac:dyDescent="0.2">
      <c r="A66" s="3"/>
      <c r="B66" s="3"/>
      <c r="C66" s="3"/>
      <c r="D66" s="3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3"/>
      <c r="P66" s="3"/>
      <c r="Q66" s="3"/>
      <c r="R66" s="3"/>
      <c r="S66" s="3"/>
      <c r="T66" s="3"/>
    </row>
    <row r="67" spans="1:20" hidden="1" x14ac:dyDescent="0.2">
      <c r="A67" s="3"/>
      <c r="B67" s="3"/>
      <c r="C67" s="3"/>
      <c r="D67" s="3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3"/>
      <c r="P67" s="3"/>
      <c r="Q67" s="3"/>
      <c r="R67" s="3"/>
      <c r="S67" s="3"/>
      <c r="T67" s="3"/>
    </row>
    <row r="68" spans="1:20" hidden="1" x14ac:dyDescent="0.2">
      <c r="A68" s="3"/>
      <c r="B68" s="3"/>
      <c r="C68" s="3"/>
      <c r="D68" s="3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3"/>
      <c r="P68" s="3"/>
      <c r="Q68" s="3"/>
      <c r="R68" s="3"/>
      <c r="S68" s="3"/>
      <c r="T68" s="3"/>
    </row>
    <row r="69" spans="1:20" hidden="1" x14ac:dyDescent="0.2">
      <c r="A69" s="3"/>
      <c r="B69" s="3"/>
      <c r="C69" s="3"/>
      <c r="D69" s="3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3"/>
      <c r="P69" s="3"/>
      <c r="Q69" s="3"/>
      <c r="R69" s="3"/>
      <c r="S69" s="3"/>
      <c r="T69" s="3"/>
    </row>
    <row r="70" spans="1:20" hidden="1" x14ac:dyDescent="0.2">
      <c r="A70" s="3"/>
      <c r="B70" s="3"/>
      <c r="C70" s="3"/>
      <c r="D70" s="3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3"/>
      <c r="P70" s="3"/>
      <c r="Q70" s="3"/>
      <c r="R70" s="3"/>
      <c r="S70" s="3"/>
      <c r="T70" s="3"/>
    </row>
    <row r="71" spans="1:20" hidden="1" x14ac:dyDescent="0.2">
      <c r="A71" s="3"/>
      <c r="B71" s="3"/>
      <c r="C71" s="3"/>
      <c r="D71" s="3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3"/>
      <c r="P71" s="3"/>
      <c r="Q71" s="3"/>
      <c r="R71" s="3"/>
      <c r="S71" s="3"/>
      <c r="T71" s="3"/>
    </row>
    <row r="72" spans="1:20" hidden="1" x14ac:dyDescent="0.2">
      <c r="A72" s="3"/>
      <c r="B72" s="3"/>
      <c r="C72" s="3"/>
      <c r="D72" s="3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3"/>
      <c r="P72" s="3"/>
      <c r="Q72" s="3"/>
      <c r="R72" s="3"/>
      <c r="S72" s="3"/>
      <c r="T72" s="3"/>
    </row>
    <row r="73" spans="1:20" hidden="1" x14ac:dyDescent="0.2">
      <c r="A73" s="3"/>
      <c r="B73" s="3"/>
      <c r="C73" s="3"/>
      <c r="D73" s="3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3"/>
      <c r="P73" s="3"/>
      <c r="Q73" s="3"/>
      <c r="R73" s="3"/>
      <c r="S73" s="3"/>
      <c r="T73" s="3"/>
    </row>
    <row r="74" spans="1:20" hidden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idden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idden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idden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idden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idden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idden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idden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idden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idden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idden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idden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idden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idden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idden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idden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</sheetData>
  <mergeCells count="3">
    <mergeCell ref="C44:D44"/>
    <mergeCell ref="C43:O43"/>
    <mergeCell ref="B61:O61"/>
  </mergeCells>
  <hyperlinks>
    <hyperlink ref="O1" location="Menu!A1" display="Menu" xr:uid="{00000000-0004-0000-0500-000000000000}"/>
  </hyperlinks>
  <pageMargins left="0.7" right="0.7" top="0.75" bottom="0.75" header="0.3" footer="0.3"/>
  <pageSetup paperSize="9" orientation="portrait" r:id="rId1"/>
  <ignoredErrors>
    <ignoredError sqref="F49 C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theme="8" tint="0.59999389629810485"/>
  </sheetPr>
  <dimension ref="A1:BB53"/>
  <sheetViews>
    <sheetView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41.42578125" customWidth="1"/>
    <col min="4" max="10" width="12.28515625" customWidth="1"/>
    <col min="11" max="11" width="3.7109375" style="130" customWidth="1"/>
    <col min="12" max="12" width="12.5703125" hidden="1" customWidth="1"/>
    <col min="13" max="13" width="9.140625" hidden="1" customWidth="1"/>
    <col min="14" max="14" width="40.7109375" hidden="1" customWidth="1"/>
    <col min="15" max="22" width="12.28515625" hidden="1" customWidth="1"/>
    <col min="23" max="23" width="12.28515625" style="130" hidden="1" customWidth="1"/>
    <col min="24" max="24" width="3.7109375" hidden="1" customWidth="1"/>
    <col min="25" max="25" width="9.140625" hidden="1" customWidth="1"/>
    <col min="26" max="26" width="40.7109375" hidden="1" customWidth="1"/>
    <col min="27" max="34" width="12.28515625" hidden="1" customWidth="1"/>
    <col min="35" max="35" width="12.28515625" style="130" hidden="1" customWidth="1"/>
    <col min="36" max="36" width="9.140625" hidden="1" customWidth="1"/>
    <col min="37" max="54" width="0" hidden="1" customWidth="1"/>
    <col min="55" max="16384" width="9.140625" hidden="1"/>
  </cols>
  <sheetData>
    <row r="1" spans="1:53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30" t="s">
        <v>39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ht="15.75" x14ac:dyDescent="0.25">
      <c r="A2" s="28" t="str">
        <f ca="1">RIGHT(CELL("filename", $A$1), LEN(CELL("filename", $A$1)) - SEARCH("]", CELL("filename", $A$1)))</f>
        <v>Major Projects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</row>
    <row r="3" spans="1:53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x14ac:dyDescent="0.2">
      <c r="A4" s="3"/>
      <c r="B4" s="144" t="s">
        <v>340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x14ac:dyDescent="0.2">
      <c r="A5" s="3"/>
      <c r="B5" s="5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s="60" customFormat="1" ht="18" customHeight="1" x14ac:dyDescent="0.2">
      <c r="A6" s="3"/>
      <c r="B6" s="97"/>
      <c r="C6" s="3"/>
      <c r="D6" s="15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x14ac:dyDescent="0.2">
      <c r="A7" s="3"/>
      <c r="B7" s="3"/>
      <c r="D7" s="256" t="str">
        <f>"$ 2019/20"</f>
        <v>$ 2019/20</v>
      </c>
      <c r="E7" s="256"/>
      <c r="F7" s="256"/>
      <c r="G7" s="256"/>
      <c r="H7" s="256"/>
      <c r="I7" s="256"/>
      <c r="J7" s="25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25.5" x14ac:dyDescent="0.2">
      <c r="A8" s="3"/>
      <c r="B8" s="2" t="s">
        <v>35</v>
      </c>
      <c r="C8" s="2" t="s">
        <v>75</v>
      </c>
      <c r="D8" s="136" t="s">
        <v>315</v>
      </c>
      <c r="E8" s="136" t="s">
        <v>316</v>
      </c>
      <c r="F8" s="136" t="s">
        <v>317</v>
      </c>
      <c r="G8" s="136" t="s">
        <v>318</v>
      </c>
      <c r="H8" s="136" t="s">
        <v>319</v>
      </c>
      <c r="I8" s="136" t="s">
        <v>320</v>
      </c>
      <c r="J8" s="136" t="s">
        <v>321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x14ac:dyDescent="0.2">
      <c r="A9" s="3"/>
      <c r="B9" s="90">
        <v>107</v>
      </c>
      <c r="C9" s="92" t="s">
        <v>341</v>
      </c>
      <c r="D9" s="194">
        <f>AVERAGE('Historical Expenditure-Volumes'!$D$33:$G$33)/Inflation!$K$10</f>
        <v>3319278.3788881772</v>
      </c>
      <c r="E9" s="194">
        <f>AVERAGE('Historical Expenditure-Volumes'!$D$33:$G$33)/Inflation!$K$10</f>
        <v>3319278.3788881772</v>
      </c>
      <c r="F9" s="194">
        <f>AVERAGE('Historical Expenditure-Volumes'!$D$33:$G$33)/Inflation!$K$10</f>
        <v>3319278.3788881772</v>
      </c>
      <c r="G9" s="194">
        <f>AVERAGE('Historical Expenditure-Volumes'!$D$33:$G$33)/Inflation!$K$10</f>
        <v>3319278.3788881772</v>
      </c>
      <c r="H9" s="194">
        <f>AVERAGE('Historical Expenditure-Volumes'!$D$33:$G$33)/Inflation!$K$10</f>
        <v>3319278.3788881772</v>
      </c>
      <c r="I9" s="194">
        <f>AVERAGE('Historical Expenditure-Volumes'!$D$33:$G$33)/Inflation!$K$10</f>
        <v>3319278.3788881772</v>
      </c>
      <c r="J9" s="194">
        <f>AVERAGE('Historical Expenditure-Volumes'!$D$33:$G$33)/Inflation!$K$10</f>
        <v>3319278.3788881772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x14ac:dyDescent="0.2">
      <c r="A10" s="3"/>
      <c r="B10" s="90">
        <v>118</v>
      </c>
      <c r="C10" s="92" t="s">
        <v>341</v>
      </c>
      <c r="D10" s="194">
        <f>'Historical Expenditure-Volumes'!$G$21*Inflation!$J$10/Inflation!$K$10</f>
        <v>22900738.82093424</v>
      </c>
      <c r="E10" s="194">
        <f>'Historical Expenditure-Volumes'!$G$21*Inflation!$J$10/Inflation!$K$10</f>
        <v>22900738.82093424</v>
      </c>
      <c r="F10" s="194">
        <f>'Historical Expenditure-Volumes'!$G$21*Inflation!$J$10/Inflation!$K$10</f>
        <v>22900738.82093424</v>
      </c>
      <c r="G10" s="194">
        <f>'Historical Expenditure-Volumes'!$G$21*Inflation!$J$10/Inflation!$K$10</f>
        <v>22900738.82093424</v>
      </c>
      <c r="H10" s="194">
        <f>'Historical Expenditure-Volumes'!$G$21*Inflation!$J$10/Inflation!$K$10</f>
        <v>22900738.82093424</v>
      </c>
      <c r="I10" s="194">
        <f>'Historical Expenditure-Volumes'!$G$21*Inflation!$J$10/Inflation!$K$10</f>
        <v>22900738.82093424</v>
      </c>
      <c r="J10" s="194">
        <f>'Historical Expenditure-Volumes'!$G$21*Inflation!$J$10/Inflation!$K$10</f>
        <v>22900738.82093424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x14ac:dyDescent="0.2">
      <c r="A11" s="3"/>
      <c r="B11" s="90"/>
      <c r="C11" s="92"/>
      <c r="D11" s="52"/>
      <c r="E11" s="52"/>
      <c r="F11" s="52"/>
      <c r="G11" s="52"/>
      <c r="H11" s="52"/>
      <c r="I11" s="52"/>
      <c r="J11" s="5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53" x14ac:dyDescent="0.2">
      <c r="A12" s="3"/>
      <c r="B12" s="20" t="s">
        <v>178</v>
      </c>
      <c r="C12" s="20"/>
      <c r="D12" s="58">
        <f t="shared" ref="D12:J12" si="0">SUM(D9:D11)</f>
        <v>26220017.199822418</v>
      </c>
      <c r="E12" s="58">
        <f t="shared" si="0"/>
        <v>26220017.199822418</v>
      </c>
      <c r="F12" s="58">
        <f t="shared" si="0"/>
        <v>26220017.199822418</v>
      </c>
      <c r="G12" s="58">
        <f t="shared" si="0"/>
        <v>26220017.199822418</v>
      </c>
      <c r="H12" s="58">
        <f t="shared" si="0"/>
        <v>26220017.199822418</v>
      </c>
      <c r="I12" s="58">
        <f t="shared" si="0"/>
        <v>26220017.199822418</v>
      </c>
      <c r="J12" s="58">
        <f t="shared" si="0"/>
        <v>26220017.199822418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x14ac:dyDescent="0.2">
      <c r="A13" s="3"/>
      <c r="B13" s="146"/>
      <c r="C13" s="146"/>
      <c r="D13" s="146"/>
      <c r="E13" s="146"/>
      <c r="F13" s="146"/>
      <c r="G13" s="146"/>
      <c r="H13" s="146"/>
      <c r="I13" s="146"/>
      <c r="J13" s="14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15.75" x14ac:dyDescent="0.25">
      <c r="A14" s="28"/>
      <c r="B14" s="28" t="s">
        <v>309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idden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mergeCells count="1">
    <mergeCell ref="D7:J7"/>
  </mergeCells>
  <hyperlinks>
    <hyperlink ref="J1" location="Menu!A1" display="Menu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0000"/>
  </sheetPr>
  <dimension ref="A1:AL80"/>
  <sheetViews>
    <sheetView zoomScaleNormal="100" workbookViewId="0"/>
  </sheetViews>
  <sheetFormatPr defaultColWidth="0" defaultRowHeight="12.75" zeroHeight="1" x14ac:dyDescent="0.2"/>
  <cols>
    <col min="1" max="1" width="3.7109375" customWidth="1"/>
    <col min="2" max="2" width="28.140625" customWidth="1"/>
    <col min="3" max="3" width="81.5703125" customWidth="1"/>
    <col min="4" max="20" width="6.7109375" customWidth="1"/>
    <col min="21" max="28" width="6.7109375" hidden="1" customWidth="1"/>
    <col min="29" max="38" width="0" hidden="1" customWidth="1"/>
    <col min="39" max="16384" width="9.140625" hidden="1"/>
  </cols>
  <sheetData>
    <row r="1" spans="1:38" ht="18" x14ac:dyDescent="0.25">
      <c r="A1" s="26" t="str">
        <f>Menu!A1</f>
        <v>Powercor - Connections</v>
      </c>
      <c r="B1" s="26"/>
      <c r="C1" s="26"/>
      <c r="D1" s="30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15.75" x14ac:dyDescent="0.25">
      <c r="A2" s="28" t="str">
        <f ca="1">RIGHT(CELL("filename", $A$1), LEN(CELL("filename", $A$1)) - SEARCH("]", CELL("filename", $A$1)))</f>
        <v>Function Code Mapping</v>
      </c>
      <c r="B2" s="28"/>
      <c r="C2" s="38" t="s">
        <v>82</v>
      </c>
      <c r="D2" s="40" t="str">
        <f>IF(SUM(S26:S39)&lt;&gt;0,"Check!","OK")</f>
        <v>OK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x14ac:dyDescent="0.2">
      <c r="A4" s="3"/>
      <c r="B4" s="34" t="s">
        <v>72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2.75" customHeight="1" x14ac:dyDescent="0.2">
      <c r="A5" s="3"/>
      <c r="B5" s="3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7.25" customHeight="1" x14ac:dyDescent="0.2">
      <c r="A6" s="3"/>
      <c r="B6" s="35" t="s">
        <v>32</v>
      </c>
      <c r="C6" s="35" t="s">
        <v>33</v>
      </c>
      <c r="D6" s="25" t="s">
        <v>81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2">
      <c r="A7" s="3"/>
      <c r="B7" s="267" t="s">
        <v>44</v>
      </c>
      <c r="C7" s="68" t="s">
        <v>198</v>
      </c>
      <c r="D7" s="69" t="s">
        <v>46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2">
      <c r="A8" s="3"/>
      <c r="B8" s="267"/>
      <c r="C8" s="68" t="s">
        <v>199</v>
      </c>
      <c r="D8" s="69" t="s">
        <v>48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2">
      <c r="A9" s="3"/>
      <c r="B9" s="267"/>
      <c r="C9" s="68" t="s">
        <v>200</v>
      </c>
      <c r="D9" s="69" t="s">
        <v>50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">
      <c r="A10" s="3"/>
      <c r="B10" s="268" t="s">
        <v>34</v>
      </c>
      <c r="C10" s="41" t="s">
        <v>198</v>
      </c>
      <c r="D10" s="42" t="s">
        <v>51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">
      <c r="A11" s="3"/>
      <c r="B11" s="268"/>
      <c r="C11" s="41" t="s">
        <v>201</v>
      </c>
      <c r="D11" s="42" t="s">
        <v>53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">
      <c r="A12" s="3"/>
      <c r="B12" s="268"/>
      <c r="C12" s="41" t="s">
        <v>202</v>
      </c>
      <c r="D12" s="42" t="s">
        <v>55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">
      <c r="A13" s="3"/>
      <c r="B13" s="268"/>
      <c r="C13" s="41" t="s">
        <v>203</v>
      </c>
      <c r="D13" s="42" t="s">
        <v>57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A14" s="3"/>
      <c r="B14" s="268"/>
      <c r="C14" s="41" t="s">
        <v>204</v>
      </c>
      <c r="D14" s="42" t="s">
        <v>59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">
      <c r="A15" s="3"/>
      <c r="B15" s="267" t="s">
        <v>60</v>
      </c>
      <c r="C15" s="68" t="s">
        <v>199</v>
      </c>
      <c r="D15" s="69" t="s">
        <v>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">
      <c r="A16" s="3"/>
      <c r="B16" s="267"/>
      <c r="C16" s="68" t="s">
        <v>205</v>
      </c>
      <c r="D16" s="69" t="s">
        <v>63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">
      <c r="A17" s="3"/>
      <c r="B17" s="267"/>
      <c r="C17" s="68" t="s">
        <v>206</v>
      </c>
      <c r="D17" s="69" t="s">
        <v>65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x14ac:dyDescent="0.2">
      <c r="A18" s="3"/>
      <c r="B18" s="268" t="s">
        <v>66</v>
      </c>
      <c r="C18" s="41" t="s">
        <v>198</v>
      </c>
      <c r="D18" s="42" t="s">
        <v>67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x14ac:dyDescent="0.2">
      <c r="A19" s="3"/>
      <c r="B19" s="268"/>
      <c r="C19" s="41" t="s">
        <v>207</v>
      </c>
      <c r="D19" s="42" t="s">
        <v>69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">
      <c r="A20" s="3"/>
      <c r="B20" s="268"/>
      <c r="C20" s="41" t="s">
        <v>208</v>
      </c>
      <c r="D20" s="42" t="s">
        <v>71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51"/>
      <c r="AK21" s="3"/>
      <c r="AL21" s="3"/>
    </row>
    <row r="22" spans="1:3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51"/>
      <c r="AK22" s="3"/>
      <c r="AL22" s="3"/>
    </row>
    <row r="23" spans="1:38" x14ac:dyDescent="0.2">
      <c r="A23" s="3"/>
      <c r="B23" s="34" t="s">
        <v>73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2.75" customHeight="1" x14ac:dyDescent="0.2">
      <c r="A24" s="3"/>
      <c r="B24" s="3"/>
      <c r="C24" s="3"/>
      <c r="D24" s="261" t="s">
        <v>215</v>
      </c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2">
      <c r="A25" s="3"/>
      <c r="B25" s="2" t="s">
        <v>74</v>
      </c>
      <c r="C25" s="2" t="s">
        <v>75</v>
      </c>
      <c r="D25" s="2" t="s">
        <v>46</v>
      </c>
      <c r="E25" s="2" t="s">
        <v>48</v>
      </c>
      <c r="F25" s="2" t="s">
        <v>50</v>
      </c>
      <c r="G25" s="2" t="s">
        <v>51</v>
      </c>
      <c r="H25" s="2" t="s">
        <v>53</v>
      </c>
      <c r="I25" s="2" t="s">
        <v>55</v>
      </c>
      <c r="J25" s="2" t="s">
        <v>57</v>
      </c>
      <c r="K25" s="2" t="s">
        <v>59</v>
      </c>
      <c r="L25" s="2" t="s">
        <v>61</v>
      </c>
      <c r="M25" s="2" t="s">
        <v>63</v>
      </c>
      <c r="N25" s="2" t="s">
        <v>65</v>
      </c>
      <c r="O25" s="2" t="s">
        <v>67</v>
      </c>
      <c r="P25" s="2" t="s">
        <v>69</v>
      </c>
      <c r="Q25" s="2" t="s">
        <v>71</v>
      </c>
      <c r="R25" s="51" t="s">
        <v>231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2">
      <c r="A26" s="3"/>
      <c r="B26" s="70">
        <v>102</v>
      </c>
      <c r="C26" s="1" t="s">
        <v>184</v>
      </c>
      <c r="D26" s="162">
        <v>0</v>
      </c>
      <c r="E26" s="162">
        <v>0.48</v>
      </c>
      <c r="F26" s="66">
        <v>0.52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162">
        <v>0</v>
      </c>
      <c r="R26" s="37">
        <f>SUM(D26:Q26)</f>
        <v>1</v>
      </c>
      <c r="S26" s="37">
        <f>IF(R26=0,0,1-R26)</f>
        <v>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">
      <c r="A27" s="3"/>
      <c r="B27" s="70">
        <v>104</v>
      </c>
      <c r="C27" s="1" t="s">
        <v>185</v>
      </c>
      <c r="D27" s="164">
        <v>0</v>
      </c>
      <c r="E27" s="164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66">
        <v>1</v>
      </c>
      <c r="O27" s="88">
        <v>0</v>
      </c>
      <c r="P27" s="88">
        <v>0</v>
      </c>
      <c r="Q27" s="162">
        <v>0</v>
      </c>
      <c r="R27" s="37">
        <f t="shared" ref="R27:R39" si="0">SUM(D27:Q27)</f>
        <v>1</v>
      </c>
      <c r="S27" s="37">
        <f t="shared" ref="S27:S39" si="1">IF(R27=0,0,1-R27)</f>
        <v>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">
      <c r="A28" s="3"/>
      <c r="B28" s="70">
        <v>105</v>
      </c>
      <c r="C28" s="1" t="s">
        <v>186</v>
      </c>
      <c r="D28" s="164">
        <v>0</v>
      </c>
      <c r="E28" s="162">
        <v>0.03</v>
      </c>
      <c r="F28" s="66">
        <v>0.05</v>
      </c>
      <c r="G28" s="88">
        <v>0</v>
      </c>
      <c r="H28" s="88">
        <v>0</v>
      </c>
      <c r="I28" s="66">
        <v>0.92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162">
        <v>0</v>
      </c>
      <c r="R28" s="37">
        <f t="shared" si="0"/>
        <v>1</v>
      </c>
      <c r="S28" s="37">
        <f t="shared" si="1"/>
        <v>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A29" s="3"/>
      <c r="B29" s="70">
        <v>106</v>
      </c>
      <c r="C29" s="1" t="s">
        <v>187</v>
      </c>
      <c r="D29" s="164">
        <v>0</v>
      </c>
      <c r="E29" s="164">
        <v>0</v>
      </c>
      <c r="F29" s="88">
        <v>0</v>
      </c>
      <c r="G29" s="88">
        <v>0</v>
      </c>
      <c r="H29" s="88">
        <v>0</v>
      </c>
      <c r="I29" s="66">
        <v>1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162">
        <v>0</v>
      </c>
      <c r="R29" s="37">
        <f t="shared" si="0"/>
        <v>1</v>
      </c>
      <c r="S29" s="37">
        <f t="shared" si="1"/>
        <v>0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">
      <c r="A30" s="3"/>
      <c r="B30" s="70">
        <v>107</v>
      </c>
      <c r="C30" s="1" t="s">
        <v>76</v>
      </c>
      <c r="D30" s="164">
        <v>0</v>
      </c>
      <c r="E30" s="164">
        <v>0</v>
      </c>
      <c r="F30" s="88">
        <v>0</v>
      </c>
      <c r="G30" s="88">
        <v>0</v>
      </c>
      <c r="H30" s="88">
        <v>0</v>
      </c>
      <c r="I30" s="88">
        <v>0</v>
      </c>
      <c r="J30" s="88">
        <v>1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162">
        <v>0</v>
      </c>
      <c r="R30" s="37">
        <f t="shared" si="0"/>
        <v>1</v>
      </c>
      <c r="S30" s="37">
        <f t="shared" si="1"/>
        <v>0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x14ac:dyDescent="0.2">
      <c r="A31" s="3"/>
      <c r="B31" s="70">
        <v>108</v>
      </c>
      <c r="C31" s="1" t="s">
        <v>188</v>
      </c>
      <c r="D31" s="164">
        <v>0</v>
      </c>
      <c r="E31" s="164">
        <v>0</v>
      </c>
      <c r="F31" s="88">
        <v>0</v>
      </c>
      <c r="G31" s="88">
        <v>0</v>
      </c>
      <c r="H31" s="88">
        <v>0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162">
        <v>0</v>
      </c>
      <c r="R31" s="37">
        <f t="shared" si="0"/>
        <v>1</v>
      </c>
      <c r="S31" s="37">
        <f t="shared" si="1"/>
        <v>0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">
      <c r="A32" s="3"/>
      <c r="B32" s="70">
        <v>109</v>
      </c>
      <c r="C32" s="1" t="s">
        <v>189</v>
      </c>
      <c r="D32" s="164">
        <v>0</v>
      </c>
      <c r="E32" s="164">
        <v>1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162">
        <v>0</v>
      </c>
      <c r="R32" s="37">
        <f t="shared" si="0"/>
        <v>1</v>
      </c>
      <c r="S32" s="37">
        <f t="shared" si="1"/>
        <v>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">
      <c r="A33" s="3"/>
      <c r="B33" s="70">
        <v>110</v>
      </c>
      <c r="C33" s="1" t="s">
        <v>77</v>
      </c>
      <c r="D33" s="164">
        <v>0</v>
      </c>
      <c r="E33" s="164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1</v>
      </c>
      <c r="O33" s="88">
        <v>0</v>
      </c>
      <c r="P33" s="88">
        <v>0</v>
      </c>
      <c r="Q33" s="162">
        <v>0</v>
      </c>
      <c r="R33" s="37">
        <f t="shared" si="0"/>
        <v>1</v>
      </c>
      <c r="S33" s="37">
        <f t="shared" si="1"/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x14ac:dyDescent="0.2">
      <c r="A34" s="3"/>
      <c r="B34" s="70">
        <v>111</v>
      </c>
      <c r="C34" s="1" t="s">
        <v>190</v>
      </c>
      <c r="D34" s="164">
        <v>0</v>
      </c>
      <c r="E34" s="164">
        <v>0</v>
      </c>
      <c r="F34" s="88">
        <v>0</v>
      </c>
      <c r="G34" s="88">
        <v>0</v>
      </c>
      <c r="H34" s="88">
        <v>0</v>
      </c>
      <c r="I34" s="88">
        <v>1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162">
        <v>0</v>
      </c>
      <c r="R34" s="37">
        <f t="shared" si="0"/>
        <v>1</v>
      </c>
      <c r="S34" s="37">
        <f t="shared" si="1"/>
        <v>0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">
      <c r="A35" s="3"/>
      <c r="B35" s="70">
        <v>114</v>
      </c>
      <c r="C35" s="1" t="s">
        <v>78</v>
      </c>
      <c r="D35" s="164">
        <v>0</v>
      </c>
      <c r="E35" s="164">
        <v>0</v>
      </c>
      <c r="F35" s="88">
        <v>0</v>
      </c>
      <c r="G35" s="88">
        <v>1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162">
        <v>0</v>
      </c>
      <c r="R35" s="37">
        <f t="shared" si="0"/>
        <v>1</v>
      </c>
      <c r="S35" s="37">
        <f t="shared" si="1"/>
        <v>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">
      <c r="A36" s="3"/>
      <c r="B36" s="70">
        <v>115</v>
      </c>
      <c r="C36" s="1" t="s">
        <v>79</v>
      </c>
      <c r="D36" s="164">
        <v>1</v>
      </c>
      <c r="E36" s="164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162">
        <v>0</v>
      </c>
      <c r="R36" s="37">
        <f t="shared" si="0"/>
        <v>1</v>
      </c>
      <c r="S36" s="37">
        <f t="shared" si="1"/>
        <v>0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x14ac:dyDescent="0.2">
      <c r="A37" s="3"/>
      <c r="B37" s="70">
        <v>116</v>
      </c>
      <c r="C37" s="1" t="s">
        <v>97</v>
      </c>
      <c r="D37" s="164">
        <v>0</v>
      </c>
      <c r="E37" s="164"/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162">
        <v>0</v>
      </c>
      <c r="R37" s="37">
        <f t="shared" si="0"/>
        <v>0</v>
      </c>
      <c r="S37" s="37">
        <f t="shared" si="1"/>
        <v>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x14ac:dyDescent="0.2">
      <c r="A38" s="3"/>
      <c r="B38" s="70">
        <v>118</v>
      </c>
      <c r="C38" s="1" t="s">
        <v>80</v>
      </c>
      <c r="D38" s="164">
        <v>0</v>
      </c>
      <c r="E38" s="164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0.93</v>
      </c>
      <c r="Q38" s="162">
        <v>7.0000000000000007E-2</v>
      </c>
      <c r="R38" s="37">
        <f t="shared" si="0"/>
        <v>1</v>
      </c>
      <c r="S38" s="37">
        <f t="shared" si="1"/>
        <v>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x14ac:dyDescent="0.2">
      <c r="A39" s="3"/>
      <c r="B39" s="70">
        <v>171</v>
      </c>
      <c r="C39" s="1" t="s">
        <v>280</v>
      </c>
      <c r="D39" s="164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66">
        <v>0</v>
      </c>
      <c r="R39" s="37">
        <f t="shared" si="0"/>
        <v>0</v>
      </c>
      <c r="S39" s="37">
        <f t="shared" si="1"/>
        <v>0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x14ac:dyDescent="0.25">
      <c r="A43" s="28"/>
      <c r="B43" s="28" t="s">
        <v>309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idden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idden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idden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idden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idden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idden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idden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idden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idden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idden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idden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idden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38" hidden="1" x14ac:dyDescent="0.2"/>
    <row r="59" spans="1:38" hidden="1" x14ac:dyDescent="0.2"/>
    <row r="60" spans="1:38" hidden="1" x14ac:dyDescent="0.2"/>
    <row r="61" spans="1:38" hidden="1" x14ac:dyDescent="0.2"/>
    <row r="62" spans="1:38" hidden="1" x14ac:dyDescent="0.2"/>
    <row r="63" spans="1:38" hidden="1" x14ac:dyDescent="0.2"/>
    <row r="64" spans="1:3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</sheetData>
  <mergeCells count="5">
    <mergeCell ref="B7:B9"/>
    <mergeCell ref="B10:B14"/>
    <mergeCell ref="B15:B17"/>
    <mergeCell ref="B18:B20"/>
    <mergeCell ref="D24:Q24"/>
  </mergeCells>
  <conditionalFormatting sqref="D2">
    <cfRule type="expression" dxfId="4" priority="1">
      <formula>D2="Check!"</formula>
    </cfRule>
  </conditionalFormatting>
  <hyperlinks>
    <hyperlink ref="D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0000"/>
  </sheetPr>
  <dimension ref="A1:BS206"/>
  <sheetViews>
    <sheetView workbookViewId="0"/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9.7109375" customWidth="1"/>
    <col min="4" max="5" width="11" bestFit="1" customWidth="1"/>
    <col min="6" max="13" width="9.7109375" customWidth="1"/>
    <col min="14" max="14" width="3.7109375" style="130" customWidth="1"/>
    <col min="15" max="15" width="3.7109375" hidden="1" customWidth="1"/>
    <col min="16" max="28" width="9.7109375" hidden="1" customWidth="1"/>
    <col min="29" max="29" width="9.7109375" style="130" hidden="1" customWidth="1"/>
    <col min="30" max="30" width="3.7109375" hidden="1" customWidth="1"/>
    <col min="31" max="43" width="9.7109375" hidden="1" customWidth="1"/>
    <col min="44" max="44" width="9.7109375" style="130" hidden="1" customWidth="1"/>
    <col min="45" max="58" width="9.140625" hidden="1" customWidth="1"/>
    <col min="59" max="59" width="9.140625" style="130" hidden="1" customWidth="1"/>
    <col min="60" max="60" width="3.7109375" hidden="1" customWidth="1"/>
    <col min="61" max="16384" width="9.140625" hidden="1"/>
  </cols>
  <sheetData>
    <row r="1" spans="1:71" ht="18" x14ac:dyDescent="0.25">
      <c r="A1" s="26" t="str">
        <f>Menu!A1</f>
        <v>Powercor - Connections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0" t="s">
        <v>39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</row>
    <row r="2" spans="1:71" ht="15.75" x14ac:dyDescent="0.25">
      <c r="A2" s="173" t="str">
        <f ca="1">RIGHT(CELL("filename", $A$1), LEN(CELL("filename", $A$1)) - SEARCH("]", CELL("filename", $A$1)))</f>
        <v>Growth Rates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1:7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130" customFormat="1" x14ac:dyDescent="0.2">
      <c r="A4" s="3"/>
      <c r="B4" s="34" t="s">
        <v>175</v>
      </c>
      <c r="C4" s="3"/>
      <c r="D4" s="3"/>
      <c r="E4" s="134"/>
      <c r="F4" s="13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x14ac:dyDescent="0.2">
      <c r="A5" s="3"/>
      <c r="B5" s="49" t="s">
        <v>339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3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ht="12.75" customHeight="1" x14ac:dyDescent="0.2">
      <c r="A7" s="3"/>
      <c r="B7" s="3"/>
      <c r="C7" s="256" t="s">
        <v>172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1:71" ht="25.5" x14ac:dyDescent="0.2">
      <c r="A8" s="3"/>
      <c r="B8" s="136" t="s">
        <v>35</v>
      </c>
      <c r="C8" s="136" t="s">
        <v>216</v>
      </c>
      <c r="D8" s="2" t="s">
        <v>324</v>
      </c>
      <c r="E8" s="136" t="s">
        <v>325</v>
      </c>
      <c r="F8" s="136" t="s">
        <v>326</v>
      </c>
      <c r="G8" s="136" t="s">
        <v>315</v>
      </c>
      <c r="H8" s="136" t="s">
        <v>316</v>
      </c>
      <c r="I8" s="136" t="s">
        <v>317</v>
      </c>
      <c r="J8" s="136" t="s">
        <v>318</v>
      </c>
      <c r="K8" s="136" t="s">
        <v>319</v>
      </c>
      <c r="L8" s="136" t="s">
        <v>320</v>
      </c>
      <c r="M8" s="136" t="s">
        <v>321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1:71" x14ac:dyDescent="0.2">
      <c r="A9" s="3"/>
      <c r="B9" s="179">
        <f>IF('Historical Expenditure-Volumes'!B9=0," ",'Historical Expenditure-Volumes'!B9)</f>
        <v>102</v>
      </c>
      <c r="C9" s="188">
        <f>'Historical Expenditure-Volumes'!I9</f>
        <v>1</v>
      </c>
      <c r="D9" s="190">
        <f>IF('ACIF Growth Figures'!F45=0,0,'ACIF Growth Figures'!F45-1)</f>
        <v>2.2984548110418945E-2</v>
      </c>
      <c r="E9" s="190">
        <f>IF('ACIF Growth Figures'!G45=0,0,'ACIF Growth Figures'!G45-1)</f>
        <v>0.11457445293970858</v>
      </c>
      <c r="F9" s="190">
        <f>IF('ACIF Growth Figures'!H45=0,0,'ACIF Growth Figures'!H45-1)</f>
        <v>5.2860543620468325E-2</v>
      </c>
      <c r="G9" s="190">
        <f>IF('ACIF Growth Figures'!I45=0,0,'ACIF Growth Figures'!I45-1)</f>
        <v>-2.6349974762561401E-2</v>
      </c>
      <c r="H9" s="190">
        <f>IF('ACIF Growth Figures'!J45=0,0,'ACIF Growth Figures'!J45-1)</f>
        <v>1.4529820119126846E-3</v>
      </c>
      <c r="I9" s="190">
        <f>IF('ACIF Growth Figures'!K45=0,0,'ACIF Growth Figures'!K45-1)</f>
        <v>3.5868600362366498E-2</v>
      </c>
      <c r="J9" s="190">
        <f>IF('ACIF Growth Figures'!L45=0,0,'ACIF Growth Figures'!L45-1)</f>
        <v>3.04574933527475E-2</v>
      </c>
      <c r="K9" s="190">
        <f>IF('ACIF Growth Figures'!M45=0,0,'ACIF Growth Figures'!M45-1)</f>
        <v>4.5270954302838451E-3</v>
      </c>
      <c r="L9" s="190">
        <f>IF('ACIF Growth Figures'!N45=0,0,'ACIF Growth Figures'!N45-1)</f>
        <v>1.245984873524919E-2</v>
      </c>
      <c r="M9" s="190">
        <f>IF('ACIF Growth Figures'!O45=0,0,'ACIF Growth Figures'!O45-1)</f>
        <v>1.8414290296464131E-2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x14ac:dyDescent="0.2">
      <c r="A10" s="3"/>
      <c r="B10" s="179">
        <f>IF('Historical Expenditure-Volumes'!B10=0," ",'Historical Expenditure-Volumes'!B10)</f>
        <v>104</v>
      </c>
      <c r="C10" s="188">
        <f>'Historical Expenditure-Volumes'!I10</f>
        <v>1</v>
      </c>
      <c r="D10" s="190">
        <f>IF('ACIF Growth Figures'!F46=0,0,'ACIF Growth Figures'!F46-1)</f>
        <v>2.2984548110418945E-2</v>
      </c>
      <c r="E10" s="190">
        <f>IF('ACIF Growth Figures'!G46=0,0,'ACIF Growth Figures'!G46-1)</f>
        <v>0.11457445293970858</v>
      </c>
      <c r="F10" s="190">
        <f>IF('ACIF Growth Figures'!H46=0,0,'ACIF Growth Figures'!H46-1)</f>
        <v>5.2860543620468325E-2</v>
      </c>
      <c r="G10" s="190">
        <f>IF('ACIF Growth Figures'!I46=0,0,'ACIF Growth Figures'!I46-1)</f>
        <v>-2.6349974762561401E-2</v>
      </c>
      <c r="H10" s="190">
        <f>IF('ACIF Growth Figures'!J46=0,0,'ACIF Growth Figures'!J46-1)</f>
        <v>1.4529820119126846E-3</v>
      </c>
      <c r="I10" s="190">
        <f>IF('ACIF Growth Figures'!K46=0,0,'ACIF Growth Figures'!K46-1)</f>
        <v>3.5868600362366498E-2</v>
      </c>
      <c r="J10" s="190">
        <f>IF('ACIF Growth Figures'!L46=0,0,'ACIF Growth Figures'!L46-1)</f>
        <v>3.04574933527475E-2</v>
      </c>
      <c r="K10" s="190">
        <f>IF('ACIF Growth Figures'!M46=0,0,'ACIF Growth Figures'!M46-1)</f>
        <v>4.5270954302838451E-3</v>
      </c>
      <c r="L10" s="190">
        <f>IF('ACIF Growth Figures'!N46=0,0,'ACIF Growth Figures'!N46-1)</f>
        <v>1.245984873524919E-2</v>
      </c>
      <c r="M10" s="190">
        <f>IF('ACIF Growth Figures'!O46=0,0,'ACIF Growth Figures'!O46-1)</f>
        <v>1.8414290296464131E-2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1:71" x14ac:dyDescent="0.2">
      <c r="A11" s="3"/>
      <c r="B11" s="179">
        <f>IF('Historical Expenditure-Volumes'!B11=0," ",'Historical Expenditure-Volumes'!B11)</f>
        <v>105</v>
      </c>
      <c r="C11" s="188">
        <f>'Historical Expenditure-Volumes'!I11</f>
        <v>1</v>
      </c>
      <c r="D11" s="190">
        <f>IF('ACIF Growth Figures'!F47=0,0,'ACIF Growth Figures'!F47-1)</f>
        <v>-0.3766115623345907</v>
      </c>
      <c r="E11" s="190">
        <f>IF('ACIF Growth Figures'!G47=0,0,'ACIF Growth Figures'!G47-1)</f>
        <v>9.5354233073375649E-2</v>
      </c>
      <c r="F11" s="190">
        <f>IF('ACIF Growth Figures'!H47=0,0,'ACIF Growth Figures'!H47-1)</f>
        <v>6.2438520921449081E-2</v>
      </c>
      <c r="G11" s="190">
        <f>IF('ACIF Growth Figures'!I47=0,0,'ACIF Growth Figures'!I47-1)</f>
        <v>-1.4859082847972882E-2</v>
      </c>
      <c r="H11" s="190">
        <f>IF('ACIF Growth Figures'!J47=0,0,'ACIF Growth Figures'!J47-1)</f>
        <v>-2.8765272196458413E-2</v>
      </c>
      <c r="I11" s="190">
        <f>IF('ACIF Growth Figures'!K47=0,0,'ACIF Growth Figures'!K47-1)</f>
        <v>4.7760831000347448E-3</v>
      </c>
      <c r="J11" s="190">
        <f>IF('ACIF Growth Figures'!L47=0,0,'ACIF Growth Figures'!L47-1)</f>
        <v>-9.5547325335843869E-2</v>
      </c>
      <c r="K11" s="190">
        <f>IF('ACIF Growth Figures'!M47=0,0,'ACIF Growth Figures'!M47-1)</f>
        <v>7.9011197911180719E-3</v>
      </c>
      <c r="L11" s="190">
        <f>IF('ACIF Growth Figures'!N47=0,0,'ACIF Growth Figures'!N47-1)</f>
        <v>5.827640963691616E-2</v>
      </c>
      <c r="M11" s="190">
        <f>IF('ACIF Growth Figures'!O47=0,0,'ACIF Growth Figures'!O47-1)</f>
        <v>9.2868264143635137E-3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x14ac:dyDescent="0.2">
      <c r="A12" s="3"/>
      <c r="B12" s="179">
        <f>IF('Historical Expenditure-Volumes'!B12=0," ",'Historical Expenditure-Volumes'!B12)</f>
        <v>106</v>
      </c>
      <c r="C12" s="188">
        <f>'Historical Expenditure-Volumes'!I12</f>
        <v>1</v>
      </c>
      <c r="D12" s="190">
        <f>IF('ACIF Growth Figures'!F48=0,0,'ACIF Growth Figures'!F48-1)</f>
        <v>-0.18817891465889502</v>
      </c>
      <c r="E12" s="190">
        <f>IF('ACIF Growth Figures'!G48=0,0,'ACIF Growth Figures'!G48-1)</f>
        <v>0.12687055611836606</v>
      </c>
      <c r="F12" s="190">
        <f>IF('ACIF Growth Figures'!H48=0,0,'ACIF Growth Figures'!H48-1)</f>
        <v>0.18276841778941555</v>
      </c>
      <c r="G12" s="190">
        <f>IF('ACIF Growth Figures'!I48=0,0,'ACIF Growth Figures'!I48-1)</f>
        <v>2.7670603389804871E-2</v>
      </c>
      <c r="H12" s="190">
        <f>IF('ACIF Growth Figures'!J48=0,0,'ACIF Growth Figures'!J48-1)</f>
        <v>-5.1703559818354838E-2</v>
      </c>
      <c r="I12" s="190">
        <f>IF('ACIF Growth Figures'!K48=0,0,'ACIF Growth Figures'!K48-1)</f>
        <v>2.2057841923941446E-3</v>
      </c>
      <c r="J12" s="190">
        <f>IF('ACIF Growth Figures'!L48=0,0,'ACIF Growth Figures'!L48-1)</f>
        <v>-7.1492927949169949E-2</v>
      </c>
      <c r="K12" s="190">
        <f>IF('ACIF Growth Figures'!M48=0,0,'ACIF Growth Figures'!M48-1)</f>
        <v>1.3082715592980687E-2</v>
      </c>
      <c r="L12" s="190">
        <f>IF('ACIF Growth Figures'!N48=0,0,'ACIF Growth Figures'!N48-1)</f>
        <v>4.1682859279918105E-2</v>
      </c>
      <c r="M12" s="190">
        <f>IF('ACIF Growth Figures'!O48=0,0,'ACIF Growth Figures'!O48-1)</f>
        <v>-8.4392062813579694E-3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1:71" x14ac:dyDescent="0.2">
      <c r="A13" s="3"/>
      <c r="B13" s="179">
        <f>IF('Historical Expenditure-Volumes'!B13=0," ",'Historical Expenditure-Volumes'!B13)</f>
        <v>107</v>
      </c>
      <c r="C13" s="188">
        <f>'Historical Expenditure-Volumes'!I13</f>
        <v>0</v>
      </c>
      <c r="D13" s="190">
        <f>IF('ACIF Growth Figures'!F49=0,0,'ACIF Growth Figures'!F49-1)</f>
        <v>0.37649315677880435</v>
      </c>
      <c r="E13" s="190">
        <f>IF('ACIF Growth Figures'!G49=0,0,'ACIF Growth Figures'!G49-1)</f>
        <v>-0.18315363687143082</v>
      </c>
      <c r="F13" s="190">
        <f>IF('ACIF Growth Figures'!H49=0,0,'ACIF Growth Figures'!H49-1)</f>
        <v>-2.2127914412421124E-2</v>
      </c>
      <c r="G13" s="190">
        <f>IF('ACIF Growth Figures'!I49=0,0,'ACIF Growth Figures'!I49-1)</f>
        <v>8.1471289671620095E-2</v>
      </c>
      <c r="H13" s="190">
        <f>IF('ACIF Growth Figures'!J49=0,0,'ACIF Growth Figures'!J49-1)</f>
        <v>-4.9210518255220492E-2</v>
      </c>
      <c r="I13" s="190">
        <f>IF('ACIF Growth Figures'!K49=0,0,'ACIF Growth Figures'!K49-1)</f>
        <v>6.1652591120394007E-2</v>
      </c>
      <c r="J13" s="190">
        <f>IF('ACIF Growth Figures'!L49=0,0,'ACIF Growth Figures'!L49-1)</f>
        <v>7.0058491867149852E-2</v>
      </c>
      <c r="K13" s="190">
        <f>IF('ACIF Growth Figures'!M49=0,0,'ACIF Growth Figures'!M49-1)</f>
        <v>3.8985970989730667E-2</v>
      </c>
      <c r="L13" s="190">
        <f>IF('ACIF Growth Figures'!N49=0,0,'ACIF Growth Figures'!N49-1)</f>
        <v>-7.085766237698965E-3</v>
      </c>
      <c r="M13" s="190">
        <f>IF('ACIF Growth Figures'!O49=0,0,'ACIF Growth Figures'!O49-1)</f>
        <v>-7.2804689803352973E-3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1:71" x14ac:dyDescent="0.2">
      <c r="A14" s="3"/>
      <c r="B14" s="179">
        <f>IF('Historical Expenditure-Volumes'!B14=0," ",'Historical Expenditure-Volumes'!B14)</f>
        <v>108</v>
      </c>
      <c r="C14" s="188">
        <f>'Historical Expenditure-Volumes'!I14</f>
        <v>1</v>
      </c>
      <c r="D14" s="190">
        <f>IF('ACIF Growth Figures'!F50=0,0,'ACIF Growth Figures'!F50-1)</f>
        <v>0.18963661598227577</v>
      </c>
      <c r="E14" s="190">
        <f>IF('ACIF Growth Figures'!G50=0,0,'ACIF Growth Figures'!G50-1)</f>
        <v>-0.11412979390372635</v>
      </c>
      <c r="F14" s="190">
        <f>IF('ACIF Growth Figures'!H50=0,0,'ACIF Growth Figures'!H50-1)</f>
        <v>9.6429311620341185E-2</v>
      </c>
      <c r="G14" s="190">
        <f>IF('ACIF Growth Figures'!I50=0,0,'ACIF Growth Figures'!I50-1)</f>
        <v>5.7424521818456808E-2</v>
      </c>
      <c r="H14" s="190">
        <f>IF('ACIF Growth Figures'!J50=0,0,'ACIF Growth Figures'!J50-1)</f>
        <v>-5.3310082869553521E-2</v>
      </c>
      <c r="I14" s="190">
        <f>IF('ACIF Growth Figures'!K50=0,0,'ACIF Growth Figures'!K50-1)</f>
        <v>3.6458313134998699E-2</v>
      </c>
      <c r="J14" s="190">
        <f>IF('ACIF Growth Figures'!L50=0,0,'ACIF Growth Figures'!L50-1)</f>
        <v>3.684574473047153E-2</v>
      </c>
      <c r="K14" s="190">
        <f>IF('ACIF Growth Figures'!M50=0,0,'ACIF Growth Figures'!M50-1)</f>
        <v>2.1083474400157343E-2</v>
      </c>
      <c r="L14" s="190">
        <f>IF('ACIF Growth Figures'!N50=0,0,'ACIF Growth Figures'!N50-1)</f>
        <v>-4.7355214096269638E-3</v>
      </c>
      <c r="M14" s="190">
        <f>IF('ACIF Growth Figures'!O50=0,0,'ACIF Growth Figures'!O50-1)</f>
        <v>3.7504159307433227E-4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x14ac:dyDescent="0.2">
      <c r="A15" s="3"/>
      <c r="B15" s="179">
        <f>IF('Historical Expenditure-Volumes'!B15=0," ",'Historical Expenditure-Volumes'!B15)</f>
        <v>109</v>
      </c>
      <c r="C15" s="188">
        <f>'Historical Expenditure-Volumes'!I15</f>
        <v>1</v>
      </c>
      <c r="D15" s="190">
        <f>IF('ACIF Growth Figures'!F51=0,0,'ACIF Growth Figures'!F51-1)</f>
        <v>2.2984548110418945E-2</v>
      </c>
      <c r="E15" s="190">
        <f>IF('ACIF Growth Figures'!G51=0,0,'ACIF Growth Figures'!G51-1)</f>
        <v>0.11457445293970858</v>
      </c>
      <c r="F15" s="190">
        <f>IF('ACIF Growth Figures'!H51=0,0,'ACIF Growth Figures'!H51-1)</f>
        <v>5.2860543620468325E-2</v>
      </c>
      <c r="G15" s="190">
        <f>IF('ACIF Growth Figures'!I51=0,0,'ACIF Growth Figures'!I51-1)</f>
        <v>-2.6349974762561401E-2</v>
      </c>
      <c r="H15" s="190">
        <f>IF('ACIF Growth Figures'!J51=0,0,'ACIF Growth Figures'!J51-1)</f>
        <v>1.4529820119126846E-3</v>
      </c>
      <c r="I15" s="190">
        <f>IF('ACIF Growth Figures'!K51=0,0,'ACIF Growth Figures'!K51-1)</f>
        <v>3.5868600362366498E-2</v>
      </c>
      <c r="J15" s="190">
        <f>IF('ACIF Growth Figures'!L51=0,0,'ACIF Growth Figures'!L51-1)</f>
        <v>3.04574933527475E-2</v>
      </c>
      <c r="K15" s="190">
        <f>IF('ACIF Growth Figures'!M51=0,0,'ACIF Growth Figures'!M51-1)</f>
        <v>4.5270954302838451E-3</v>
      </c>
      <c r="L15" s="190">
        <f>IF('ACIF Growth Figures'!N51=0,0,'ACIF Growth Figures'!N51-1)</f>
        <v>1.245984873524919E-2</v>
      </c>
      <c r="M15" s="190">
        <f>IF('ACIF Growth Figures'!O51=0,0,'ACIF Growth Figures'!O51-1)</f>
        <v>1.8414290296464131E-2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</row>
    <row r="16" spans="1:71" x14ac:dyDescent="0.2">
      <c r="A16" s="3"/>
      <c r="B16" s="179">
        <f>IF('Historical Expenditure-Volumes'!B16=0," ",'Historical Expenditure-Volumes'!B16)</f>
        <v>110</v>
      </c>
      <c r="C16" s="188">
        <f>'Historical Expenditure-Volumes'!I16</f>
        <v>1</v>
      </c>
      <c r="D16" s="190">
        <f>IF('ACIF Growth Figures'!F52=0,0,'ACIF Growth Figures'!F52-1)</f>
        <v>2.2984548110418945E-2</v>
      </c>
      <c r="E16" s="190">
        <f>IF('ACIF Growth Figures'!G52=0,0,'ACIF Growth Figures'!G52-1)</f>
        <v>0.11457445293970858</v>
      </c>
      <c r="F16" s="190">
        <f>IF('ACIF Growth Figures'!H52=0,0,'ACIF Growth Figures'!H52-1)</f>
        <v>5.2860543620468325E-2</v>
      </c>
      <c r="G16" s="190">
        <f>IF('ACIF Growth Figures'!I52=0,0,'ACIF Growth Figures'!I52-1)</f>
        <v>-2.6349974762561401E-2</v>
      </c>
      <c r="H16" s="190">
        <f>IF('ACIF Growth Figures'!J52=0,0,'ACIF Growth Figures'!J52-1)</f>
        <v>1.4529820119126846E-3</v>
      </c>
      <c r="I16" s="190">
        <f>IF('ACIF Growth Figures'!K52=0,0,'ACIF Growth Figures'!K52-1)</f>
        <v>3.5868600362366498E-2</v>
      </c>
      <c r="J16" s="190">
        <f>IF('ACIF Growth Figures'!L52=0,0,'ACIF Growth Figures'!L52-1)</f>
        <v>3.04574933527475E-2</v>
      </c>
      <c r="K16" s="190">
        <f>IF('ACIF Growth Figures'!M52=0,0,'ACIF Growth Figures'!M52-1)</f>
        <v>4.5270954302838451E-3</v>
      </c>
      <c r="L16" s="190">
        <f>IF('ACIF Growth Figures'!N52=0,0,'ACIF Growth Figures'!N52-1)</f>
        <v>1.245984873524919E-2</v>
      </c>
      <c r="M16" s="190">
        <f>IF('ACIF Growth Figures'!O52=0,0,'ACIF Growth Figures'!O52-1)</f>
        <v>1.8414290296464131E-2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71" x14ac:dyDescent="0.2">
      <c r="A17" s="3"/>
      <c r="B17" s="179">
        <f>IF('Historical Expenditure-Volumes'!B17=0," ",'Historical Expenditure-Volumes'!B17)</f>
        <v>111</v>
      </c>
      <c r="C17" s="188">
        <f>'Historical Expenditure-Volumes'!I17</f>
        <v>1</v>
      </c>
      <c r="D17" s="190">
        <f>IF('ACIF Growth Figures'!F53=0,0,'ACIF Growth Figures'!F53-1)</f>
        <v>2.0720181182495745E-2</v>
      </c>
      <c r="E17" s="190">
        <f>IF('ACIF Growth Figures'!G53=0,0,'ACIF Growth Figures'!G53-1)</f>
        <v>7.5472515270916585E-2</v>
      </c>
      <c r="F17" s="190">
        <f>IF('ACIF Growth Figures'!H53=0,0,'ACIF Growth Figures'!H53-1)</f>
        <v>9.014704664830453E-2</v>
      </c>
      <c r="G17" s="190">
        <f>IF('ACIF Growth Figures'!I53=0,0,'ACIF Growth Figures'!I53-1)</f>
        <v>-2.1676436033690738E-3</v>
      </c>
      <c r="H17" s="190">
        <f>IF('ACIF Growth Figures'!J53=0,0,'ACIF Growth Figures'!J53-1)</f>
        <v>-1.2931632323475606E-2</v>
      </c>
      <c r="I17" s="190">
        <f>IF('ACIF Growth Figures'!K53=0,0,'ACIF Growth Figures'!K53-1)</f>
        <v>3.5025569270652257E-2</v>
      </c>
      <c r="J17" s="190">
        <f>IF('ACIF Growth Figures'!L53=0,0,'ACIF Growth Figures'!L53-1)</f>
        <v>-2.1493721076918049E-2</v>
      </c>
      <c r="K17" s="190">
        <f>IF('ACIF Growth Figures'!M53=0,0,'ACIF Growth Figures'!M53-1)</f>
        <v>9.0073674447201935E-3</v>
      </c>
      <c r="L17" s="190">
        <f>IF('ACIF Growth Figures'!N53=0,0,'ACIF Growth Figures'!N53-1)</f>
        <v>2.1114149894154943E-2</v>
      </c>
      <c r="M17" s="190">
        <f>IF('ACIF Growth Figures'!O53=0,0,'ACIF Growth Figures'!O53-1)</f>
        <v>-9.7345148404637261E-4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</row>
    <row r="18" spans="1:71" x14ac:dyDescent="0.2">
      <c r="A18" s="3"/>
      <c r="B18" s="179">
        <f>IF('Historical Expenditure-Volumes'!B18=0," ",'Historical Expenditure-Volumes'!B18)</f>
        <v>114</v>
      </c>
      <c r="C18" s="188">
        <f>'Historical Expenditure-Volumes'!I18</f>
        <v>1</v>
      </c>
      <c r="D18" s="190">
        <f>IF('ACIF Growth Figures'!F54=0,0,'ACIF Growth Figures'!F54-1)</f>
        <v>0</v>
      </c>
      <c r="E18" s="190">
        <f>IF('ACIF Growth Figures'!G54=0,0,'ACIF Growth Figures'!G54-1)</f>
        <v>0</v>
      </c>
      <c r="F18" s="190">
        <f>IF('ACIF Growth Figures'!H54=0,0,'ACIF Growth Figures'!H54-1)</f>
        <v>0</v>
      </c>
      <c r="G18" s="190">
        <f>IF('ACIF Growth Figures'!I54=0,0,'ACIF Growth Figures'!I54-1)</f>
        <v>0</v>
      </c>
      <c r="H18" s="190">
        <f>IF('ACIF Growth Figures'!J54=0,0,'ACIF Growth Figures'!J54-1)</f>
        <v>0</v>
      </c>
      <c r="I18" s="190">
        <f>IF('ACIF Growth Figures'!K54=0,0,'ACIF Growth Figures'!K54-1)</f>
        <v>0</v>
      </c>
      <c r="J18" s="190">
        <f>IF('ACIF Growth Figures'!L54=0,0,'ACIF Growth Figures'!L54-1)</f>
        <v>0</v>
      </c>
      <c r="K18" s="190">
        <f>IF('ACIF Growth Figures'!M54=0,0,'ACIF Growth Figures'!M54-1)</f>
        <v>0</v>
      </c>
      <c r="L18" s="190">
        <f>IF('ACIF Growth Figures'!N54=0,0,'ACIF Growth Figures'!N54-1)</f>
        <v>0</v>
      </c>
      <c r="M18" s="190">
        <f>IF('ACIF Growth Figures'!O54=0,0,'ACIF Growth Figures'!O54-1)</f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x14ac:dyDescent="0.2">
      <c r="A19" s="3"/>
      <c r="B19" s="179">
        <f>IF('Historical Expenditure-Volumes'!B19=0," ",'Historical Expenditure-Volumes'!B19)</f>
        <v>115</v>
      </c>
      <c r="C19" s="188">
        <f>'Historical Expenditure-Volumes'!I19</f>
        <v>1</v>
      </c>
      <c r="D19" s="190">
        <f>IF('ACIF Growth Figures'!F55=0,0,'ACIF Growth Figures'!F55-1)</f>
        <v>0</v>
      </c>
      <c r="E19" s="190">
        <f>IF('ACIF Growth Figures'!G55=0,0,'ACIF Growth Figures'!G55-1)</f>
        <v>0</v>
      </c>
      <c r="F19" s="190">
        <f>IF('ACIF Growth Figures'!H55=0,0,'ACIF Growth Figures'!H55-1)</f>
        <v>0</v>
      </c>
      <c r="G19" s="190">
        <f>IF('ACIF Growth Figures'!I55=0,0,'ACIF Growth Figures'!I55-1)</f>
        <v>0</v>
      </c>
      <c r="H19" s="190">
        <f>IF('ACIF Growth Figures'!J55=0,0,'ACIF Growth Figures'!J55-1)</f>
        <v>0</v>
      </c>
      <c r="I19" s="190">
        <f>IF('ACIF Growth Figures'!K55=0,0,'ACIF Growth Figures'!K55-1)</f>
        <v>0</v>
      </c>
      <c r="J19" s="190">
        <f>IF('ACIF Growth Figures'!L55=0,0,'ACIF Growth Figures'!L55-1)</f>
        <v>0</v>
      </c>
      <c r="K19" s="190">
        <f>IF('ACIF Growth Figures'!M55=0,0,'ACIF Growth Figures'!M55-1)</f>
        <v>0</v>
      </c>
      <c r="L19" s="190">
        <f>IF('ACIF Growth Figures'!N55=0,0,'ACIF Growth Figures'!N55-1)</f>
        <v>0</v>
      </c>
      <c r="M19" s="190">
        <f>IF('ACIF Growth Figures'!O55=0,0,'ACIF Growth Figures'!O55-1)</f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1:71" x14ac:dyDescent="0.2">
      <c r="A20" s="3"/>
      <c r="B20" s="179">
        <f>IF('Historical Expenditure-Volumes'!B20=0," ",'Historical Expenditure-Volumes'!B20)</f>
        <v>116</v>
      </c>
      <c r="C20" s="188">
        <f>'Historical Expenditure-Volumes'!I20</f>
        <v>1</v>
      </c>
      <c r="D20" s="190">
        <f>IF('ACIF Growth Figures'!F56=0,0,'ACIF Growth Figures'!F56-1)</f>
        <v>0.14864632355498064</v>
      </c>
      <c r="E20" s="190">
        <f>IF('ACIF Growth Figures'!G56=0,0,'ACIF Growth Figures'!G56-1)</f>
        <v>0.23372902966274034</v>
      </c>
      <c r="F20" s="190">
        <f>IF('ACIF Growth Figures'!H56=0,0,'ACIF Growth Figures'!H56-1)</f>
        <v>0.13320475665632592</v>
      </c>
      <c r="G20" s="190">
        <f>IF('ACIF Growth Figures'!I56=0,0,'ACIF Growth Figures'!I56-1)</f>
        <v>7.2474873502492265E-2</v>
      </c>
      <c r="H20" s="190">
        <f>IF('ACIF Growth Figures'!J56=0,0,'ACIF Growth Figures'!J56-1)</f>
        <v>-1.0006036546456154E-2</v>
      </c>
      <c r="I20" s="190">
        <f>IF('ACIF Growth Figures'!K56=0,0,'ACIF Growth Figures'!K56-1)</f>
        <v>-1.8056252796488814E-2</v>
      </c>
      <c r="J20" s="190">
        <f>IF('ACIF Growth Figures'!L56=0,0,'ACIF Growth Figures'!L56-1)</f>
        <v>-0.14416191985244831</v>
      </c>
      <c r="K20" s="190">
        <f>IF('ACIF Growth Figures'!M56=0,0,'ACIF Growth Figures'!M56-1)</f>
        <v>-8.5098344962354466E-2</v>
      </c>
      <c r="L20" s="190">
        <f>IF('ACIF Growth Figures'!N56=0,0,'ACIF Growth Figures'!N56-1)</f>
        <v>-4.7657379672175537E-2</v>
      </c>
      <c r="M20" s="190">
        <f>IF('ACIF Growth Figures'!O56=0,0,'ACIF Growth Figures'!O56-1)</f>
        <v>1.3911925490119881E-3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</row>
    <row r="21" spans="1:71" x14ac:dyDescent="0.2">
      <c r="A21" s="3"/>
      <c r="B21" s="179">
        <f>IF('Historical Expenditure-Volumes'!B21=0," ",'Historical Expenditure-Volumes'!B21)</f>
        <v>118</v>
      </c>
      <c r="C21" s="188">
        <f>'Historical Expenditure-Volumes'!I21</f>
        <v>0</v>
      </c>
      <c r="D21" s="190">
        <f>IF('ACIF Growth Figures'!F57=0,0,'ACIF Growth Figures'!F57-1)</f>
        <v>0</v>
      </c>
      <c r="E21" s="190">
        <f>IF('ACIF Growth Figures'!G57=0,0,'ACIF Growth Figures'!G57-1)</f>
        <v>0</v>
      </c>
      <c r="F21" s="190">
        <f>IF('ACIF Growth Figures'!H57=0,0,'ACIF Growth Figures'!H57-1)</f>
        <v>0</v>
      </c>
      <c r="G21" s="190">
        <f>IF('ACIF Growth Figures'!I57=0,0,'ACIF Growth Figures'!I57-1)</f>
        <v>0</v>
      </c>
      <c r="H21" s="190">
        <f>IF('ACIF Growth Figures'!J57=0,0,'ACIF Growth Figures'!J57-1)</f>
        <v>0</v>
      </c>
      <c r="I21" s="190">
        <f>IF('ACIF Growth Figures'!K57=0,0,'ACIF Growth Figures'!K57-1)</f>
        <v>0</v>
      </c>
      <c r="J21" s="190">
        <f>IF('ACIF Growth Figures'!L57=0,0,'ACIF Growth Figures'!L57-1)</f>
        <v>0</v>
      </c>
      <c r="K21" s="190">
        <f>IF('ACIF Growth Figures'!M57=0,0,'ACIF Growth Figures'!M57-1)</f>
        <v>0</v>
      </c>
      <c r="L21" s="190">
        <f>IF('ACIF Growth Figures'!N57=0,0,'ACIF Growth Figures'!N57-1)</f>
        <v>0</v>
      </c>
      <c r="M21" s="190">
        <f>IF('ACIF Growth Figures'!O57=0,0,'ACIF Growth Figures'!O57-1)</f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1:71" x14ac:dyDescent="0.2">
      <c r="A22" s="3"/>
      <c r="B22" s="179">
        <f>IF('Historical Expenditure-Volumes'!B22=0," ",'Historical Expenditure-Volumes'!B22)</f>
        <v>171</v>
      </c>
      <c r="C22" s="188">
        <f>'Historical Expenditure-Volumes'!I22</f>
        <v>0</v>
      </c>
      <c r="D22" s="190">
        <f>IF('ACIF Growth Figures'!F58=0,0,'ACIF Growth Figures'!F58-1)</f>
        <v>0</v>
      </c>
      <c r="E22" s="190">
        <f>IF('ACIF Growth Figures'!G58=0,0,'ACIF Growth Figures'!G58-1)</f>
        <v>0</v>
      </c>
      <c r="F22" s="190">
        <f>IF('ACIF Growth Figures'!H58=0,0,'ACIF Growth Figures'!H58-1)</f>
        <v>0</v>
      </c>
      <c r="G22" s="190">
        <f>IF('ACIF Growth Figures'!I58=0,0,'ACIF Growth Figures'!I58-1)</f>
        <v>0</v>
      </c>
      <c r="H22" s="190">
        <f>IF('ACIF Growth Figures'!J58=0,0,'ACIF Growth Figures'!J58-1)</f>
        <v>0</v>
      </c>
      <c r="I22" s="190">
        <f>IF('ACIF Growth Figures'!K58=0,0,'ACIF Growth Figures'!K58-1)</f>
        <v>0</v>
      </c>
      <c r="J22" s="190">
        <f>IF('ACIF Growth Figures'!L58=0,0,'ACIF Growth Figures'!L58-1)</f>
        <v>0</v>
      </c>
      <c r="K22" s="190">
        <f>IF('ACIF Growth Figures'!M58=0,0,'ACIF Growth Figures'!M58-1)</f>
        <v>0</v>
      </c>
      <c r="L22" s="190">
        <f>IF('ACIF Growth Figures'!N58=0,0,'ACIF Growth Figures'!N58-1)</f>
        <v>0</v>
      </c>
      <c r="M22" s="190">
        <f>IF('ACIF Growth Figures'!O58=0,0,'ACIF Growth Figures'!O58-1)</f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</row>
    <row r="23" spans="1:7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</row>
    <row r="24" spans="1:7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1:71" ht="15.75" x14ac:dyDescent="0.25">
      <c r="A25" s="28"/>
      <c r="B25" s="28" t="s">
        <v>309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</row>
    <row r="26" spans="1:7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hidden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71" hidden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71" hidden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71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71" hidden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71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idden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idden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idden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8" hidden="1" x14ac:dyDescent="0.2">
      <c r="A36" s="3"/>
    </row>
    <row r="37" spans="1:48" hidden="1" x14ac:dyDescent="0.2">
      <c r="A37" s="3"/>
    </row>
    <row r="38" spans="1:48" hidden="1" x14ac:dyDescent="0.2">
      <c r="A38" s="3"/>
    </row>
    <row r="39" spans="1:48" hidden="1" x14ac:dyDescent="0.2">
      <c r="A39" s="3"/>
    </row>
    <row r="40" spans="1:48" hidden="1" x14ac:dyDescent="0.2">
      <c r="A40" s="3"/>
    </row>
    <row r="41" spans="1:48" hidden="1" x14ac:dyDescent="0.2">
      <c r="A41" s="3"/>
    </row>
    <row r="42" spans="1:48" hidden="1" x14ac:dyDescent="0.2">
      <c r="A42" s="3"/>
    </row>
    <row r="43" spans="1:48" hidden="1" x14ac:dyDescent="0.2">
      <c r="A43" s="3"/>
    </row>
    <row r="44" spans="1:48" hidden="1" x14ac:dyDescent="0.2">
      <c r="A44" s="3"/>
    </row>
    <row r="45" spans="1:48" hidden="1" x14ac:dyDescent="0.2">
      <c r="A45" s="3"/>
    </row>
    <row r="46" spans="1:48" hidden="1" x14ac:dyDescent="0.2">
      <c r="A46" s="3"/>
    </row>
    <row r="47" spans="1:48" hidden="1" x14ac:dyDescent="0.2">
      <c r="A47" s="3"/>
    </row>
    <row r="48" spans="1:48" hidden="1" x14ac:dyDescent="0.2">
      <c r="A48" s="3"/>
    </row>
    <row r="49" spans="1:1" hidden="1" x14ac:dyDescent="0.2">
      <c r="A49" s="3"/>
    </row>
    <row r="50" spans="1:1" hidden="1" x14ac:dyDescent="0.2">
      <c r="A50" s="3"/>
    </row>
    <row r="51" spans="1:1" hidden="1" x14ac:dyDescent="0.2">
      <c r="A51" s="3"/>
    </row>
    <row r="52" spans="1:1" hidden="1" x14ac:dyDescent="0.2">
      <c r="A52" s="3"/>
    </row>
    <row r="53" spans="1:1" hidden="1" x14ac:dyDescent="0.2">
      <c r="A53" s="3"/>
    </row>
    <row r="54" spans="1:1" hidden="1" x14ac:dyDescent="0.2">
      <c r="A54" s="3"/>
    </row>
    <row r="55" spans="1:1" hidden="1" x14ac:dyDescent="0.2">
      <c r="A55" s="3"/>
    </row>
    <row r="56" spans="1:1" hidden="1" x14ac:dyDescent="0.2">
      <c r="A56" s="3"/>
    </row>
    <row r="57" spans="1:1" hidden="1" x14ac:dyDescent="0.2">
      <c r="A57" s="3"/>
    </row>
    <row r="58" spans="1:1" hidden="1" x14ac:dyDescent="0.2">
      <c r="A58" s="3"/>
    </row>
    <row r="59" spans="1:1" hidden="1" x14ac:dyDescent="0.2">
      <c r="A59" s="3"/>
    </row>
    <row r="60" spans="1:1" hidden="1" x14ac:dyDescent="0.2">
      <c r="A60" s="3"/>
    </row>
    <row r="61" spans="1:1" hidden="1" x14ac:dyDescent="0.2">
      <c r="A61" s="3"/>
    </row>
    <row r="62" spans="1:1" hidden="1" x14ac:dyDescent="0.2">
      <c r="A62" s="3"/>
    </row>
    <row r="63" spans="1:1" hidden="1" x14ac:dyDescent="0.2">
      <c r="A63" s="3"/>
    </row>
    <row r="64" spans="1:1" hidden="1" x14ac:dyDescent="0.2">
      <c r="A64" s="3"/>
    </row>
    <row r="65" spans="1:1" hidden="1" x14ac:dyDescent="0.2">
      <c r="A65" s="3"/>
    </row>
    <row r="66" spans="1:1" hidden="1" x14ac:dyDescent="0.2">
      <c r="A66" s="3"/>
    </row>
    <row r="67" spans="1:1" hidden="1" x14ac:dyDescent="0.2">
      <c r="A67" s="3"/>
    </row>
    <row r="68" spans="1:1" hidden="1" x14ac:dyDescent="0.2">
      <c r="A68" s="3"/>
    </row>
    <row r="69" spans="1:1" hidden="1" x14ac:dyDescent="0.2">
      <c r="A69" s="3"/>
    </row>
    <row r="70" spans="1:1" hidden="1" x14ac:dyDescent="0.2">
      <c r="A70" s="3"/>
    </row>
    <row r="71" spans="1:1" hidden="1" x14ac:dyDescent="0.2">
      <c r="A71" s="3"/>
    </row>
    <row r="72" spans="1:1" hidden="1" x14ac:dyDescent="0.2">
      <c r="A72" s="3"/>
    </row>
    <row r="73" spans="1:1" hidden="1" x14ac:dyDescent="0.2">
      <c r="A73" s="3"/>
    </row>
    <row r="74" spans="1:1" hidden="1" x14ac:dyDescent="0.2">
      <c r="A74" s="3"/>
    </row>
    <row r="75" spans="1:1" hidden="1" x14ac:dyDescent="0.2">
      <c r="A75" s="3"/>
    </row>
    <row r="76" spans="1:1" hidden="1" x14ac:dyDescent="0.2">
      <c r="A76" s="3"/>
    </row>
    <row r="77" spans="1:1" hidden="1" x14ac:dyDescent="0.2">
      <c r="A77" s="3"/>
    </row>
    <row r="78" spans="1:1" hidden="1" x14ac:dyDescent="0.2">
      <c r="A78" s="3"/>
    </row>
    <row r="79" spans="1:1" hidden="1" x14ac:dyDescent="0.2">
      <c r="A79" s="3"/>
    </row>
    <row r="80" spans="1:1" hidden="1" x14ac:dyDescent="0.2">
      <c r="A80" s="3"/>
    </row>
    <row r="81" spans="1:1" hidden="1" x14ac:dyDescent="0.2">
      <c r="A81" s="3"/>
    </row>
    <row r="82" spans="1:1" hidden="1" x14ac:dyDescent="0.2">
      <c r="A82" s="3"/>
    </row>
    <row r="83" spans="1:1" hidden="1" x14ac:dyDescent="0.2">
      <c r="A83" s="3"/>
    </row>
    <row r="84" spans="1:1" hidden="1" x14ac:dyDescent="0.2">
      <c r="A84" s="3"/>
    </row>
    <row r="85" spans="1:1" hidden="1" x14ac:dyDescent="0.2">
      <c r="A85" s="3"/>
    </row>
    <row r="86" spans="1:1" hidden="1" x14ac:dyDescent="0.2">
      <c r="A86" s="3"/>
    </row>
    <row r="87" spans="1:1" hidden="1" x14ac:dyDescent="0.2">
      <c r="A87" s="3"/>
    </row>
    <row r="88" spans="1:1" hidden="1" x14ac:dyDescent="0.2">
      <c r="A88" s="3"/>
    </row>
    <row r="89" spans="1:1" hidden="1" x14ac:dyDescent="0.2">
      <c r="A89" s="3"/>
    </row>
    <row r="90" spans="1:1" hidden="1" x14ac:dyDescent="0.2">
      <c r="A90" s="3"/>
    </row>
    <row r="91" spans="1:1" hidden="1" x14ac:dyDescent="0.2"/>
    <row r="92" spans="1:1" hidden="1" x14ac:dyDescent="0.2"/>
    <row r="93" spans="1:1" hidden="1" x14ac:dyDescent="0.2"/>
    <row r="94" spans="1:1" hidden="1" x14ac:dyDescent="0.2"/>
    <row r="95" spans="1:1" hidden="1" x14ac:dyDescent="0.2"/>
    <row r="96" spans="1:1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</sheetData>
  <mergeCells count="1">
    <mergeCell ref="C7:M7"/>
  </mergeCells>
  <hyperlinks>
    <hyperlink ref="M1" location="Menu!A1" display="Menu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Legend</vt:lpstr>
      <vt:lpstr>Menu</vt:lpstr>
      <vt:lpstr>Inflation</vt:lpstr>
      <vt:lpstr>Historical Expenditure-Volumes</vt:lpstr>
      <vt:lpstr>Historical Contributions</vt:lpstr>
      <vt:lpstr>ACIF Growth Figures</vt:lpstr>
      <vt:lpstr>Major Projects</vt:lpstr>
      <vt:lpstr>Function Code Mapping</vt:lpstr>
      <vt:lpstr>Growth Rates</vt:lpstr>
      <vt:lpstr>Unit Rates</vt:lpstr>
      <vt:lpstr>Forecast Expenditure-Volumes</vt:lpstr>
      <vt:lpstr>Forecast Contributions</vt:lpstr>
      <vt:lpstr>Contribution Impacts</vt:lpstr>
      <vt:lpstr>Forecast Contributions-AER</vt:lpstr>
      <vt:lpstr>Expenditure &amp; Volume Output</vt:lpstr>
      <vt:lpstr>Gross Capex</vt:lpstr>
      <vt:lpstr>Gross Capex_AER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2020-01-23T03:42:17Z</dcterms:created>
  <dcterms:modified xsi:type="dcterms:W3CDTF">2020-11-28T03:32:46Z</dcterms:modified>
</cp:coreProperties>
</file>