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22 Final Regulatory Proposal\2 Powercor\4 RIN documents\1 Final documents - public\"/>
    </mc:Choice>
  </mc:AlternateContent>
  <xr:revisionPtr revIDLastSave="0" documentId="13_ncr:1_{257BCAD6-22C6-4F70-9C0B-ABB6F4F60FE7}" xr6:coauthVersionLast="41" xr6:coauthVersionMax="41" xr10:uidLastSave="{00000000-0000-0000-0000-000000000000}"/>
  <bookViews>
    <workbookView xWindow="990" yWindow="-120" windowWidth="27930" windowHeight="16440" tabRatio="691" activeTab="2" xr2:uid="{00000000-000D-0000-FFFF-FFFF00000000}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3" l="1"/>
  <c r="L8" i="13"/>
  <c r="A5" i="14" l="1"/>
  <c r="A6" i="14" s="1"/>
  <c r="A7" i="14" s="1"/>
  <c r="A8" i="14" s="1"/>
  <c r="A9" i="14" s="1"/>
  <c r="A10" i="14" s="1"/>
  <c r="D18" i="2" l="1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N7" i="13"/>
  <c r="O7" i="13"/>
  <c r="P7" i="13"/>
  <c r="Q7" i="13"/>
  <c r="M7" i="13"/>
  <c r="H7" i="13"/>
  <c r="I7" i="13"/>
  <c r="J7" i="13"/>
  <c r="K7" i="13"/>
  <c r="D18" i="4" l="1"/>
  <c r="D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N14" i="13"/>
  <c r="E9" i="4"/>
  <c r="N9" i="13"/>
  <c r="O9" i="13" s="1"/>
  <c r="P9" i="13" s="1"/>
  <c r="Q9" i="13" s="1"/>
  <c r="C15" i="13"/>
  <c r="G15" i="13"/>
  <c r="H15" i="13" s="1"/>
  <c r="I15" i="13" s="1"/>
  <c r="J15" i="13" s="1"/>
  <c r="K15" i="13" s="1"/>
  <c r="L15" i="13" s="1"/>
  <c r="M15" i="13" s="1"/>
  <c r="C10" i="13"/>
  <c r="G8" i="4"/>
  <c r="F8" i="4"/>
  <c r="E8" i="4"/>
  <c r="F9" i="4"/>
  <c r="B1" i="2"/>
  <c r="B1" i="10" s="1"/>
  <c r="G9" i="4"/>
  <c r="D41" i="4"/>
  <c r="J6" i="10" s="1"/>
  <c r="F8" i="10" s="1"/>
  <c r="E41" i="4"/>
  <c r="K6" i="10" s="1"/>
  <c r="F41" i="4"/>
  <c r="L6" i="10" s="1"/>
  <c r="G41" i="4"/>
  <c r="M6" i="10" s="1"/>
  <c r="H41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3" i="4" l="1"/>
  <c r="C45" i="4"/>
  <c r="D10" i="4"/>
  <c r="D12" i="4" s="1"/>
  <c r="G10" i="13"/>
  <c r="H10" i="13" s="1"/>
  <c r="I10" i="13" s="1"/>
  <c r="J10" i="13" s="1"/>
  <c r="K10" i="13" s="1"/>
  <c r="L10" i="13" s="1"/>
  <c r="F10" i="4"/>
  <c r="E10" i="4"/>
  <c r="G11" i="4"/>
  <c r="F11" i="4"/>
  <c r="E11" i="4"/>
  <c r="F19" i="4"/>
  <c r="E19" i="4" s="1"/>
  <c r="D19" i="4" s="1"/>
  <c r="G10" i="4"/>
  <c r="H10" i="4"/>
  <c r="H12" i="4" s="1"/>
  <c r="H20" i="4" s="1"/>
  <c r="O14" i="13"/>
  <c r="N15" i="13"/>
  <c r="B1" i="5"/>
  <c r="B1" i="3"/>
  <c r="B1" i="13"/>
  <c r="B1" i="4"/>
  <c r="M10" i="13" l="1"/>
  <c r="I30" i="3" s="1"/>
  <c r="I31" i="3" s="1"/>
  <c r="E26" i="4" s="1"/>
  <c r="H30" i="3"/>
  <c r="H31" i="3" s="1"/>
  <c r="D26" i="4" s="1"/>
  <c r="F13" i="4"/>
  <c r="G13" i="4"/>
  <c r="E13" i="4"/>
  <c r="E18" i="4" s="1"/>
  <c r="E21" i="4" s="1"/>
  <c r="H13" i="4"/>
  <c r="D21" i="4"/>
  <c r="D20" i="4"/>
  <c r="F12" i="4"/>
  <c r="F20" i="4" s="1"/>
  <c r="E12" i="4"/>
  <c r="G14" i="4" s="1"/>
  <c r="G12" i="4"/>
  <c r="G20" i="4" s="1"/>
  <c r="O15" i="13"/>
  <c r="N10" i="13"/>
  <c r="P14" i="13"/>
  <c r="O10" i="13" l="1"/>
  <c r="K30" i="3" s="1"/>
  <c r="K31" i="3" s="1"/>
  <c r="G26" i="4" s="1"/>
  <c r="J30" i="3"/>
  <c r="J31" i="3" s="1"/>
  <c r="F26" i="4" s="1"/>
  <c r="G15" i="4"/>
  <c r="G18" i="4" s="1"/>
  <c r="G21" i="4" s="1"/>
  <c r="H15" i="4"/>
  <c r="H16" i="4"/>
  <c r="H14" i="4"/>
  <c r="E20" i="4"/>
  <c r="F14" i="4"/>
  <c r="F18" i="4" s="1"/>
  <c r="F21" i="4" s="1"/>
  <c r="P10" i="13"/>
  <c r="Q14" i="13"/>
  <c r="P15" i="13"/>
  <c r="Q10" i="13" l="1"/>
  <c r="L30" i="3"/>
  <c r="L31" i="3" s="1"/>
  <c r="H26" i="4" s="1"/>
  <c r="H18" i="4"/>
  <c r="H21" i="4" s="1"/>
  <c r="D35" i="4" s="1"/>
  <c r="Q15" i="13"/>
  <c r="O22" i="13" l="1"/>
  <c r="F25" i="4" s="1"/>
  <c r="Q22" i="13"/>
  <c r="H25" i="4" s="1"/>
  <c r="P22" i="13"/>
  <c r="G25" i="4" s="1"/>
  <c r="N22" i="13" l="1"/>
  <c r="E25" i="4" s="1"/>
  <c r="D42" i="4"/>
  <c r="E42" i="4" s="1"/>
  <c r="F42" i="4" s="1"/>
  <c r="G42" i="4" s="1"/>
  <c r="H42" i="4" s="1"/>
  <c r="M22" i="13"/>
  <c r="D25" i="4" s="1"/>
  <c r="L22" i="13" l="1"/>
  <c r="G27" i="4" l="1"/>
  <c r="G28" i="4" s="1"/>
  <c r="D27" i="4"/>
  <c r="D28" i="4" s="1"/>
  <c r="E27" i="4"/>
  <c r="E28" i="4" s="1"/>
  <c r="H27" i="4"/>
  <c r="H28" i="4" s="1"/>
  <c r="F27" i="4"/>
  <c r="F28" i="4" s="1"/>
  <c r="D31" i="4" l="1"/>
  <c r="D34" i="4" l="1"/>
  <c r="D36" i="4" s="1"/>
  <c r="D37" i="4" s="1"/>
  <c r="D43" i="4" s="1"/>
  <c r="D33" i="4"/>
  <c r="E43" i="4" l="1"/>
  <c r="J8" i="10"/>
  <c r="F43" i="4" l="1"/>
  <c r="K8" i="10"/>
  <c r="G43" i="4" l="1"/>
  <c r="L8" i="10"/>
  <c r="H43" i="4" l="1"/>
  <c r="M8" i="10"/>
  <c r="N8" i="10" l="1"/>
  <c r="O8" i="10" s="1"/>
  <c r="D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Goyal, Riya</author>
  </authors>
  <commentList>
    <comment ref="L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 xr:uid="{D4EB3227-41F3-496C-B7A8-65543B5A863C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<sst xmlns="http://schemas.openxmlformats.org/spreadsheetml/2006/main" count="233" uniqueCount="127">
  <si>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</si>
  <si>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</si>
  <si>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</si>
  <si>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</si>
  <si>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</si>
  <si>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</si>
  <si>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</si>
  <si>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</si>
  <si>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</si>
  <si>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</si>
  <si>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</si>
  <si>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</si>
  <si>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</si>
  <si>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</si>
  <si>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</si>
  <si>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</si>
  <si>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</si>
  <si>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</si>
  <si>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</si>
  <si>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</si>
  <si>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</si>
  <si>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</si>
  <si>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</si>
  <si>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</si>
  <si>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</si>
  <si>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</si>
  <si>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</si>
  <si>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</si>
  <si>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</si>
  <si>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</si>
  <si>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</si>
  <si>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</si>
  <si>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</si>
  <si>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</si>
  <si>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</si>
  <si>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</si>
  <si>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</si>
  <si>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</si>
  <si>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</si>
  <si>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</si>
  <si>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</si>
  <si>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</si>
  <si>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</si>
  <si>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</si>
  <si>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</si>
  <si>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</si>
  <si>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</si>
  <si>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</si>
  <si>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</si>
  <si>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</si>
  <si>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</si>
  <si>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</si>
  <si>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</si>
  <si>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</si>
  <si>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</si>
  <si>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</si>
  <si>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</si>
  <si>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</si>
  <si>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</si>
  <si>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</si>
  <si>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</si>
  <si>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</si>
  <si>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</si>
  <si>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</si>
  <si>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</si>
  <si>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</si>
  <si>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</si>
  <si>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</si>
  <si>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</si>
  <si>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</si>
  <si>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</si>
  <si>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</si>
  <si>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</si>
  <si>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</si>
  <si>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</si>
  <si>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</si>
  <si>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</si>
  <si>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</si>
  <si>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</si>
  <si>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</si>
  <si>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</si>
  <si>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</si>
  <si>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</si>
  <si>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</si>
  <si>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</si>
  <si>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</si>
  <si>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</si>
  <si>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</si>
  <si>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</si>
  <si>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</si>
  <si>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</si>
  <si>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</si>
  <si>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</si>
  <si>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</si>
  <si>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</si>
  <si>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</si>
  <si>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</si>
  <si>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</si>
  <si>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</si>
  <si>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</si>
  <si>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</si>
  <si>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</si>
  <si>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</si>
  <si>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</si>
  <si>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</si>
  <si>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</si>
  <si>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</si>
  <si>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</si>
  <si>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</si>
  <si>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</si>
  <si>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</si>
  <si>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</si>
  <si>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</si>
  <si>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</si>
  <si>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</si>
  <si>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</si>
  <si>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</si>
  <si>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</si>
  <si>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</si>
  <si>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</si>
  <si>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</si>
  <si>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</si>
  <si>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</si>
  <si>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</si>
  <si>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</si>
  <si>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Proposal</t>
  </si>
  <si>
    <t>Powercor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</si>
</sst>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89" fontId="24" fillId="3" borderId="26" xfId="268" applyNumberFormat="1" applyFont="1" applyFill="1" applyBorder="1" applyAlignment="1">
      <alignment horizontal="center" vertical="center"/>
    </xf>
    <xf numFmtId="189" fontId="24" fillId="0" borderId="26" xfId="268" applyNumberFormat="1" applyFont="1" applyFill="1" applyBorder="1" applyAlignment="1">
      <alignment horizontal="center" vertical="center"/>
    </xf>
    <xf numFmtId="43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43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4" fontId="24" fillId="56" borderId="2" xfId="0" applyNumberFormat="1" applyFont="1" applyFill="1" applyBorder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4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6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Powercor 2021-26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5"/>
  <cols>
    <col min="2" max="2" width="37.85546875" customWidth="1"/>
    <col min="3" max="3" width="23.5703125" customWidth="1"/>
    <col min="4" max="4" width="70.5703125" bestFit="1" customWidth="1"/>
    <col min="5" max="5" width="75.42578125" customWidth="1"/>
  </cols>
  <sheetData>
    <row r="1" spans="1:5" ht="18">
      <c r="A1" s="220" t="s">
        <v>109</v>
      </c>
      <c r="B1" s="211"/>
      <c r="C1" s="211"/>
      <c r="D1" s="211"/>
      <c r="E1" s="211"/>
    </row>
    <row r="2" spans="1:5" ht="15.75" thickBot="1">
      <c r="A2" s="211"/>
      <c r="B2" s="211"/>
      <c r="C2" s="211"/>
      <c r="D2" s="211"/>
      <c r="E2" s="211"/>
    </row>
    <row r="3" spans="1:5">
      <c r="A3" s="212" t="s">
        <v>105</v>
      </c>
      <c r="B3" s="213" t="s">
        <v>106</v>
      </c>
      <c r="C3" s="213" t="s">
        <v>107</v>
      </c>
      <c r="D3" s="214" t="s">
        <v>108</v>
      </c>
      <c r="E3" s="221"/>
    </row>
    <row r="4" spans="1:5" ht="41.1" customHeight="1">
      <c r="A4" s="210">
        <v>1</v>
      </c>
      <c r="B4" s="211" t="s">
        <v>31</v>
      </c>
      <c r="C4" s="211" t="s">
        <v>110</v>
      </c>
      <c r="D4" s="216" t="s">
        <v>111</v>
      </c>
      <c r="E4" s="221"/>
    </row>
    <row r="5" spans="1:5" ht="41.1" customHeight="1">
      <c r="A5" s="210">
        <f>A4+1</f>
        <v>2</v>
      </c>
      <c r="B5" s="211" t="s">
        <v>75</v>
      </c>
      <c r="C5" s="211" t="s">
        <v>112</v>
      </c>
      <c r="D5" s="216" t="s">
        <v>113</v>
      </c>
      <c r="E5" s="221"/>
    </row>
    <row r="6" spans="1:5" ht="41.1" customHeight="1">
      <c r="A6" s="210">
        <f>A5+1</f>
        <v>3</v>
      </c>
      <c r="B6" s="211" t="s">
        <v>51</v>
      </c>
      <c r="C6" s="215" t="s">
        <v>114</v>
      </c>
      <c r="D6" s="216" t="s">
        <v>118</v>
      </c>
      <c r="E6" s="221"/>
    </row>
    <row r="7" spans="1:5" ht="41.1" customHeight="1">
      <c r="A7" s="210">
        <f t="shared" ref="A7:A9" si="0">A6+1</f>
        <v>4</v>
      </c>
      <c r="B7" s="211" t="s">
        <v>54</v>
      </c>
      <c r="C7" s="211" t="s">
        <v>115</v>
      </c>
      <c r="D7" s="216" t="s">
        <v>116</v>
      </c>
      <c r="E7" s="221"/>
    </row>
    <row r="8" spans="1:5" ht="41.1" customHeight="1">
      <c r="A8" s="210">
        <f t="shared" si="0"/>
        <v>5</v>
      </c>
      <c r="B8" s="211" t="s">
        <v>54</v>
      </c>
      <c r="C8" s="211" t="s">
        <v>117</v>
      </c>
      <c r="D8" s="216" t="s">
        <v>118</v>
      </c>
      <c r="E8" s="221"/>
    </row>
    <row r="9" spans="1:5" ht="41.1" customHeight="1">
      <c r="A9" s="210">
        <f t="shared" si="0"/>
        <v>6</v>
      </c>
      <c r="B9" s="211" t="s">
        <v>54</v>
      </c>
      <c r="C9" s="211" t="s">
        <v>119</v>
      </c>
      <c r="D9" s="216" t="s">
        <v>124</v>
      </c>
      <c r="E9" s="221"/>
    </row>
    <row r="10" spans="1:5" ht="41.45" customHeight="1" thickBot="1">
      <c r="A10" s="217">
        <f t="shared" ref="A10" si="1">A9+1</f>
        <v>7</v>
      </c>
      <c r="B10" s="218" t="s">
        <v>54</v>
      </c>
      <c r="C10" s="218" t="s">
        <v>122</v>
      </c>
      <c r="D10" s="223" t="s">
        <v>123</v>
      </c>
      <c r="E10" s="211"/>
    </row>
    <row r="11" spans="1:5" ht="20.100000000000001" customHeight="1">
      <c r="A11" s="211"/>
      <c r="B11" s="211"/>
      <c r="C11" s="211"/>
      <c r="D11" s="211"/>
      <c r="E11" s="211"/>
    </row>
    <row r="12" spans="1:5" ht="20.100000000000001" customHeight="1">
      <c r="A12" s="211"/>
      <c r="B12" s="211"/>
      <c r="C12" s="211"/>
      <c r="D12" s="211"/>
      <c r="E12" s="211"/>
    </row>
    <row r="13" spans="1:5" ht="20.100000000000001" customHeight="1">
      <c r="A13" s="221"/>
      <c r="B13" s="221"/>
      <c r="C13" s="221"/>
      <c r="D13" s="221"/>
      <c r="E13" s="221"/>
    </row>
    <row r="14" spans="1:5" ht="20.100000000000001" customHeight="1">
      <c r="A14" s="221"/>
      <c r="B14" s="221"/>
      <c r="C14" s="221"/>
      <c r="D14" s="221"/>
      <c r="E14" s="221"/>
    </row>
    <row r="15" spans="1:5" ht="20.100000000000001" customHeight="1">
      <c r="A15" s="221"/>
      <c r="B15" s="221"/>
      <c r="C15" s="221"/>
      <c r="D15" s="221"/>
      <c r="E15" s="221"/>
    </row>
    <row r="16" spans="1:5" ht="20.100000000000001" customHeight="1">
      <c r="A16" s="221"/>
      <c r="B16" s="221"/>
      <c r="C16" s="221"/>
      <c r="D16" s="221"/>
      <c r="E16" s="221"/>
    </row>
    <row r="17" ht="20.100000000000001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tabSelected="1" zoomScale="90" zoomScaleNormal="90" workbookViewId="0">
      <selection activeCell="I8" sqref="I8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11.425781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Powercor 2021-26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9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126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125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5">
        <v>2016</v>
      </c>
      <c r="E13" s="195">
        <v>2017</v>
      </c>
      <c r="F13" s="195">
        <v>2018</v>
      </c>
      <c r="G13" s="195">
        <v>2019</v>
      </c>
      <c r="H13" s="195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155" t="s">
        <v>25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108"/>
  <sheetViews>
    <sheetView showGridLines="0" zoomScale="90" zoomScaleNormal="90" workbookViewId="0">
      <selection activeCell="J13" sqref="J13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3" width="12.7109375" style="11" customWidth="1"/>
    <col min="14" max="14" width="12.5703125" style="22" customWidth="1"/>
    <col min="15" max="17" width="12.7109375" style="24" customWidth="1"/>
    <col min="18" max="19" width="2.85546875" style="24" customWidth="1"/>
    <col min="20" max="33" width="12.7109375" style="24" hidden="1" customWidth="1"/>
    <col min="34" max="16384" width="9.140625" style="24" hidden="1"/>
  </cols>
  <sheetData>
    <row r="1" spans="1:21" s="11" customFormat="1" ht="18" customHeight="1">
      <c r="B1" s="3" t="str">
        <f>'Input | General'!$B$1</f>
        <v>Powercor 2021-26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9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82</v>
      </c>
      <c r="E8" s="78" t="s">
        <v>47</v>
      </c>
      <c r="F8" s="78"/>
      <c r="G8" s="156">
        <v>1.0232558139534831E-2</v>
      </c>
      <c r="H8" s="156">
        <v>1.9337016574585641E-2</v>
      </c>
      <c r="I8" s="156">
        <v>2.0776874435411097E-2</v>
      </c>
      <c r="J8" s="156">
        <v>1.5929203539823078E-2</v>
      </c>
      <c r="K8" s="156">
        <v>2.000000000000024E-2</v>
      </c>
      <c r="L8" s="194">
        <f>(1.022)^0.5-1</f>
        <v>1.0940156488008945E-2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82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2.4E-2</v>
      </c>
      <c r="N9" s="139">
        <f t="shared" ref="N9:Q9" si="0">M9</f>
        <v>2.4E-2</v>
      </c>
      <c r="O9" s="139">
        <f t="shared" si="0"/>
        <v>2.4E-2</v>
      </c>
      <c r="P9" s="139">
        <f t="shared" si="0"/>
        <v>2.4E-2</v>
      </c>
      <c r="Q9" s="139">
        <f t="shared" si="0"/>
        <v>2.4E-2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82</v>
      </c>
      <c r="E10" s="78" t="s">
        <v>26</v>
      </c>
      <c r="F10" s="134">
        <v>1</v>
      </c>
      <c r="G10" s="121">
        <f t="shared" ref="G10:L10" si="1">IF(G7&lt;&gt;"",(F10*(1+G8)),"")</f>
        <v>1.0102325581395348</v>
      </c>
      <c r="H10" s="121">
        <f t="shared" si="1"/>
        <v>1.029767441860465</v>
      </c>
      <c r="I10" s="121">
        <f t="shared" si="1"/>
        <v>1.0511627906976744</v>
      </c>
      <c r="J10" s="121">
        <f t="shared" si="1"/>
        <v>1.067906976744186</v>
      </c>
      <c r="K10" s="121">
        <f t="shared" si="1"/>
        <v>1.0892651162790701</v>
      </c>
      <c r="L10" s="121">
        <f t="shared" si="1"/>
        <v>1.1011818471080923</v>
      </c>
      <c r="M10" s="87">
        <f>IF(M7&lt;&gt;"",(L10*(1+M9)),"")</f>
        <v>1.1276102114386866</v>
      </c>
      <c r="N10" s="87">
        <f t="shared" ref="N10:Q10" si="2">IF(N7&lt;&gt;"",(M10*(1+N9)),"")</f>
        <v>1.1546728565132152</v>
      </c>
      <c r="O10" s="87">
        <f t="shared" si="2"/>
        <v>1.1823850050695324</v>
      </c>
      <c r="P10" s="87">
        <f t="shared" si="2"/>
        <v>1.2107622451912012</v>
      </c>
      <c r="Q10" s="87">
        <f t="shared" si="2"/>
        <v>1.2398205390757902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1.0232558139534831E-2</v>
      </c>
      <c r="H13" s="156">
        <v>1.9337016574585641E-2</v>
      </c>
      <c r="I13" s="156">
        <v>2.0776874435411097E-2</v>
      </c>
      <c r="J13" s="156">
        <v>1.5929203539823078E-2</v>
      </c>
      <c r="K13" s="156">
        <v>2.000000000000024E-2</v>
      </c>
      <c r="L13" s="194">
        <f>(1.022)^0.5-1</f>
        <v>1.0940156488008945E-2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2.4E-2</v>
      </c>
      <c r="N14" s="139">
        <f t="shared" ref="N14:Q14" si="3">M14</f>
        <v>2.4E-2</v>
      </c>
      <c r="O14" s="139">
        <f t="shared" si="3"/>
        <v>2.4E-2</v>
      </c>
      <c r="P14" s="139">
        <f t="shared" si="3"/>
        <v>2.4E-2</v>
      </c>
      <c r="Q14" s="139">
        <f t="shared" si="3"/>
        <v>2.4E-2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1.0102325581395348</v>
      </c>
      <c r="H15" s="121">
        <f t="shared" si="4"/>
        <v>1.029767441860465</v>
      </c>
      <c r="I15" s="121">
        <f t="shared" si="4"/>
        <v>1.0511627906976744</v>
      </c>
      <c r="J15" s="190">
        <f t="shared" si="4"/>
        <v>1.067906976744186</v>
      </c>
      <c r="K15" s="191">
        <f t="shared" si="4"/>
        <v>1.0892651162790701</v>
      </c>
      <c r="L15" s="190">
        <f t="shared" si="4"/>
        <v>1.1011818471080923</v>
      </c>
      <c r="M15" s="191">
        <f>IF(M7&lt;&gt;"",(L15*(1+M14)),"")</f>
        <v>1.1276102114386866</v>
      </c>
      <c r="N15" s="87">
        <f t="shared" ref="N15:Q15" si="5">IF(N7&lt;&gt;"",(M15*(1+N14)),"")</f>
        <v>1.1546728565132152</v>
      </c>
      <c r="O15" s="87">
        <f t="shared" si="5"/>
        <v>1.1823850050695324</v>
      </c>
      <c r="P15" s="87">
        <f t="shared" si="5"/>
        <v>1.2107622451912012</v>
      </c>
      <c r="Q15" s="87">
        <f t="shared" si="5"/>
        <v>1.2398205390757902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3.6700024103140549E-2</v>
      </c>
      <c r="H20" s="156">
        <v>3.6127568814887212E-2</v>
      </c>
      <c r="I20" s="156">
        <v>3.5630478851562009E-2</v>
      </c>
      <c r="J20" s="156">
        <v>3.5080474747029244E-2</v>
      </c>
      <c r="K20" s="156">
        <v>3.3621044143256062E-2</v>
      </c>
      <c r="L20" s="194">
        <v>1.2052226498834306E-2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2.3296580637369103E-2</v>
      </c>
      <c r="N21" s="156">
        <v>2.2001923605414309E-2</v>
      </c>
      <c r="O21" s="156">
        <v>2.0707266573459782E-2</v>
      </c>
      <c r="P21" s="156">
        <v>1.9412609541505123E-2</v>
      </c>
      <c r="Q21" s="156">
        <v>1.8117952509550329E-2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4.7308117373033198E-2</v>
      </c>
      <c r="H22" s="140">
        <f t="shared" si="7"/>
        <v>5.6163184786445886E-2</v>
      </c>
      <c r="I22" s="140">
        <f t="shared" si="7"/>
        <v>5.714764327214561E-2</v>
      </c>
      <c r="J22" s="140">
        <f t="shared" si="7"/>
        <v>5.1568482309371388E-2</v>
      </c>
      <c r="K22" s="140">
        <f t="shared" si="7"/>
        <v>5.4293465026121535E-2</v>
      </c>
      <c r="L22" s="196">
        <f t="shared" si="7"/>
        <v>2.3124236230769535E-2</v>
      </c>
      <c r="M22" s="140">
        <f>IF(AND(M14&lt;&gt;"",M21&lt;&gt;""),((1+M21)*(1+M14)-1),"")</f>
        <v>4.7855698572665917E-2</v>
      </c>
      <c r="N22" s="140">
        <f t="shared" ref="N22:Q22" si="8">IF(AND(N14&lt;&gt;"",N21&lt;&gt;""),((1+N21)*(1+N14)-1),"")</f>
        <v>4.6529969771944346E-2</v>
      </c>
      <c r="O22" s="140">
        <f t="shared" si="8"/>
        <v>4.5204240971222776E-2</v>
      </c>
      <c r="P22" s="140">
        <f t="shared" si="8"/>
        <v>4.3878512170501205E-2</v>
      </c>
      <c r="Q22" s="140">
        <f t="shared" si="8"/>
        <v>4.2552783369779412E-2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109"/>
  <sheetViews>
    <sheetView topLeftCell="D1" zoomScale="90" zoomScaleNormal="90" workbookViewId="0">
      <selection activeCell="L30" sqref="L30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Powercor 2021-26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9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415.32215481091134</v>
      </c>
      <c r="I8" s="157">
        <v>466.22809832512507</v>
      </c>
      <c r="J8" s="157">
        <v>485.04785610052227</v>
      </c>
      <c r="K8" s="157">
        <v>458.14761409629307</v>
      </c>
      <c r="L8" s="157">
        <v>445.06843862456316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77.061090098694009</v>
      </c>
      <c r="I9" s="157">
        <v>83.369417570217422</v>
      </c>
      <c r="J9" s="157">
        <v>74.941328205377886</v>
      </c>
      <c r="K9" s="157">
        <v>73.190908274507407</v>
      </c>
      <c r="L9" s="157">
        <v>73.155606578866326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2.0703420000000001</v>
      </c>
      <c r="I10" s="157">
        <v>2.0703420000000001</v>
      </c>
      <c r="J10" s="157">
        <v>2.0703420000000001</v>
      </c>
      <c r="K10" s="157">
        <v>2.0703420000000001</v>
      </c>
      <c r="L10" s="157">
        <v>2.0703420000000001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336.19072271221734</v>
      </c>
      <c r="I12" s="66">
        <f t="shared" ref="I12:L12" si="0">IF(I6="", "", I8-I9-I10)</f>
        <v>380.78833875490767</v>
      </c>
      <c r="J12" s="66">
        <f t="shared" si="0"/>
        <v>408.0361858951444</v>
      </c>
      <c r="K12" s="66">
        <f t="shared" si="0"/>
        <v>382.88636382178566</v>
      </c>
      <c r="L12" s="66">
        <f t="shared" si="0"/>
        <v>369.84249004569688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319.76967842063294</v>
      </c>
      <c r="I18" s="158">
        <v>421.96261419223543</v>
      </c>
      <c r="J18" s="158">
        <v>450.65588829345268</v>
      </c>
      <c r="K18" s="158">
        <v>487.49987131363662</v>
      </c>
      <c r="L18" s="158">
        <v>477.20984664515481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56.887223483276884</v>
      </c>
      <c r="I19" s="158">
        <v>91.026953504721718</v>
      </c>
      <c r="J19" s="158">
        <v>106.03833398000002</v>
      </c>
      <c r="K19" s="158">
        <v>122.61770796743333</v>
      </c>
      <c r="L19" s="158">
        <v>89.773309517999607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1.73569101</v>
      </c>
      <c r="I20" s="158">
        <v>2.5618581600000003</v>
      </c>
      <c r="J20" s="158">
        <v>3.7863832000000004</v>
      </c>
      <c r="K20" s="158">
        <v>2.7375676580412978</v>
      </c>
      <c r="L20" s="158">
        <v>2.7923190112021246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261.14676392735606</v>
      </c>
      <c r="I23" s="66">
        <f t="shared" ref="I23:L23" si="2">IF(I16="", "", I18-I19-I20-I21)</f>
        <v>328.37380252751376</v>
      </c>
      <c r="J23" s="66">
        <f t="shared" si="2"/>
        <v>340.83117111345268</v>
      </c>
      <c r="K23" s="66">
        <f t="shared" si="2"/>
        <v>362.14459568816198</v>
      </c>
      <c r="L23" s="66">
        <f t="shared" si="2"/>
        <v>384.64421811595309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7">
        <f>IF(H29&lt;&gt;"",H29/('Input | Inflation and Disc Rate'!L10*(1+'Input | Inflation and Disc Rate'!M9)^0.5),"")</f>
        <v>0</v>
      </c>
      <c r="I30" s="197">
        <f>IF(I29&lt;&gt;"",I29/('Input | Inflation and Disc Rate'!M10*(1+'Input | Inflation and Disc Rate'!N9)^0.5),"")</f>
        <v>0</v>
      </c>
      <c r="J30" s="197">
        <f>IF(J29&lt;&gt;"",J29/('Input | Inflation and Disc Rate'!N10*(1+'Input | Inflation and Disc Rate'!O9)^0.5),"")</f>
        <v>0</v>
      </c>
      <c r="K30" s="197">
        <f>IF(K29&lt;&gt;"",K29/('Input | Inflation and Disc Rate'!O10*(1+'Input | Inflation and Disc Rate'!P9)^0.5),"")</f>
        <v>0</v>
      </c>
      <c r="L30" s="197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7">
        <f>IF(H29&lt;&gt;"",H30*'Input | Inflation and Disc Rate'!L15*(1+'Input | Inflation and Disc Rate'!M14)^0.5,"")</f>
        <v>0</v>
      </c>
      <c r="I31" s="197">
        <f>IF(I29&lt;&gt;"",I30*'Input | Inflation and Disc Rate'!M15*(1+'Input | Inflation and Disc Rate'!N14)^0.5,"")</f>
        <v>0</v>
      </c>
      <c r="J31" s="197">
        <f>IF(J29&lt;&gt;"",J30*'Input | Inflation and Disc Rate'!N15*(1+'Input | Inflation and Disc Rate'!O14)^0.5,"")</f>
        <v>0</v>
      </c>
      <c r="K31" s="197">
        <f>IF(K29&lt;&gt;"",K30*'Input | Inflation and Disc Rate'!O15*(1+'Input | Inflation and Disc Rate'!P14)^0.5,"")</f>
        <v>0</v>
      </c>
      <c r="L31" s="197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5" priority="20">
      <formula>IF($H$6&lt;&gt;"","FALSE","TRUE")</formula>
    </cfRule>
  </conditionalFormatting>
  <conditionalFormatting sqref="H19:L20">
    <cfRule type="expression" dxfId="4" priority="10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18:L18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54"/>
  <sheetViews>
    <sheetView zoomScale="80" zoomScaleNormal="80" workbookViewId="0">
      <selection activeCell="D17" sqref="D17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Powercor 2021-26 Proposal - Capital expenditure sharing scheme model</v>
      </c>
      <c r="D1" s="106" t="s">
        <v>43</v>
      </c>
      <c r="E1" s="154" t="s">
        <v>44</v>
      </c>
      <c r="F1" s="159" t="s">
        <v>32</v>
      </c>
      <c r="G1" s="219" t="s">
        <v>104</v>
      </c>
      <c r="H1" s="222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3.6700024103140549E-2</v>
      </c>
      <c r="E8" s="161">
        <f>'Input | Inflation and Disc Rate'!H20</f>
        <v>3.6127568814887212E-2</v>
      </c>
      <c r="F8" s="161">
        <f>'Input | Inflation and Disc Rate'!I20</f>
        <v>3.5630478851562009E-2</v>
      </c>
      <c r="G8" s="161">
        <f>'Input | Inflation and Disc Rate'!J20</f>
        <v>3.5080474747029244E-2</v>
      </c>
      <c r="H8" s="162">
        <f>'Input | Inflation and Disc Rate'!K20</f>
        <v>3.3621044143256062E-2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4.7308117373033198E-2</v>
      </c>
      <c r="E9" s="161">
        <f>'Input | Inflation and Disc Rate'!H22</f>
        <v>5.6163184786445886E-2</v>
      </c>
      <c r="F9" s="161">
        <f>'Input | Inflation and Disc Rate'!I22</f>
        <v>5.714764327214561E-2</v>
      </c>
      <c r="G9" s="161">
        <f>'Input | Inflation and Disc Rate'!J22</f>
        <v>5.1568482309371388E-2</v>
      </c>
      <c r="H9" s="162">
        <f>'Input | Inflation and Disc Rate'!K22</f>
        <v>5.4293465026121535E-2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345.80688841321523</v>
      </c>
      <c r="E10" s="164">
        <f>'Input | Reported Capex'!I$12*'Input | Inflation and Disc Rate'!H$15*(1+'Input | Inflation and Disc Rate'!H$20)^0.5</f>
        <v>399.1438218344768</v>
      </c>
      <c r="F10" s="164">
        <f>'Input | Reported Capex'!J$12*'Input | Inflation and Disc Rate'!I$15*(1+'Input | Inflation and Disc Rate'!I$20)^0.5</f>
        <v>436.48675549846206</v>
      </c>
      <c r="G10" s="164">
        <f>'Input | Reported Capex'!K$12*'Input | Inflation and Disc Rate'!J$15*(1+'Input | Inflation and Disc Rate'!J$20)^0.5</f>
        <v>415.99717518049238</v>
      </c>
      <c r="H10" s="165">
        <f>'Input | Reported Capex'!L$12*'Input | Inflation and Disc Rate'!K$15*(1+'Input | Inflation and Disc Rate'!K$20)^0.5</f>
        <v>409.57276629541917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267.25256575681721</v>
      </c>
      <c r="E11" s="164">
        <f>'Input | Reported Capex'!I23*(1+E$9)^0.5</f>
        <v>337.46910100178252</v>
      </c>
      <c r="F11" s="164">
        <f>'Input | Reported Capex'!J23*(1+F$9)^0.5</f>
        <v>350.43472128887612</v>
      </c>
      <c r="G11" s="164">
        <f>'Input | Reported Capex'!K23*(1+G$9)^0.5</f>
        <v>371.36484489533512</v>
      </c>
      <c r="H11" s="165">
        <f>'Input | Reported Capex'!L23*(1+H$9)^0.5</f>
        <v>394.94804272201782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78.554322656398028</v>
      </c>
      <c r="E12" s="142">
        <f>(E10-E11)</f>
        <v>61.674720832694277</v>
      </c>
      <c r="F12" s="142">
        <f t="shared" ref="F12:H12" si="0">(F10-F11)</f>
        <v>86.052034209585941</v>
      </c>
      <c r="G12" s="142">
        <f t="shared" si="0"/>
        <v>44.632330285157252</v>
      </c>
      <c r="H12" s="145">
        <f t="shared" si="0"/>
        <v>14.624723573401354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2.8379766974758733</v>
      </c>
      <c r="F13" s="142">
        <f>$D$12*$F$8*(1+'Input | Inflation and Disc Rate'!H13)</f>
        <v>2.853051051789206</v>
      </c>
      <c r="G13" s="142">
        <f>$D$12*$G$8*(1+'Input | Inflation and Disc Rate'!H13)*(1+'Input | Inflation and Disc Rate'!I13)</f>
        <v>2.8673728484402092</v>
      </c>
      <c r="H13" s="145">
        <f>$D$12*$H$8*(1+'Input | Inflation and Disc Rate'!H13)*(1+'Input | Inflation and Disc Rate'!I13)*(1+'Input | Inflation and Disc Rate'!J13)</f>
        <v>2.7918581449596136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2.1974998363053042</v>
      </c>
      <c r="G14" s="142">
        <f>$E$12*G$8*(1+'Input | Inflation and Disc Rate'!I13)</f>
        <v>2.2085308852507621</v>
      </c>
      <c r="H14" s="145">
        <f>$E$12*H$8*(1+'Input | Inflation and Disc Rate'!I13)*(1+'Input | Inflation and Disc Rate'!J13)</f>
        <v>2.1503673454034171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3.0187462130198761</v>
      </c>
      <c r="H15" s="145">
        <f>$F$12*$H$8*(1+'Input | Inflation and Disc Rate'!J13)</f>
        <v>2.9392449631969342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1.5005855467336564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2.8379766974758733</v>
      </c>
      <c r="F18" s="146">
        <f t="shared" ref="F18:H18" si="1">SUM(F13:F17)</f>
        <v>5.0505508880945102</v>
      </c>
      <c r="G18" s="146">
        <f t="shared" si="1"/>
        <v>8.094649946710847</v>
      </c>
      <c r="H18" s="147">
        <f t="shared" si="1"/>
        <v>9.3820560002936215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1.2378435169380029</v>
      </c>
      <c r="E19" s="146">
        <f>F19*(1+F$9)</f>
        <v>1.1720191867777443</v>
      </c>
      <c r="F19" s="146">
        <f>G19*(1+G$9)</f>
        <v>1.108661778926207</v>
      </c>
      <c r="G19" s="146">
        <f>H19*(1+H$9)</f>
        <v>1.0542934650261215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6" t="s">
        <v>101</v>
      </c>
      <c r="D20" s="89">
        <f>D12*D19</f>
        <v>97.237959027678372</v>
      </c>
      <c r="E20" s="142">
        <f>E12*E19</f>
        <v>72.283956155078755</v>
      </c>
      <c r="F20" s="142">
        <f t="shared" ref="F20:H20" si="2">F12*F19</f>
        <v>95.402601327018374</v>
      </c>
      <c r="G20" s="142">
        <f t="shared" si="2"/>
        <v>47.055574148528741</v>
      </c>
      <c r="H20" s="145">
        <f t="shared" si="2"/>
        <v>14.624723573401354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7" t="s">
        <v>102</v>
      </c>
      <c r="D21" s="90">
        <f>D18*D19</f>
        <v>0</v>
      </c>
      <c r="E21" s="146">
        <f>E18*E19</f>
        <v>3.3261631410698613</v>
      </c>
      <c r="F21" s="146">
        <f t="shared" ref="F21:H21" si="3">F18*F19</f>
        <v>5.5993527321521945</v>
      </c>
      <c r="G21" s="146">
        <f t="shared" si="3"/>
        <v>8.5341365404912892</v>
      </c>
      <c r="H21" s="147">
        <f t="shared" si="3"/>
        <v>9.3820560002936215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4.7855698572665917E-2</v>
      </c>
      <c r="E25" s="167">
        <f>'Input | Inflation and Disc Rate'!N$22</f>
        <v>4.6529969771944346E-2</v>
      </c>
      <c r="F25" s="167">
        <f>'Input | Inflation and Disc Rate'!O$22</f>
        <v>4.5204240971222776E-2</v>
      </c>
      <c r="G25" s="167">
        <f>'Input | Inflation and Disc Rate'!P$22</f>
        <v>4.3878512170501205E-2</v>
      </c>
      <c r="H25" s="168">
        <f>'Input | Inflation and Disc Rate'!Q$22</f>
        <v>4.2552783369779412E-2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0</v>
      </c>
      <c r="E26" s="164">
        <f>'Input | Reported Capex'!I31</f>
        <v>0</v>
      </c>
      <c r="F26" s="164">
        <f>'Input | Reported Capex'!J31</f>
        <v>0</v>
      </c>
      <c r="G26" s="164">
        <f>'Input | Reported Capex'!K31</f>
        <v>0</v>
      </c>
      <c r="H26" s="165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1">
        <f>1/((1+D25)^(0.5)*(1+'Input | Inflation and Disc Rate'!$L$22))</f>
        <v>0.95481863766056374</v>
      </c>
      <c r="E27" s="199">
        <f>1/((1+E25)^(0.5)*(1+D25)*(1+'Input | Inflation and Disc Rate'!$L$22))</f>
        <v>0.91178892539210932</v>
      </c>
      <c r="F27" s="199">
        <f>1/((1+F25)^(0.5)*(1+E25)*(1+D25)*(1+'Input | Inflation and Disc Rate'!$L$22))</f>
        <v>0.87180207106592689</v>
      </c>
      <c r="G27" s="199">
        <f>1/((1+G25)^(0.5)*(1+F25)*(1+E25)*(1+D25)*(1+'Input | Inflation and Disc Rate'!$L$22))</f>
        <v>0.83462681916156622</v>
      </c>
      <c r="H27" s="200">
        <f>1/((1+H25)^(0.5)*(1+G25)*(1+F25)*(1+E25)*(1+D25)*(1+'Input | Inflation and Disc Rate'!$L$22))</f>
        <v>0.80005221301225216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8" t="s">
        <v>100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326.60481423170563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228.62336996219392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97.981444269511684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26.841708414006966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7" t="s">
        <v>121</v>
      </c>
      <c r="D36" s="103">
        <f>D34-D35</f>
        <v>71.139735855504711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8" t="s">
        <v>120</v>
      </c>
      <c r="D37" s="202">
        <f>D36*(1+'Input | Inflation and Disc Rate'!L22)</f>
        <v>72.78478791282194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0.97723379411386424</v>
      </c>
      <c r="E42" s="169">
        <f>D42/(1+'Input | Inflation and Disc Rate'!N21)</f>
        <v>0.95619565046060062</v>
      </c>
      <c r="F42" s="169">
        <f>E42/(1+'Input | Inflation and Disc Rate'!O21)</f>
        <v>0.93679714230954159</v>
      </c>
      <c r="G42" s="169">
        <f>F42/(1+'Input | Inflation and Disc Rate'!P21)</f>
        <v>0.91895777386045785</v>
      </c>
      <c r="H42" s="170">
        <f>G42/(1+'Input | Inflation and Disc Rate'!Q21)</f>
        <v>0.90260442966880861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3">
        <f>D37/(SUM(D42:H42))</f>
        <v>15.513227718507498</v>
      </c>
      <c r="E43" s="204">
        <f>D43</f>
        <v>15.513227718507498</v>
      </c>
      <c r="F43" s="204">
        <f t="shared" ref="F43:H43" si="5">E43</f>
        <v>15.513227718507498</v>
      </c>
      <c r="G43" s="204">
        <f t="shared" si="5"/>
        <v>15.513227718507498</v>
      </c>
      <c r="H43" s="205">
        <f t="shared" si="5"/>
        <v>15.513227718507498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77.566138592537484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Powercor 2021-26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24"/>
      <c r="K3" s="224"/>
      <c r="L3" s="224"/>
      <c r="M3" s="42"/>
      <c r="N3" s="224"/>
      <c r="O3" s="224"/>
      <c r="P3" s="224"/>
      <c r="Q3" s="224"/>
      <c r="R3" s="224"/>
      <c r="S3" s="224"/>
      <c r="T3" s="224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15.513227718507498</v>
      </c>
      <c r="K8" s="129">
        <f>'Calc | CESS Revenue Increments'!E43</f>
        <v>15.513227718507498</v>
      </c>
      <c r="L8" s="129">
        <f>'Calc | CESS Revenue Increments'!F43</f>
        <v>15.513227718507498</v>
      </c>
      <c r="M8" s="129">
        <f>'Calc | CESS Revenue Increments'!G43</f>
        <v>15.513227718507498</v>
      </c>
      <c r="N8" s="129">
        <f>'Calc | CESS Revenue Increments'!H43</f>
        <v>15.513227718507498</v>
      </c>
      <c r="O8" s="60">
        <f>SUM(J8:N8)</f>
        <v>77.566138592537484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600-000000000000}">
      <formula1>#REF!</formula1>
    </dataValidation>
  </dataValidation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Fenella Douglas</cp:lastModifiedBy>
  <dcterms:created xsi:type="dcterms:W3CDTF">2017-09-22T02:00:05Z</dcterms:created>
  <dcterms:modified xsi:type="dcterms:W3CDTF">2019-12-31T04:36:32Z</dcterms:modified>
  <cp:category>DNSP; Reset; CESS; 2022-26; FY; 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