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15" windowWidth="23715" windowHeight="9555" tabRatio="980"/>
  </bookViews>
  <sheets>
    <sheet name="Summary" sheetId="35" r:id="rId1"/>
    <sheet name="Unit volumes" sheetId="10" r:id="rId2"/>
    <sheet name="Unit rate summary - phones" sheetId="32" r:id="rId3"/>
    <sheet name="Unit rate summary - tablets" sheetId="33" r:id="rId4"/>
  </sheets>
  <externalReferences>
    <externalReference r:id="rId5"/>
  </externalReferences>
  <calcPr calcId="145621"/>
</workbook>
</file>

<file path=xl/calcChain.xml><?xml version="1.0" encoding="utf-8"?>
<calcChain xmlns="http://schemas.openxmlformats.org/spreadsheetml/2006/main">
  <c r="I3" i="10" l="1"/>
  <c r="H3" i="10"/>
  <c r="G3" i="10"/>
  <c r="F3" i="10"/>
  <c r="E3" i="10"/>
  <c r="D13" i="35" l="1"/>
  <c r="C13" i="35"/>
  <c r="D9" i="35"/>
  <c r="C9" i="35"/>
  <c r="D6" i="10" l="1"/>
  <c r="D7" i="10"/>
  <c r="C23" i="10" l="1"/>
  <c r="C22" i="10"/>
  <c r="C21" i="10"/>
  <c r="E49" i="33" l="1"/>
  <c r="E45" i="33"/>
  <c r="E48" i="33"/>
  <c r="E44" i="33"/>
  <c r="E42" i="33"/>
  <c r="E43" i="33"/>
  <c r="E46" i="33"/>
  <c r="E46" i="32"/>
  <c r="E42" i="32"/>
  <c r="E49" i="32"/>
  <c r="E45" i="32"/>
  <c r="E48" i="32"/>
  <c r="E43" i="32"/>
  <c r="E44" i="32"/>
  <c r="C32" i="10"/>
  <c r="E16" i="32"/>
  <c r="E12" i="32"/>
  <c r="E13" i="32"/>
  <c r="E15" i="32"/>
  <c r="E11" i="32"/>
  <c r="E14" i="32"/>
  <c r="E10" i="32"/>
  <c r="E9" i="32"/>
  <c r="C31" i="10"/>
  <c r="C30" i="10"/>
  <c r="C34" i="10"/>
  <c r="C33" i="10"/>
  <c r="D22" i="10"/>
  <c r="C20" i="10"/>
  <c r="C24" i="10"/>
  <c r="C25" i="10"/>
  <c r="E47" i="32" l="1"/>
  <c r="E38" i="32"/>
  <c r="E41" i="32"/>
  <c r="E51" i="32" s="1"/>
  <c r="E39" i="32"/>
  <c r="E40" i="32"/>
  <c r="E41" i="33"/>
  <c r="E51" i="33" s="1"/>
  <c r="E40" i="33"/>
  <c r="E38" i="33"/>
  <c r="E39" i="33"/>
  <c r="E47" i="33"/>
  <c r="E8" i="32"/>
  <c r="E18" i="32" s="1"/>
  <c r="E7" i="32"/>
  <c r="E5" i="32"/>
  <c r="E6" i="32"/>
  <c r="E16" i="33"/>
  <c r="E12" i="33"/>
  <c r="E13" i="33"/>
  <c r="E15" i="33"/>
  <c r="E11" i="33"/>
  <c r="E9" i="33"/>
  <c r="E14" i="33"/>
  <c r="E10" i="33"/>
  <c r="D32" i="10"/>
  <c r="F14" i="32"/>
  <c r="F13" i="32"/>
  <c r="F12" i="32"/>
  <c r="F15" i="32"/>
  <c r="F11" i="32"/>
  <c r="F10" i="32"/>
  <c r="F9" i="32"/>
  <c r="F16" i="32"/>
  <c r="C29" i="10"/>
  <c r="D24" i="10"/>
  <c r="F47" i="32" s="1"/>
  <c r="C8" i="35" l="1"/>
  <c r="C22" i="35" s="1"/>
  <c r="E50" i="32"/>
  <c r="E50" i="33"/>
  <c r="E17" i="32"/>
  <c r="E8" i="33"/>
  <c r="E18" i="33" s="1"/>
  <c r="C12" i="35" s="1"/>
  <c r="C27" i="35" s="1"/>
  <c r="E5" i="33"/>
  <c r="E7" i="33"/>
  <c r="E6" i="33"/>
  <c r="F5" i="32"/>
  <c r="F7" i="32"/>
  <c r="F6" i="32"/>
  <c r="F8" i="32"/>
  <c r="F18" i="32" s="1"/>
  <c r="D25" i="10"/>
  <c r="F47" i="33" s="1"/>
  <c r="C7" i="35" l="1"/>
  <c r="C21" i="35" s="1"/>
  <c r="E17" i="33"/>
  <c r="C11" i="35" s="1"/>
  <c r="C26" i="35" s="1"/>
  <c r="F17" i="32"/>
  <c r="D20" i="10" l="1"/>
  <c r="D29" i="10" l="1"/>
  <c r="F16" i="33"/>
  <c r="F12" i="33"/>
  <c r="F15" i="33"/>
  <c r="F13" i="33"/>
  <c r="F11" i="33"/>
  <c r="F9" i="33"/>
  <c r="F14" i="33"/>
  <c r="F10" i="33"/>
  <c r="F6" i="33" l="1"/>
  <c r="F7" i="33"/>
  <c r="F5" i="33"/>
  <c r="F8" i="33"/>
  <c r="F18" i="33" s="1"/>
  <c r="F17" i="33" l="1"/>
  <c r="D23" i="10"/>
  <c r="F43" i="32" l="1"/>
  <c r="F46" i="32"/>
  <c r="F42" i="32"/>
  <c r="F48" i="32"/>
  <c r="F49" i="32"/>
  <c r="F45" i="32"/>
  <c r="F44" i="32"/>
  <c r="D33" i="10"/>
  <c r="D34" i="10"/>
  <c r="F39" i="32" l="1"/>
  <c r="F38" i="32"/>
  <c r="F40" i="32"/>
  <c r="F41" i="32"/>
  <c r="F51" i="32" s="1"/>
  <c r="D8" i="35" s="1"/>
  <c r="D22" i="35" s="1"/>
  <c r="F50" i="32" l="1"/>
  <c r="D7" i="35" s="1"/>
  <c r="D21" i="35" s="1"/>
  <c r="D21" i="10" l="1"/>
  <c r="F46" i="33" l="1"/>
  <c r="F42" i="33"/>
  <c r="F49" i="33"/>
  <c r="F45" i="33"/>
  <c r="F43" i="33"/>
  <c r="F44" i="33"/>
  <c r="F48" i="33"/>
  <c r="D30" i="10"/>
  <c r="D31" i="10"/>
  <c r="F38" i="33" l="1"/>
  <c r="F41" i="33"/>
  <c r="F51" i="33" s="1"/>
  <c r="D12" i="35" s="1"/>
  <c r="D27" i="35" s="1"/>
  <c r="F40" i="33"/>
  <c r="F39" i="33"/>
  <c r="F50" i="33" l="1"/>
  <c r="D11" i="35" s="1"/>
  <c r="D26" i="35" s="1"/>
  <c r="E25" i="10" l="1"/>
  <c r="E23" i="10"/>
  <c r="E21" i="10"/>
  <c r="E22" i="10"/>
  <c r="E20" i="10"/>
  <c r="E24" i="10"/>
  <c r="G31" i="32" l="1"/>
  <c r="G16" i="32"/>
  <c r="G26" i="32"/>
  <c r="G32" i="32"/>
  <c r="E32" i="10"/>
  <c r="G11" i="32"/>
  <c r="G10" i="32"/>
  <c r="G29" i="32"/>
  <c r="G27" i="32"/>
  <c r="G9" i="32"/>
  <c r="G13" i="32"/>
  <c r="G14" i="32"/>
  <c r="G28" i="32"/>
  <c r="G25" i="32"/>
  <c r="G12" i="32"/>
  <c r="G15" i="32"/>
  <c r="F22" i="10"/>
  <c r="G30" i="32"/>
  <c r="G64" i="33"/>
  <c r="G49" i="33"/>
  <c r="G46" i="33"/>
  <c r="G42" i="33"/>
  <c r="E30" i="10"/>
  <c r="E31" i="10"/>
  <c r="F21" i="10"/>
  <c r="G58" i="33"/>
  <c r="G61" i="33"/>
  <c r="G44" i="33"/>
  <c r="G59" i="33"/>
  <c r="G43" i="33"/>
  <c r="G48" i="33"/>
  <c r="G62" i="33"/>
  <c r="G65" i="33"/>
  <c r="G45" i="33"/>
  <c r="G60" i="33"/>
  <c r="G63" i="32"/>
  <c r="F24" i="10"/>
  <c r="G47" i="32"/>
  <c r="G48" i="32"/>
  <c r="G62" i="32"/>
  <c r="G49" i="32"/>
  <c r="G60" i="32"/>
  <c r="F23" i="10"/>
  <c r="G44" i="32"/>
  <c r="G42" i="32"/>
  <c r="G43" i="32"/>
  <c r="E33" i="10"/>
  <c r="G59" i="32"/>
  <c r="E34" i="10"/>
  <c r="G58" i="32"/>
  <c r="G45" i="32"/>
  <c r="G46" i="32"/>
  <c r="G61" i="32"/>
  <c r="G65" i="32"/>
  <c r="G64" i="32"/>
  <c r="E29" i="10"/>
  <c r="G27" i="33"/>
  <c r="G25" i="33"/>
  <c r="G10" i="33"/>
  <c r="G13" i="33"/>
  <c r="F20" i="10"/>
  <c r="G32" i="33"/>
  <c r="G15" i="33"/>
  <c r="G16" i="33"/>
  <c r="G29" i="33"/>
  <c r="G31" i="33"/>
  <c r="G12" i="33"/>
  <c r="G9" i="33"/>
  <c r="G26" i="33"/>
  <c r="G28" i="33"/>
  <c r="G14" i="33"/>
  <c r="G11" i="33"/>
  <c r="G63" i="33"/>
  <c r="F25" i="10"/>
  <c r="G30" i="33"/>
  <c r="G47" i="33"/>
  <c r="H11" i="33" l="1"/>
  <c r="F29" i="10"/>
  <c r="H13" i="33"/>
  <c r="H27" i="33"/>
  <c r="H29" i="33"/>
  <c r="H28" i="33"/>
  <c r="G20" i="10"/>
  <c r="H12" i="33"/>
  <c r="H9" i="33"/>
  <c r="H10" i="33"/>
  <c r="H15" i="33"/>
  <c r="H31" i="33"/>
  <c r="H14" i="33"/>
  <c r="H32" i="33"/>
  <c r="H16" i="33"/>
  <c r="H26" i="33"/>
  <c r="H25" i="33"/>
  <c r="G5" i="33"/>
  <c r="G24" i="33"/>
  <c r="G21" i="33"/>
  <c r="G22" i="33"/>
  <c r="G7" i="33"/>
  <c r="G6" i="33"/>
  <c r="G8" i="33"/>
  <c r="G18" i="33" s="1"/>
  <c r="G23" i="33"/>
  <c r="G39" i="32"/>
  <c r="G41" i="32"/>
  <c r="G51" i="32" s="1"/>
  <c r="G40" i="32"/>
  <c r="G38" i="32"/>
  <c r="H43" i="32"/>
  <c r="H65" i="32"/>
  <c r="H42" i="32"/>
  <c r="H64" i="32"/>
  <c r="H45" i="32"/>
  <c r="H46" i="32"/>
  <c r="H58" i="32"/>
  <c r="H49" i="32"/>
  <c r="G23" i="10"/>
  <c r="H59" i="32"/>
  <c r="H60" i="32"/>
  <c r="H62" i="32"/>
  <c r="F34" i="10"/>
  <c r="H48" i="32"/>
  <c r="F33" i="10"/>
  <c r="H44" i="32"/>
  <c r="H61" i="32"/>
  <c r="G39" i="33"/>
  <c r="G41" i="33"/>
  <c r="G51" i="33" s="1"/>
  <c r="G40" i="33"/>
  <c r="G38" i="33"/>
  <c r="G54" i="33"/>
  <c r="G57" i="33"/>
  <c r="G55" i="33"/>
  <c r="G56" i="33"/>
  <c r="H47" i="32"/>
  <c r="G24" i="10"/>
  <c r="H63" i="32"/>
  <c r="G25" i="10"/>
  <c r="H30" i="33"/>
  <c r="H47" i="33"/>
  <c r="H63" i="33"/>
  <c r="G54" i="32"/>
  <c r="G57" i="32"/>
  <c r="G56" i="32"/>
  <c r="G55" i="32"/>
  <c r="F31" i="10"/>
  <c r="H45" i="33"/>
  <c r="G21" i="10"/>
  <c r="H65" i="33"/>
  <c r="H49" i="33"/>
  <c r="H61" i="33"/>
  <c r="H64" i="33"/>
  <c r="H59" i="33"/>
  <c r="H42" i="33"/>
  <c r="H48" i="33"/>
  <c r="H62" i="33"/>
  <c r="H58" i="33"/>
  <c r="H43" i="33"/>
  <c r="H44" i="33"/>
  <c r="F30" i="10"/>
  <c r="H60" i="33"/>
  <c r="H46" i="33"/>
  <c r="H32" i="32"/>
  <c r="H28" i="32"/>
  <c r="H16" i="32"/>
  <c r="H25" i="32"/>
  <c r="G22" i="10"/>
  <c r="H11" i="32"/>
  <c r="H30" i="32"/>
  <c r="H27" i="32"/>
  <c r="H31" i="32"/>
  <c r="H9" i="32"/>
  <c r="H12" i="32"/>
  <c r="H26" i="32"/>
  <c r="H13" i="32"/>
  <c r="H29" i="32"/>
  <c r="H14" i="32"/>
  <c r="H15" i="32"/>
  <c r="F32" i="10"/>
  <c r="H10" i="32"/>
  <c r="G21" i="32"/>
  <c r="G8" i="32"/>
  <c r="G18" i="32" s="1"/>
  <c r="G7" i="32"/>
  <c r="G5" i="32"/>
  <c r="G24" i="32"/>
  <c r="G22" i="32"/>
  <c r="G23" i="32"/>
  <c r="G6" i="32"/>
  <c r="G50" i="32" l="1"/>
  <c r="G66" i="32"/>
  <c r="G66" i="33"/>
  <c r="I30" i="33"/>
  <c r="I47" i="33"/>
  <c r="H25" i="10"/>
  <c r="I63" i="33"/>
  <c r="H21" i="33"/>
  <c r="H23" i="33"/>
  <c r="H7" i="33"/>
  <c r="H8" i="33"/>
  <c r="H18" i="33" s="1"/>
  <c r="H22" i="33"/>
  <c r="H5" i="33"/>
  <c r="H6" i="33"/>
  <c r="H24" i="33"/>
  <c r="E8" i="35"/>
  <c r="G30" i="10"/>
  <c r="I42" i="33"/>
  <c r="I49" i="33"/>
  <c r="I65" i="33"/>
  <c r="I62" i="33"/>
  <c r="I45" i="33"/>
  <c r="I60" i="33"/>
  <c r="I44" i="33"/>
  <c r="G31" i="10"/>
  <c r="I48" i="33"/>
  <c r="I64" i="33"/>
  <c r="I43" i="33"/>
  <c r="I61" i="33"/>
  <c r="I58" i="33"/>
  <c r="I46" i="33"/>
  <c r="H21" i="10"/>
  <c r="I59" i="33"/>
  <c r="I47" i="32"/>
  <c r="I63" i="32"/>
  <c r="H24" i="10"/>
  <c r="H41" i="32"/>
  <c r="H51" i="32" s="1"/>
  <c r="H40" i="32"/>
  <c r="H38" i="32"/>
  <c r="H39" i="32"/>
  <c r="G17" i="33"/>
  <c r="H6" i="32"/>
  <c r="H7" i="32"/>
  <c r="H23" i="32"/>
  <c r="H24" i="32"/>
  <c r="H8" i="32"/>
  <c r="H18" i="32" s="1"/>
  <c r="H21" i="32"/>
  <c r="H22" i="32"/>
  <c r="H5" i="32"/>
  <c r="H40" i="33"/>
  <c r="H38" i="33"/>
  <c r="H41" i="33"/>
  <c r="H51" i="33" s="1"/>
  <c r="H39" i="33"/>
  <c r="H55" i="33"/>
  <c r="H56" i="33"/>
  <c r="H54" i="33"/>
  <c r="H57" i="33"/>
  <c r="G50" i="33"/>
  <c r="G33" i="10"/>
  <c r="I44" i="32"/>
  <c r="I60" i="32"/>
  <c r="I65" i="32"/>
  <c r="H23" i="10"/>
  <c r="G34" i="10"/>
  <c r="I49" i="32"/>
  <c r="I45" i="32"/>
  <c r="I43" i="32"/>
  <c r="I48" i="32"/>
  <c r="I62" i="32"/>
  <c r="I61" i="32"/>
  <c r="I42" i="32"/>
  <c r="I59" i="32"/>
  <c r="I64" i="32"/>
  <c r="I46" i="32"/>
  <c r="I58" i="32"/>
  <c r="I26" i="32"/>
  <c r="I27" i="32"/>
  <c r="I14" i="32"/>
  <c r="I30" i="32"/>
  <c r="I13" i="32"/>
  <c r="I15" i="32"/>
  <c r="H22" i="10"/>
  <c r="I32" i="32"/>
  <c r="I10" i="32"/>
  <c r="I12" i="32"/>
  <c r="I31" i="32"/>
  <c r="I25" i="32"/>
  <c r="I16" i="32"/>
  <c r="I11" i="32"/>
  <c r="G32" i="10"/>
  <c r="I28" i="32"/>
  <c r="I29" i="32"/>
  <c r="I9" i="32"/>
  <c r="G33" i="32"/>
  <c r="G17" i="32"/>
  <c r="H57" i="32"/>
  <c r="H54" i="32"/>
  <c r="H55" i="32"/>
  <c r="H56" i="32"/>
  <c r="E12" i="35"/>
  <c r="G33" i="33"/>
  <c r="I15" i="33"/>
  <c r="I16" i="33"/>
  <c r="I10" i="33"/>
  <c r="I12" i="33"/>
  <c r="I13" i="33"/>
  <c r="I26" i="33"/>
  <c r="I32" i="33"/>
  <c r="I28" i="33"/>
  <c r="H20" i="10"/>
  <c r="I27" i="33"/>
  <c r="I9" i="33"/>
  <c r="I31" i="33"/>
  <c r="I29" i="33"/>
  <c r="G29" i="10"/>
  <c r="I11" i="33"/>
  <c r="I14" i="33"/>
  <c r="I25" i="33"/>
  <c r="H17" i="32" l="1"/>
  <c r="H17" i="33"/>
  <c r="H66" i="32"/>
  <c r="J29" i="33"/>
  <c r="J25" i="33"/>
  <c r="J14" i="33"/>
  <c r="J27" i="33"/>
  <c r="J11" i="33"/>
  <c r="J32" i="33"/>
  <c r="I20" i="10"/>
  <c r="J28" i="33"/>
  <c r="J9" i="33"/>
  <c r="J16" i="33"/>
  <c r="H29" i="10"/>
  <c r="J12" i="33"/>
  <c r="J13" i="33"/>
  <c r="J31" i="33"/>
  <c r="J26" i="33"/>
  <c r="J15" i="33"/>
  <c r="J10" i="33"/>
  <c r="E7" i="35"/>
  <c r="I57" i="32"/>
  <c r="I54" i="32"/>
  <c r="I55" i="32"/>
  <c r="I56" i="32"/>
  <c r="H50" i="33"/>
  <c r="F11" i="35" s="1"/>
  <c r="F26" i="35" s="1"/>
  <c r="F8" i="35"/>
  <c r="F22" i="35" s="1"/>
  <c r="J59" i="33"/>
  <c r="J62" i="33"/>
  <c r="J61" i="33"/>
  <c r="H30" i="10"/>
  <c r="J49" i="33"/>
  <c r="I21" i="10"/>
  <c r="J42" i="33"/>
  <c r="J45" i="33"/>
  <c r="J60" i="33"/>
  <c r="J65" i="33"/>
  <c r="J48" i="33"/>
  <c r="J58" i="33"/>
  <c r="J43" i="33"/>
  <c r="J44" i="33"/>
  <c r="J46" i="33"/>
  <c r="H31" i="10"/>
  <c r="J64" i="33"/>
  <c r="E22" i="35"/>
  <c r="H33" i="33"/>
  <c r="J47" i="33"/>
  <c r="I25" i="10"/>
  <c r="J30" i="33"/>
  <c r="J63" i="33"/>
  <c r="F12" i="35"/>
  <c r="F27" i="35" s="1"/>
  <c r="I5" i="33"/>
  <c r="I7" i="33"/>
  <c r="I21" i="33"/>
  <c r="I6" i="33"/>
  <c r="I22" i="33"/>
  <c r="I23" i="33"/>
  <c r="I8" i="33"/>
  <c r="I18" i="33" s="1"/>
  <c r="I24" i="33"/>
  <c r="E27" i="35"/>
  <c r="I7" i="32"/>
  <c r="I24" i="32"/>
  <c r="I22" i="32"/>
  <c r="I8" i="32"/>
  <c r="I18" i="32" s="1"/>
  <c r="I21" i="32"/>
  <c r="I5" i="32"/>
  <c r="I23" i="32"/>
  <c r="I6" i="32"/>
  <c r="J14" i="32"/>
  <c r="J32" i="32"/>
  <c r="J15" i="32"/>
  <c r="J29" i="32"/>
  <c r="I22" i="10"/>
  <c r="J13" i="32"/>
  <c r="J27" i="32"/>
  <c r="J28" i="32"/>
  <c r="J12" i="32"/>
  <c r="J10" i="32"/>
  <c r="J30" i="32"/>
  <c r="J25" i="32"/>
  <c r="J9" i="32"/>
  <c r="J26" i="32"/>
  <c r="J11" i="32"/>
  <c r="J31" i="32"/>
  <c r="H32" i="10"/>
  <c r="J16" i="32"/>
  <c r="I41" i="32"/>
  <c r="I51" i="32" s="1"/>
  <c r="I38" i="32"/>
  <c r="I39" i="32"/>
  <c r="I40" i="32"/>
  <c r="H66" i="33"/>
  <c r="E11" i="35"/>
  <c r="H50" i="32"/>
  <c r="F7" i="35" s="1"/>
  <c r="F21" i="35" s="1"/>
  <c r="J47" i="32"/>
  <c r="J63" i="32"/>
  <c r="I24" i="10"/>
  <c r="I38" i="33"/>
  <c r="I41" i="33"/>
  <c r="I51" i="33" s="1"/>
  <c r="I40" i="33"/>
  <c r="I39" i="33"/>
  <c r="I54" i="33"/>
  <c r="I55" i="33"/>
  <c r="I56" i="33"/>
  <c r="I57" i="33"/>
  <c r="E13" i="35"/>
  <c r="E9" i="35"/>
  <c r="H34" i="10"/>
  <c r="J43" i="32"/>
  <c r="J58" i="32"/>
  <c r="J60" i="32"/>
  <c r="J61" i="32"/>
  <c r="J65" i="32"/>
  <c r="J45" i="32"/>
  <c r="H33" i="10"/>
  <c r="J42" i="32"/>
  <c r="J64" i="32"/>
  <c r="J48" i="32"/>
  <c r="J46" i="32"/>
  <c r="J44" i="32"/>
  <c r="J49" i="32"/>
  <c r="J59" i="32"/>
  <c r="I23" i="10"/>
  <c r="J62" i="32"/>
  <c r="H33" i="32"/>
  <c r="F9" i="35" s="1"/>
  <c r="F23" i="35" s="1"/>
  <c r="F24" i="35" s="1"/>
  <c r="I50" i="33" l="1"/>
  <c r="I66" i="33"/>
  <c r="I33" i="33"/>
  <c r="F36" i="35"/>
  <c r="J57" i="33"/>
  <c r="J55" i="33"/>
  <c r="J56" i="33"/>
  <c r="J54" i="33"/>
  <c r="J23" i="33"/>
  <c r="J5" i="33"/>
  <c r="J8" i="33"/>
  <c r="J18" i="33" s="1"/>
  <c r="J7" i="33"/>
  <c r="J22" i="33"/>
  <c r="J24" i="33"/>
  <c r="J21" i="33"/>
  <c r="J6" i="33"/>
  <c r="K42" i="32"/>
  <c r="K43" i="32"/>
  <c r="K49" i="32"/>
  <c r="K46" i="32"/>
  <c r="I34" i="10"/>
  <c r="K58" i="32"/>
  <c r="K65" i="32"/>
  <c r="K60" i="32"/>
  <c r="K64" i="32"/>
  <c r="K44" i="32"/>
  <c r="K48" i="32"/>
  <c r="K62" i="32"/>
  <c r="K45" i="32"/>
  <c r="K59" i="32"/>
  <c r="K61" i="32"/>
  <c r="I33" i="10"/>
  <c r="K63" i="32"/>
  <c r="K47" i="32"/>
  <c r="I17" i="32"/>
  <c r="K47" i="33"/>
  <c r="K63" i="33"/>
  <c r="K30" i="33"/>
  <c r="E21" i="35"/>
  <c r="K9" i="33"/>
  <c r="K11" i="33"/>
  <c r="K29" i="33"/>
  <c r="I29" i="10"/>
  <c r="K31" i="33"/>
  <c r="K15" i="33"/>
  <c r="K13" i="33"/>
  <c r="K25" i="33"/>
  <c r="K28" i="33"/>
  <c r="K26" i="33"/>
  <c r="K32" i="33"/>
  <c r="K14" i="33"/>
  <c r="K16" i="33"/>
  <c r="K10" i="33"/>
  <c r="K12" i="33"/>
  <c r="K27" i="33"/>
  <c r="E23" i="35"/>
  <c r="E24" i="35" s="1"/>
  <c r="E28" i="35"/>
  <c r="E29" i="35" s="1"/>
  <c r="F13" i="35"/>
  <c r="F28" i="35" s="1"/>
  <c r="F29" i="35" s="1"/>
  <c r="F32" i="35" s="1"/>
  <c r="I50" i="32"/>
  <c r="G7" i="35" s="1"/>
  <c r="G21" i="35" s="1"/>
  <c r="J21" i="32"/>
  <c r="J24" i="32"/>
  <c r="J23" i="32"/>
  <c r="J6" i="32"/>
  <c r="J8" i="32"/>
  <c r="J18" i="32" s="1"/>
  <c r="J7" i="32"/>
  <c r="J5" i="32"/>
  <c r="J22" i="32"/>
  <c r="K27" i="32"/>
  <c r="K25" i="32"/>
  <c r="K13" i="32"/>
  <c r="K16" i="32"/>
  <c r="K14" i="32"/>
  <c r="K28" i="32"/>
  <c r="K9" i="32"/>
  <c r="K31" i="32"/>
  <c r="K15" i="32"/>
  <c r="K29" i="32"/>
  <c r="K26" i="32"/>
  <c r="K32" i="32"/>
  <c r="K10" i="32"/>
  <c r="K12" i="32"/>
  <c r="I32" i="10"/>
  <c r="K30" i="32"/>
  <c r="K11" i="32"/>
  <c r="I33" i="32"/>
  <c r="I17" i="33"/>
  <c r="J40" i="33"/>
  <c r="J41" i="33"/>
  <c r="J51" i="33" s="1"/>
  <c r="J38" i="33"/>
  <c r="J39" i="33"/>
  <c r="I66" i="32"/>
  <c r="G12" i="35"/>
  <c r="K42" i="33"/>
  <c r="K43" i="33"/>
  <c r="K46" i="33"/>
  <c r="K65" i="33"/>
  <c r="I31" i="10"/>
  <c r="K62" i="33"/>
  <c r="K48" i="33"/>
  <c r="K64" i="33"/>
  <c r="K45" i="33"/>
  <c r="K49" i="33"/>
  <c r="K59" i="33"/>
  <c r="I30" i="10"/>
  <c r="K44" i="33"/>
  <c r="K58" i="33"/>
  <c r="K61" i="33"/>
  <c r="K60" i="33"/>
  <c r="J57" i="32"/>
  <c r="J56" i="32"/>
  <c r="J54" i="32"/>
  <c r="J55" i="32"/>
  <c r="J40" i="32"/>
  <c r="J39" i="32"/>
  <c r="J41" i="32"/>
  <c r="J51" i="32" s="1"/>
  <c r="J38" i="32"/>
  <c r="E26" i="35"/>
  <c r="G8" i="35"/>
  <c r="G22" i="35" s="1"/>
  <c r="G13" i="35" l="1"/>
  <c r="G28" i="35" s="1"/>
  <c r="G29" i="35" s="1"/>
  <c r="J50" i="33"/>
  <c r="J17" i="32"/>
  <c r="J33" i="32"/>
  <c r="K39" i="33"/>
  <c r="K40" i="33"/>
  <c r="K41" i="33"/>
  <c r="K51" i="33" s="1"/>
  <c r="K38" i="33"/>
  <c r="K6" i="33"/>
  <c r="K21" i="33"/>
  <c r="K22" i="33"/>
  <c r="K5" i="33"/>
  <c r="K24" i="33"/>
  <c r="K7" i="33"/>
  <c r="K23" i="33"/>
  <c r="K8" i="33"/>
  <c r="K18" i="33" s="1"/>
  <c r="J50" i="32"/>
  <c r="H7" i="35" s="1"/>
  <c r="K54" i="33"/>
  <c r="K55" i="33"/>
  <c r="K57" i="33"/>
  <c r="K56" i="33"/>
  <c r="G9" i="35"/>
  <c r="E36" i="35"/>
  <c r="G27" i="35"/>
  <c r="H8" i="35"/>
  <c r="K38" i="32"/>
  <c r="K39" i="32"/>
  <c r="K41" i="32"/>
  <c r="K51" i="32" s="1"/>
  <c r="K40" i="32"/>
  <c r="J33" i="33"/>
  <c r="H12" i="35"/>
  <c r="H27" i="35" s="1"/>
  <c r="E32" i="35"/>
  <c r="J66" i="32"/>
  <c r="G11" i="35"/>
  <c r="K21" i="32"/>
  <c r="K24" i="32"/>
  <c r="K7" i="32"/>
  <c r="K22" i="32"/>
  <c r="K8" i="32"/>
  <c r="K18" i="32" s="1"/>
  <c r="K6" i="32"/>
  <c r="K23" i="32"/>
  <c r="K5" i="32"/>
  <c r="K57" i="32"/>
  <c r="K55" i="32"/>
  <c r="K54" i="32"/>
  <c r="K56" i="32"/>
  <c r="J17" i="33"/>
  <c r="J66" i="33"/>
  <c r="H9" i="35" l="1"/>
  <c r="H23" i="35" s="1"/>
  <c r="H24" i="35" s="1"/>
  <c r="K50" i="33"/>
  <c r="K17" i="32"/>
  <c r="H21" i="35"/>
  <c r="I8" i="35"/>
  <c r="I22" i="35" s="1"/>
  <c r="K33" i="32"/>
  <c r="H22" i="35"/>
  <c r="K33" i="33"/>
  <c r="G26" i="35"/>
  <c r="G36" i="35" s="1"/>
  <c r="H13" i="35"/>
  <c r="K50" i="32"/>
  <c r="G23" i="35"/>
  <c r="G24" i="35" s="1"/>
  <c r="K66" i="33"/>
  <c r="I12" i="35"/>
  <c r="I27" i="35" s="1"/>
  <c r="K17" i="33"/>
  <c r="H11" i="35"/>
  <c r="H26" i="35" s="1"/>
  <c r="K66" i="32"/>
  <c r="I7" i="35" l="1"/>
  <c r="I21" i="35" s="1"/>
  <c r="I11" i="35"/>
  <c r="I26" i="35" s="1"/>
  <c r="H28" i="35"/>
  <c r="H29" i="35" s="1"/>
  <c r="J12" i="35"/>
  <c r="J27" i="35" s="1"/>
  <c r="G32" i="35"/>
  <c r="I13" i="35"/>
  <c r="I28" i="35" s="1"/>
  <c r="I29" i="35" s="1"/>
  <c r="J8" i="35"/>
  <c r="J22" i="35" s="1"/>
  <c r="I9" i="35"/>
  <c r="H36" i="35"/>
  <c r="J7" i="35" l="1"/>
  <c r="J21" i="35" s="1"/>
  <c r="C16" i="35"/>
  <c r="I36" i="35"/>
  <c r="J11" i="35"/>
  <c r="J26" i="35" s="1"/>
  <c r="J36" i="35"/>
  <c r="H32" i="35"/>
  <c r="J29" i="35"/>
  <c r="I23" i="35"/>
  <c r="I24" i="35" s="1"/>
  <c r="J9" i="35"/>
  <c r="J23" i="35" s="1"/>
  <c r="J13" i="35"/>
  <c r="J28" i="35" s="1"/>
  <c r="C17" i="35"/>
  <c r="I32" i="35" l="1"/>
  <c r="J24" i="35"/>
  <c r="J32" i="35" l="1"/>
</calcChain>
</file>

<file path=xl/comments1.xml><?xml version="1.0" encoding="utf-8"?>
<comments xmlns="http://schemas.openxmlformats.org/spreadsheetml/2006/main">
  <authors>
    <author>Jeff Anderson</author>
  </authors>
  <commentList>
    <comment ref="B15" authorId="0">
      <text>
        <r>
          <rPr>
            <sz val="9"/>
            <color indexed="81"/>
            <rFont val="Tahoma"/>
            <family val="2"/>
          </rPr>
          <t>Estimate only for purpose of NPV calculations (linked to Control Model).</t>
        </r>
      </text>
    </comment>
    <comment ref="B16" authorId="0">
      <text>
        <r>
          <rPr>
            <sz val="9"/>
            <color indexed="81"/>
            <rFont val="Tahoma"/>
            <family val="2"/>
          </rPr>
          <t>Positive NPV demonstrates opex only model is cheaper than capex/opex mix.</t>
        </r>
      </text>
    </comment>
    <comment ref="B17" authorId="0">
      <text>
        <r>
          <rPr>
            <sz val="9"/>
            <color indexed="81"/>
            <rFont val="Tahoma"/>
            <family val="2"/>
          </rPr>
          <t>Positive NPV demonstrates opex only model is cheaper than capex/opex mix.</t>
        </r>
      </text>
    </comment>
  </commentList>
</comments>
</file>

<file path=xl/sharedStrings.xml><?xml version="1.0" encoding="utf-8"?>
<sst xmlns="http://schemas.openxmlformats.org/spreadsheetml/2006/main" count="205" uniqueCount="68">
  <si>
    <t>Content Locker</t>
  </si>
  <si>
    <t>Labour</t>
  </si>
  <si>
    <t xml:space="preserve">RSA access maintenance </t>
  </si>
  <si>
    <t>TOTAL</t>
  </si>
  <si>
    <t>Cover</t>
  </si>
  <si>
    <t>Airwatch Inbox</t>
  </si>
  <si>
    <t>Replacement/fix allowance (5% of devices)</t>
  </si>
  <si>
    <t>Office 365</t>
  </si>
  <si>
    <t>MEAP</t>
  </si>
  <si>
    <t>Pronto</t>
  </si>
  <si>
    <t>Opex only model</t>
  </si>
  <si>
    <t>Capex and opex model (capex component)</t>
  </si>
  <si>
    <t>Capex and opex model (opex component)</t>
  </si>
  <si>
    <t>Step change</t>
  </si>
  <si>
    <t>Phone</t>
  </si>
  <si>
    <t>Sum (opex component)</t>
  </si>
  <si>
    <t>Sum (capex component)</t>
  </si>
  <si>
    <t>Unit volumes</t>
  </si>
  <si>
    <t>APPLICATION</t>
  </si>
  <si>
    <t>-</t>
  </si>
  <si>
    <t>Powercor</t>
  </si>
  <si>
    <t>CitiPower</t>
  </si>
  <si>
    <t>CUSTOMER NUMBERS</t>
  </si>
  <si>
    <t>Smart Phones</t>
  </si>
  <si>
    <t>Tablets (field)</t>
  </si>
  <si>
    <t>Tablets (office)</t>
  </si>
  <si>
    <t>Tablets</t>
  </si>
  <si>
    <t>Plan (including Shared Data)</t>
  </si>
  <si>
    <t>Replacement</t>
  </si>
  <si>
    <t>$ (p.a)</t>
  </si>
  <si>
    <t>Pronto forms (tablets)</t>
  </si>
  <si>
    <t>Plan (including Shared Data/Airwatch/Phone)</t>
  </si>
  <si>
    <t>Airwatch (Mobile Device Management MDM)</t>
  </si>
  <si>
    <t>Tablet</t>
  </si>
  <si>
    <t>Pronto forms (phones)</t>
  </si>
  <si>
    <t>Volume change</t>
  </si>
  <si>
    <t>2016–2020</t>
  </si>
  <si>
    <t>Rate of return</t>
  </si>
  <si>
    <t>NPV smart phones (opex mix minus opex only)</t>
  </si>
  <si>
    <t>NPV tablets (opex mix minus opex only)</t>
  </si>
  <si>
    <t>Smart Phones ($2015)</t>
  </si>
  <si>
    <t>Smart Phones ($2014)</t>
  </si>
  <si>
    <t>Tablets ($2014)</t>
  </si>
  <si>
    <t>Tablets ($2015)</t>
  </si>
  <si>
    <t>STEP CHANGE SUMMARY ($2015)</t>
  </si>
  <si>
    <t>NPV ANALYSIS</t>
  </si>
  <si>
    <t>Smart Phones (field)</t>
  </si>
  <si>
    <t>Smart Phones (office)</t>
  </si>
  <si>
    <t>ALTERNATIVE CAPITAL EXPENDITURE</t>
  </si>
  <si>
    <t>STEP CHANGE (incremental operating expenditure)</t>
  </si>
  <si>
    <t>For the reasons set out in our revised regulatory proposal, if the AER does not accept our proposed step, the capital expenditure estimate below should be added into our IT capital expenditure forecast for 2016–2020 regulatory control period</t>
  </si>
  <si>
    <t>UNIT</t>
  </si>
  <si>
    <t>CAPEX-OPEX MIX</t>
  </si>
  <si>
    <t>OPEX ONLY</t>
  </si>
  <si>
    <t>Sum (opex only)</t>
  </si>
  <si>
    <t>Tablets (FLD)</t>
  </si>
  <si>
    <t>Tablets (OFF 2YR)</t>
  </si>
  <si>
    <t>Tablets (OFF 3YR)</t>
  </si>
  <si>
    <t>Phones (FLD)</t>
  </si>
  <si>
    <t>Phones (OFF 2YR)</t>
  </si>
  <si>
    <t>Phones (OFF 3YR)</t>
  </si>
  <si>
    <t>Inflation conversion to $2015</t>
  </si>
  <si>
    <t>Replacement volumes</t>
  </si>
  <si>
    <t>Unit volumes replaced</t>
  </si>
  <si>
    <t>FIELD BASED PHONES</t>
  </si>
  <si>
    <t>OFFICE BASED PHONES</t>
  </si>
  <si>
    <t>OFFICE BASED TABLETS</t>
  </si>
  <si>
    <t>FIELD BASED TABLETS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</si>
</sst>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Red]\-&quot;$&quot;#,##0.00"/>
    <numFmt numFmtId="42" formatCode="_-&quot;$&quot;* #,##0_-;\-&quot;$&quot;* #,##0_-;_-&quot;$&quot;* &quot;-&quot;_-;_-@_-"/>
    <numFmt numFmtId="44" formatCode="_-&quot;$&quot;* #,##0.00_-;\-&quot;$&quot;* #,##0.00_-;_-&quot;$&quot;* &quot;-&quot;??_-;_-@_-"/>
    <numFmt numFmtId="43" formatCode="_-* #,##0.00_-;\-* #,##0.00_-;_-* &quot;-&quot;??_-;_-@_-"/>
    <numFmt numFmtId="164" formatCode="_-&quot;$&quot;* #,##0_-;\-&quot;$&quot;* #,##0_-;_-&quot;$&quot;* &quot;-&quot;??_-;_-@_-"/>
    <numFmt numFmtId="165" formatCode="0.0%"/>
    <numFmt numFmtId="166" formatCode="#,##0_ ;\-#,##0\ "/>
    <numFmt numFmtId="167" formatCode="0.0\ %"/>
    <numFmt numFmtId="168" formatCode="#,##0.00;\(#,##0.00\);&quot;-&quot;"/>
  </numFmts>
  <fonts count="9" x14ac:knownFonts="1">
    <font>
      <sz val="10"/>
      <color theme="1"/>
      <name val="Verdana"/>
      <family val="2"/>
    </font>
    <font>
      <sz val="10"/>
      <color theme="1"/>
      <name val="Verdana"/>
      <family val="2"/>
    </font>
    <font>
      <sz val="9"/>
      <color indexed="81"/>
      <name val="Tahoma"/>
      <family val="2"/>
    </font>
    <font>
      <sz val="10"/>
      <color theme="1"/>
      <name val="Calibri"/>
      <family val="2"/>
      <scheme val="minor"/>
    </font>
    <font>
      <b/>
      <sz val="10"/>
      <color theme="0"/>
      <name val="Calibri"/>
      <family val="2"/>
      <scheme val="minor"/>
    </font>
    <font>
      <b/>
      <sz val="10"/>
      <color theme="1"/>
      <name val="Calibri"/>
      <family val="2"/>
      <scheme val="minor"/>
    </font>
    <font>
      <sz val="10"/>
      <name val="Calibri"/>
      <family val="2"/>
      <scheme val="minor"/>
    </font>
    <font>
      <sz val="10"/>
      <name val="Arial"/>
      <family val="2"/>
    </font>
    <font>
      <b/>
      <sz val="1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3"/>
        <bgColor indexed="64"/>
      </patternFill>
    </fill>
    <fill>
      <patternFill patternType="solid">
        <fgColor theme="5" tint="0.79998168889431442"/>
        <bgColor indexed="64"/>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7" fillId="0" borderId="0"/>
  </cellStyleXfs>
  <cellXfs count="145">
    <xf numFmtId="0" fontId="0" fillId="0" borderId="0" xfId="0"/>
    <xf numFmtId="0" fontId="3" fillId="0" borderId="0" xfId="0" applyFont="1" applyAlignment="1">
      <alignment vertical="center"/>
    </xf>
    <xf numFmtId="164" fontId="3" fillId="0" borderId="0" xfId="0" applyNumberFormat="1" applyFont="1" applyAlignment="1">
      <alignment horizontal="right" vertical="center"/>
    </xf>
    <xf numFmtId="9" fontId="3" fillId="0" borderId="0" xfId="2" applyFont="1" applyAlignment="1">
      <alignment vertical="center"/>
    </xf>
    <xf numFmtId="0" fontId="5" fillId="3" borderId="9" xfId="0" applyFont="1" applyFill="1" applyBorder="1" applyAlignment="1">
      <alignment horizontal="left" vertical="center" indent="1"/>
    </xf>
    <xf numFmtId="0" fontId="5" fillId="3" borderId="2" xfId="0" applyFont="1" applyFill="1" applyBorder="1" applyAlignment="1">
      <alignment horizontal="right" vertical="center" indent="1"/>
    </xf>
    <xf numFmtId="0" fontId="5" fillId="3" borderId="9" xfId="0" applyFont="1" applyFill="1" applyBorder="1" applyAlignment="1">
      <alignment horizontal="right" vertical="center" indent="1"/>
    </xf>
    <xf numFmtId="0" fontId="5" fillId="3" borderId="3" xfId="0" applyFont="1" applyFill="1" applyBorder="1" applyAlignment="1">
      <alignment horizontal="right" vertical="center" indent="1"/>
    </xf>
    <xf numFmtId="0" fontId="3" fillId="0" borderId="9" xfId="0" applyFont="1" applyBorder="1" applyAlignment="1">
      <alignment horizontal="left" vertical="center" indent="1"/>
    </xf>
    <xf numFmtId="42" fontId="3" fillId="0" borderId="2" xfId="0" applyNumberFormat="1" applyFont="1" applyBorder="1" applyAlignment="1">
      <alignment horizontal="left" vertical="center"/>
    </xf>
    <xf numFmtId="42" fontId="3" fillId="0" borderId="9" xfId="0" applyNumberFormat="1" applyFont="1" applyBorder="1" applyAlignment="1">
      <alignment horizontal="left" vertical="center"/>
    </xf>
    <xf numFmtId="42" fontId="3" fillId="0" borderId="3" xfId="0" applyNumberFormat="1" applyFont="1" applyBorder="1" applyAlignment="1">
      <alignment horizontal="left" vertical="center"/>
    </xf>
    <xf numFmtId="0" fontId="3" fillId="0" borderId="11" xfId="0" applyFont="1" applyBorder="1" applyAlignment="1">
      <alignment horizontal="left" vertical="center" indent="1"/>
    </xf>
    <xf numFmtId="42" fontId="3" fillId="0" borderId="1" xfId="0" applyNumberFormat="1" applyFont="1" applyBorder="1" applyAlignment="1">
      <alignment horizontal="left" vertical="center"/>
    </xf>
    <xf numFmtId="42" fontId="3" fillId="0" borderId="11" xfId="0" applyNumberFormat="1" applyFont="1" applyBorder="1" applyAlignment="1">
      <alignment horizontal="left" vertical="center"/>
    </xf>
    <xf numFmtId="42" fontId="3" fillId="0" borderId="5" xfId="0" applyNumberFormat="1" applyFont="1" applyBorder="1" applyAlignment="1">
      <alignment horizontal="left" vertical="center"/>
    </xf>
    <xf numFmtId="164" fontId="3" fillId="0" borderId="0" xfId="0" applyNumberFormat="1" applyFont="1" applyAlignment="1">
      <alignment horizontal="left" vertical="center"/>
    </xf>
    <xf numFmtId="167" fontId="3" fillId="0" borderId="0" xfId="2" applyNumberFormat="1" applyFont="1" applyBorder="1" applyAlignment="1">
      <alignment horizontal="right" vertical="center"/>
    </xf>
    <xf numFmtId="42" fontId="3" fillId="0" borderId="0" xfId="0" applyNumberFormat="1" applyFont="1" applyBorder="1" applyAlignment="1">
      <alignment horizontal="left" vertical="center"/>
    </xf>
    <xf numFmtId="0" fontId="3" fillId="2" borderId="11" xfId="0" applyFont="1" applyFill="1" applyBorder="1" applyAlignment="1">
      <alignment horizontal="left" vertical="center" indent="1"/>
    </xf>
    <xf numFmtId="0" fontId="3" fillId="2" borderId="1" xfId="0" applyFont="1" applyFill="1" applyBorder="1" applyAlignment="1">
      <alignment horizontal="left" vertical="center"/>
    </xf>
    <xf numFmtId="0" fontId="3" fillId="0" borderId="0" xfId="0" applyFont="1" applyAlignment="1">
      <alignment horizontal="right" vertical="center"/>
    </xf>
    <xf numFmtId="0" fontId="5" fillId="0" borderId="0" xfId="0" applyFont="1" applyAlignment="1">
      <alignment horizontal="right" vertical="center"/>
    </xf>
    <xf numFmtId="0" fontId="3" fillId="0" borderId="0" xfId="0" applyFont="1" applyFill="1" applyAlignment="1">
      <alignment vertical="center"/>
    </xf>
    <xf numFmtId="42" fontId="5" fillId="0" borderId="0" xfId="0" applyNumberFormat="1" applyFont="1" applyFill="1" applyBorder="1" applyAlignment="1">
      <alignment horizontal="left" vertical="center"/>
    </xf>
    <xf numFmtId="9" fontId="3" fillId="0" borderId="0" xfId="2" applyFont="1" applyFill="1" applyAlignment="1">
      <alignment vertical="center"/>
    </xf>
    <xf numFmtId="0" fontId="5" fillId="3" borderId="13" xfId="0" applyFont="1" applyFill="1" applyBorder="1" applyAlignment="1">
      <alignment horizontal="right" vertical="center" indent="1"/>
    </xf>
    <xf numFmtId="0" fontId="5" fillId="3" borderId="12" xfId="0" applyFont="1" applyFill="1" applyBorder="1" applyAlignment="1">
      <alignment horizontal="right" vertical="center" indent="1"/>
    </xf>
    <xf numFmtId="0" fontId="5" fillId="3" borderId="14" xfId="0" applyFont="1" applyFill="1" applyBorder="1" applyAlignment="1">
      <alignment horizontal="right" vertical="center" indent="1"/>
    </xf>
    <xf numFmtId="0" fontId="3" fillId="3" borderId="9" xfId="0" applyFont="1" applyFill="1" applyBorder="1" applyAlignment="1">
      <alignment horizontal="left" vertical="center" indent="1"/>
    </xf>
    <xf numFmtId="42" fontId="3" fillId="3" borderId="2" xfId="0" applyNumberFormat="1" applyFont="1" applyFill="1" applyBorder="1" applyAlignment="1">
      <alignment horizontal="left" vertical="center"/>
    </xf>
    <xf numFmtId="42" fontId="3" fillId="3" borderId="9" xfId="0" applyNumberFormat="1" applyFont="1" applyFill="1" applyBorder="1" applyAlignment="1">
      <alignment horizontal="left" vertical="center"/>
    </xf>
    <xf numFmtId="42" fontId="3" fillId="3" borderId="3" xfId="0" applyNumberFormat="1" applyFont="1" applyFill="1" applyBorder="1" applyAlignment="1">
      <alignment horizontal="left" vertical="center"/>
    </xf>
    <xf numFmtId="42" fontId="3" fillId="3" borderId="1" xfId="0" applyNumberFormat="1" applyFont="1" applyFill="1" applyBorder="1" applyAlignment="1">
      <alignment horizontal="left" vertical="center"/>
    </xf>
    <xf numFmtId="42" fontId="3" fillId="3" borderId="11" xfId="0" applyNumberFormat="1" applyFont="1" applyFill="1" applyBorder="1" applyAlignment="1">
      <alignment horizontal="left" vertical="center"/>
    </xf>
    <xf numFmtId="42" fontId="3" fillId="3" borderId="5" xfId="0" applyNumberFormat="1" applyFont="1" applyFill="1" applyBorder="1" applyAlignment="1">
      <alignment horizontal="left" vertical="center"/>
    </xf>
    <xf numFmtId="0" fontId="4" fillId="4" borderId="12" xfId="0" applyFont="1" applyFill="1" applyBorder="1" applyAlignment="1">
      <alignment horizontal="left" vertical="center" indent="1"/>
    </xf>
    <xf numFmtId="0" fontId="5" fillId="3" borderId="12" xfId="0" applyFont="1" applyFill="1" applyBorder="1" applyAlignment="1">
      <alignment horizontal="left" vertical="center" indent="1"/>
    </xf>
    <xf numFmtId="0" fontId="3" fillId="3" borderId="10" xfId="0" applyFont="1" applyFill="1" applyBorder="1" applyAlignment="1">
      <alignment horizontal="left" vertical="center" indent="1"/>
    </xf>
    <xf numFmtId="0" fontId="3" fillId="3" borderId="11" xfId="0" applyFont="1" applyFill="1" applyBorder="1" applyAlignment="1">
      <alignment horizontal="left" vertical="center" indent="1"/>
    </xf>
    <xf numFmtId="44" fontId="3" fillId="0" borderId="0" xfId="2" applyNumberFormat="1" applyFont="1" applyAlignment="1">
      <alignment vertical="center"/>
    </xf>
    <xf numFmtId="164" fontId="3" fillId="0" borderId="0" xfId="1" applyNumberFormat="1" applyFont="1" applyBorder="1" applyAlignment="1">
      <alignment horizontal="left" vertical="center"/>
    </xf>
    <xf numFmtId="8" fontId="3" fillId="0" borderId="0" xfId="2" applyNumberFormat="1" applyFont="1" applyAlignment="1">
      <alignment vertical="center"/>
    </xf>
    <xf numFmtId="42" fontId="3" fillId="0" borderId="0" xfId="2" applyNumberFormat="1" applyFont="1" applyAlignment="1">
      <alignment vertical="center"/>
    </xf>
    <xf numFmtId="0" fontId="5" fillId="3" borderId="15" xfId="0" applyFont="1" applyFill="1" applyBorder="1" applyAlignment="1">
      <alignment horizontal="right" vertical="center" indent="1"/>
    </xf>
    <xf numFmtId="0" fontId="5" fillId="0" borderId="0" xfId="0" applyFont="1" applyAlignment="1">
      <alignment horizontal="left" vertical="center"/>
    </xf>
    <xf numFmtId="166" fontId="3" fillId="0" borderId="6" xfId="3" applyNumberFormat="1" applyFont="1" applyBorder="1" applyAlignment="1">
      <alignment horizontal="right" vertical="center" indent="1"/>
    </xf>
    <xf numFmtId="0" fontId="3" fillId="0" borderId="0" xfId="0" applyFont="1" applyAlignment="1">
      <alignment horizontal="left" vertical="center"/>
    </xf>
    <xf numFmtId="166" fontId="3" fillId="0" borderId="8" xfId="3" applyNumberFormat="1" applyFont="1" applyBorder="1" applyAlignment="1">
      <alignment horizontal="right" vertical="center" indent="1"/>
    </xf>
    <xf numFmtId="0" fontId="3" fillId="0" borderId="0" xfId="0" applyFont="1" applyAlignment="1">
      <alignment horizontal="left" vertical="center" indent="1"/>
    </xf>
    <xf numFmtId="0" fontId="3" fillId="0" borderId="0" xfId="0" applyFont="1" applyAlignment="1">
      <alignment horizontal="right" vertical="center" indent="1"/>
    </xf>
    <xf numFmtId="0" fontId="3" fillId="4" borderId="13" xfId="0" applyFont="1" applyFill="1" applyBorder="1" applyAlignment="1">
      <alignment horizontal="right" vertical="center"/>
    </xf>
    <xf numFmtId="0" fontId="3" fillId="4" borderId="14" xfId="0" applyFont="1" applyFill="1" applyBorder="1" applyAlignment="1">
      <alignment horizontal="right" vertical="center"/>
    </xf>
    <xf numFmtId="166" fontId="3" fillId="0" borderId="7" xfId="3" applyNumberFormat="1" applyFont="1" applyBorder="1" applyAlignment="1">
      <alignment horizontal="right" vertical="center" indent="1"/>
    </xf>
    <xf numFmtId="166" fontId="3" fillId="3" borderId="0" xfId="3" applyNumberFormat="1" applyFont="1" applyFill="1" applyBorder="1" applyAlignment="1">
      <alignment horizontal="right" vertical="center" indent="1"/>
    </xf>
    <xf numFmtId="166" fontId="3" fillId="3" borderId="4" xfId="3" applyNumberFormat="1" applyFont="1" applyFill="1" applyBorder="1" applyAlignment="1">
      <alignment horizontal="right" vertical="center" indent="1"/>
    </xf>
    <xf numFmtId="166" fontId="3" fillId="3" borderId="1" xfId="3" applyNumberFormat="1" applyFont="1" applyFill="1" applyBorder="1" applyAlignment="1">
      <alignment horizontal="right" vertical="center" indent="1"/>
    </xf>
    <xf numFmtId="166" fontId="3" fillId="3" borderId="5" xfId="3" applyNumberFormat="1" applyFont="1" applyFill="1" applyBorder="1" applyAlignment="1">
      <alignment horizontal="right" vertical="center" indent="1"/>
    </xf>
    <xf numFmtId="166" fontId="3" fillId="3" borderId="2" xfId="3" applyNumberFormat="1" applyFont="1" applyFill="1" applyBorder="1" applyAlignment="1">
      <alignment horizontal="right" vertical="center" indent="1"/>
    </xf>
    <xf numFmtId="166" fontId="3" fillId="3" borderId="3" xfId="3" applyNumberFormat="1" applyFont="1" applyFill="1" applyBorder="1" applyAlignment="1">
      <alignment horizontal="right" vertical="center" indent="1"/>
    </xf>
    <xf numFmtId="9" fontId="3" fillId="0" borderId="0" xfId="2" applyFont="1" applyAlignment="1">
      <alignment horizontal="right" vertical="center" indent="1"/>
    </xf>
    <xf numFmtId="42" fontId="3" fillId="0" borderId="0" xfId="0" applyNumberFormat="1" applyFont="1" applyAlignment="1">
      <alignment vertical="center"/>
    </xf>
    <xf numFmtId="42" fontId="3" fillId="0" borderId="0" xfId="2" applyNumberFormat="1" applyFont="1" applyBorder="1" applyAlignment="1">
      <alignment vertical="center"/>
    </xf>
    <xf numFmtId="42" fontId="3" fillId="0" borderId="0" xfId="0" applyNumberFormat="1" applyFont="1" applyBorder="1" applyAlignment="1">
      <alignment vertical="center"/>
    </xf>
    <xf numFmtId="9" fontId="3" fillId="0" borderId="0" xfId="2" applyFont="1" applyBorder="1" applyAlignment="1">
      <alignment vertical="center"/>
    </xf>
    <xf numFmtId="0" fontId="3" fillId="0" borderId="0" xfId="0" applyFont="1" applyBorder="1" applyAlignment="1">
      <alignment vertical="center"/>
    </xf>
    <xf numFmtId="0" fontId="3" fillId="3" borderId="12" xfId="0" applyFont="1" applyFill="1" applyBorder="1" applyAlignment="1">
      <alignment horizontal="left" vertical="center" indent="1"/>
    </xf>
    <xf numFmtId="164" fontId="3" fillId="2" borderId="12" xfId="0" applyNumberFormat="1" applyFont="1" applyFill="1" applyBorder="1" applyAlignment="1">
      <alignment horizontal="left" vertical="center"/>
    </xf>
    <xf numFmtId="164" fontId="3" fillId="2" borderId="13" xfId="0" applyNumberFormat="1" applyFont="1" applyFill="1" applyBorder="1" applyAlignment="1">
      <alignment horizontal="left" vertical="center"/>
    </xf>
    <xf numFmtId="164" fontId="3" fillId="2" borderId="14" xfId="0" applyNumberFormat="1" applyFont="1" applyFill="1" applyBorder="1" applyAlignment="1">
      <alignment horizontal="left" vertical="center"/>
    </xf>
    <xf numFmtId="0" fontId="3" fillId="2" borderId="12" xfId="0" applyFont="1" applyFill="1" applyBorder="1" applyAlignment="1">
      <alignment horizontal="left" vertical="center" indent="1"/>
    </xf>
    <xf numFmtId="42" fontId="3" fillId="2" borderId="13" xfId="0" applyNumberFormat="1" applyFont="1" applyFill="1" applyBorder="1" applyAlignment="1">
      <alignment horizontal="left" vertical="center"/>
    </xf>
    <xf numFmtId="42" fontId="3" fillId="2" borderId="12" xfId="0" applyNumberFormat="1" applyFont="1" applyFill="1" applyBorder="1" applyAlignment="1">
      <alignment horizontal="left" vertical="center"/>
    </xf>
    <xf numFmtId="42" fontId="3" fillId="2" borderId="14" xfId="0" applyNumberFormat="1" applyFont="1" applyFill="1" applyBorder="1" applyAlignment="1">
      <alignment horizontal="left" vertical="center"/>
    </xf>
    <xf numFmtId="42" fontId="3" fillId="2" borderId="15" xfId="0" applyNumberFormat="1" applyFont="1" applyFill="1" applyBorder="1" applyAlignment="1">
      <alignment horizontal="left" vertical="center"/>
    </xf>
    <xf numFmtId="3" fontId="3" fillId="2" borderId="6" xfId="0" applyNumberFormat="1" applyFont="1" applyFill="1" applyBorder="1" applyAlignment="1">
      <alignment horizontal="right" vertical="center" indent="1"/>
    </xf>
    <xf numFmtId="165" fontId="3" fillId="2" borderId="6" xfId="2" applyNumberFormat="1" applyFont="1" applyFill="1" applyBorder="1" applyAlignment="1">
      <alignment horizontal="right" vertical="center" indent="1"/>
    </xf>
    <xf numFmtId="3" fontId="3" fillId="2" borderId="8" xfId="0" applyNumberFormat="1" applyFont="1" applyFill="1" applyBorder="1" applyAlignment="1">
      <alignment horizontal="right" vertical="center" indent="1"/>
    </xf>
    <xf numFmtId="165" fontId="3" fillId="2" borderId="8" xfId="2" applyNumberFormat="1" applyFont="1" applyFill="1" applyBorder="1" applyAlignment="1">
      <alignment horizontal="right" vertical="center" indent="1"/>
    </xf>
    <xf numFmtId="0" fontId="4" fillId="4" borderId="12" xfId="0" applyFont="1" applyFill="1" applyBorder="1" applyAlignment="1">
      <alignment horizontal="left" vertical="center" indent="1"/>
    </xf>
    <xf numFmtId="166" fontId="3" fillId="3" borderId="10" xfId="3" applyNumberFormat="1" applyFont="1" applyFill="1" applyBorder="1" applyAlignment="1">
      <alignment horizontal="right" vertical="center" indent="1"/>
    </xf>
    <xf numFmtId="49" fontId="5" fillId="3" borderId="13" xfId="0" applyNumberFormat="1" applyFont="1" applyFill="1" applyBorder="1" applyAlignment="1">
      <alignment horizontal="left" vertical="center"/>
    </xf>
    <xf numFmtId="49" fontId="5" fillId="3" borderId="12" xfId="0" applyNumberFormat="1" applyFont="1" applyFill="1" applyBorder="1" applyAlignment="1">
      <alignment horizontal="right" vertical="center" indent="1"/>
    </xf>
    <xf numFmtId="49" fontId="5" fillId="3" borderId="13" xfId="0" applyNumberFormat="1" applyFont="1" applyFill="1" applyBorder="1" applyAlignment="1">
      <alignment horizontal="right" vertical="center" indent="1"/>
    </xf>
    <xf numFmtId="49" fontId="5" fillId="3" borderId="14" xfId="0" applyNumberFormat="1" applyFont="1" applyFill="1" applyBorder="1" applyAlignment="1">
      <alignment horizontal="right" vertical="center" indent="1"/>
    </xf>
    <xf numFmtId="0" fontId="3" fillId="3" borderId="1" xfId="0" applyFont="1" applyFill="1" applyBorder="1" applyAlignment="1">
      <alignment horizontal="left" vertical="center"/>
    </xf>
    <xf numFmtId="164" fontId="3" fillId="3" borderId="12" xfId="0" applyNumberFormat="1" applyFont="1" applyFill="1" applyBorder="1" applyAlignment="1">
      <alignment horizontal="left" vertical="center"/>
    </xf>
    <xf numFmtId="164" fontId="3" fillId="3" borderId="13" xfId="0" applyNumberFormat="1" applyFont="1" applyFill="1" applyBorder="1" applyAlignment="1">
      <alignment horizontal="left" vertical="center"/>
    </xf>
    <xf numFmtId="164" fontId="3" fillId="3" borderId="14" xfId="0" applyNumberFormat="1" applyFont="1" applyFill="1" applyBorder="1" applyAlignment="1">
      <alignment horizontal="left" vertical="center"/>
    </xf>
    <xf numFmtId="0" fontId="5" fillId="5" borderId="12" xfId="0" applyFont="1" applyFill="1" applyBorder="1" applyAlignment="1">
      <alignment horizontal="left" vertical="center" indent="1"/>
    </xf>
    <xf numFmtId="0" fontId="3" fillId="5" borderId="9" xfId="0" applyFont="1" applyFill="1" applyBorder="1" applyAlignment="1">
      <alignment horizontal="left" vertical="center" indent="1"/>
    </xf>
    <xf numFmtId="0" fontId="3" fillId="5" borderId="11" xfId="0" applyFont="1" applyFill="1" applyBorder="1" applyAlignment="1">
      <alignment horizontal="left" vertical="center" indent="1"/>
    </xf>
    <xf numFmtId="0" fontId="3" fillId="5" borderId="12" xfId="0" applyFont="1" applyFill="1" applyBorder="1" applyAlignment="1">
      <alignment horizontal="left" vertical="center" indent="1"/>
    </xf>
    <xf numFmtId="0" fontId="3" fillId="5" borderId="10" xfId="0" applyFont="1" applyFill="1" applyBorder="1" applyAlignment="1">
      <alignment horizontal="left" vertical="center" indent="1"/>
    </xf>
    <xf numFmtId="164" fontId="3" fillId="0" borderId="0" xfId="2" applyNumberFormat="1" applyFont="1" applyAlignment="1">
      <alignment vertical="center"/>
    </xf>
    <xf numFmtId="164" fontId="6" fillId="5" borderId="0" xfId="2" applyNumberFormat="1" applyFont="1" applyFill="1" applyBorder="1" applyAlignment="1">
      <alignment vertical="center"/>
    </xf>
    <xf numFmtId="164" fontId="3" fillId="0" borderId="0" xfId="0" applyNumberFormat="1" applyFont="1" applyBorder="1" applyAlignment="1">
      <alignment vertical="center"/>
    </xf>
    <xf numFmtId="0" fontId="5" fillId="5" borderId="13" xfId="2" applyNumberFormat="1" applyFont="1" applyFill="1" applyBorder="1" applyAlignment="1">
      <alignment horizontal="right" vertical="center"/>
    </xf>
    <xf numFmtId="0" fontId="5" fillId="5" borderId="14" xfId="2" applyNumberFormat="1" applyFont="1" applyFill="1" applyBorder="1" applyAlignment="1">
      <alignment horizontal="right" vertical="center"/>
    </xf>
    <xf numFmtId="42" fontId="6" fillId="5" borderId="2" xfId="2" applyNumberFormat="1" applyFont="1" applyFill="1" applyBorder="1" applyAlignment="1">
      <alignment vertical="center"/>
    </xf>
    <xf numFmtId="9" fontId="6" fillId="5" borderId="2" xfId="2" applyFont="1" applyFill="1" applyBorder="1" applyAlignment="1">
      <alignment vertical="center"/>
    </xf>
    <xf numFmtId="164" fontId="6" fillId="5" borderId="2" xfId="2" applyNumberFormat="1" applyFont="1" applyFill="1" applyBorder="1" applyAlignment="1">
      <alignment vertical="center"/>
    </xf>
    <xf numFmtId="164" fontId="6" fillId="5" borderId="3" xfId="2" applyNumberFormat="1" applyFont="1" applyFill="1" applyBorder="1" applyAlignment="1">
      <alignment vertical="center"/>
    </xf>
    <xf numFmtId="164" fontId="6" fillId="5" borderId="4" xfId="2" applyNumberFormat="1" applyFont="1" applyFill="1" applyBorder="1" applyAlignment="1">
      <alignment vertical="center"/>
    </xf>
    <xf numFmtId="42" fontId="6" fillId="5" borderId="1" xfId="2" applyNumberFormat="1" applyFont="1" applyFill="1" applyBorder="1" applyAlignment="1">
      <alignment vertical="center"/>
    </xf>
    <xf numFmtId="9" fontId="6" fillId="5" borderId="1" xfId="2" applyFont="1" applyFill="1" applyBorder="1" applyAlignment="1">
      <alignment vertical="center"/>
    </xf>
    <xf numFmtId="164" fontId="6" fillId="5" borderId="1" xfId="2" applyNumberFormat="1" applyFont="1" applyFill="1" applyBorder="1" applyAlignment="1">
      <alignment vertical="center"/>
    </xf>
    <xf numFmtId="164" fontId="6" fillId="5" borderId="5" xfId="2" applyNumberFormat="1" applyFont="1" applyFill="1" applyBorder="1" applyAlignment="1">
      <alignment vertical="center"/>
    </xf>
    <xf numFmtId="42" fontId="5" fillId="5" borderId="12" xfId="2" applyNumberFormat="1" applyFont="1" applyFill="1" applyBorder="1" applyAlignment="1">
      <alignment horizontal="right" vertical="center"/>
    </xf>
    <xf numFmtId="42" fontId="5" fillId="5" borderId="14" xfId="2" applyNumberFormat="1" applyFont="1" applyFill="1" applyBorder="1" applyAlignment="1">
      <alignment horizontal="right" vertical="center"/>
    </xf>
    <xf numFmtId="42" fontId="6" fillId="5" borderId="9" xfId="2" applyNumberFormat="1" applyFont="1" applyFill="1" applyBorder="1" applyAlignment="1">
      <alignment vertical="center"/>
    </xf>
    <xf numFmtId="9" fontId="6" fillId="5" borderId="3" xfId="2" applyFont="1" applyFill="1" applyBorder="1" applyAlignment="1">
      <alignment vertical="center"/>
    </xf>
    <xf numFmtId="42" fontId="6" fillId="5" borderId="10" xfId="2" applyNumberFormat="1" applyFont="1" applyFill="1" applyBorder="1" applyAlignment="1">
      <alignment vertical="center"/>
    </xf>
    <xf numFmtId="9" fontId="6" fillId="5" borderId="4" xfId="2" applyFont="1" applyFill="1" applyBorder="1" applyAlignment="1">
      <alignment vertical="center"/>
    </xf>
    <xf numFmtId="42" fontId="6" fillId="5" borderId="11" xfId="2" applyNumberFormat="1" applyFont="1" applyFill="1" applyBorder="1" applyAlignment="1">
      <alignment vertical="center"/>
    </xf>
    <xf numFmtId="9" fontId="6" fillId="5" borderId="5" xfId="2" applyFont="1" applyFill="1" applyBorder="1" applyAlignment="1">
      <alignment vertical="center"/>
    </xf>
    <xf numFmtId="9" fontId="3" fillId="5" borderId="13" xfId="2" applyFont="1" applyFill="1" applyBorder="1" applyAlignment="1">
      <alignment vertical="center"/>
    </xf>
    <xf numFmtId="0" fontId="3" fillId="5" borderId="13" xfId="0" applyFont="1" applyFill="1" applyBorder="1" applyAlignment="1">
      <alignment vertical="center"/>
    </xf>
    <xf numFmtId="164" fontId="3" fillId="5" borderId="13" xfId="0" applyNumberFormat="1" applyFont="1" applyFill="1" applyBorder="1" applyAlignment="1">
      <alignment vertical="center"/>
    </xf>
    <xf numFmtId="164" fontId="3" fillId="5" borderId="14" xfId="0" applyNumberFormat="1" applyFont="1" applyFill="1" applyBorder="1" applyAlignment="1">
      <alignment vertical="center"/>
    </xf>
    <xf numFmtId="0" fontId="5" fillId="2" borderId="0" xfId="0" applyFont="1" applyFill="1" applyAlignment="1">
      <alignment horizontal="left" vertical="center" indent="1"/>
    </xf>
    <xf numFmtId="9" fontId="3" fillId="2" borderId="0" xfId="2" applyFont="1" applyFill="1" applyBorder="1" applyAlignment="1">
      <alignment vertical="center"/>
    </xf>
    <xf numFmtId="0" fontId="3" fillId="2" borderId="0" xfId="0" applyFont="1" applyFill="1" applyBorder="1" applyAlignment="1">
      <alignment vertical="center"/>
    </xf>
    <xf numFmtId="166" fontId="3" fillId="3" borderId="9" xfId="3" applyNumberFormat="1" applyFont="1" applyFill="1" applyBorder="1" applyAlignment="1">
      <alignment horizontal="right" vertical="center" indent="1"/>
    </xf>
    <xf numFmtId="0" fontId="5" fillId="3" borderId="6" xfId="0" applyFont="1" applyFill="1" applyBorder="1" applyAlignment="1">
      <alignment horizontal="right" vertical="center" indent="1"/>
    </xf>
    <xf numFmtId="166" fontId="3" fillId="5" borderId="8" xfId="3" applyNumberFormat="1" applyFont="1" applyFill="1" applyBorder="1" applyAlignment="1">
      <alignment horizontal="right" vertical="center" indent="1"/>
    </xf>
    <xf numFmtId="166" fontId="3" fillId="5" borderId="11" xfId="3" applyNumberFormat="1" applyFont="1" applyFill="1" applyBorder="1" applyAlignment="1">
      <alignment horizontal="right" vertical="center" indent="1"/>
    </xf>
    <xf numFmtId="166" fontId="3" fillId="5" borderId="1" xfId="3" applyNumberFormat="1" applyFont="1" applyFill="1" applyBorder="1" applyAlignment="1">
      <alignment horizontal="right" vertical="center" indent="1"/>
    </xf>
    <xf numFmtId="166" fontId="3" fillId="5" borderId="5" xfId="3" applyNumberFormat="1" applyFont="1" applyFill="1" applyBorder="1" applyAlignment="1">
      <alignment horizontal="right" vertical="center" indent="1"/>
    </xf>
    <xf numFmtId="44" fontId="3" fillId="0" borderId="0" xfId="0" applyNumberFormat="1" applyFont="1" applyAlignment="1">
      <alignment vertical="center"/>
    </xf>
    <xf numFmtId="0" fontId="6" fillId="3" borderId="12" xfId="4" applyFont="1" applyFill="1" applyBorder="1" applyAlignment="1">
      <alignment horizontal="left" vertical="center" indent="1"/>
    </xf>
    <xf numFmtId="0" fontId="8" fillId="3" borderId="13" xfId="4" applyFont="1" applyFill="1" applyBorder="1" applyAlignment="1">
      <alignment horizontal="right" vertical="center" indent="1"/>
    </xf>
    <xf numFmtId="0" fontId="8" fillId="3" borderId="14" xfId="4" applyFont="1" applyFill="1" applyBorder="1" applyAlignment="1">
      <alignment horizontal="right" vertical="center" indent="1"/>
    </xf>
    <xf numFmtId="168" fontId="6" fillId="3" borderId="13" xfId="4" applyNumberFormat="1" applyFont="1" applyFill="1" applyBorder="1" applyAlignment="1">
      <alignment horizontal="right" vertical="center" indent="1"/>
    </xf>
    <xf numFmtId="0" fontId="8" fillId="3" borderId="12" xfId="4" applyFont="1" applyFill="1" applyBorder="1" applyAlignment="1">
      <alignment horizontal="right" vertical="center" indent="1"/>
    </xf>
    <xf numFmtId="168" fontId="6" fillId="3" borderId="12" xfId="4" applyNumberFormat="1" applyFont="1" applyFill="1" applyBorder="1" applyAlignment="1">
      <alignment horizontal="right" vertical="center" indent="1"/>
    </xf>
    <xf numFmtId="168" fontId="6" fillId="3" borderId="14" xfId="4" applyNumberFormat="1" applyFont="1" applyFill="1" applyBorder="1" applyAlignment="1">
      <alignment horizontal="right" vertical="center" indent="1"/>
    </xf>
    <xf numFmtId="166" fontId="3" fillId="0" borderId="15" xfId="3" applyNumberFormat="1" applyFont="1" applyFill="1" applyBorder="1" applyAlignment="1">
      <alignment horizontal="right" vertical="center" indent="1"/>
    </xf>
    <xf numFmtId="10" fontId="3" fillId="0" borderId="13" xfId="2" applyNumberFormat="1" applyFont="1" applyFill="1" applyBorder="1" applyAlignment="1">
      <alignment horizontal="right" vertical="center" indent="1"/>
    </xf>
    <xf numFmtId="10" fontId="3" fillId="0" borderId="14" xfId="2" applyNumberFormat="1" applyFont="1" applyFill="1" applyBorder="1" applyAlignment="1">
      <alignment horizontal="right" vertical="center" indent="1"/>
    </xf>
    <xf numFmtId="0" fontId="4" fillId="4" borderId="12" xfId="0" applyFont="1" applyFill="1" applyBorder="1" applyAlignment="1">
      <alignment horizontal="left" vertical="center" indent="1"/>
    </xf>
    <xf numFmtId="0" fontId="4" fillId="4" borderId="13" xfId="0" applyFont="1" applyFill="1" applyBorder="1" applyAlignment="1">
      <alignment horizontal="left" vertical="center" indent="1"/>
    </xf>
    <xf numFmtId="0" fontId="4" fillId="4" borderId="14" xfId="0" applyFont="1" applyFill="1" applyBorder="1" applyAlignment="1">
      <alignment horizontal="left" vertical="center" indent="1"/>
    </xf>
    <xf numFmtId="0" fontId="5" fillId="3" borderId="12" xfId="0" applyFont="1" applyFill="1" applyBorder="1" applyAlignment="1">
      <alignment horizontal="center" vertical="center"/>
    </xf>
    <xf numFmtId="0" fontId="5" fillId="3" borderId="14" xfId="0" applyFont="1" applyFill="1" applyBorder="1" applyAlignment="1">
      <alignment horizontal="center" vertical="center"/>
    </xf>
  </cellXfs>
  <cellStyles count="5">
    <cellStyle name="Comma" xfId="3" builtinId="3"/>
    <cellStyle name="Currency" xfId="1" builtinId="4"/>
    <cellStyle name="Normal" xfId="0" builtinId="0"/>
    <cellStyle name="Normal 13 2" xfId="4"/>
    <cellStyle name="Percent" xfId="2" builtinId="5"/>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AL%20PUBLIC%20RRP%20MOD%201.36%20PAL%20Opex%20Consolidat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General"/>
      <sheetName val="Input|Inflation"/>
      <sheetName val="Input|Reported opex"/>
      <sheetName val="Input|Rate of change"/>
      <sheetName val="Input|Step changes"/>
      <sheetName val="Calc|Opex forecast"/>
      <sheetName val="Output|Models"/>
      <sheetName val="Lookup|Tables"/>
      <sheetName val="Check|List"/>
    </sheetNames>
    <sheetDataSet>
      <sheetData sheetId="0"/>
      <sheetData sheetId="1"/>
      <sheetData sheetId="2"/>
      <sheetData sheetId="3"/>
      <sheetData sheetId="4"/>
      <sheetData sheetId="5"/>
      <sheetData sheetId="6">
        <row r="36">
          <cell r="O36">
            <v>1.2162368743743938E-2</v>
          </cell>
          <cell r="P36">
            <v>1.4992549655592425E-2</v>
          </cell>
          <cell r="Q36">
            <v>1.8175918892252112E-2</v>
          </cell>
          <cell r="R36">
            <v>1.8035696896631467E-2</v>
          </cell>
          <cell r="S36">
            <v>1.8193399813701355E-2</v>
          </cell>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L37"/>
  <sheetViews>
    <sheetView showGridLines="0" tabSelected="1" zoomScale="85" zoomScaleNormal="85" workbookViewId="0">
      <selection activeCell="C20" sqref="C20"/>
    </sheetView>
  </sheetViews>
  <sheetFormatPr defaultRowHeight="24.75" customHeight="1" x14ac:dyDescent="0.2"/>
  <cols>
    <col min="1" max="1" width="4.375" style="1" customWidth="1"/>
    <col min="2" max="2" width="42.5" style="1" customWidth="1"/>
    <col min="3" max="6" width="15.375" style="21" customWidth="1"/>
    <col min="7" max="10" width="15.375" style="1" customWidth="1"/>
    <col min="11" max="11" width="6.375" style="1" customWidth="1"/>
    <col min="12" max="12" width="14.5" style="3" bestFit="1" customWidth="1"/>
    <col min="13" max="13" width="13" style="1" bestFit="1" customWidth="1"/>
    <col min="14" max="16384" width="9" style="1"/>
  </cols>
  <sheetData>
    <row r="1" spans="2:12" ht="24.75" customHeight="1" x14ac:dyDescent="0.2">
      <c r="C1" s="2"/>
      <c r="D1" s="2"/>
      <c r="E1" s="2"/>
      <c r="F1" s="2"/>
      <c r="G1" s="2"/>
      <c r="H1" s="2"/>
      <c r="I1" s="2"/>
      <c r="J1" s="2"/>
    </row>
    <row r="2" spans="2:12" ht="24.75" customHeight="1" x14ac:dyDescent="0.2">
      <c r="B2" s="130"/>
      <c r="C2" s="134">
        <v>2010</v>
      </c>
      <c r="D2" s="131">
        <v>2011</v>
      </c>
      <c r="E2" s="131">
        <v>2012</v>
      </c>
      <c r="F2" s="131">
        <v>2013</v>
      </c>
      <c r="G2" s="131">
        <v>2014</v>
      </c>
      <c r="H2" s="132">
        <v>2015</v>
      </c>
      <c r="I2" s="2"/>
      <c r="J2" s="2"/>
    </row>
    <row r="3" spans="2:12" ht="24.75" customHeight="1" x14ac:dyDescent="0.2">
      <c r="B3" s="130" t="s">
        <v>61</v>
      </c>
      <c r="C3" s="135">
        <v>1.1424759481560132</v>
      </c>
      <c r="D3" s="133">
        <v>1.1111019528790982</v>
      </c>
      <c r="E3" s="133">
        <v>1.0829682230828193</v>
      </c>
      <c r="F3" s="133">
        <v>1.0568183435763274</v>
      </c>
      <c r="G3" s="133">
        <v>1.0337650051524583</v>
      </c>
      <c r="H3" s="136">
        <v>1.0124228365658292</v>
      </c>
      <c r="I3" s="2"/>
      <c r="J3" s="2"/>
    </row>
    <row r="4" spans="2:12" ht="24.75" customHeight="1" x14ac:dyDescent="0.2">
      <c r="C4" s="2"/>
      <c r="D4" s="2"/>
      <c r="E4" s="2"/>
      <c r="F4" s="2"/>
      <c r="G4" s="2"/>
      <c r="H4" s="2"/>
      <c r="I4" s="2"/>
      <c r="J4" s="2"/>
    </row>
    <row r="5" spans="2:12" ht="24.75" customHeight="1" x14ac:dyDescent="0.2">
      <c r="B5" s="140" t="s">
        <v>45</v>
      </c>
      <c r="C5" s="141"/>
      <c r="D5" s="141"/>
      <c r="E5" s="141"/>
      <c r="F5" s="141"/>
      <c r="G5" s="141"/>
      <c r="H5" s="141"/>
      <c r="I5" s="141"/>
      <c r="J5" s="142"/>
      <c r="L5" s="42"/>
    </row>
    <row r="6" spans="2:12" ht="24.75" customHeight="1" x14ac:dyDescent="0.2">
      <c r="B6" s="4" t="s">
        <v>41</v>
      </c>
      <c r="C6" s="5">
        <v>2014</v>
      </c>
      <c r="D6" s="5">
        <v>2015</v>
      </c>
      <c r="E6" s="6">
        <v>2016</v>
      </c>
      <c r="F6" s="5">
        <v>2017</v>
      </c>
      <c r="G6" s="5">
        <v>2018</v>
      </c>
      <c r="H6" s="5">
        <v>2019</v>
      </c>
      <c r="I6" s="7">
        <v>2020</v>
      </c>
      <c r="J6" s="7" t="s">
        <v>36</v>
      </c>
      <c r="L6" s="42"/>
    </row>
    <row r="7" spans="2:12" ht="24.75" customHeight="1" x14ac:dyDescent="0.2">
      <c r="B7" s="8" t="s">
        <v>11</v>
      </c>
      <c r="C7" s="9">
        <f>'Unit rate summary - phones'!E17+'Unit rate summary - phones'!E50</f>
        <v>999484.0562757178</v>
      </c>
      <c r="D7" s="9">
        <f>'Unit rate summary - phones'!F17+'Unit rate summary - phones'!F50</f>
        <v>30646.115019918238</v>
      </c>
      <c r="E7" s="10">
        <f>'Unit rate summary - phones'!G17+'Unit rate summary - phones'!G50</f>
        <v>583519.3787692046</v>
      </c>
      <c r="F7" s="9">
        <f>'Unit rate summary - phones'!H17+'Unit rate summary - phones'!H50</f>
        <v>474306.6807050762</v>
      </c>
      <c r="G7" s="9">
        <f>'Unit rate summary - phones'!I17+'Unit rate summary - phones'!I50</f>
        <v>597440.63230777939</v>
      </c>
      <c r="H7" s="9">
        <f>'Unit rate summary - phones'!J17+'Unit rate summary - phones'!J50</f>
        <v>64324.220294291401</v>
      </c>
      <c r="I7" s="11">
        <f>'Unit rate summary - phones'!K17+'Unit rate summary - phones'!K50</f>
        <v>1044005.7444076499</v>
      </c>
      <c r="J7" s="11">
        <f>SUM(E7:I7)</f>
        <v>2763596.6564840013</v>
      </c>
    </row>
    <row r="8" spans="2:12" ht="24.75" customHeight="1" x14ac:dyDescent="0.2">
      <c r="B8" s="12" t="s">
        <v>12</v>
      </c>
      <c r="C8" s="13">
        <f>'Unit rate summary - phones'!E18+'Unit rate summary - phones'!E51</f>
        <v>963305.03242515901</v>
      </c>
      <c r="D8" s="13">
        <f>'Unit rate summary - phones'!F18+'Unit rate summary - phones'!F51</f>
        <v>899849.13637958642</v>
      </c>
      <c r="E8" s="14">
        <f>'Unit rate summary - phones'!G18+'Unit rate summary - phones'!G51</f>
        <v>946980.51379108871</v>
      </c>
      <c r="F8" s="13">
        <f>'Unit rate summary - phones'!H18+'Unit rate summary - phones'!H51</f>
        <v>953452.07534971228</v>
      </c>
      <c r="G8" s="13">
        <f>'Unit rate summary - phones'!I18+'Unit rate summary - phones'!I51</f>
        <v>978282.19060357008</v>
      </c>
      <c r="H8" s="13">
        <f>'Unit rate summary - phones'!J18+'Unit rate summary - phones'!J51</f>
        <v>960302.96531788586</v>
      </c>
      <c r="I8" s="15">
        <f>'Unit rate summary - phones'!K18+'Unit rate summary - phones'!K51</f>
        <v>1041863.6088915094</v>
      </c>
      <c r="J8" s="15">
        <f t="shared" ref="J8:J9" si="0">SUM(E8:I8)</f>
        <v>4880881.3539537657</v>
      </c>
    </row>
    <row r="9" spans="2:12" ht="24.75" customHeight="1" x14ac:dyDescent="0.2">
      <c r="B9" s="12" t="s">
        <v>10</v>
      </c>
      <c r="C9" s="13">
        <f>'Unit rate summary - phones'!E33+'Unit rate summary - phones'!E66</f>
        <v>0</v>
      </c>
      <c r="D9" s="13">
        <f>'Unit rate summary - phones'!F33+'Unit rate summary - phones'!F66</f>
        <v>0</v>
      </c>
      <c r="E9" s="14">
        <f>'Unit rate summary - phones'!G33+'Unit rate summary - phones'!G66</f>
        <v>1373377.1484632462</v>
      </c>
      <c r="F9" s="13">
        <f>'Unit rate summary - phones'!H33+'Unit rate summary - phones'!H66</f>
        <v>1044659.1925715508</v>
      </c>
      <c r="G9" s="13">
        <f>'Unit rate summary - phones'!I33+'Unit rate summary - phones'!I66</f>
        <v>1414067.1918658013</v>
      </c>
      <c r="H9" s="13">
        <f>'Unit rate summary - phones'!J33+'Unit rate summary - phones'!J66</f>
        <v>1089149.7862438885</v>
      </c>
      <c r="I9" s="15">
        <f>'Unit rate summary - phones'!K33+'Unit rate summary - phones'!K66</f>
        <v>1459442.319865871</v>
      </c>
      <c r="J9" s="15">
        <f t="shared" si="0"/>
        <v>6380695.6390103586</v>
      </c>
      <c r="L9" s="42"/>
    </row>
    <row r="10" spans="2:12" ht="24.75" customHeight="1" x14ac:dyDescent="0.2">
      <c r="B10" s="4" t="s">
        <v>42</v>
      </c>
      <c r="C10" s="5">
        <v>2014</v>
      </c>
      <c r="D10" s="5">
        <v>2015</v>
      </c>
      <c r="E10" s="6">
        <v>2016</v>
      </c>
      <c r="F10" s="5">
        <v>2017</v>
      </c>
      <c r="G10" s="5">
        <v>2018</v>
      </c>
      <c r="H10" s="5">
        <v>2019</v>
      </c>
      <c r="I10" s="7">
        <v>2020</v>
      </c>
      <c r="J10" s="7" t="s">
        <v>36</v>
      </c>
      <c r="L10" s="42"/>
    </row>
    <row r="11" spans="2:12" ht="24.75" customHeight="1" x14ac:dyDescent="0.2">
      <c r="B11" s="8" t="s">
        <v>11</v>
      </c>
      <c r="C11" s="9">
        <f>'Unit rate summary - tablets'!E17+'Unit rate summary - tablets'!E50</f>
        <v>682293.96520604461</v>
      </c>
      <c r="D11" s="9">
        <f>'Unit rate summary - tablets'!F17+'Unit rate summary - tablets'!F50</f>
        <v>0</v>
      </c>
      <c r="E11" s="10">
        <f>'Unit rate summary - tablets'!G17+'Unit rate summary - tablets'!G50</f>
        <v>596368.46269318589</v>
      </c>
      <c r="F11" s="9">
        <f>'Unit rate summary - tablets'!H17+'Unit rate summary - tablets'!H50</f>
        <v>104577.55229906208</v>
      </c>
      <c r="G11" s="9">
        <f>'Unit rate summary - tablets'!I17+'Unit rate summary - tablets'!I50</f>
        <v>607962.8158476227</v>
      </c>
      <c r="H11" s="9">
        <f>'Unit rate summary - tablets'!J17+'Unit rate summary - tablets'!J50</f>
        <v>22941.71805874096</v>
      </c>
      <c r="I11" s="11">
        <f>'Unit rate summary - tablets'!K17+'Unit rate summary - tablets'!K50</f>
        <v>715075.6068076638</v>
      </c>
      <c r="J11" s="11">
        <f t="shared" ref="J11:J13" si="1">SUM(E11:I11)</f>
        <v>2046926.1557062755</v>
      </c>
      <c r="L11" s="42"/>
    </row>
    <row r="12" spans="2:12" ht="24.75" customHeight="1" x14ac:dyDescent="0.2">
      <c r="B12" s="12" t="s">
        <v>12</v>
      </c>
      <c r="C12" s="13">
        <f>'Unit rate summary - tablets'!E18+'Unit rate summary - tablets'!E51</f>
        <v>383222.61440972699</v>
      </c>
      <c r="D12" s="13">
        <f>'Unit rate summary - tablets'!F18+'Unit rate summary - tablets'!F51</f>
        <v>350141.15292047296</v>
      </c>
      <c r="E12" s="14">
        <f>'Unit rate summary - tablets'!G18+'Unit rate summary - tablets'!G51</f>
        <v>383106.40280488081</v>
      </c>
      <c r="F12" s="13">
        <f>'Unit rate summary - tablets'!H18+'Unit rate summary - tablets'!H51</f>
        <v>364992.16785851383</v>
      </c>
      <c r="G12" s="13">
        <f>'Unit rate summary - tablets'!I18+'Unit rate summary - tablets'!I51</f>
        <v>395517.49572125106</v>
      </c>
      <c r="H12" s="13">
        <f>'Unit rate summary - tablets'!J18+'Unit rate summary - tablets'!J51</f>
        <v>373968.47970228537</v>
      </c>
      <c r="I12" s="15">
        <f>'Unit rate summary - tablets'!K18+'Unit rate summary - tablets'!K51</f>
        <v>414307.93002059328</v>
      </c>
      <c r="J12" s="15">
        <f t="shared" si="1"/>
        <v>1931892.4761075245</v>
      </c>
    </row>
    <row r="13" spans="2:12" ht="24.75" customHeight="1" x14ac:dyDescent="0.2">
      <c r="B13" s="12" t="s">
        <v>10</v>
      </c>
      <c r="C13" s="13">
        <f>'Unit rate summary - tablets'!E33+'Unit rate summary - tablets'!E66</f>
        <v>0</v>
      </c>
      <c r="D13" s="13">
        <f>'Unit rate summary - tablets'!F33+'Unit rate summary - tablets'!F66</f>
        <v>0</v>
      </c>
      <c r="E13" s="14">
        <f>'Unit rate summary - tablets'!G33+'Unit rate summary - tablets'!G66</f>
        <v>829244.62291505898</v>
      </c>
      <c r="F13" s="13">
        <f>'Unit rate summary - tablets'!H33+'Unit rate summary - tablets'!H66</f>
        <v>597694.25125419884</v>
      </c>
      <c r="G13" s="13">
        <f>'Unit rate summary - tablets'!I33+'Unit rate summary - tablets'!I66</f>
        <v>853317.44387376553</v>
      </c>
      <c r="H13" s="13">
        <f>'Unit rate summary - tablets'!J33+'Unit rate summary - tablets'!J66</f>
        <v>623947.55534010672</v>
      </c>
      <c r="I13" s="15">
        <f>'Unit rate summary - tablets'!K33+'Unit rate summary - tablets'!K66</f>
        <v>880098.53263077419</v>
      </c>
      <c r="J13" s="15">
        <f t="shared" si="1"/>
        <v>3784302.4060139041</v>
      </c>
      <c r="L13" s="43"/>
    </row>
    <row r="14" spans="2:12" ht="24.75" customHeight="1" x14ac:dyDescent="0.2">
      <c r="C14" s="16"/>
      <c r="D14" s="16"/>
      <c r="E14" s="16"/>
      <c r="F14" s="16"/>
      <c r="G14" s="16"/>
      <c r="H14" s="16"/>
      <c r="I14" s="16"/>
      <c r="J14" s="16"/>
    </row>
    <row r="15" spans="2:12" ht="24.75" customHeight="1" x14ac:dyDescent="0.2">
      <c r="B15" s="1" t="s">
        <v>37</v>
      </c>
      <c r="C15" s="17">
        <v>6.2E-2</v>
      </c>
      <c r="D15" s="16"/>
      <c r="E15" s="3"/>
      <c r="F15" s="3"/>
      <c r="G15" s="3"/>
      <c r="H15" s="3"/>
      <c r="I15" s="3"/>
      <c r="J15" s="3"/>
    </row>
    <row r="16" spans="2:12" ht="24.75" customHeight="1" x14ac:dyDescent="0.2">
      <c r="B16" s="1" t="s">
        <v>38</v>
      </c>
      <c r="C16" s="41">
        <f>(NPV(C15,E7:I7)+NPV(C15,E8:I8))-NPV(C15,E9:I9)</f>
        <v>1035575.4073446812</v>
      </c>
      <c r="D16" s="18"/>
      <c r="E16" s="3"/>
      <c r="F16" s="3"/>
      <c r="G16" s="3"/>
      <c r="H16" s="3"/>
      <c r="I16" s="3"/>
      <c r="J16" s="3"/>
    </row>
    <row r="17" spans="2:12" ht="24.75" customHeight="1" x14ac:dyDescent="0.2">
      <c r="B17" s="1" t="s">
        <v>39</v>
      </c>
      <c r="C17" s="41">
        <f>(NPV(C15,E11:I11)+NPV(C15,E12:I12))-NPV(C15,E13:I13)</f>
        <v>159275.92977052974</v>
      </c>
      <c r="D17" s="18"/>
      <c r="E17" s="3"/>
      <c r="F17" s="3"/>
      <c r="G17" s="3"/>
      <c r="H17" s="3"/>
      <c r="I17" s="3"/>
      <c r="J17" s="3"/>
    </row>
    <row r="18" spans="2:12" ht="24.75" customHeight="1" x14ac:dyDescent="0.2">
      <c r="C18" s="16"/>
      <c r="D18" s="16"/>
      <c r="E18" s="16"/>
      <c r="F18" s="16"/>
      <c r="G18" s="16"/>
      <c r="H18" s="16"/>
      <c r="I18" s="16"/>
      <c r="J18" s="16"/>
    </row>
    <row r="19" spans="2:12" ht="24.75" customHeight="1" x14ac:dyDescent="0.2">
      <c r="B19" s="140" t="s">
        <v>44</v>
      </c>
      <c r="C19" s="141"/>
      <c r="D19" s="141"/>
      <c r="E19" s="141"/>
      <c r="F19" s="141"/>
      <c r="G19" s="141"/>
      <c r="H19" s="141"/>
      <c r="I19" s="141"/>
      <c r="J19" s="142"/>
    </row>
    <row r="20" spans="2:12" ht="24.75" customHeight="1" x14ac:dyDescent="0.2">
      <c r="B20" s="37" t="s">
        <v>40</v>
      </c>
      <c r="C20" s="26">
        <v>2014</v>
      </c>
      <c r="D20" s="26">
        <v>2015</v>
      </c>
      <c r="E20" s="27">
        <v>2016</v>
      </c>
      <c r="F20" s="26">
        <v>2017</v>
      </c>
      <c r="G20" s="26">
        <v>2018</v>
      </c>
      <c r="H20" s="26">
        <v>2019</v>
      </c>
      <c r="I20" s="28">
        <v>2020</v>
      </c>
      <c r="J20" s="28" t="s">
        <v>36</v>
      </c>
    </row>
    <row r="21" spans="2:12" ht="24.75" customHeight="1" x14ac:dyDescent="0.2">
      <c r="B21" s="29" t="s">
        <v>11</v>
      </c>
      <c r="C21" s="30">
        <f>C7*$G$3</f>
        <v>1033231.6405856673</v>
      </c>
      <c r="D21" s="30">
        <f t="shared" ref="D21:I23" si="2">D7*$G$3</f>
        <v>31680.881251468607</v>
      </c>
      <c r="E21" s="31">
        <f t="shared" si="2"/>
        <v>603221.91359990602</v>
      </c>
      <c r="F21" s="30">
        <f t="shared" si="2"/>
        <v>490321.64822292846</v>
      </c>
      <c r="G21" s="30">
        <f t="shared" si="2"/>
        <v>617613.21833593945</v>
      </c>
      <c r="H21" s="30">
        <f t="shared" si="2"/>
        <v>66496.12792395601</v>
      </c>
      <c r="I21" s="32">
        <f t="shared" si="2"/>
        <v>1079256.6037467702</v>
      </c>
      <c r="J21" s="32">
        <f>J7*$G$3</f>
        <v>2856909.5118295001</v>
      </c>
      <c r="L21" s="43"/>
    </row>
    <row r="22" spans="2:12" ht="24.75" customHeight="1" x14ac:dyDescent="0.2">
      <c r="B22" s="39" t="s">
        <v>12</v>
      </c>
      <c r="C22" s="33">
        <f>C8*$G$3</f>
        <v>995831.03180838353</v>
      </c>
      <c r="D22" s="33">
        <f t="shared" si="2"/>
        <v>930232.54710587824</v>
      </c>
      <c r="E22" s="34">
        <f t="shared" si="2"/>
        <v>978955.31571852241</v>
      </c>
      <c r="F22" s="33">
        <f t="shared" si="2"/>
        <v>985645.38958651735</v>
      </c>
      <c r="G22" s="33">
        <f t="shared" si="2"/>
        <v>1011313.8938098578</v>
      </c>
      <c r="H22" s="33">
        <f t="shared" si="2"/>
        <v>992727.59988976526</v>
      </c>
      <c r="I22" s="35">
        <f t="shared" si="2"/>
        <v>1077042.1390138899</v>
      </c>
      <c r="J22" s="35">
        <f>J8*$G$3</f>
        <v>5045684.3380185524</v>
      </c>
      <c r="L22" s="43"/>
    </row>
    <row r="23" spans="2:12" ht="24.75" customHeight="1" x14ac:dyDescent="0.2">
      <c r="B23" s="39" t="s">
        <v>10</v>
      </c>
      <c r="C23" s="33">
        <v>0</v>
      </c>
      <c r="D23" s="33">
        <v>0</v>
      </c>
      <c r="E23" s="34">
        <f>E9*$G$3</f>
        <v>1419749.2349573763</v>
      </c>
      <c r="F23" s="33">
        <f t="shared" si="2"/>
        <v>1079932.1155912923</v>
      </c>
      <c r="G23" s="33">
        <f t="shared" si="2"/>
        <v>1461813.1778850723</v>
      </c>
      <c r="H23" s="33">
        <f t="shared" si="2"/>
        <v>1125924.9343882124</v>
      </c>
      <c r="I23" s="35">
        <f t="shared" si="2"/>
        <v>1508720.3973158577</v>
      </c>
      <c r="J23" s="35">
        <f>J9*$G$3</f>
        <v>6596139.8601378119</v>
      </c>
      <c r="L23" s="43"/>
    </row>
    <row r="24" spans="2:12" ht="24.75" customHeight="1" x14ac:dyDescent="0.2">
      <c r="B24" s="70" t="s">
        <v>13</v>
      </c>
      <c r="C24" s="71"/>
      <c r="D24" s="71"/>
      <c r="E24" s="72">
        <f>E23-$C$22</f>
        <v>423918.20314899273</v>
      </c>
      <c r="F24" s="71">
        <f>F23-$C$22</f>
        <v>84101.08378290874</v>
      </c>
      <c r="G24" s="71">
        <f>G23-$C$22</f>
        <v>465982.14607668878</v>
      </c>
      <c r="H24" s="71">
        <f>H23-$C$22</f>
        <v>130093.90257982886</v>
      </c>
      <c r="I24" s="73">
        <f>I23-$C$22</f>
        <v>512889.36550747417</v>
      </c>
      <c r="J24" s="74">
        <f>SUM(E24:I24)</f>
        <v>1616984.7010958933</v>
      </c>
      <c r="L24" s="43"/>
    </row>
    <row r="25" spans="2:12" ht="24.75" customHeight="1" x14ac:dyDescent="0.2">
      <c r="B25" s="4" t="s">
        <v>43</v>
      </c>
      <c r="C25" s="5">
        <v>2014</v>
      </c>
      <c r="D25" s="5">
        <v>2015</v>
      </c>
      <c r="E25" s="6">
        <v>2016</v>
      </c>
      <c r="F25" s="5">
        <v>2017</v>
      </c>
      <c r="G25" s="5">
        <v>2018</v>
      </c>
      <c r="H25" s="5">
        <v>2019</v>
      </c>
      <c r="I25" s="7">
        <v>2020</v>
      </c>
      <c r="J25" s="7" t="s">
        <v>36</v>
      </c>
      <c r="L25" s="43"/>
    </row>
    <row r="26" spans="2:12" ht="24.75" customHeight="1" x14ac:dyDescent="0.2">
      <c r="B26" s="29" t="s">
        <v>11</v>
      </c>
      <c r="C26" s="30">
        <f>C11*$G$3</f>
        <v>705331.62445671787</v>
      </c>
      <c r="D26" s="30">
        <f t="shared" ref="D26:I28" si="3">D11*$G$3</f>
        <v>0</v>
      </c>
      <c r="E26" s="31">
        <f t="shared" si="3"/>
        <v>616504.84690878494</v>
      </c>
      <c r="F26" s="30">
        <f t="shared" si="3"/>
        <v>108108.61389127139</v>
      </c>
      <c r="G26" s="30">
        <f t="shared" si="3"/>
        <v>628490.68345722067</v>
      </c>
      <c r="H26" s="30">
        <f t="shared" si="3"/>
        <v>23716.345287200595</v>
      </c>
      <c r="I26" s="32">
        <f t="shared" si="3"/>
        <v>739220.13835592184</v>
      </c>
      <c r="J26" s="32">
        <f>J11*$G$3</f>
        <v>2116040.6279003997</v>
      </c>
      <c r="L26" s="43"/>
    </row>
    <row r="27" spans="2:12" ht="24.75" customHeight="1" x14ac:dyDescent="0.2">
      <c r="B27" s="39" t="s">
        <v>12</v>
      </c>
      <c r="C27" s="33">
        <f>C12*$G$3</f>
        <v>396162.12795980996</v>
      </c>
      <c r="D27" s="33">
        <f t="shared" si="3"/>
        <v>361963.67075292038</v>
      </c>
      <c r="E27" s="34">
        <f t="shared" si="3"/>
        <v>396041.99246952735</v>
      </c>
      <c r="F27" s="33">
        <f t="shared" si="3"/>
        <v>377316.13028686348</v>
      </c>
      <c r="G27" s="33">
        <f t="shared" si="3"/>
        <v>408872.1460021665</v>
      </c>
      <c r="H27" s="33">
        <f t="shared" si="3"/>
        <v>386595.52734629001</v>
      </c>
      <c r="I27" s="35">
        <f t="shared" si="3"/>
        <v>428297.03941244294</v>
      </c>
      <c r="J27" s="35">
        <f>J12*$G$3</f>
        <v>1997122.8355172905</v>
      </c>
      <c r="L27" s="43"/>
    </row>
    <row r="28" spans="2:12" ht="24.75" customHeight="1" x14ac:dyDescent="0.2">
      <c r="B28" s="39" t="s">
        <v>10</v>
      </c>
      <c r="C28" s="33">
        <v>0</v>
      </c>
      <c r="D28" s="33">
        <v>0</v>
      </c>
      <c r="E28" s="34">
        <f>E13*$G$3</f>
        <v>857244.07188043429</v>
      </c>
      <c r="F28" s="33">
        <f t="shared" si="3"/>
        <v>617875.40072739159</v>
      </c>
      <c r="G28" s="33">
        <f t="shared" si="3"/>
        <v>882129.71176284575</v>
      </c>
      <c r="H28" s="33">
        <f t="shared" si="3"/>
        <v>645015.14776102919</v>
      </c>
      <c r="I28" s="35">
        <f t="shared" si="3"/>
        <v>909815.06411972328</v>
      </c>
      <c r="J28" s="35">
        <f>J13*$G$3</f>
        <v>3912079.3962514238</v>
      </c>
      <c r="L28" s="43"/>
    </row>
    <row r="29" spans="2:12" ht="24.75" customHeight="1" x14ac:dyDescent="0.2">
      <c r="B29" s="70" t="s">
        <v>13</v>
      </c>
      <c r="C29" s="71"/>
      <c r="D29" s="71"/>
      <c r="E29" s="72">
        <f>E28-$C$27</f>
        <v>461081.94392062433</v>
      </c>
      <c r="F29" s="71">
        <f>F28-$C$27</f>
        <v>221713.27276758163</v>
      </c>
      <c r="G29" s="71">
        <f>G28-$C$27</f>
        <v>485967.58380303578</v>
      </c>
      <c r="H29" s="71">
        <f>H28-$C$27</f>
        <v>248853.01980121923</v>
      </c>
      <c r="I29" s="73">
        <f>I28-$C$27</f>
        <v>513652.93615991331</v>
      </c>
      <c r="J29" s="74">
        <f>SUM(E29:I29)</f>
        <v>1931268.7564523742</v>
      </c>
    </row>
    <row r="30" spans="2:12" s="23" customFormat="1" ht="24.75" customHeight="1" x14ac:dyDescent="0.2">
      <c r="C30" s="24"/>
      <c r="D30" s="24"/>
      <c r="E30" s="24"/>
      <c r="F30" s="24"/>
      <c r="G30" s="24"/>
      <c r="H30" s="24"/>
      <c r="I30" s="24"/>
      <c r="J30" s="24"/>
      <c r="L30" s="25"/>
    </row>
    <row r="31" spans="2:12" ht="24.75" customHeight="1" x14ac:dyDescent="0.2">
      <c r="B31" s="37" t="s">
        <v>49</v>
      </c>
      <c r="C31" s="81"/>
      <c r="D31" s="81"/>
      <c r="E31" s="82">
        <v>2016</v>
      </c>
      <c r="F31" s="83">
        <v>2017</v>
      </c>
      <c r="G31" s="83">
        <v>2018</v>
      </c>
      <c r="H31" s="83">
        <v>2019</v>
      </c>
      <c r="I31" s="84">
        <v>2020</v>
      </c>
      <c r="J31" s="84" t="s">
        <v>36</v>
      </c>
    </row>
    <row r="32" spans="2:12" ht="24.75" customHeight="1" x14ac:dyDescent="0.2">
      <c r="B32" s="19" t="s">
        <v>20</v>
      </c>
      <c r="C32" s="20"/>
      <c r="D32" s="20"/>
      <c r="E32" s="67">
        <f>SUM(E24,E29)</f>
        <v>885000.14706961706</v>
      </c>
      <c r="F32" s="68">
        <f t="shared" ref="F32:I32" si="4">SUM(F24,F29)</f>
        <v>305814.35655049037</v>
      </c>
      <c r="G32" s="68">
        <f t="shared" si="4"/>
        <v>951949.72987972456</v>
      </c>
      <c r="H32" s="68">
        <f t="shared" si="4"/>
        <v>378946.92238104809</v>
      </c>
      <c r="I32" s="69">
        <f t="shared" si="4"/>
        <v>1026542.3016673875</v>
      </c>
      <c r="J32" s="69">
        <f>SUM(E32:I32)</f>
        <v>3548253.4575482677</v>
      </c>
      <c r="L32" s="94"/>
    </row>
    <row r="33" spans="2:12" ht="24.75" customHeight="1" x14ac:dyDescent="0.2">
      <c r="C33" s="1"/>
      <c r="D33" s="1"/>
      <c r="I33" s="22"/>
      <c r="L33" s="40"/>
    </row>
    <row r="34" spans="2:12" ht="24.75" customHeight="1" x14ac:dyDescent="0.2">
      <c r="B34" s="1" t="s">
        <v>50</v>
      </c>
      <c r="C34" s="1"/>
      <c r="D34" s="1"/>
      <c r="I34" s="22"/>
      <c r="L34" s="40"/>
    </row>
    <row r="35" spans="2:12" ht="24.75" customHeight="1" x14ac:dyDescent="0.2">
      <c r="B35" s="37" t="s">
        <v>48</v>
      </c>
      <c r="C35" s="81"/>
      <c r="D35" s="81"/>
      <c r="E35" s="82">
        <v>2016</v>
      </c>
      <c r="F35" s="83">
        <v>2017</v>
      </c>
      <c r="G35" s="83">
        <v>2018</v>
      </c>
      <c r="H35" s="83">
        <v>2019</v>
      </c>
      <c r="I35" s="84">
        <v>2020</v>
      </c>
      <c r="J35" s="84" t="s">
        <v>36</v>
      </c>
      <c r="L35" s="40"/>
    </row>
    <row r="36" spans="2:12" ht="24.75" customHeight="1" x14ac:dyDescent="0.2">
      <c r="B36" s="39" t="s">
        <v>20</v>
      </c>
      <c r="C36" s="85"/>
      <c r="D36" s="85"/>
      <c r="E36" s="86">
        <f>E21+E26</f>
        <v>1219726.760508691</v>
      </c>
      <c r="F36" s="87">
        <f t="shared" ref="F36:I36" si="5">F21+F26</f>
        <v>598430.26211419981</v>
      </c>
      <c r="G36" s="87">
        <f t="shared" si="5"/>
        <v>1246103.90179316</v>
      </c>
      <c r="H36" s="87">
        <f t="shared" si="5"/>
        <v>90212.473211156612</v>
      </c>
      <c r="I36" s="88">
        <f t="shared" si="5"/>
        <v>1818476.7421026919</v>
      </c>
      <c r="J36" s="88">
        <f>SUM(E36:I36)</f>
        <v>4972950.1397298994</v>
      </c>
      <c r="L36" s="40"/>
    </row>
    <row r="37" spans="2:12" ht="24.75" customHeight="1" x14ac:dyDescent="0.2">
      <c r="C37" s="1"/>
      <c r="D37" s="1"/>
      <c r="I37" s="22"/>
      <c r="L37" s="40"/>
    </row>
  </sheetData>
  <mergeCells count="2">
    <mergeCell ref="B5:J5"/>
    <mergeCell ref="B19:J19"/>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M45"/>
  <sheetViews>
    <sheetView showGridLines="0" topLeftCell="A4" workbookViewId="0">
      <selection activeCell="B9" sqref="B9"/>
    </sheetView>
  </sheetViews>
  <sheetFormatPr defaultRowHeight="20.25" customHeight="1" x14ac:dyDescent="0.2"/>
  <cols>
    <col min="1" max="1" width="9" style="21"/>
    <col min="2" max="2" width="25.125" style="49" customWidth="1"/>
    <col min="3" max="9" width="10.875" style="50" bestFit="1" customWidth="1"/>
    <col min="10" max="16384" width="9" style="21"/>
  </cols>
  <sheetData>
    <row r="2" spans="2:13" ht="20.25" customHeight="1" x14ac:dyDescent="0.2">
      <c r="B2" s="37" t="s">
        <v>35</v>
      </c>
      <c r="C2" s="44">
        <v>2014</v>
      </c>
      <c r="D2" s="26">
        <v>2015</v>
      </c>
      <c r="E2" s="26">
        <v>2016</v>
      </c>
      <c r="F2" s="26">
        <v>2017</v>
      </c>
      <c r="G2" s="26">
        <v>2018</v>
      </c>
      <c r="H2" s="26">
        <v>2019</v>
      </c>
      <c r="I2" s="28">
        <v>2020</v>
      </c>
      <c r="K2" s="45"/>
    </row>
    <row r="3" spans="2:13" ht="20.25" customHeight="1" x14ac:dyDescent="0.2">
      <c r="B3" s="66" t="s">
        <v>20</v>
      </c>
      <c r="C3" s="137" t="s">
        <v>19</v>
      </c>
      <c r="D3" s="138">
        <v>0</v>
      </c>
      <c r="E3" s="138">
        <f>'[1]Calc|Opex forecast'!O$36</f>
        <v>1.2162368743743938E-2</v>
      </c>
      <c r="F3" s="138">
        <f>'[1]Calc|Opex forecast'!P$36</f>
        <v>1.4992549655592425E-2</v>
      </c>
      <c r="G3" s="138">
        <f>'[1]Calc|Opex forecast'!Q$36</f>
        <v>1.8175918892252112E-2</v>
      </c>
      <c r="H3" s="138">
        <f>'[1]Calc|Opex forecast'!R$36</f>
        <v>1.8035696896631467E-2</v>
      </c>
      <c r="I3" s="139">
        <f>'[1]Calc|Opex forecast'!S$36</f>
        <v>1.8193399813701355E-2</v>
      </c>
      <c r="K3" s="47"/>
      <c r="L3" s="47"/>
      <c r="M3" s="47"/>
    </row>
    <row r="4" spans="2:13" ht="20.25" customHeight="1" x14ac:dyDescent="0.2">
      <c r="L4" s="47"/>
      <c r="M4" s="47"/>
    </row>
    <row r="5" spans="2:13" ht="20.25" customHeight="1" x14ac:dyDescent="0.2">
      <c r="B5" s="37" t="s">
        <v>22</v>
      </c>
      <c r="C5" s="143">
        <v>2016</v>
      </c>
      <c r="D5" s="144"/>
      <c r="E5" s="21"/>
      <c r="F5" s="21"/>
      <c r="G5" s="21"/>
      <c r="H5" s="21"/>
      <c r="I5" s="21"/>
      <c r="L5" s="47"/>
      <c r="M5" s="47"/>
    </row>
    <row r="6" spans="2:13" ht="20.25" customHeight="1" x14ac:dyDescent="0.2">
      <c r="B6" s="29" t="s">
        <v>20</v>
      </c>
      <c r="C6" s="75">
        <v>785541.94901697314</v>
      </c>
      <c r="D6" s="76">
        <f>C6/SUM(C6:C7)</f>
        <v>0.6984073614384283</v>
      </c>
      <c r="E6" s="21"/>
      <c r="F6" s="21"/>
      <c r="G6" s="21"/>
      <c r="H6" s="21"/>
      <c r="I6" s="21"/>
      <c r="L6" s="47"/>
      <c r="M6" s="47"/>
    </row>
    <row r="7" spans="2:13" ht="20.25" customHeight="1" x14ac:dyDescent="0.2">
      <c r="B7" s="39" t="s">
        <v>21</v>
      </c>
      <c r="C7" s="77">
        <v>339219.89112039859</v>
      </c>
      <c r="D7" s="78">
        <f>C7/SUM(C6:C7)</f>
        <v>0.30159263856157165</v>
      </c>
      <c r="E7" s="21"/>
      <c r="F7" s="21"/>
      <c r="G7" s="21"/>
      <c r="H7" s="21"/>
      <c r="I7" s="21"/>
      <c r="L7" s="47"/>
      <c r="M7" s="47"/>
    </row>
    <row r="8" spans="2:13" ht="20.25" customHeight="1" x14ac:dyDescent="0.2">
      <c r="B8" s="21"/>
      <c r="C8" s="21"/>
      <c r="D8" s="21"/>
      <c r="E8" s="21"/>
      <c r="F8" s="21"/>
      <c r="G8" s="21"/>
      <c r="H8" s="21"/>
      <c r="I8" s="21"/>
      <c r="L8" s="47"/>
      <c r="M8" s="47"/>
    </row>
    <row r="9" spans="2:13" ht="20.25" customHeight="1" x14ac:dyDescent="0.2">
      <c r="B9" s="36" t="s">
        <v>3</v>
      </c>
      <c r="C9" s="51"/>
      <c r="D9" s="21"/>
      <c r="E9" s="21"/>
      <c r="F9" s="21"/>
      <c r="G9" s="21"/>
      <c r="H9" s="21"/>
      <c r="I9" s="21"/>
      <c r="J9" s="22"/>
      <c r="L9" s="47"/>
      <c r="M9" s="47"/>
    </row>
    <row r="10" spans="2:13" ht="20.25" customHeight="1" x14ac:dyDescent="0.2">
      <c r="B10" s="37" t="s">
        <v>17</v>
      </c>
      <c r="C10" s="44">
        <v>2014</v>
      </c>
      <c r="D10" s="21"/>
      <c r="E10" s="21"/>
      <c r="F10" s="21"/>
      <c r="G10" s="21"/>
      <c r="H10" s="21"/>
      <c r="I10" s="21"/>
      <c r="J10" s="22"/>
      <c r="L10" s="47"/>
      <c r="M10" s="47"/>
    </row>
    <row r="11" spans="2:13" ht="20.25" customHeight="1" x14ac:dyDescent="0.2">
      <c r="B11" s="38" t="s">
        <v>24</v>
      </c>
      <c r="C11" s="53">
        <v>711</v>
      </c>
      <c r="D11" s="21"/>
      <c r="E11" s="21"/>
      <c r="F11" s="21"/>
      <c r="G11" s="21"/>
      <c r="H11" s="21"/>
      <c r="I11" s="21"/>
      <c r="J11" s="22"/>
      <c r="K11" s="47"/>
      <c r="L11" s="47"/>
      <c r="M11" s="47"/>
    </row>
    <row r="12" spans="2:13" ht="20.25" customHeight="1" x14ac:dyDescent="0.2">
      <c r="B12" s="38" t="s">
        <v>25</v>
      </c>
      <c r="C12" s="53">
        <v>120</v>
      </c>
      <c r="D12" s="21"/>
      <c r="E12" s="21"/>
      <c r="F12" s="21"/>
      <c r="G12" s="21"/>
      <c r="H12" s="21"/>
      <c r="I12" s="21"/>
      <c r="J12" s="22"/>
      <c r="K12" s="47"/>
      <c r="L12" s="47"/>
      <c r="M12" s="47"/>
    </row>
    <row r="13" spans="2:13" ht="20.25" customHeight="1" x14ac:dyDescent="0.2">
      <c r="B13" s="38" t="s">
        <v>46</v>
      </c>
      <c r="C13" s="53">
        <v>889.62573867367041</v>
      </c>
      <c r="D13" s="21"/>
      <c r="E13" s="21"/>
      <c r="F13" s="21"/>
      <c r="G13" s="21"/>
      <c r="H13" s="21"/>
      <c r="I13" s="21"/>
      <c r="J13" s="22"/>
      <c r="K13" s="47"/>
      <c r="L13" s="47"/>
      <c r="M13" s="47"/>
    </row>
    <row r="14" spans="2:13" ht="20.25" customHeight="1" x14ac:dyDescent="0.2">
      <c r="B14" s="39" t="s">
        <v>47</v>
      </c>
      <c r="C14" s="48">
        <v>704.37426132632959</v>
      </c>
      <c r="D14" s="21"/>
      <c r="E14" s="21"/>
      <c r="F14" s="21"/>
      <c r="G14" s="21"/>
      <c r="H14" s="21"/>
      <c r="I14" s="21"/>
      <c r="J14" s="22"/>
      <c r="K14" s="47"/>
      <c r="L14" s="47"/>
      <c r="M14" s="47"/>
    </row>
    <row r="15" spans="2:13" ht="20.25" customHeight="1" x14ac:dyDescent="0.2">
      <c r="B15" s="29" t="s">
        <v>34</v>
      </c>
      <c r="C15" s="46">
        <v>50</v>
      </c>
      <c r="D15" s="21"/>
      <c r="E15" s="21"/>
      <c r="F15" s="21"/>
      <c r="G15" s="21"/>
      <c r="H15" s="21"/>
      <c r="I15" s="21"/>
      <c r="J15" s="22"/>
      <c r="K15" s="47"/>
      <c r="L15" s="47"/>
      <c r="M15" s="47"/>
    </row>
    <row r="16" spans="2:13" ht="20.25" customHeight="1" x14ac:dyDescent="0.2">
      <c r="B16" s="39" t="s">
        <v>30</v>
      </c>
      <c r="C16" s="48">
        <v>0</v>
      </c>
      <c r="D16" s="21"/>
      <c r="E16" s="21"/>
      <c r="F16" s="21"/>
      <c r="G16" s="21"/>
      <c r="H16" s="21"/>
      <c r="I16" s="21"/>
      <c r="K16" s="47"/>
      <c r="L16" s="47"/>
      <c r="M16" s="47"/>
    </row>
    <row r="17" spans="2:13" ht="20.25" customHeight="1" x14ac:dyDescent="0.2">
      <c r="L17" s="47"/>
      <c r="M17" s="47"/>
    </row>
    <row r="18" spans="2:13" ht="20.25" customHeight="1" x14ac:dyDescent="0.2">
      <c r="B18" s="36" t="s">
        <v>20</v>
      </c>
      <c r="C18" s="51"/>
      <c r="D18" s="51"/>
      <c r="E18" s="51"/>
      <c r="F18" s="51"/>
      <c r="G18" s="51"/>
      <c r="H18" s="51"/>
      <c r="I18" s="52"/>
      <c r="J18" s="22"/>
      <c r="L18" s="47"/>
      <c r="M18" s="47"/>
    </row>
    <row r="19" spans="2:13" ht="20.25" customHeight="1" x14ac:dyDescent="0.2">
      <c r="B19" s="37" t="s">
        <v>17</v>
      </c>
      <c r="C19" s="44">
        <v>2014</v>
      </c>
      <c r="D19" s="26">
        <v>2015</v>
      </c>
      <c r="E19" s="26">
        <v>2016</v>
      </c>
      <c r="F19" s="26">
        <v>2017</v>
      </c>
      <c r="G19" s="26">
        <v>2018</v>
      </c>
      <c r="H19" s="26">
        <v>2019</v>
      </c>
      <c r="I19" s="28">
        <v>2020</v>
      </c>
      <c r="J19" s="22"/>
      <c r="L19" s="47"/>
      <c r="M19" s="47"/>
    </row>
    <row r="20" spans="2:13" ht="20.25" customHeight="1" x14ac:dyDescent="0.2">
      <c r="B20" s="38" t="s">
        <v>24</v>
      </c>
      <c r="C20" s="53">
        <f>$D$6*C11</f>
        <v>496.5676339827225</v>
      </c>
      <c r="D20" s="54">
        <f t="shared" ref="D20:I25" si="0">C20*(1+D$3)</f>
        <v>496.5676339827225</v>
      </c>
      <c r="E20" s="54">
        <f t="shared" si="0"/>
        <v>502.60707265342887</v>
      </c>
      <c r="F20" s="54">
        <f t="shared" si="0"/>
        <v>510.14243414743737</v>
      </c>
      <c r="G20" s="54">
        <f t="shared" si="0"/>
        <v>519.41474165399723</v>
      </c>
      <c r="H20" s="54">
        <f t="shared" si="0"/>
        <v>528.78274849811089</v>
      </c>
      <c r="I20" s="55">
        <f t="shared" si="0"/>
        <v>538.40310445612488</v>
      </c>
      <c r="J20" s="22"/>
      <c r="K20" s="47"/>
      <c r="L20" s="47"/>
      <c r="M20" s="47"/>
    </row>
    <row r="21" spans="2:13" ht="20.25" customHeight="1" x14ac:dyDescent="0.2">
      <c r="B21" s="38" t="s">
        <v>25</v>
      </c>
      <c r="C21" s="53">
        <f>$D$6*C12</f>
        <v>83.80888337261139</v>
      </c>
      <c r="D21" s="54">
        <f t="shared" si="0"/>
        <v>83.80888337261139</v>
      </c>
      <c r="E21" s="54">
        <f t="shared" si="0"/>
        <v>84.828197916190518</v>
      </c>
      <c r="F21" s="54">
        <f t="shared" si="0"/>
        <v>86.099988885643427</v>
      </c>
      <c r="G21" s="54">
        <f t="shared" si="0"/>
        <v>87.664935300252694</v>
      </c>
      <c r="H21" s="54">
        <f t="shared" si="0"/>
        <v>89.246033501790862</v>
      </c>
      <c r="I21" s="55">
        <f t="shared" si="0"/>
        <v>90.869722271075929</v>
      </c>
      <c r="J21" s="22"/>
      <c r="K21" s="47"/>
      <c r="L21" s="47"/>
      <c r="M21" s="47"/>
    </row>
    <row r="22" spans="2:13" ht="20.25" customHeight="1" x14ac:dyDescent="0.2">
      <c r="B22" s="29" t="s">
        <v>46</v>
      </c>
      <c r="C22" s="46">
        <f>$D$6*C13</f>
        <v>621.3211648147909</v>
      </c>
      <c r="D22" s="58">
        <f>C22*(1+D$3)</f>
        <v>621.3211648147909</v>
      </c>
      <c r="E22" s="58">
        <f>D22*(1+E$3)</f>
        <v>628.87790192956095</v>
      </c>
      <c r="F22" s="58">
        <f t="shared" ref="F22" si="1">E22*(1+F$3)</f>
        <v>638.30638510154472</v>
      </c>
      <c r="G22" s="58">
        <f t="shared" ref="G22" si="2">F22*(1+G$3)</f>
        <v>649.90819018555703</v>
      </c>
      <c r="H22" s="58">
        <f t="shared" ref="H22" si="3">G22*(1+H$3)</f>
        <v>661.62973731438206</v>
      </c>
      <c r="I22" s="59">
        <f t="shared" ref="I22" si="4">H22*(1+I$3)</f>
        <v>673.66703165397678</v>
      </c>
      <c r="J22" s="22"/>
      <c r="K22" s="47"/>
      <c r="L22" s="47"/>
      <c r="M22" s="47"/>
    </row>
    <row r="23" spans="2:13" ht="20.25" customHeight="1" x14ac:dyDescent="0.2">
      <c r="B23" s="39" t="s">
        <v>47</v>
      </c>
      <c r="C23" s="48">
        <f>$D$6*C14</f>
        <v>491.94016931806379</v>
      </c>
      <c r="D23" s="56">
        <f t="shared" si="0"/>
        <v>491.94016931806379</v>
      </c>
      <c r="E23" s="56">
        <f t="shared" si="0"/>
        <v>497.92332705716996</v>
      </c>
      <c r="F23" s="56">
        <f t="shared" si="0"/>
        <v>505.38846726275239</v>
      </c>
      <c r="G23" s="56">
        <f t="shared" si="0"/>
        <v>514.57436705279974</v>
      </c>
      <c r="H23" s="56">
        <f t="shared" si="0"/>
        <v>523.85507436774003</v>
      </c>
      <c r="I23" s="57">
        <f t="shared" si="0"/>
        <v>533.38577918014857</v>
      </c>
      <c r="J23" s="22"/>
      <c r="K23" s="47"/>
      <c r="L23" s="47"/>
      <c r="M23" s="47"/>
    </row>
    <row r="24" spans="2:13" ht="20.25" customHeight="1" x14ac:dyDescent="0.2">
      <c r="B24" s="29" t="s">
        <v>34</v>
      </c>
      <c r="C24" s="46">
        <f t="shared" ref="C24:C25" si="5">$D$6*C15</f>
        <v>34.920368071921416</v>
      </c>
      <c r="D24" s="58">
        <f t="shared" si="0"/>
        <v>34.920368071921416</v>
      </c>
      <c r="E24" s="58">
        <f t="shared" si="0"/>
        <v>35.345082465079386</v>
      </c>
      <c r="F24" s="58">
        <f t="shared" si="0"/>
        <v>35.874995369018102</v>
      </c>
      <c r="G24" s="58">
        <f t="shared" si="0"/>
        <v>36.527056375105296</v>
      </c>
      <c r="H24" s="58">
        <f t="shared" si="0"/>
        <v>37.185847292412866</v>
      </c>
      <c r="I24" s="59">
        <f t="shared" si="0"/>
        <v>37.862384279614979</v>
      </c>
      <c r="J24" s="22"/>
      <c r="K24" s="47"/>
      <c r="L24" s="47"/>
      <c r="M24" s="47"/>
    </row>
    <row r="25" spans="2:13" ht="20.25" customHeight="1" x14ac:dyDescent="0.2">
      <c r="B25" s="39" t="s">
        <v>30</v>
      </c>
      <c r="C25" s="48">
        <f t="shared" si="5"/>
        <v>0</v>
      </c>
      <c r="D25" s="56">
        <f t="shared" si="0"/>
        <v>0</v>
      </c>
      <c r="E25" s="56">
        <f t="shared" si="0"/>
        <v>0</v>
      </c>
      <c r="F25" s="56">
        <f t="shared" si="0"/>
        <v>0</v>
      </c>
      <c r="G25" s="56">
        <f t="shared" si="0"/>
        <v>0</v>
      </c>
      <c r="H25" s="56">
        <f t="shared" si="0"/>
        <v>0</v>
      </c>
      <c r="I25" s="57">
        <f t="shared" si="0"/>
        <v>0</v>
      </c>
      <c r="K25" s="47"/>
      <c r="L25" s="47"/>
      <c r="M25" s="47"/>
    </row>
    <row r="26" spans="2:13" ht="20.25" customHeight="1" x14ac:dyDescent="0.2">
      <c r="D26" s="60"/>
      <c r="E26" s="60"/>
      <c r="F26" s="60"/>
      <c r="G26" s="60"/>
      <c r="H26" s="60"/>
      <c r="I26" s="60"/>
      <c r="K26" s="47"/>
      <c r="L26" s="47"/>
      <c r="M26" s="47"/>
    </row>
    <row r="27" spans="2:13" ht="20.25" customHeight="1" x14ac:dyDescent="0.2">
      <c r="B27" s="79" t="s">
        <v>62</v>
      </c>
      <c r="C27" s="51"/>
      <c r="D27" s="51"/>
      <c r="E27" s="51"/>
      <c r="F27" s="51"/>
      <c r="G27" s="51"/>
      <c r="H27" s="51"/>
      <c r="I27" s="52"/>
      <c r="J27" s="22"/>
      <c r="L27" s="47"/>
      <c r="M27" s="47"/>
    </row>
    <row r="28" spans="2:13" ht="20.25" customHeight="1" x14ac:dyDescent="0.2">
      <c r="B28" s="4" t="s">
        <v>63</v>
      </c>
      <c r="C28" s="124">
        <v>2014</v>
      </c>
      <c r="D28" s="5">
        <v>2015</v>
      </c>
      <c r="E28" s="5">
        <v>2016</v>
      </c>
      <c r="F28" s="5">
        <v>2017</v>
      </c>
      <c r="G28" s="5">
        <v>2018</v>
      </c>
      <c r="H28" s="5">
        <v>2019</v>
      </c>
      <c r="I28" s="7">
        <v>2020</v>
      </c>
      <c r="J28" s="22"/>
      <c r="L28" s="47"/>
      <c r="M28" s="47"/>
    </row>
    <row r="29" spans="2:13" ht="20.25" customHeight="1" x14ac:dyDescent="0.2">
      <c r="B29" s="29" t="s">
        <v>55</v>
      </c>
      <c r="C29" s="46">
        <f>C20</f>
        <v>496.5676339827225</v>
      </c>
      <c r="D29" s="123">
        <f>D20-C20</f>
        <v>0</v>
      </c>
      <c r="E29" s="58">
        <f t="shared" ref="E29:I29" si="6">E20-D20+C29</f>
        <v>502.60707265342887</v>
      </c>
      <c r="F29" s="58">
        <f t="shared" si="6"/>
        <v>7.5353614940084981</v>
      </c>
      <c r="G29" s="58">
        <f t="shared" si="6"/>
        <v>511.87938015998873</v>
      </c>
      <c r="H29" s="58">
        <f t="shared" si="6"/>
        <v>16.903368338122164</v>
      </c>
      <c r="I29" s="59">
        <f t="shared" si="6"/>
        <v>521.49973611800272</v>
      </c>
      <c r="J29" s="22"/>
      <c r="K29" s="47"/>
      <c r="L29" s="47"/>
      <c r="M29" s="47"/>
    </row>
    <row r="30" spans="2:13" ht="20.25" customHeight="1" x14ac:dyDescent="0.2">
      <c r="B30" s="38" t="s">
        <v>56</v>
      </c>
      <c r="C30" s="53">
        <f>C21</f>
        <v>83.80888337261139</v>
      </c>
      <c r="D30" s="80">
        <f>D21-C21</f>
        <v>0</v>
      </c>
      <c r="E30" s="54">
        <f t="shared" ref="E30" si="7">E21-D21+C30</f>
        <v>84.828197916190518</v>
      </c>
      <c r="F30" s="54">
        <f t="shared" ref="F30" si="8">F21-E21+D30</f>
        <v>1.2717909694529084</v>
      </c>
      <c r="G30" s="54">
        <f t="shared" ref="G30" si="9">G21-F21+E30</f>
        <v>86.393144330799785</v>
      </c>
      <c r="H30" s="54">
        <f t="shared" ref="H30" si="10">H21-G21+F30</f>
        <v>2.8528891709910766</v>
      </c>
      <c r="I30" s="55">
        <f t="shared" ref="I30" si="11">I21-H21+G30</f>
        <v>88.016833100084853</v>
      </c>
      <c r="J30" s="22"/>
      <c r="K30" s="47"/>
      <c r="L30" s="47"/>
      <c r="M30" s="47"/>
    </row>
    <row r="31" spans="2:13" ht="20.25" customHeight="1" x14ac:dyDescent="0.2">
      <c r="B31" s="91" t="s">
        <v>57</v>
      </c>
      <c r="C31" s="125">
        <f>C21</f>
        <v>83.80888337261139</v>
      </c>
      <c r="D31" s="126">
        <f>D21-C21</f>
        <v>0</v>
      </c>
      <c r="E31" s="127">
        <f>E21-D21</f>
        <v>1.019314543579128</v>
      </c>
      <c r="F31" s="127">
        <f>F21-E21+C31</f>
        <v>85.080674342064299</v>
      </c>
      <c r="G31" s="127">
        <f t="shared" ref="G31:I31" si="12">G21-F21+D31</f>
        <v>1.5649464146092669</v>
      </c>
      <c r="H31" s="127">
        <f t="shared" si="12"/>
        <v>2.6004127451172963</v>
      </c>
      <c r="I31" s="128">
        <f t="shared" si="12"/>
        <v>86.704363111349366</v>
      </c>
      <c r="J31" s="22"/>
      <c r="K31" s="47"/>
      <c r="L31" s="47"/>
      <c r="M31" s="47"/>
    </row>
    <row r="32" spans="2:13" ht="20.25" customHeight="1" x14ac:dyDescent="0.2">
      <c r="B32" s="29" t="s">
        <v>58</v>
      </c>
      <c r="C32" s="46">
        <f>C22</f>
        <v>621.3211648147909</v>
      </c>
      <c r="D32" s="123">
        <f>D22-C22</f>
        <v>0</v>
      </c>
      <c r="E32" s="58">
        <f t="shared" ref="E32:I33" si="13">E22-D22+C32</f>
        <v>628.87790192956095</v>
      </c>
      <c r="F32" s="58">
        <f t="shared" si="13"/>
        <v>9.4284831719837712</v>
      </c>
      <c r="G32" s="58">
        <f t="shared" si="13"/>
        <v>640.47970701357326</v>
      </c>
      <c r="H32" s="58">
        <f t="shared" si="13"/>
        <v>21.150030300808794</v>
      </c>
      <c r="I32" s="59">
        <f t="shared" si="13"/>
        <v>652.51700135316798</v>
      </c>
      <c r="J32" s="22"/>
      <c r="K32" s="47"/>
      <c r="L32" s="47"/>
      <c r="M32" s="47"/>
    </row>
    <row r="33" spans="1:13" ht="20.25" customHeight="1" x14ac:dyDescent="0.2">
      <c r="B33" s="38" t="s">
        <v>59</v>
      </c>
      <c r="C33" s="53">
        <f>C23</f>
        <v>491.94016931806379</v>
      </c>
      <c r="D33" s="80">
        <f>D23-C23</f>
        <v>0</v>
      </c>
      <c r="E33" s="54">
        <f t="shared" si="13"/>
        <v>497.92332705716996</v>
      </c>
      <c r="F33" s="54">
        <f t="shared" si="13"/>
        <v>7.4651402055824292</v>
      </c>
      <c r="G33" s="54">
        <f t="shared" si="13"/>
        <v>507.10922684721731</v>
      </c>
      <c r="H33" s="54">
        <f t="shared" si="13"/>
        <v>16.745847520522716</v>
      </c>
      <c r="I33" s="55">
        <f t="shared" si="13"/>
        <v>516.63993165962586</v>
      </c>
      <c r="J33" s="22"/>
      <c r="K33" s="47"/>
      <c r="L33" s="47"/>
      <c r="M33" s="47"/>
    </row>
    <row r="34" spans="1:13" ht="20.25" customHeight="1" x14ac:dyDescent="0.2">
      <c r="B34" s="91" t="s">
        <v>60</v>
      </c>
      <c r="C34" s="125">
        <f>C23</f>
        <v>491.94016931806379</v>
      </c>
      <c r="D34" s="126">
        <f>D23-C23</f>
        <v>0</v>
      </c>
      <c r="E34" s="127">
        <f>E23-D23</f>
        <v>5.9831577391061614</v>
      </c>
      <c r="F34" s="127">
        <f>F23-E23+C34</f>
        <v>499.40530952364622</v>
      </c>
      <c r="G34" s="127">
        <f t="shared" ref="G34:I34" si="14">G23-F23+D34</f>
        <v>9.1858997900473582</v>
      </c>
      <c r="H34" s="127">
        <f t="shared" si="14"/>
        <v>15.263865054046448</v>
      </c>
      <c r="I34" s="128">
        <f t="shared" si="14"/>
        <v>508.93601433605477</v>
      </c>
      <c r="J34" s="22"/>
      <c r="K34" s="47"/>
      <c r="L34" s="47"/>
      <c r="M34" s="47"/>
    </row>
    <row r="35" spans="1:13" ht="20.25" customHeight="1" x14ac:dyDescent="0.2">
      <c r="A35" s="47"/>
      <c r="B35" s="47"/>
      <c r="C35" s="47"/>
      <c r="D35" s="47"/>
      <c r="E35" s="47"/>
      <c r="F35" s="47"/>
      <c r="G35" s="47"/>
      <c r="H35" s="47"/>
      <c r="I35" s="47"/>
      <c r="J35" s="47"/>
      <c r="K35" s="47"/>
      <c r="L35" s="47"/>
      <c r="M35" s="47"/>
    </row>
    <row r="36" spans="1:13" ht="20.25" customHeight="1" x14ac:dyDescent="0.2">
      <c r="B36" s="37" t="s">
        <v>28</v>
      </c>
      <c r="C36" s="44" t="s">
        <v>29</v>
      </c>
      <c r="D36" s="21"/>
      <c r="E36" s="21"/>
      <c r="F36" s="21"/>
      <c r="G36" s="21"/>
      <c r="H36" s="21"/>
      <c r="I36" s="21"/>
      <c r="K36" s="47"/>
      <c r="L36" s="47"/>
      <c r="M36" s="47"/>
    </row>
    <row r="37" spans="1:13" ht="20.25" customHeight="1" x14ac:dyDescent="0.2">
      <c r="B37" s="29" t="s">
        <v>23</v>
      </c>
      <c r="C37" s="46">
        <v>350</v>
      </c>
      <c r="D37" s="21"/>
      <c r="E37" s="21"/>
      <c r="F37" s="21"/>
      <c r="G37" s="21"/>
      <c r="H37" s="21"/>
      <c r="I37" s="21"/>
      <c r="K37" s="47"/>
      <c r="L37" s="47"/>
      <c r="M37" s="47"/>
    </row>
    <row r="38" spans="1:13" ht="20.25" customHeight="1" x14ac:dyDescent="0.2">
      <c r="B38" s="39" t="s">
        <v>26</v>
      </c>
      <c r="C38" s="48">
        <v>350</v>
      </c>
      <c r="D38" s="21"/>
      <c r="E38" s="21"/>
      <c r="F38" s="21"/>
      <c r="G38" s="21"/>
      <c r="H38" s="21"/>
      <c r="I38" s="21"/>
      <c r="K38" s="47"/>
      <c r="L38" s="47"/>
      <c r="M38" s="47"/>
    </row>
    <row r="40" spans="1:13" ht="20.25" customHeight="1" x14ac:dyDescent="0.2">
      <c r="B40" s="50"/>
    </row>
    <row r="41" spans="1:13" ht="20.25" customHeight="1" x14ac:dyDescent="0.2">
      <c r="B41" s="50"/>
    </row>
    <row r="42" spans="1:13" ht="20.25" customHeight="1" x14ac:dyDescent="0.2">
      <c r="B42" s="50"/>
    </row>
    <row r="43" spans="1:13" ht="20.25" customHeight="1" x14ac:dyDescent="0.2">
      <c r="B43" s="50"/>
    </row>
    <row r="44" spans="1:13" ht="20.25" customHeight="1" x14ac:dyDescent="0.2">
      <c r="B44" s="50"/>
    </row>
    <row r="45" spans="1:13" ht="20.25" customHeight="1" x14ac:dyDescent="0.2">
      <c r="B45" s="50"/>
    </row>
  </sheetData>
  <mergeCells count="1">
    <mergeCell ref="C5:D5"/>
  </mergeCells>
  <pageMargins left="0.7" right="0.7" top="0.75" bottom="0.75" header="0.3" footer="0.3"/>
  <pageSetup orientation="portrait" r:id="rId1"/>
  <ignoredErrors>
    <ignoredError sqref="F35:J35 J3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B2:M69"/>
  <sheetViews>
    <sheetView showGridLines="0" zoomScale="85" zoomScaleNormal="85" workbookViewId="0">
      <selection activeCell="B2" sqref="B2"/>
    </sheetView>
  </sheetViews>
  <sheetFormatPr defaultRowHeight="17.25" customHeight="1" x14ac:dyDescent="0.2"/>
  <cols>
    <col min="1" max="1" width="4.25" style="1" customWidth="1"/>
    <col min="2" max="2" width="46.375" style="49" customWidth="1"/>
    <col min="3" max="3" width="12.25" style="64" customWidth="1"/>
    <col min="4" max="11" width="12.25" style="65" customWidth="1"/>
    <col min="12" max="12" width="4.25" style="1" customWidth="1"/>
    <col min="13" max="16384" width="9" style="1"/>
  </cols>
  <sheetData>
    <row r="2" spans="2:11" ht="17.25" customHeight="1" x14ac:dyDescent="0.2">
      <c r="B2" s="120" t="s">
        <v>64</v>
      </c>
      <c r="C2" s="121"/>
      <c r="D2" s="122"/>
      <c r="E2" s="122"/>
      <c r="F2" s="122"/>
      <c r="G2" s="122"/>
      <c r="H2" s="122"/>
      <c r="I2" s="122"/>
      <c r="J2" s="122"/>
      <c r="K2" s="122"/>
    </row>
    <row r="3" spans="2:11" ht="17.25" customHeight="1" x14ac:dyDescent="0.2">
      <c r="C3" s="62"/>
      <c r="D3" s="62"/>
      <c r="E3" s="62"/>
      <c r="F3" s="62"/>
      <c r="G3" s="62"/>
      <c r="H3" s="62"/>
      <c r="I3" s="62"/>
      <c r="J3" s="62"/>
      <c r="K3" s="62"/>
    </row>
    <row r="4" spans="2:11" ht="17.25" customHeight="1" x14ac:dyDescent="0.2">
      <c r="B4" s="89" t="s">
        <v>52</v>
      </c>
      <c r="C4" s="108" t="s">
        <v>51</v>
      </c>
      <c r="D4" s="109" t="s">
        <v>18</v>
      </c>
      <c r="E4" s="97">
        <v>2014</v>
      </c>
      <c r="F4" s="97">
        <v>2015</v>
      </c>
      <c r="G4" s="97">
        <v>2016</v>
      </c>
      <c r="H4" s="97">
        <v>2017</v>
      </c>
      <c r="I4" s="97">
        <v>2018</v>
      </c>
      <c r="J4" s="97">
        <v>2019</v>
      </c>
      <c r="K4" s="98">
        <v>2020</v>
      </c>
    </row>
    <row r="5" spans="2:11" ht="17.25" customHeight="1" x14ac:dyDescent="0.2">
      <c r="B5" s="90" t="s">
        <v>14</v>
      </c>
      <c r="C5" s="110">
        <v>617.27</v>
      </c>
      <c r="D5" s="111">
        <v>1</v>
      </c>
      <c r="E5" s="101">
        <f>$C5*'Unit volumes'!C$32*$D5</f>
        <v>383522.915405226</v>
      </c>
      <c r="F5" s="101">
        <f>$C5*'Unit volumes'!D$32*$D5</f>
        <v>0</v>
      </c>
      <c r="G5" s="101">
        <f>$C5*'Unit volumes'!E$32*$D5</f>
        <v>388187.4625240601</v>
      </c>
      <c r="H5" s="101">
        <f>$C5*'Unit volumes'!F$32*$D5</f>
        <v>5819.9198075704226</v>
      </c>
      <c r="I5" s="101">
        <f>$C5*'Unit volumes'!G$32*$D5</f>
        <v>395348.90874826838</v>
      </c>
      <c r="J5" s="101">
        <f>$C5*'Unit volumes'!H$32*$D5</f>
        <v>13055.279203780245</v>
      </c>
      <c r="K5" s="102">
        <f>$C5*'Unit volumes'!I$32*$D5</f>
        <v>402779.16942527</v>
      </c>
    </row>
    <row r="6" spans="2:11" ht="17.25" customHeight="1" x14ac:dyDescent="0.2">
      <c r="B6" s="93" t="s">
        <v>4</v>
      </c>
      <c r="C6" s="112">
        <v>65</v>
      </c>
      <c r="D6" s="113">
        <v>1</v>
      </c>
      <c r="E6" s="95">
        <f>$C6*'Unit volumes'!C$32*$D6</f>
        <v>40385.87571296141</v>
      </c>
      <c r="F6" s="95">
        <f>$C6*'Unit volumes'!D$32*$D6</f>
        <v>0</v>
      </c>
      <c r="G6" s="95">
        <f>$C6*'Unit volumes'!E$32*$D6</f>
        <v>40877.063625421462</v>
      </c>
      <c r="H6" s="95">
        <f>$C6*'Unit volumes'!F$32*$D6</f>
        <v>612.85140617894513</v>
      </c>
      <c r="I6" s="95">
        <f>$C6*'Unit volumes'!G$32*$D6</f>
        <v>41631.180955882264</v>
      </c>
      <c r="J6" s="95">
        <f>$C6*'Unit volumes'!H$32*$D6</f>
        <v>1374.7519695525716</v>
      </c>
      <c r="K6" s="103">
        <f>$C6*'Unit volumes'!I$32*$D6</f>
        <v>42413.605087955919</v>
      </c>
    </row>
    <row r="7" spans="2:11" ht="17.25" customHeight="1" x14ac:dyDescent="0.2">
      <c r="B7" s="93" t="s">
        <v>1</v>
      </c>
      <c r="C7" s="112">
        <v>188</v>
      </c>
      <c r="D7" s="113">
        <v>1</v>
      </c>
      <c r="E7" s="95">
        <f>$C7*'Unit volumes'!C$32*$D7</f>
        <v>116808.37898518069</v>
      </c>
      <c r="F7" s="95">
        <f>$C7*'Unit volumes'!D$32*$D7</f>
        <v>0</v>
      </c>
      <c r="G7" s="95">
        <f>$C7*'Unit volumes'!E$32*$D7</f>
        <v>118229.04556275746</v>
      </c>
      <c r="H7" s="95">
        <f>$C7*'Unit volumes'!F$32*$D7</f>
        <v>1772.554836332949</v>
      </c>
      <c r="I7" s="95">
        <f>$C7*'Unit volumes'!G$32*$D7</f>
        <v>120410.18491855178</v>
      </c>
      <c r="J7" s="95">
        <f>$C7*'Unit volumes'!H$32*$D7</f>
        <v>3976.2056965520533</v>
      </c>
      <c r="K7" s="103">
        <f>$C7*'Unit volumes'!I$32*$D7</f>
        <v>122673.19625439557</v>
      </c>
    </row>
    <row r="8" spans="2:11" ht="17.25" customHeight="1" x14ac:dyDescent="0.2">
      <c r="B8" s="91" t="s">
        <v>2</v>
      </c>
      <c r="C8" s="114">
        <v>57</v>
      </c>
      <c r="D8" s="115">
        <v>1</v>
      </c>
      <c r="E8" s="106">
        <f>$C8*'Unit volumes'!C$32*$D8</f>
        <v>35415.306394443083</v>
      </c>
      <c r="F8" s="106">
        <f>$C8*'Unit volumes'!D$32*$D8</f>
        <v>0</v>
      </c>
      <c r="G8" s="106">
        <f>$C8*'Unit volumes'!E$32*$D8</f>
        <v>35846.040409984977</v>
      </c>
      <c r="H8" s="106">
        <f>$C8*'Unit volumes'!F$32*$D8</f>
        <v>537.42354080307496</v>
      </c>
      <c r="I8" s="106">
        <f>$C8*'Unit volumes'!G$32*$D8</f>
        <v>36507.343299773675</v>
      </c>
      <c r="J8" s="106">
        <f>$C8*'Unit volumes'!H$32*$D8</f>
        <v>1205.5517271461013</v>
      </c>
      <c r="K8" s="107">
        <f>$C8*'Unit volumes'!I$32*$D8</f>
        <v>37193.469077130576</v>
      </c>
    </row>
    <row r="9" spans="2:11" ht="17.25" customHeight="1" x14ac:dyDescent="0.2">
      <c r="B9" s="93" t="s">
        <v>31</v>
      </c>
      <c r="C9" s="112">
        <v>720</v>
      </c>
      <c r="D9" s="113">
        <v>1</v>
      </c>
      <c r="E9" s="95">
        <f>$C9*'Unit volumes'!C$22*$D9</f>
        <v>447351.23866664944</v>
      </c>
      <c r="F9" s="95">
        <f>$C9*'Unit volumes'!D$22*$D9</f>
        <v>447351.23866664944</v>
      </c>
      <c r="G9" s="95">
        <f>$C9*'Unit volumes'!E$22*$D9</f>
        <v>452792.08938928391</v>
      </c>
      <c r="H9" s="95">
        <f>$C9*'Unit volumes'!F$22*$D9</f>
        <v>459580.59727311222</v>
      </c>
      <c r="I9" s="95">
        <f>$C9*'Unit volumes'!G$22*$D9</f>
        <v>467933.89693360106</v>
      </c>
      <c r="J9" s="95">
        <f>$C9*'Unit volumes'!H$22*$D9</f>
        <v>476373.41086635506</v>
      </c>
      <c r="K9" s="103">
        <f>$C9*'Unit volumes'!I$22*$D9</f>
        <v>485040.26279086329</v>
      </c>
    </row>
    <row r="10" spans="2:11" ht="17.25" customHeight="1" x14ac:dyDescent="0.2">
      <c r="B10" s="93" t="s">
        <v>0</v>
      </c>
      <c r="C10" s="112">
        <v>60</v>
      </c>
      <c r="D10" s="113">
        <v>0.5</v>
      </c>
      <c r="E10" s="95">
        <f>$C10*'Unit volumes'!C$22*$D10</f>
        <v>18639.634944443726</v>
      </c>
      <c r="F10" s="95">
        <f>$C10*'Unit volumes'!D$22*$D10</f>
        <v>18639.634944443726</v>
      </c>
      <c r="G10" s="95">
        <f>$C10*'Unit volumes'!E$22*$D10</f>
        <v>18866.337057886827</v>
      </c>
      <c r="H10" s="95">
        <f>$C10*'Unit volumes'!F$22*$D10</f>
        <v>19149.191553046341</v>
      </c>
      <c r="I10" s="95">
        <f>$C10*'Unit volumes'!G$22*$D10</f>
        <v>19497.245705566711</v>
      </c>
      <c r="J10" s="95">
        <f>$C10*'Unit volumes'!H$22*$D10</f>
        <v>19848.892119431461</v>
      </c>
      <c r="K10" s="103">
        <f>$C10*'Unit volumes'!I$22*$D10</f>
        <v>20210.010949619304</v>
      </c>
    </row>
    <row r="11" spans="2:11" ht="17.25" customHeight="1" x14ac:dyDescent="0.2">
      <c r="B11" s="93" t="s">
        <v>32</v>
      </c>
      <c r="C11" s="112">
        <v>39</v>
      </c>
      <c r="D11" s="113">
        <v>1</v>
      </c>
      <c r="E11" s="95">
        <f>$C11*'Unit volumes'!C$22*$D11</f>
        <v>24231.525427776844</v>
      </c>
      <c r="F11" s="95">
        <f>$C11*'Unit volumes'!D$22*$D11</f>
        <v>24231.525427776844</v>
      </c>
      <c r="G11" s="95">
        <f>$C11*'Unit volumes'!E$22*$D11</f>
        <v>24526.238175252878</v>
      </c>
      <c r="H11" s="95">
        <f>$C11*'Unit volumes'!F$22*$D11</f>
        <v>24893.949018960244</v>
      </c>
      <c r="I11" s="95">
        <f>$C11*'Unit volumes'!G$22*$D11</f>
        <v>25346.419417236724</v>
      </c>
      <c r="J11" s="95">
        <f>$C11*'Unit volumes'!H$22*$D11</f>
        <v>25803.5597552609</v>
      </c>
      <c r="K11" s="103">
        <f>$C11*'Unit volumes'!I$22*$D11</f>
        <v>26273.014234505095</v>
      </c>
    </row>
    <row r="12" spans="2:11" ht="17.25" customHeight="1" x14ac:dyDescent="0.2">
      <c r="B12" s="93" t="s">
        <v>5</v>
      </c>
      <c r="C12" s="112">
        <v>12</v>
      </c>
      <c r="D12" s="113">
        <v>0.15</v>
      </c>
      <c r="E12" s="95">
        <f>$C12*'Unit volumes'!C$22*$D12</f>
        <v>1118.3780966666236</v>
      </c>
      <c r="F12" s="95">
        <f>$C12*'Unit volumes'!D$22*$D12</f>
        <v>1118.3780966666236</v>
      </c>
      <c r="G12" s="95">
        <f>$C12*'Unit volumes'!E$22*$D12</f>
        <v>1131.9802234732097</v>
      </c>
      <c r="H12" s="95">
        <f>$C12*'Unit volumes'!F$22*$D12</f>
        <v>1148.9514931827805</v>
      </c>
      <c r="I12" s="95">
        <f>$C12*'Unit volumes'!G$22*$D12</f>
        <v>1169.8347423340026</v>
      </c>
      <c r="J12" s="95">
        <f>$C12*'Unit volumes'!H$22*$D12</f>
        <v>1190.9335271658877</v>
      </c>
      <c r="K12" s="103">
        <f>$C12*'Unit volumes'!I$22*$D12</f>
        <v>1212.6006569771582</v>
      </c>
    </row>
    <row r="13" spans="2:11" ht="17.25" customHeight="1" x14ac:dyDescent="0.2">
      <c r="B13" s="93" t="s">
        <v>7</v>
      </c>
      <c r="C13" s="112">
        <v>120</v>
      </c>
      <c r="D13" s="113">
        <v>0</v>
      </c>
      <c r="E13" s="95">
        <f>$C13*'Unit volumes'!C$22*$D13</f>
        <v>0</v>
      </c>
      <c r="F13" s="95">
        <f>$C13*'Unit volumes'!D$22*$D13</f>
        <v>0</v>
      </c>
      <c r="G13" s="95">
        <f>$C13*'Unit volumes'!E$22*$D13</f>
        <v>0</v>
      </c>
      <c r="H13" s="95">
        <f>$C13*'Unit volumes'!F$22*$D13</f>
        <v>0</v>
      </c>
      <c r="I13" s="95">
        <f>$C13*'Unit volumes'!G$22*$D13</f>
        <v>0</v>
      </c>
      <c r="J13" s="95">
        <f>$C13*'Unit volumes'!H$22*$D13</f>
        <v>0</v>
      </c>
      <c r="K13" s="103">
        <f>$C13*'Unit volumes'!I$22*$D13</f>
        <v>0</v>
      </c>
    </row>
    <row r="14" spans="2:11" ht="17.25" customHeight="1" x14ac:dyDescent="0.2">
      <c r="B14" s="93" t="s">
        <v>9</v>
      </c>
      <c r="C14" s="112">
        <v>240</v>
      </c>
      <c r="D14" s="113">
        <v>0</v>
      </c>
      <c r="E14" s="95">
        <f>$C14*'Unit volumes'!C$22*$D14</f>
        <v>0</v>
      </c>
      <c r="F14" s="95">
        <f>$C14*'Unit volumes'!D$22*$D14</f>
        <v>0</v>
      </c>
      <c r="G14" s="95">
        <f>$C14*'Unit volumes'!E$22*$D14</f>
        <v>0</v>
      </c>
      <c r="H14" s="95">
        <f>$C14*'Unit volumes'!F$22*$D14</f>
        <v>0</v>
      </c>
      <c r="I14" s="95">
        <f>$C14*'Unit volumes'!G$22*$D14</f>
        <v>0</v>
      </c>
      <c r="J14" s="95">
        <f>$C14*'Unit volumes'!H$22*$D14</f>
        <v>0</v>
      </c>
      <c r="K14" s="103">
        <f>$C14*'Unit volumes'!I$22*$D14</f>
        <v>0</v>
      </c>
    </row>
    <row r="15" spans="2:11" ht="17.25" customHeight="1" x14ac:dyDescent="0.2">
      <c r="B15" s="93" t="s">
        <v>8</v>
      </c>
      <c r="C15" s="112">
        <v>20</v>
      </c>
      <c r="D15" s="113">
        <v>1</v>
      </c>
      <c r="E15" s="95">
        <f>$C15*'Unit volumes'!C$22*$D15</f>
        <v>12426.423296295818</v>
      </c>
      <c r="F15" s="95">
        <f>$C15*'Unit volumes'!D$22*$D15</f>
        <v>12426.423296295818</v>
      </c>
      <c r="G15" s="95">
        <f>$C15*'Unit volumes'!E$22*$D15</f>
        <v>12577.558038591218</v>
      </c>
      <c r="H15" s="95">
        <f>$C15*'Unit volumes'!F$22*$D15</f>
        <v>12766.127702030895</v>
      </c>
      <c r="I15" s="95">
        <f>$C15*'Unit volumes'!G$22*$D15</f>
        <v>12998.163803711141</v>
      </c>
      <c r="J15" s="95">
        <f>$C15*'Unit volumes'!H$22*$D15</f>
        <v>13232.594746287641</v>
      </c>
      <c r="K15" s="103">
        <f>$C15*'Unit volumes'!I$22*$D15</f>
        <v>13473.340633079535</v>
      </c>
    </row>
    <row r="16" spans="2:11" ht="17.25" customHeight="1" x14ac:dyDescent="0.2">
      <c r="B16" s="91" t="s">
        <v>6</v>
      </c>
      <c r="C16" s="114">
        <v>350.00000000000006</v>
      </c>
      <c r="D16" s="115">
        <v>0.05</v>
      </c>
      <c r="E16" s="106">
        <f>$C16*'Unit volumes'!C$22*$D16</f>
        <v>10873.120384258844</v>
      </c>
      <c r="F16" s="106">
        <f>$C16*'Unit volumes'!D$22*$D16</f>
        <v>10873.120384258844</v>
      </c>
      <c r="G16" s="106">
        <f>$C16*'Unit volumes'!E$22*$D16</f>
        <v>11005.363283767319</v>
      </c>
      <c r="H16" s="106">
        <f>$C16*'Unit volumes'!F$22*$D16</f>
        <v>11170.361739277036</v>
      </c>
      <c r="I16" s="106">
        <f>$C16*'Unit volumes'!G$22*$D16</f>
        <v>11373.39332824725</v>
      </c>
      <c r="J16" s="106">
        <f>$C16*'Unit volumes'!H$22*$D16</f>
        <v>11578.520403001688</v>
      </c>
      <c r="K16" s="107">
        <f>$C16*'Unit volumes'!I$22*$D16</f>
        <v>11789.173053944596</v>
      </c>
    </row>
    <row r="17" spans="2:13" ht="17.25" customHeight="1" x14ac:dyDescent="0.2">
      <c r="B17" s="90" t="s">
        <v>16</v>
      </c>
      <c r="C17" s="99"/>
      <c r="D17" s="100"/>
      <c r="E17" s="101">
        <f>SUM(E5,E14,E15,E6,E7)</f>
        <v>553143.59339966392</v>
      </c>
      <c r="F17" s="101">
        <f>SUM(F5,F14,F15,F6,F7)</f>
        <v>12426.423296295818</v>
      </c>
      <c r="G17" s="101">
        <f>SUM(G5,G14,G15,G6,G7)</f>
        <v>559871.12975083024</v>
      </c>
      <c r="H17" s="101">
        <f t="shared" ref="H17:K17" si="0">SUM(H5,H14,H15,H6,H7)</f>
        <v>20971.453752113215</v>
      </c>
      <c r="I17" s="101">
        <f t="shared" si="0"/>
        <v>570388.43842641357</v>
      </c>
      <c r="J17" s="101">
        <f t="shared" si="0"/>
        <v>31638.831616172509</v>
      </c>
      <c r="K17" s="102">
        <f t="shared" si="0"/>
        <v>581339.31140070094</v>
      </c>
    </row>
    <row r="18" spans="2:13" ht="17.25" customHeight="1" x14ac:dyDescent="0.2">
      <c r="B18" s="91" t="s">
        <v>15</v>
      </c>
      <c r="C18" s="104"/>
      <c r="D18" s="105"/>
      <c r="E18" s="106">
        <f>SUM(E8:E13,E16)</f>
        <v>537629.20391423849</v>
      </c>
      <c r="F18" s="106">
        <f>SUM(F8:F13,F16)</f>
        <v>502213.89751979552</v>
      </c>
      <c r="G18" s="106">
        <f>SUM(G8:G13,G16)</f>
        <v>544168.04853964911</v>
      </c>
      <c r="H18" s="106">
        <f t="shared" ref="H18:K18" si="1">SUM(H8:H13,H16)</f>
        <v>516480.4746183817</v>
      </c>
      <c r="I18" s="106">
        <f t="shared" si="1"/>
        <v>561828.13342675939</v>
      </c>
      <c r="J18" s="106">
        <f t="shared" si="1"/>
        <v>536000.86839836102</v>
      </c>
      <c r="K18" s="107">
        <f t="shared" si="1"/>
        <v>581718.53076304006</v>
      </c>
    </row>
    <row r="19" spans="2:13" ht="17.25" customHeight="1" x14ac:dyDescent="0.2">
      <c r="C19" s="62"/>
      <c r="D19" s="63"/>
      <c r="E19" s="63"/>
      <c r="F19" s="63"/>
      <c r="G19" s="63"/>
      <c r="H19" s="63"/>
      <c r="I19" s="63"/>
      <c r="J19" s="63"/>
      <c r="K19" s="63"/>
      <c r="L19" s="61"/>
    </row>
    <row r="20" spans="2:13" ht="17.25" customHeight="1" x14ac:dyDescent="0.2">
      <c r="B20" s="89" t="s">
        <v>53</v>
      </c>
      <c r="C20" s="108" t="s">
        <v>51</v>
      </c>
      <c r="D20" s="109" t="s">
        <v>18</v>
      </c>
      <c r="E20" s="97">
        <v>2014</v>
      </c>
      <c r="F20" s="97">
        <v>2015</v>
      </c>
      <c r="G20" s="97">
        <v>2016</v>
      </c>
      <c r="H20" s="97">
        <v>2017</v>
      </c>
      <c r="I20" s="97">
        <v>2018</v>
      </c>
      <c r="J20" s="97">
        <v>2019</v>
      </c>
      <c r="K20" s="98">
        <v>2020</v>
      </c>
    </row>
    <row r="21" spans="2:13" ht="17.25" customHeight="1" x14ac:dyDescent="0.2">
      <c r="B21" s="90" t="s">
        <v>14</v>
      </c>
      <c r="C21" s="110">
        <v>617</v>
      </c>
      <c r="D21" s="111">
        <v>0</v>
      </c>
      <c r="E21" s="101"/>
      <c r="F21" s="101"/>
      <c r="G21" s="101">
        <f>$C21*'Unit volumes'!E$32*$D21</f>
        <v>0</v>
      </c>
      <c r="H21" s="101">
        <f>$C21*'Unit volumes'!F$32*$D21</f>
        <v>0</v>
      </c>
      <c r="I21" s="101">
        <f>$C21*'Unit volumes'!G$32*$D21</f>
        <v>0</v>
      </c>
      <c r="J21" s="101">
        <f>$C21*'Unit volumes'!H$32*$D21</f>
        <v>0</v>
      </c>
      <c r="K21" s="102">
        <f>$C21*'Unit volumes'!I$32*$D21</f>
        <v>0</v>
      </c>
      <c r="M21" s="49"/>
    </row>
    <row r="22" spans="2:13" ht="17.25" customHeight="1" x14ac:dyDescent="0.2">
      <c r="B22" s="93" t="s">
        <v>4</v>
      </c>
      <c r="C22" s="112">
        <v>65</v>
      </c>
      <c r="D22" s="113">
        <v>1</v>
      </c>
      <c r="E22" s="95"/>
      <c r="F22" s="95"/>
      <c r="G22" s="95">
        <f>$C22*'Unit volumes'!E$32*$D22</f>
        <v>40877.063625421462</v>
      </c>
      <c r="H22" s="95">
        <f>$C22*'Unit volumes'!F$32*$D22</f>
        <v>612.85140617894513</v>
      </c>
      <c r="I22" s="95">
        <f>$C22*'Unit volumes'!G$32*$D22</f>
        <v>41631.180955882264</v>
      </c>
      <c r="J22" s="95">
        <f>$C22*'Unit volumes'!H$32*$D22</f>
        <v>1374.7519695525716</v>
      </c>
      <c r="K22" s="103">
        <f>$C22*'Unit volumes'!I$32*$D22</f>
        <v>42413.605087955919</v>
      </c>
      <c r="M22" s="49"/>
    </row>
    <row r="23" spans="2:13" ht="17.25" customHeight="1" x14ac:dyDescent="0.2">
      <c r="B23" s="93" t="s">
        <v>1</v>
      </c>
      <c r="C23" s="112">
        <v>188</v>
      </c>
      <c r="D23" s="113">
        <v>1</v>
      </c>
      <c r="E23" s="95"/>
      <c r="F23" s="95"/>
      <c r="G23" s="95">
        <f>$C23*'Unit volumes'!E$32*$D23</f>
        <v>118229.04556275746</v>
      </c>
      <c r="H23" s="95">
        <f>$C23*'Unit volumes'!F$32*$D23</f>
        <v>1772.554836332949</v>
      </c>
      <c r="I23" s="95">
        <f>$C23*'Unit volumes'!G$32*$D23</f>
        <v>120410.18491855178</v>
      </c>
      <c r="J23" s="95">
        <f>$C23*'Unit volumes'!H$32*$D23</f>
        <v>3976.2056965520533</v>
      </c>
      <c r="K23" s="103">
        <f>$C23*'Unit volumes'!I$32*$D23</f>
        <v>122673.19625439557</v>
      </c>
      <c r="M23" s="49"/>
    </row>
    <row r="24" spans="2:13" ht="17.25" customHeight="1" x14ac:dyDescent="0.2">
      <c r="B24" s="93" t="s">
        <v>2</v>
      </c>
      <c r="C24" s="112">
        <v>57</v>
      </c>
      <c r="D24" s="113">
        <v>1</v>
      </c>
      <c r="E24" s="95"/>
      <c r="F24" s="95"/>
      <c r="G24" s="95">
        <f>$C24*'Unit volumes'!E$32*$D24</f>
        <v>35846.040409984977</v>
      </c>
      <c r="H24" s="95">
        <f>$C24*'Unit volumes'!F$32*$D24</f>
        <v>537.42354080307496</v>
      </c>
      <c r="I24" s="95">
        <f>$C24*'Unit volumes'!G$32*$D24</f>
        <v>36507.343299773675</v>
      </c>
      <c r="J24" s="95">
        <f>$C24*'Unit volumes'!H$32*$D24</f>
        <v>1205.5517271461013</v>
      </c>
      <c r="K24" s="103">
        <f>$C24*'Unit volumes'!I$32*$D24</f>
        <v>37193.469077130576</v>
      </c>
      <c r="M24" s="49"/>
    </row>
    <row r="25" spans="2:13" ht="17.25" customHeight="1" x14ac:dyDescent="0.2">
      <c r="B25" s="90" t="s">
        <v>31</v>
      </c>
      <c r="C25" s="110">
        <v>832</v>
      </c>
      <c r="D25" s="111">
        <v>1</v>
      </c>
      <c r="E25" s="101"/>
      <c r="F25" s="101"/>
      <c r="G25" s="101">
        <f>$C25*'Unit volumes'!E$22*$D25</f>
        <v>523226.41440539469</v>
      </c>
      <c r="H25" s="101">
        <f>$C25*'Unit volumes'!F$22*$D25</f>
        <v>531070.91240448516</v>
      </c>
      <c r="I25" s="101">
        <f>$C25*'Unit volumes'!G$22*$D25</f>
        <v>540723.61423438345</v>
      </c>
      <c r="J25" s="101">
        <f>$C25*'Unit volumes'!H$22*$D25</f>
        <v>550475.9414455659</v>
      </c>
      <c r="K25" s="102">
        <f>$C25*'Unit volumes'!I$22*$D25</f>
        <v>560490.9703361087</v>
      </c>
      <c r="M25" s="49"/>
    </row>
    <row r="26" spans="2:13" ht="17.25" customHeight="1" x14ac:dyDescent="0.2">
      <c r="B26" s="93" t="s">
        <v>0</v>
      </c>
      <c r="C26" s="112">
        <v>60</v>
      </c>
      <c r="D26" s="113">
        <v>0.5</v>
      </c>
      <c r="E26" s="95"/>
      <c r="F26" s="95"/>
      <c r="G26" s="95">
        <f>$C26*'Unit volumes'!E$22*$D26</f>
        <v>18866.337057886827</v>
      </c>
      <c r="H26" s="95">
        <f>$C26*'Unit volumes'!F$22*$D26</f>
        <v>19149.191553046341</v>
      </c>
      <c r="I26" s="95">
        <f>$C26*'Unit volumes'!G$22*$D26</f>
        <v>19497.245705566711</v>
      </c>
      <c r="J26" s="95">
        <f>$C26*'Unit volumes'!H$22*$D26</f>
        <v>19848.892119431461</v>
      </c>
      <c r="K26" s="103">
        <f>$C26*'Unit volumes'!I$22*$D26</f>
        <v>20210.010949619304</v>
      </c>
      <c r="M26" s="49"/>
    </row>
    <row r="27" spans="2:13" ht="17.25" customHeight="1" x14ac:dyDescent="0.2">
      <c r="B27" s="93" t="s">
        <v>32</v>
      </c>
      <c r="C27" s="112">
        <v>39</v>
      </c>
      <c r="D27" s="113">
        <v>0</v>
      </c>
      <c r="E27" s="95"/>
      <c r="F27" s="95"/>
      <c r="G27" s="95">
        <f>$C27*'Unit volumes'!E$22*$D27</f>
        <v>0</v>
      </c>
      <c r="H27" s="95">
        <f>$C27*'Unit volumes'!F$22*$D27</f>
        <v>0</v>
      </c>
      <c r="I27" s="95">
        <f>$C27*'Unit volumes'!G$22*$D27</f>
        <v>0</v>
      </c>
      <c r="J27" s="95">
        <f>$C27*'Unit volumes'!H$22*$D27</f>
        <v>0</v>
      </c>
      <c r="K27" s="103">
        <f>$C27*'Unit volumes'!I$22*$D27</f>
        <v>0</v>
      </c>
      <c r="M27" s="49"/>
    </row>
    <row r="28" spans="2:13" ht="17.25" customHeight="1" x14ac:dyDescent="0.2">
      <c r="B28" s="93" t="s">
        <v>5</v>
      </c>
      <c r="C28" s="112">
        <v>12</v>
      </c>
      <c r="D28" s="113">
        <v>0.15</v>
      </c>
      <c r="E28" s="95"/>
      <c r="F28" s="95"/>
      <c r="G28" s="95">
        <f>$C28*'Unit volumes'!E$22*$D28</f>
        <v>1131.9802234732097</v>
      </c>
      <c r="H28" s="95">
        <f>$C28*'Unit volumes'!F$22*$D28</f>
        <v>1148.9514931827805</v>
      </c>
      <c r="I28" s="95">
        <f>$C28*'Unit volumes'!G$22*$D28</f>
        <v>1169.8347423340026</v>
      </c>
      <c r="J28" s="95">
        <f>$C28*'Unit volumes'!H$22*$D28</f>
        <v>1190.9335271658877</v>
      </c>
      <c r="K28" s="103">
        <f>$C28*'Unit volumes'!I$22*$D28</f>
        <v>1212.6006569771582</v>
      </c>
      <c r="M28" s="49"/>
    </row>
    <row r="29" spans="2:13" ht="17.25" customHeight="1" x14ac:dyDescent="0.2">
      <c r="B29" s="93" t="s">
        <v>7</v>
      </c>
      <c r="C29" s="112">
        <v>120</v>
      </c>
      <c r="D29" s="113">
        <v>0</v>
      </c>
      <c r="E29" s="95"/>
      <c r="F29" s="95"/>
      <c r="G29" s="95">
        <f>$C29*'Unit volumes'!E$22*$D29</f>
        <v>0</v>
      </c>
      <c r="H29" s="95">
        <f>$C29*'Unit volumes'!F$22*$D29</f>
        <v>0</v>
      </c>
      <c r="I29" s="95">
        <f>$C29*'Unit volumes'!G$22*$D29</f>
        <v>0</v>
      </c>
      <c r="J29" s="95">
        <f>$C29*'Unit volumes'!H$22*$D29</f>
        <v>0</v>
      </c>
      <c r="K29" s="103">
        <f>$C29*'Unit volumes'!I$22*$D29</f>
        <v>0</v>
      </c>
      <c r="M29" s="49"/>
    </row>
    <row r="30" spans="2:13" ht="17.25" customHeight="1" x14ac:dyDescent="0.2">
      <c r="B30" s="93" t="s">
        <v>9</v>
      </c>
      <c r="C30" s="112">
        <v>240</v>
      </c>
      <c r="D30" s="113">
        <v>0</v>
      </c>
      <c r="E30" s="95"/>
      <c r="F30" s="95"/>
      <c r="G30" s="95">
        <f>$C30*'Unit volumes'!E$22*$D30</f>
        <v>0</v>
      </c>
      <c r="H30" s="95">
        <f>$C30*'Unit volumes'!F$22*$D30</f>
        <v>0</v>
      </c>
      <c r="I30" s="95">
        <f>$C30*'Unit volumes'!G$22*$D30</f>
        <v>0</v>
      </c>
      <c r="J30" s="95">
        <f>$C30*'Unit volumes'!H$22*$D30</f>
        <v>0</v>
      </c>
      <c r="K30" s="103">
        <f>$C30*'Unit volumes'!I$22*$D30</f>
        <v>0</v>
      </c>
      <c r="M30" s="49"/>
    </row>
    <row r="31" spans="2:13" ht="17.25" customHeight="1" x14ac:dyDescent="0.2">
      <c r="B31" s="93" t="s">
        <v>8</v>
      </c>
      <c r="C31" s="112">
        <v>20</v>
      </c>
      <c r="D31" s="113">
        <v>1</v>
      </c>
      <c r="E31" s="95"/>
      <c r="F31" s="95"/>
      <c r="G31" s="95">
        <f>$C31*'Unit volumes'!E$22*$D31</f>
        <v>12577.558038591218</v>
      </c>
      <c r="H31" s="95">
        <f>$C31*'Unit volumes'!F$22*$D31</f>
        <v>12766.127702030895</v>
      </c>
      <c r="I31" s="95">
        <f>$C31*'Unit volumes'!G$22*$D31</f>
        <v>12998.163803711141</v>
      </c>
      <c r="J31" s="95">
        <f>$C31*'Unit volumes'!H$22*$D31</f>
        <v>13232.594746287641</v>
      </c>
      <c r="K31" s="103">
        <f>$C31*'Unit volumes'!I$22*$D31</f>
        <v>13473.340633079535</v>
      </c>
      <c r="M31" s="49"/>
    </row>
    <row r="32" spans="2:13" ht="17.25" customHeight="1" x14ac:dyDescent="0.2">
      <c r="B32" s="91" t="s">
        <v>6</v>
      </c>
      <c r="C32" s="114">
        <v>350.00000000000006</v>
      </c>
      <c r="D32" s="115">
        <v>0.05</v>
      </c>
      <c r="E32" s="106"/>
      <c r="F32" s="106"/>
      <c r="G32" s="106">
        <f>$C32*'Unit volumes'!E$22*$D32</f>
        <v>11005.363283767319</v>
      </c>
      <c r="H32" s="106">
        <f>$C32*'Unit volumes'!F$22*$D32</f>
        <v>11170.361739277036</v>
      </c>
      <c r="I32" s="106">
        <f>$C32*'Unit volumes'!G$22*$D32</f>
        <v>11373.39332824725</v>
      </c>
      <c r="J32" s="106">
        <f>$C32*'Unit volumes'!H$22*$D32</f>
        <v>11578.520403001688</v>
      </c>
      <c r="K32" s="107">
        <f>$C32*'Unit volumes'!I$22*$D32</f>
        <v>11789.173053944596</v>
      </c>
      <c r="M32" s="49"/>
    </row>
    <row r="33" spans="2:13" ht="17.25" customHeight="1" x14ac:dyDescent="0.2">
      <c r="B33" s="92" t="s">
        <v>54</v>
      </c>
      <c r="C33" s="116"/>
      <c r="D33" s="117"/>
      <c r="E33" s="118"/>
      <c r="F33" s="118"/>
      <c r="G33" s="118">
        <f>SUM(G21:G32)</f>
        <v>761759.80260727718</v>
      </c>
      <c r="H33" s="118">
        <f>SUM(H21:H32)</f>
        <v>578228.37467533723</v>
      </c>
      <c r="I33" s="118">
        <f>SUM(I21:I32)</f>
        <v>784310.96098845021</v>
      </c>
      <c r="J33" s="118">
        <f>SUM(J21:J32)</f>
        <v>602883.39163470326</v>
      </c>
      <c r="K33" s="119">
        <f>SUM(K21:K32)</f>
        <v>809456.36604921136</v>
      </c>
      <c r="M33" s="49"/>
    </row>
    <row r="34" spans="2:13" ht="17.25" customHeight="1" x14ac:dyDescent="0.2">
      <c r="M34" s="49"/>
    </row>
    <row r="35" spans="2:13" ht="17.25" customHeight="1" x14ac:dyDescent="0.2">
      <c r="B35" s="120" t="s">
        <v>65</v>
      </c>
      <c r="C35" s="121"/>
      <c r="D35" s="122"/>
      <c r="E35" s="122"/>
      <c r="F35" s="122"/>
      <c r="G35" s="122"/>
      <c r="H35" s="122"/>
      <c r="I35" s="122"/>
      <c r="J35" s="122"/>
      <c r="K35" s="122"/>
      <c r="M35" s="49"/>
    </row>
    <row r="36" spans="2:13" ht="17.25" customHeight="1" x14ac:dyDescent="0.2">
      <c r="C36" s="62"/>
      <c r="D36" s="62"/>
      <c r="E36" s="62"/>
      <c r="F36" s="62"/>
      <c r="G36" s="62"/>
      <c r="H36" s="62"/>
      <c r="I36" s="62"/>
      <c r="J36" s="62"/>
      <c r="K36" s="62"/>
      <c r="M36" s="49"/>
    </row>
    <row r="37" spans="2:13" ht="17.25" customHeight="1" x14ac:dyDescent="0.2">
      <c r="B37" s="89" t="s">
        <v>52</v>
      </c>
      <c r="C37" s="108" t="s">
        <v>51</v>
      </c>
      <c r="D37" s="109" t="s">
        <v>18</v>
      </c>
      <c r="E37" s="97">
        <v>2014</v>
      </c>
      <c r="F37" s="97">
        <v>2015</v>
      </c>
      <c r="G37" s="97">
        <v>2016</v>
      </c>
      <c r="H37" s="97">
        <v>2017</v>
      </c>
      <c r="I37" s="97">
        <v>2018</v>
      </c>
      <c r="J37" s="97">
        <v>2019</v>
      </c>
      <c r="K37" s="98">
        <v>2020</v>
      </c>
      <c r="M37" s="49"/>
    </row>
    <row r="38" spans="2:13" ht="17.25" customHeight="1" x14ac:dyDescent="0.2">
      <c r="B38" s="90" t="s">
        <v>14</v>
      </c>
      <c r="C38" s="110">
        <v>617.27</v>
      </c>
      <c r="D38" s="111">
        <v>1</v>
      </c>
      <c r="E38" s="101">
        <f>$C38*'Unit volumes'!C$34*$D38</f>
        <v>303659.90831496124</v>
      </c>
      <c r="F38" s="101">
        <f>$C38*'Unit volumes'!D$34*$D38</f>
        <v>0</v>
      </c>
      <c r="G38" s="101">
        <f>$C38*'Unit volumes'!E$34*$D38</f>
        <v>3693.22377761806</v>
      </c>
      <c r="H38" s="101">
        <f>$C38*'Unit volumes'!F$34*$D38</f>
        <v>308267.91540966107</v>
      </c>
      <c r="I38" s="101">
        <f>$C38*'Unit volumes'!G$34*$D38</f>
        <v>5670.1803634025327</v>
      </c>
      <c r="J38" s="101">
        <f>$C38*'Unit volumes'!H$34*$D38</f>
        <v>9421.9259819112503</v>
      </c>
      <c r="K38" s="102">
        <f>$C38*'Unit volumes'!I$34*$D38</f>
        <v>314150.93356921652</v>
      </c>
      <c r="M38" s="49"/>
    </row>
    <row r="39" spans="2:13" ht="17.25" customHeight="1" x14ac:dyDescent="0.2">
      <c r="B39" s="93" t="s">
        <v>4</v>
      </c>
      <c r="C39" s="112">
        <v>65</v>
      </c>
      <c r="D39" s="113">
        <v>1</v>
      </c>
      <c r="E39" s="95">
        <f>$C39*'Unit volumes'!C$34*$D39</f>
        <v>31976.111005674145</v>
      </c>
      <c r="F39" s="95">
        <f>$C39*'Unit volumes'!D$34*$D39</f>
        <v>0</v>
      </c>
      <c r="G39" s="95">
        <f>$C39*'Unit volumes'!E$34*$D39</f>
        <v>388.90525304190049</v>
      </c>
      <c r="H39" s="95">
        <f>$C39*'Unit volumes'!F$34*$D39</f>
        <v>32461.345119037003</v>
      </c>
      <c r="I39" s="95">
        <f>$C39*'Unit volumes'!G$34*$D39</f>
        <v>597.08348635307834</v>
      </c>
      <c r="J39" s="95">
        <f>$C39*'Unit volumes'!H$34*$D39</f>
        <v>992.15122851301908</v>
      </c>
      <c r="K39" s="103">
        <f>$C39*'Unit volumes'!I$34*$D39</f>
        <v>33080.840931843559</v>
      </c>
      <c r="M39" s="49"/>
    </row>
    <row r="40" spans="2:13" ht="17.25" customHeight="1" x14ac:dyDescent="0.2">
      <c r="B40" s="93" t="s">
        <v>1</v>
      </c>
      <c r="C40" s="112">
        <v>188</v>
      </c>
      <c r="D40" s="113">
        <v>1</v>
      </c>
      <c r="E40" s="95">
        <f>$C40*'Unit volumes'!C$34*$D40</f>
        <v>92484.751831795991</v>
      </c>
      <c r="F40" s="95">
        <f>$C40*'Unit volumes'!D$34*$D40</f>
        <v>0</v>
      </c>
      <c r="G40" s="95">
        <f>$C40*'Unit volumes'!E$34*$D40</f>
        <v>1124.8336549519584</v>
      </c>
      <c r="H40" s="95">
        <f>$C40*'Unit volumes'!F$34*$D40</f>
        <v>93888.198190445488</v>
      </c>
      <c r="I40" s="95">
        <f>$C40*'Unit volumes'!G$34*$D40</f>
        <v>1726.9491605289033</v>
      </c>
      <c r="J40" s="95">
        <f>$C40*'Unit volumes'!H$34*$D40</f>
        <v>2869.6066301607325</v>
      </c>
      <c r="K40" s="103">
        <f>$C40*'Unit volumes'!I$34*$D40</f>
        <v>95679.970695178301</v>
      </c>
      <c r="M40" s="49"/>
    </row>
    <row r="41" spans="2:13" ht="17.25" customHeight="1" x14ac:dyDescent="0.2">
      <c r="B41" s="91" t="s">
        <v>2</v>
      </c>
      <c r="C41" s="114">
        <v>57</v>
      </c>
      <c r="D41" s="115">
        <v>1</v>
      </c>
      <c r="E41" s="106">
        <f>$C41*'Unit volumes'!C$34*$D41</f>
        <v>28040.589651129638</v>
      </c>
      <c r="F41" s="106">
        <f>$C41*'Unit volumes'!D$34*$D41</f>
        <v>0</v>
      </c>
      <c r="G41" s="106">
        <f>$C41*'Unit volumes'!E$34*$D41</f>
        <v>341.0399911290512</v>
      </c>
      <c r="H41" s="106">
        <f>$C41*'Unit volumes'!F$34*$D41</f>
        <v>28466.102642847836</v>
      </c>
      <c r="I41" s="106">
        <f>$C41*'Unit volumes'!G$34*$D41</f>
        <v>523.59628803269948</v>
      </c>
      <c r="J41" s="106">
        <f>$C41*'Unit volumes'!H$34*$D41</f>
        <v>870.04030808064749</v>
      </c>
      <c r="K41" s="107">
        <f>$C41*'Unit volumes'!I$34*$D41</f>
        <v>29009.352817155122</v>
      </c>
      <c r="M41" s="49"/>
    </row>
    <row r="42" spans="2:13" ht="17.25" customHeight="1" x14ac:dyDescent="0.2">
      <c r="B42" s="93" t="s">
        <v>31</v>
      </c>
      <c r="C42" s="112">
        <v>720</v>
      </c>
      <c r="D42" s="113">
        <v>1</v>
      </c>
      <c r="E42" s="95">
        <f>$C42*'Unit volumes'!C$23*$D42</f>
        <v>354196.92190900591</v>
      </c>
      <c r="F42" s="95">
        <f>$C42*'Unit volumes'!D$23*$D42</f>
        <v>354196.92190900591</v>
      </c>
      <c r="G42" s="95">
        <f>$C42*'Unit volumes'!E$23*$D42</f>
        <v>358504.79548116238</v>
      </c>
      <c r="H42" s="95">
        <f>$C42*'Unit volumes'!F$23*$D42</f>
        <v>363879.69642918173</v>
      </c>
      <c r="I42" s="95">
        <f>$C42*'Unit volumes'!G$23*$D42</f>
        <v>370493.54427801579</v>
      </c>
      <c r="J42" s="95">
        <f>$C42*'Unit volumes'!H$23*$D42</f>
        <v>377175.65354477282</v>
      </c>
      <c r="K42" s="103">
        <f>$C42*'Unit volumes'!I$23*$D42</f>
        <v>384037.761009707</v>
      </c>
      <c r="M42" s="49"/>
    </row>
    <row r="43" spans="2:13" ht="17.25" customHeight="1" x14ac:dyDescent="0.2">
      <c r="B43" s="93" t="s">
        <v>0</v>
      </c>
      <c r="C43" s="112">
        <v>60</v>
      </c>
      <c r="D43" s="113">
        <v>0.5</v>
      </c>
      <c r="E43" s="95">
        <f>$C43*'Unit volumes'!C$23*$D43</f>
        <v>14758.205079541915</v>
      </c>
      <c r="F43" s="95">
        <f>$C43*'Unit volumes'!D$23*$D43</f>
        <v>14758.205079541915</v>
      </c>
      <c r="G43" s="95">
        <f>$C43*'Unit volumes'!E$23*$D43</f>
        <v>14937.699811715098</v>
      </c>
      <c r="H43" s="95">
        <f>$C43*'Unit volumes'!F$23*$D43</f>
        <v>15161.654017882571</v>
      </c>
      <c r="I43" s="95">
        <f>$C43*'Unit volumes'!G$23*$D43</f>
        <v>15437.231011583992</v>
      </c>
      <c r="J43" s="95">
        <f>$C43*'Unit volumes'!H$23*$D43</f>
        <v>15715.652231032202</v>
      </c>
      <c r="K43" s="103">
        <f>$C43*'Unit volumes'!I$23*$D43</f>
        <v>16001.573375404458</v>
      </c>
      <c r="M43" s="49"/>
    </row>
    <row r="44" spans="2:13" ht="17.25" customHeight="1" x14ac:dyDescent="0.2">
      <c r="B44" s="93" t="s">
        <v>32</v>
      </c>
      <c r="C44" s="112">
        <v>39</v>
      </c>
      <c r="D44" s="113">
        <v>1</v>
      </c>
      <c r="E44" s="95">
        <f>$C44*'Unit volumes'!C$23*$D44</f>
        <v>19185.666603404487</v>
      </c>
      <c r="F44" s="95">
        <f>$C44*'Unit volumes'!D$23*$D44</f>
        <v>19185.666603404487</v>
      </c>
      <c r="G44" s="95">
        <f>$C44*'Unit volumes'!E$23*$D44</f>
        <v>19419.009755229628</v>
      </c>
      <c r="H44" s="95">
        <f>$C44*'Unit volumes'!F$23*$D44</f>
        <v>19710.150223247343</v>
      </c>
      <c r="I44" s="95">
        <f>$C44*'Unit volumes'!G$23*$D44</f>
        <v>20068.400315059189</v>
      </c>
      <c r="J44" s="95">
        <f>$C44*'Unit volumes'!H$23*$D44</f>
        <v>20430.347900341862</v>
      </c>
      <c r="K44" s="103">
        <f>$C44*'Unit volumes'!I$23*$D44</f>
        <v>20802.045388025796</v>
      </c>
      <c r="M44" s="49"/>
    </row>
    <row r="45" spans="2:13" ht="17.25" customHeight="1" x14ac:dyDescent="0.2">
      <c r="B45" s="93" t="s">
        <v>5</v>
      </c>
      <c r="C45" s="112">
        <v>12</v>
      </c>
      <c r="D45" s="113">
        <v>0.15</v>
      </c>
      <c r="E45" s="95">
        <f>$C45*'Unit volumes'!C$23*$D45</f>
        <v>885.49230477251479</v>
      </c>
      <c r="F45" s="95">
        <f>$C45*'Unit volumes'!D$23*$D45</f>
        <v>885.49230477251479</v>
      </c>
      <c r="G45" s="95">
        <f>$C45*'Unit volumes'!E$23*$D45</f>
        <v>896.26198870290591</v>
      </c>
      <c r="H45" s="95">
        <f>$C45*'Unit volumes'!F$23*$D45</f>
        <v>909.69924107295435</v>
      </c>
      <c r="I45" s="95">
        <f>$C45*'Unit volumes'!G$23*$D45</f>
        <v>926.23386069503954</v>
      </c>
      <c r="J45" s="95">
        <f>$C45*'Unit volumes'!H$23*$D45</f>
        <v>942.93913386193196</v>
      </c>
      <c r="K45" s="103">
        <f>$C45*'Unit volumes'!I$23*$D45</f>
        <v>960.09440252426737</v>
      </c>
      <c r="M45" s="49"/>
    </row>
    <row r="46" spans="2:13" ht="17.25" customHeight="1" x14ac:dyDescent="0.2">
      <c r="B46" s="93" t="s">
        <v>7</v>
      </c>
      <c r="C46" s="112">
        <v>120</v>
      </c>
      <c r="D46" s="113">
        <v>0</v>
      </c>
      <c r="E46" s="95">
        <f>$C46*'Unit volumes'!C$23*$D46</f>
        <v>0</v>
      </c>
      <c r="F46" s="95">
        <f>$C46*'Unit volumes'!D$23*$D46</f>
        <v>0</v>
      </c>
      <c r="G46" s="95">
        <f>$C46*'Unit volumes'!E$23*$D46</f>
        <v>0</v>
      </c>
      <c r="H46" s="95">
        <f>$C46*'Unit volumes'!F$23*$D46</f>
        <v>0</v>
      </c>
      <c r="I46" s="95">
        <f>$C46*'Unit volumes'!G$23*$D46</f>
        <v>0</v>
      </c>
      <c r="J46" s="95">
        <f>$C46*'Unit volumes'!H$23*$D46</f>
        <v>0</v>
      </c>
      <c r="K46" s="103">
        <f>$C46*'Unit volumes'!I$23*$D46</f>
        <v>0</v>
      </c>
      <c r="M46" s="49"/>
    </row>
    <row r="47" spans="2:13" ht="17.25" customHeight="1" x14ac:dyDescent="0.2">
      <c r="B47" s="93" t="s">
        <v>9</v>
      </c>
      <c r="C47" s="112">
        <v>240</v>
      </c>
      <c r="D47" s="113">
        <v>1</v>
      </c>
      <c r="E47" s="95">
        <f>$C47*'Unit volumes'!C$24*$D47</f>
        <v>8380.8883372611399</v>
      </c>
      <c r="F47" s="95">
        <f>$C47*'Unit volumes'!D$24*$D47</f>
        <v>8380.8883372611399</v>
      </c>
      <c r="G47" s="95">
        <f>$C47*'Unit volumes'!E$24*$D47</f>
        <v>8482.8197916190529</v>
      </c>
      <c r="H47" s="95">
        <f>$C47*'Unit volumes'!F$24*$D47</f>
        <v>8609.9988885643452</v>
      </c>
      <c r="I47" s="95">
        <f>$C47*'Unit volumes'!G$24*$D47</f>
        <v>8766.493530025271</v>
      </c>
      <c r="J47" s="95">
        <f>$C47*'Unit volumes'!H$24*$D47</f>
        <v>8924.603350179088</v>
      </c>
      <c r="K47" s="103">
        <f>$C47*'Unit volumes'!I$24*$D47</f>
        <v>9086.9722271075952</v>
      </c>
      <c r="M47" s="49"/>
    </row>
    <row r="48" spans="2:13" ht="17.25" customHeight="1" x14ac:dyDescent="0.2">
      <c r="B48" s="93" t="s">
        <v>8</v>
      </c>
      <c r="C48" s="112">
        <v>20</v>
      </c>
      <c r="D48" s="113">
        <v>1</v>
      </c>
      <c r="E48" s="95">
        <f>$C48*'Unit volumes'!C$23*$D48</f>
        <v>9838.8033863612764</v>
      </c>
      <c r="F48" s="95">
        <f>$C48*'Unit volumes'!D$23*$D48</f>
        <v>9838.8033863612764</v>
      </c>
      <c r="G48" s="95">
        <f>$C48*'Unit volumes'!E$23*$D48</f>
        <v>9958.4665411433998</v>
      </c>
      <c r="H48" s="95">
        <f>$C48*'Unit volumes'!F$23*$D48</f>
        <v>10107.769345255048</v>
      </c>
      <c r="I48" s="95">
        <f>$C48*'Unit volumes'!G$23*$D48</f>
        <v>10291.487341055996</v>
      </c>
      <c r="J48" s="95">
        <f>$C48*'Unit volumes'!H$23*$D48</f>
        <v>10477.101487354801</v>
      </c>
      <c r="K48" s="103">
        <f>$C48*'Unit volumes'!I$23*$D48</f>
        <v>10667.715583602971</v>
      </c>
      <c r="M48" s="49"/>
    </row>
    <row r="49" spans="2:13" ht="17.25" customHeight="1" x14ac:dyDescent="0.2">
      <c r="B49" s="91" t="s">
        <v>6</v>
      </c>
      <c r="C49" s="114">
        <v>350.00000000000006</v>
      </c>
      <c r="D49" s="115">
        <v>0.05</v>
      </c>
      <c r="E49" s="106">
        <f>$C49*'Unit volumes'!C$23*$D49</f>
        <v>8608.9529630661182</v>
      </c>
      <c r="F49" s="106">
        <f>$C49*'Unit volumes'!D$23*$D49</f>
        <v>8608.9529630661182</v>
      </c>
      <c r="G49" s="106">
        <f>$C49*'Unit volumes'!E$23*$D49</f>
        <v>8713.6582235004753</v>
      </c>
      <c r="H49" s="106">
        <f>$C49*'Unit volumes'!F$23*$D49</f>
        <v>8844.2981770981696</v>
      </c>
      <c r="I49" s="106">
        <f>$C49*'Unit volumes'!G$23*$D49</f>
        <v>9005.0514234239963</v>
      </c>
      <c r="J49" s="106">
        <f>$C49*'Unit volumes'!H$23*$D49</f>
        <v>9167.4638014354532</v>
      </c>
      <c r="K49" s="107">
        <f>$C49*'Unit volumes'!I$23*$D49</f>
        <v>9334.2511356526011</v>
      </c>
      <c r="M49" s="49"/>
    </row>
    <row r="50" spans="2:13" ht="17.25" customHeight="1" x14ac:dyDescent="0.2">
      <c r="B50" s="90" t="s">
        <v>16</v>
      </c>
      <c r="C50" s="99"/>
      <c r="D50" s="100"/>
      <c r="E50" s="101">
        <f>SUM(E38,E47,E48,E39,E40)</f>
        <v>446340.46287605388</v>
      </c>
      <c r="F50" s="101">
        <f t="shared" ref="F50" si="2">SUM(F38,F47,F48,F39,F40)</f>
        <v>18219.691723622418</v>
      </c>
      <c r="G50" s="101">
        <f>SUM(G38,G47,G48,G39,G40)</f>
        <v>23648.249018374372</v>
      </c>
      <c r="H50" s="101">
        <f t="shared" ref="H50:K50" si="3">SUM(H38,H47,H48,H39,H40)</f>
        <v>453335.22695296298</v>
      </c>
      <c r="I50" s="101">
        <f t="shared" si="3"/>
        <v>27052.193881365783</v>
      </c>
      <c r="J50" s="101">
        <f t="shared" si="3"/>
        <v>32685.388678118888</v>
      </c>
      <c r="K50" s="102">
        <f t="shared" si="3"/>
        <v>462666.43300694897</v>
      </c>
      <c r="M50" s="49"/>
    </row>
    <row r="51" spans="2:13" ht="17.25" customHeight="1" x14ac:dyDescent="0.2">
      <c r="B51" s="91" t="s">
        <v>15</v>
      </c>
      <c r="C51" s="104"/>
      <c r="D51" s="105"/>
      <c r="E51" s="106">
        <f>SUM(E41:E46,E49)</f>
        <v>425675.82851092052</v>
      </c>
      <c r="F51" s="106">
        <f t="shared" ref="F51" si="4">SUM(F41:F46,F49)</f>
        <v>397635.2388597909</v>
      </c>
      <c r="G51" s="106">
        <f>SUM(G41:G46,G49)</f>
        <v>402812.4652514396</v>
      </c>
      <c r="H51" s="106">
        <f t="shared" ref="H51:K51" si="5">SUM(H41:H46,H49)</f>
        <v>436971.60073133057</v>
      </c>
      <c r="I51" s="106">
        <f t="shared" si="5"/>
        <v>416454.05717681069</v>
      </c>
      <c r="J51" s="106">
        <f t="shared" si="5"/>
        <v>424302.09691952489</v>
      </c>
      <c r="K51" s="107">
        <f t="shared" si="5"/>
        <v>460145.07812846929</v>
      </c>
      <c r="M51" s="49"/>
    </row>
    <row r="52" spans="2:13" ht="17.25" customHeight="1" x14ac:dyDescent="0.2">
      <c r="C52" s="62"/>
      <c r="D52" s="63"/>
      <c r="E52" s="63"/>
      <c r="F52" s="63"/>
      <c r="G52" s="63"/>
      <c r="H52" s="63"/>
      <c r="I52" s="63"/>
      <c r="J52" s="63"/>
      <c r="K52" s="63"/>
      <c r="M52" s="49"/>
    </row>
    <row r="53" spans="2:13" ht="17.25" customHeight="1" x14ac:dyDescent="0.2">
      <c r="B53" s="89" t="s">
        <v>53</v>
      </c>
      <c r="C53" s="108" t="s">
        <v>51</v>
      </c>
      <c r="D53" s="109" t="s">
        <v>18</v>
      </c>
      <c r="E53" s="97">
        <v>2014</v>
      </c>
      <c r="F53" s="97">
        <v>2015</v>
      </c>
      <c r="G53" s="97">
        <v>2016</v>
      </c>
      <c r="H53" s="97">
        <v>2017</v>
      </c>
      <c r="I53" s="97">
        <v>2018</v>
      </c>
      <c r="J53" s="97">
        <v>2019</v>
      </c>
      <c r="K53" s="98">
        <v>2020</v>
      </c>
      <c r="M53" s="49"/>
    </row>
    <row r="54" spans="2:13" ht="17.25" customHeight="1" x14ac:dyDescent="0.2">
      <c r="B54" s="90" t="s">
        <v>14</v>
      </c>
      <c r="C54" s="110">
        <v>617</v>
      </c>
      <c r="D54" s="111">
        <v>0</v>
      </c>
      <c r="E54" s="101"/>
      <c r="F54" s="101"/>
      <c r="G54" s="101">
        <f>$C54*'Unit volumes'!E$33*$D54</f>
        <v>0</v>
      </c>
      <c r="H54" s="101">
        <f>$C54*'Unit volumes'!F$33*$D54</f>
        <v>0</v>
      </c>
      <c r="I54" s="101">
        <f>$C54*'Unit volumes'!G$33*$D54</f>
        <v>0</v>
      </c>
      <c r="J54" s="101">
        <f>$C54*'Unit volumes'!H$33*$D54</f>
        <v>0</v>
      </c>
      <c r="K54" s="102">
        <f>$C54*'Unit volumes'!I$33*$D54</f>
        <v>0</v>
      </c>
      <c r="M54" s="49"/>
    </row>
    <row r="55" spans="2:13" ht="17.25" customHeight="1" x14ac:dyDescent="0.2">
      <c r="B55" s="93" t="s">
        <v>4</v>
      </c>
      <c r="C55" s="112">
        <v>65</v>
      </c>
      <c r="D55" s="113">
        <v>1</v>
      </c>
      <c r="E55" s="95"/>
      <c r="F55" s="95"/>
      <c r="G55" s="95">
        <f>$C55*'Unit volumes'!E$33*$D55</f>
        <v>32365.016258716048</v>
      </c>
      <c r="H55" s="95">
        <f>$C55*'Unit volumes'!F$33*$D55</f>
        <v>485.2341133628579</v>
      </c>
      <c r="I55" s="95">
        <f>$C55*'Unit volumes'!G$33*$D55</f>
        <v>32962.099745069128</v>
      </c>
      <c r="J55" s="95">
        <f>$C55*'Unit volumes'!H$33*$D55</f>
        <v>1088.4800888339764</v>
      </c>
      <c r="K55" s="103">
        <f>$C55*'Unit volumes'!I$33*$D55</f>
        <v>33581.595557875684</v>
      </c>
      <c r="M55" s="49"/>
    </row>
    <row r="56" spans="2:13" ht="17.25" customHeight="1" x14ac:dyDescent="0.2">
      <c r="B56" s="93" t="s">
        <v>1</v>
      </c>
      <c r="C56" s="112">
        <v>188</v>
      </c>
      <c r="D56" s="113">
        <v>1</v>
      </c>
      <c r="E56" s="95"/>
      <c r="F56" s="95"/>
      <c r="G56" s="95">
        <f>$C56*'Unit volumes'!E$33*$D56</f>
        <v>93609.58548674795</v>
      </c>
      <c r="H56" s="95">
        <f>$C56*'Unit volumes'!F$33*$D56</f>
        <v>1403.4463586494967</v>
      </c>
      <c r="I56" s="95">
        <f>$C56*'Unit volumes'!G$33*$D56</f>
        <v>95336.534647276858</v>
      </c>
      <c r="J56" s="95">
        <f>$C56*'Unit volumes'!H$33*$D56</f>
        <v>3148.2193338582706</v>
      </c>
      <c r="K56" s="103">
        <f>$C56*'Unit volumes'!I$33*$D56</f>
        <v>97128.307152009656</v>
      </c>
      <c r="M56" s="49"/>
    </row>
    <row r="57" spans="2:13" ht="17.25" customHeight="1" x14ac:dyDescent="0.2">
      <c r="B57" s="93" t="s">
        <v>2</v>
      </c>
      <c r="C57" s="112">
        <v>57</v>
      </c>
      <c r="D57" s="113">
        <v>1</v>
      </c>
      <c r="E57" s="95"/>
      <c r="F57" s="95"/>
      <c r="G57" s="95">
        <f>$C57*'Unit volumes'!E$33*$D57</f>
        <v>28381.629642258689</v>
      </c>
      <c r="H57" s="95">
        <f>$C57*'Unit volumes'!F$33*$D57</f>
        <v>425.51299171819846</v>
      </c>
      <c r="I57" s="95">
        <f>$C57*'Unit volumes'!G$33*$D57</f>
        <v>28905.225930291388</v>
      </c>
      <c r="J57" s="95">
        <f>$C57*'Unit volumes'!H$33*$D57</f>
        <v>954.51330866979481</v>
      </c>
      <c r="K57" s="103">
        <f>$C57*'Unit volumes'!I$33*$D57</f>
        <v>29448.476104598674</v>
      </c>
      <c r="M57" s="49"/>
    </row>
    <row r="58" spans="2:13" ht="17.25" customHeight="1" x14ac:dyDescent="0.2">
      <c r="B58" s="90" t="s">
        <v>31</v>
      </c>
      <c r="C58" s="110">
        <v>832</v>
      </c>
      <c r="D58" s="111">
        <v>1</v>
      </c>
      <c r="E58" s="101"/>
      <c r="F58" s="101"/>
      <c r="G58" s="101">
        <f>$C58*'Unit volumes'!E$23*$D58</f>
        <v>414272.20811156539</v>
      </c>
      <c r="H58" s="101">
        <f>$C58*'Unit volumes'!F$23*$D58</f>
        <v>420483.20476260997</v>
      </c>
      <c r="I58" s="101">
        <f>$C58*'Unit volumes'!G$23*$D58</f>
        <v>428125.8733879294</v>
      </c>
      <c r="J58" s="101">
        <f>$C58*'Unit volumes'!H$23*$D58</f>
        <v>435847.42187395971</v>
      </c>
      <c r="K58" s="102">
        <f>$C58*'Unit volumes'!I$23*$D58</f>
        <v>443776.9682778836</v>
      </c>
      <c r="M58" s="49"/>
    </row>
    <row r="59" spans="2:13" ht="17.25" customHeight="1" x14ac:dyDescent="0.2">
      <c r="B59" s="93" t="s">
        <v>0</v>
      </c>
      <c r="C59" s="112">
        <v>60</v>
      </c>
      <c r="D59" s="113">
        <v>0.5</v>
      </c>
      <c r="E59" s="95"/>
      <c r="F59" s="95"/>
      <c r="G59" s="95">
        <f>$C59*'Unit volumes'!E$23*$D59</f>
        <v>14937.699811715098</v>
      </c>
      <c r="H59" s="95">
        <f>$C59*'Unit volumes'!F$23*$D59</f>
        <v>15161.654017882571</v>
      </c>
      <c r="I59" s="95">
        <f>$C59*'Unit volumes'!G$23*$D59</f>
        <v>15437.231011583992</v>
      </c>
      <c r="J59" s="95">
        <f>$C59*'Unit volumes'!H$23*$D59</f>
        <v>15715.652231032202</v>
      </c>
      <c r="K59" s="103">
        <f>$C59*'Unit volumes'!I$23*$D59</f>
        <v>16001.573375404458</v>
      </c>
      <c r="M59" s="49"/>
    </row>
    <row r="60" spans="2:13" ht="17.25" customHeight="1" x14ac:dyDescent="0.2">
      <c r="B60" s="93" t="s">
        <v>32</v>
      </c>
      <c r="C60" s="112">
        <v>39</v>
      </c>
      <c r="D60" s="113">
        <v>0</v>
      </c>
      <c r="E60" s="95"/>
      <c r="F60" s="95"/>
      <c r="G60" s="95">
        <f>$C60*'Unit volumes'!E$23*$D60</f>
        <v>0</v>
      </c>
      <c r="H60" s="95">
        <f>$C60*'Unit volumes'!F$23*$D60</f>
        <v>0</v>
      </c>
      <c r="I60" s="95">
        <f>$C60*'Unit volumes'!G$23*$D60</f>
        <v>0</v>
      </c>
      <c r="J60" s="95">
        <f>$C60*'Unit volumes'!H$23*$D60</f>
        <v>0</v>
      </c>
      <c r="K60" s="103">
        <f>$C60*'Unit volumes'!I$23*$D60</f>
        <v>0</v>
      </c>
      <c r="M60" s="49"/>
    </row>
    <row r="61" spans="2:13" ht="17.25" customHeight="1" x14ac:dyDescent="0.2">
      <c r="B61" s="93" t="s">
        <v>5</v>
      </c>
      <c r="C61" s="112">
        <v>12</v>
      </c>
      <c r="D61" s="113">
        <v>0.15</v>
      </c>
      <c r="E61" s="95"/>
      <c r="F61" s="95"/>
      <c r="G61" s="95">
        <f>$C61*'Unit volumes'!E$23*$D61</f>
        <v>896.26198870290591</v>
      </c>
      <c r="H61" s="95">
        <f>$C61*'Unit volumes'!F$23*$D61</f>
        <v>909.69924107295435</v>
      </c>
      <c r="I61" s="95">
        <f>$C61*'Unit volumes'!G$23*$D61</f>
        <v>926.23386069503954</v>
      </c>
      <c r="J61" s="95">
        <f>$C61*'Unit volumes'!H$23*$D61</f>
        <v>942.93913386193196</v>
      </c>
      <c r="K61" s="103">
        <f>$C61*'Unit volumes'!I$23*$D61</f>
        <v>960.09440252426737</v>
      </c>
      <c r="M61" s="49"/>
    </row>
    <row r="62" spans="2:13" ht="17.25" customHeight="1" x14ac:dyDescent="0.2">
      <c r="B62" s="93" t="s">
        <v>7</v>
      </c>
      <c r="C62" s="112">
        <v>120</v>
      </c>
      <c r="D62" s="113">
        <v>0</v>
      </c>
      <c r="E62" s="95"/>
      <c r="F62" s="95"/>
      <c r="G62" s="95">
        <f>$C62*'Unit volumes'!E$23*$D62</f>
        <v>0</v>
      </c>
      <c r="H62" s="95">
        <f>$C62*'Unit volumes'!F$23*$D62</f>
        <v>0</v>
      </c>
      <c r="I62" s="95">
        <f>$C62*'Unit volumes'!G$23*$D62</f>
        <v>0</v>
      </c>
      <c r="J62" s="95">
        <f>$C62*'Unit volumes'!H$23*$D62</f>
        <v>0</v>
      </c>
      <c r="K62" s="103">
        <f>$C62*'Unit volumes'!I$23*$D62</f>
        <v>0</v>
      </c>
      <c r="M62" s="49"/>
    </row>
    <row r="63" spans="2:13" ht="17.25" customHeight="1" x14ac:dyDescent="0.2">
      <c r="B63" s="93" t="s">
        <v>9</v>
      </c>
      <c r="C63" s="112">
        <v>240</v>
      </c>
      <c r="D63" s="113">
        <v>1</v>
      </c>
      <c r="E63" s="95"/>
      <c r="F63" s="95"/>
      <c r="G63" s="95">
        <f>$C63*'Unit volumes'!E$24*$D63</f>
        <v>8482.8197916190529</v>
      </c>
      <c r="H63" s="95">
        <f>$C63*'Unit volumes'!F$24*$D63</f>
        <v>8609.9988885643452</v>
      </c>
      <c r="I63" s="95">
        <f>$C63*'Unit volumes'!G$24*$D63</f>
        <v>8766.493530025271</v>
      </c>
      <c r="J63" s="95">
        <f>$C63*'Unit volumes'!H$24*$D63</f>
        <v>8924.603350179088</v>
      </c>
      <c r="K63" s="103">
        <f>$C63*'Unit volumes'!I$24*$D63</f>
        <v>9086.9722271075952</v>
      </c>
      <c r="M63" s="49"/>
    </row>
    <row r="64" spans="2:13" ht="17.25" customHeight="1" x14ac:dyDescent="0.2">
      <c r="B64" s="93" t="s">
        <v>8</v>
      </c>
      <c r="C64" s="112">
        <v>20</v>
      </c>
      <c r="D64" s="113">
        <v>1</v>
      </c>
      <c r="E64" s="95"/>
      <c r="F64" s="95"/>
      <c r="G64" s="95">
        <f>$C64*'Unit volumes'!E$23*$D64</f>
        <v>9958.4665411433998</v>
      </c>
      <c r="H64" s="95">
        <f>$C64*'Unit volumes'!F$23*$D64</f>
        <v>10107.769345255048</v>
      </c>
      <c r="I64" s="95">
        <f>$C64*'Unit volumes'!G$23*$D64</f>
        <v>10291.487341055996</v>
      </c>
      <c r="J64" s="95">
        <f>$C64*'Unit volumes'!H$23*$D64</f>
        <v>10477.101487354801</v>
      </c>
      <c r="K64" s="103">
        <f>$C64*'Unit volumes'!I$23*$D64</f>
        <v>10667.715583602971</v>
      </c>
      <c r="M64" s="49"/>
    </row>
    <row r="65" spans="2:13" ht="17.25" customHeight="1" x14ac:dyDescent="0.2">
      <c r="B65" s="91" t="s">
        <v>6</v>
      </c>
      <c r="C65" s="114">
        <v>350.00000000000006</v>
      </c>
      <c r="D65" s="115">
        <v>0.05</v>
      </c>
      <c r="E65" s="106"/>
      <c r="F65" s="106"/>
      <c r="G65" s="106">
        <f>$C65*'Unit volumes'!E$23*$D65</f>
        <v>8713.6582235004753</v>
      </c>
      <c r="H65" s="106">
        <f>$C65*'Unit volumes'!F$23*$D65</f>
        <v>8844.2981770981696</v>
      </c>
      <c r="I65" s="106">
        <f>$C65*'Unit volumes'!G$23*$D65</f>
        <v>9005.0514234239963</v>
      </c>
      <c r="J65" s="106">
        <f>$C65*'Unit volumes'!H$23*$D65</f>
        <v>9167.4638014354532</v>
      </c>
      <c r="K65" s="107">
        <f>$C65*'Unit volumes'!I$23*$D65</f>
        <v>9334.2511356526011</v>
      </c>
      <c r="M65" s="49"/>
    </row>
    <row r="66" spans="2:13" ht="17.25" customHeight="1" x14ac:dyDescent="0.2">
      <c r="B66" s="92" t="s">
        <v>54</v>
      </c>
      <c r="C66" s="116"/>
      <c r="D66" s="117"/>
      <c r="E66" s="118"/>
      <c r="F66" s="118"/>
      <c r="G66" s="118">
        <f>SUM(G54:G65)</f>
        <v>611617.345855969</v>
      </c>
      <c r="H66" s="118">
        <f>SUM(H54:H65)</f>
        <v>466430.81789621362</v>
      </c>
      <c r="I66" s="118">
        <f>SUM(I54:I65)</f>
        <v>629756.23087735102</v>
      </c>
      <c r="J66" s="118">
        <f>SUM(J54:J65)</f>
        <v>486266.39460918517</v>
      </c>
      <c r="K66" s="119">
        <f>SUM(K54:K65)</f>
        <v>649985.95381665963</v>
      </c>
      <c r="M66" s="49"/>
    </row>
    <row r="67" spans="2:13" ht="17.25" customHeight="1" x14ac:dyDescent="0.2">
      <c r="M67" s="49"/>
    </row>
    <row r="68" spans="2:13" ht="17.25" customHeight="1" x14ac:dyDescent="0.2">
      <c r="M68" s="49"/>
    </row>
    <row r="69" spans="2:13" ht="17.25" customHeight="1" x14ac:dyDescent="0.2">
      <c r="L69" s="6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B2:S80"/>
  <sheetViews>
    <sheetView showGridLines="0" zoomScale="85" zoomScaleNormal="85" workbookViewId="0">
      <selection activeCell="B2" sqref="B2"/>
    </sheetView>
  </sheetViews>
  <sheetFormatPr defaultRowHeight="17.25" customHeight="1" x14ac:dyDescent="0.2"/>
  <cols>
    <col min="1" max="1" width="4.25" style="1" customWidth="1"/>
    <col min="2" max="2" width="46.375" style="49" customWidth="1"/>
    <col min="3" max="3" width="12.25" style="64" customWidth="1"/>
    <col min="4" max="11" width="12.25" style="65" customWidth="1"/>
    <col min="12" max="12" width="4.25" style="1" customWidth="1"/>
    <col min="13" max="16384" width="9" style="1"/>
  </cols>
  <sheetData>
    <row r="2" spans="2:11" ht="17.25" customHeight="1" x14ac:dyDescent="0.2">
      <c r="B2" s="120" t="s">
        <v>67</v>
      </c>
      <c r="C2" s="121"/>
      <c r="D2" s="122"/>
      <c r="E2" s="122"/>
      <c r="F2" s="122"/>
      <c r="G2" s="122"/>
      <c r="H2" s="122"/>
      <c r="I2" s="122"/>
      <c r="J2" s="122"/>
      <c r="K2" s="122"/>
    </row>
    <row r="3" spans="2:11" ht="17.25" customHeight="1" x14ac:dyDescent="0.2">
      <c r="C3" s="62"/>
      <c r="D3" s="62"/>
      <c r="E3" s="62"/>
      <c r="F3" s="62"/>
      <c r="G3" s="62"/>
      <c r="H3" s="62"/>
      <c r="I3" s="62"/>
      <c r="J3" s="62"/>
      <c r="K3" s="62"/>
    </row>
    <row r="4" spans="2:11" ht="17.25" customHeight="1" x14ac:dyDescent="0.2">
      <c r="B4" s="89" t="s">
        <v>52</v>
      </c>
      <c r="C4" s="108" t="s">
        <v>51</v>
      </c>
      <c r="D4" s="109" t="s">
        <v>18</v>
      </c>
      <c r="E4" s="97">
        <v>2014</v>
      </c>
      <c r="F4" s="97">
        <v>2015</v>
      </c>
      <c r="G4" s="97">
        <v>2016</v>
      </c>
      <c r="H4" s="97">
        <v>2017</v>
      </c>
      <c r="I4" s="97">
        <v>2018</v>
      </c>
      <c r="J4" s="97">
        <v>2019</v>
      </c>
      <c r="K4" s="98">
        <v>2020</v>
      </c>
    </row>
    <row r="5" spans="2:11" ht="17.25" customHeight="1" x14ac:dyDescent="0.2">
      <c r="B5" s="90" t="s">
        <v>33</v>
      </c>
      <c r="C5" s="110">
        <v>817.27</v>
      </c>
      <c r="D5" s="111">
        <v>1</v>
      </c>
      <c r="E5" s="101">
        <f>$C5*'Unit volumes'!C$29*$D5</f>
        <v>405829.83022505959</v>
      </c>
      <c r="F5" s="101">
        <f>$C5*'Unit volumes'!D$29*$D5</f>
        <v>0</v>
      </c>
      <c r="G5" s="101">
        <f>$C5*'Unit volumes'!E$29*$D5</f>
        <v>410765.68226746778</v>
      </c>
      <c r="H5" s="101">
        <f>$C5*'Unit volumes'!F$29*$D5</f>
        <v>6158.4248882083248</v>
      </c>
      <c r="I5" s="101">
        <f>$C5*'Unit volumes'!G$29*$D5</f>
        <v>418343.66102335398</v>
      </c>
      <c r="J5" s="101">
        <f>$C5*'Unit volumes'!H$29*$D5</f>
        <v>13814.615841697101</v>
      </c>
      <c r="K5" s="102">
        <f>$C5*'Unit volumes'!I$29*$D5</f>
        <v>426206.08933716005</v>
      </c>
    </row>
    <row r="6" spans="2:11" ht="17.25" customHeight="1" x14ac:dyDescent="0.2">
      <c r="B6" s="93" t="s">
        <v>4</v>
      </c>
      <c r="C6" s="112">
        <v>179</v>
      </c>
      <c r="D6" s="113">
        <v>1</v>
      </c>
      <c r="E6" s="95">
        <f>$C6*'Unit volumes'!C$29*$D6</f>
        <v>88885.606482907329</v>
      </c>
      <c r="F6" s="95">
        <f>$C6*'Unit volumes'!D$29*$D6</f>
        <v>0</v>
      </c>
      <c r="G6" s="95">
        <f>$C6*'Unit volumes'!E$29*$D6</f>
        <v>89966.666004963772</v>
      </c>
      <c r="H6" s="95">
        <f>$C6*'Unit volumes'!F$29*$D6</f>
        <v>1348.829707427521</v>
      </c>
      <c r="I6" s="95">
        <f>$C6*'Unit volumes'!G$29*$D6</f>
        <v>91626.409048637986</v>
      </c>
      <c r="J6" s="95">
        <f>$C6*'Unit volumes'!H$29*$D6</f>
        <v>3025.7029325238673</v>
      </c>
      <c r="K6" s="103">
        <f>$C6*'Unit volumes'!I$29*$D6</f>
        <v>93348.452765122493</v>
      </c>
    </row>
    <row r="7" spans="2:11" ht="17.25" customHeight="1" x14ac:dyDescent="0.2">
      <c r="B7" s="93" t="s">
        <v>1</v>
      </c>
      <c r="C7" s="112">
        <v>188</v>
      </c>
      <c r="D7" s="113">
        <v>1</v>
      </c>
      <c r="E7" s="95">
        <f>$C7*'Unit volumes'!C$29*$D7</f>
        <v>93354.715188751827</v>
      </c>
      <c r="F7" s="95">
        <f>$C7*'Unit volumes'!D$29*$D7</f>
        <v>0</v>
      </c>
      <c r="G7" s="95">
        <f>$C7*'Unit volumes'!E$29*$D7</f>
        <v>94490.129658844628</v>
      </c>
      <c r="H7" s="95">
        <f>$C7*'Unit volumes'!F$29*$D7</f>
        <v>1416.6479608735976</v>
      </c>
      <c r="I7" s="95">
        <f>$C7*'Unit volumes'!G$29*$D7</f>
        <v>96233.323470077885</v>
      </c>
      <c r="J7" s="95">
        <f>$C7*'Unit volumes'!H$29*$D7</f>
        <v>3177.8332475669667</v>
      </c>
      <c r="K7" s="103">
        <f>$C7*'Unit volumes'!I$29*$D7</f>
        <v>98041.950390184516</v>
      </c>
    </row>
    <row r="8" spans="2:11" ht="17.25" customHeight="1" x14ac:dyDescent="0.2">
      <c r="B8" s="91" t="s">
        <v>2</v>
      </c>
      <c r="C8" s="114">
        <v>57</v>
      </c>
      <c r="D8" s="115">
        <v>1</v>
      </c>
      <c r="E8" s="106">
        <f>$C8*'Unit volumes'!C$29*$D8</f>
        <v>28304.355137015184</v>
      </c>
      <c r="F8" s="106">
        <f>$C8*'Unit volumes'!D$29*$D8</f>
        <v>0</v>
      </c>
      <c r="G8" s="106">
        <f>$C8*'Unit volumes'!E$29*$D8</f>
        <v>28648.603141245447</v>
      </c>
      <c r="H8" s="106">
        <f>$C8*'Unit volumes'!F$29*$D8</f>
        <v>429.51560515848439</v>
      </c>
      <c r="I8" s="106">
        <f>$C8*'Unit volumes'!G$29*$D8</f>
        <v>29177.124669119359</v>
      </c>
      <c r="J8" s="106">
        <f>$C8*'Unit volumes'!H$29*$D8</f>
        <v>963.49199527296332</v>
      </c>
      <c r="K8" s="107">
        <f>$C8*'Unit volumes'!I$29*$D8</f>
        <v>29725.484958726156</v>
      </c>
    </row>
    <row r="9" spans="2:11" ht="17.25" customHeight="1" x14ac:dyDescent="0.2">
      <c r="B9" s="93" t="s">
        <v>27</v>
      </c>
      <c r="C9" s="112">
        <v>480</v>
      </c>
      <c r="D9" s="113">
        <v>1</v>
      </c>
      <c r="E9" s="95">
        <f>$C9*'Unit volumes'!C$20*$D9</f>
        <v>238352.4643117068</v>
      </c>
      <c r="F9" s="95">
        <f>$C9*'Unit volumes'!D$20*$D9</f>
        <v>238352.4643117068</v>
      </c>
      <c r="G9" s="95">
        <f>$C9*'Unit volumes'!E$20*$D9</f>
        <v>241251.39487364586</v>
      </c>
      <c r="H9" s="95">
        <f>$C9*'Unit volumes'!F$20*$D9</f>
        <v>244868.36839076993</v>
      </c>
      <c r="I9" s="95">
        <f>$C9*'Unit volumes'!G$20*$D9</f>
        <v>249319.07599391867</v>
      </c>
      <c r="J9" s="95">
        <f>$C9*'Unit volumes'!H$20*$D9</f>
        <v>253815.71927909323</v>
      </c>
      <c r="K9" s="103">
        <f>$C9*'Unit volumes'!I$20*$D9</f>
        <v>258433.49013893993</v>
      </c>
    </row>
    <row r="10" spans="2:11" ht="17.25" customHeight="1" x14ac:dyDescent="0.2">
      <c r="B10" s="93" t="s">
        <v>0</v>
      </c>
      <c r="C10" s="112">
        <v>60</v>
      </c>
      <c r="D10" s="113">
        <v>0.5</v>
      </c>
      <c r="E10" s="95">
        <f>$C10*'Unit volumes'!C$20*$D10</f>
        <v>14897.029019481675</v>
      </c>
      <c r="F10" s="95">
        <f>$C10*'Unit volumes'!D$20*$D10</f>
        <v>14897.029019481675</v>
      </c>
      <c r="G10" s="95">
        <f>$C10*'Unit volumes'!E$20*$D10</f>
        <v>15078.212179602866</v>
      </c>
      <c r="H10" s="95">
        <f>$C10*'Unit volumes'!F$20*$D10</f>
        <v>15304.273024423121</v>
      </c>
      <c r="I10" s="95">
        <f>$C10*'Unit volumes'!G$20*$D10</f>
        <v>15582.442249619917</v>
      </c>
      <c r="J10" s="95">
        <f>$C10*'Unit volumes'!H$20*$D10</f>
        <v>15863.482454943327</v>
      </c>
      <c r="K10" s="103">
        <f>$C10*'Unit volumes'!I$20*$D10</f>
        <v>16152.093133683746</v>
      </c>
    </row>
    <row r="11" spans="2:11" ht="17.25" customHeight="1" x14ac:dyDescent="0.2">
      <c r="B11" s="93" t="s">
        <v>32</v>
      </c>
      <c r="C11" s="112">
        <v>39</v>
      </c>
      <c r="D11" s="113">
        <v>1</v>
      </c>
      <c r="E11" s="95">
        <f>$C11*'Unit volumes'!C$20*$D11</f>
        <v>19366.137725326178</v>
      </c>
      <c r="F11" s="95">
        <f>$C11*'Unit volumes'!D$20*$D11</f>
        <v>19366.137725326178</v>
      </c>
      <c r="G11" s="95">
        <f>$C11*'Unit volumes'!E$20*$D11</f>
        <v>19601.675833483725</v>
      </c>
      <c r="H11" s="95">
        <f>$C11*'Unit volumes'!F$20*$D11</f>
        <v>19895.554931750059</v>
      </c>
      <c r="I11" s="95">
        <f>$C11*'Unit volumes'!G$20*$D11</f>
        <v>20257.174924505893</v>
      </c>
      <c r="J11" s="95">
        <f>$C11*'Unit volumes'!H$20*$D11</f>
        <v>20622.527191426325</v>
      </c>
      <c r="K11" s="103">
        <f>$C11*'Unit volumes'!I$20*$D11</f>
        <v>20997.721073788871</v>
      </c>
    </row>
    <row r="12" spans="2:11" ht="17.25" customHeight="1" x14ac:dyDescent="0.2">
      <c r="B12" s="93" t="s">
        <v>5</v>
      </c>
      <c r="C12" s="112">
        <v>12</v>
      </c>
      <c r="D12" s="113">
        <v>0.15</v>
      </c>
      <c r="E12" s="95">
        <f>$C12*'Unit volumes'!C$20*$D12</f>
        <v>893.82174116890042</v>
      </c>
      <c r="F12" s="95">
        <f>$C12*'Unit volumes'!D$20*$D12</f>
        <v>893.82174116890042</v>
      </c>
      <c r="G12" s="95">
        <f>$C12*'Unit volumes'!E$20*$D12</f>
        <v>904.69273077617186</v>
      </c>
      <c r="H12" s="95">
        <f>$C12*'Unit volumes'!F$20*$D12</f>
        <v>918.25638146538722</v>
      </c>
      <c r="I12" s="95">
        <f>$C12*'Unit volumes'!G$20*$D12</f>
        <v>934.94653497719491</v>
      </c>
      <c r="J12" s="95">
        <f>$C12*'Unit volumes'!H$20*$D12</f>
        <v>951.80894729659963</v>
      </c>
      <c r="K12" s="103">
        <f>$C12*'Unit volumes'!I$20*$D12</f>
        <v>969.12558802102478</v>
      </c>
    </row>
    <row r="13" spans="2:11" ht="17.25" customHeight="1" x14ac:dyDescent="0.2">
      <c r="B13" s="93" t="s">
        <v>7</v>
      </c>
      <c r="C13" s="112">
        <v>120</v>
      </c>
      <c r="D13" s="113">
        <v>0</v>
      </c>
      <c r="E13" s="95">
        <f>$C13*'Unit volumes'!C$20*$D13</f>
        <v>0</v>
      </c>
      <c r="F13" s="95">
        <f>$C13*'Unit volumes'!D$20*$D13</f>
        <v>0</v>
      </c>
      <c r="G13" s="95">
        <f>$C13*'Unit volumes'!E$20*$D13</f>
        <v>0</v>
      </c>
      <c r="H13" s="95">
        <f>$C13*'Unit volumes'!F$20*$D13</f>
        <v>0</v>
      </c>
      <c r="I13" s="95">
        <f>$C13*'Unit volumes'!G$20*$D13</f>
        <v>0</v>
      </c>
      <c r="J13" s="95">
        <f>$C13*'Unit volumes'!H$20*$D13</f>
        <v>0</v>
      </c>
      <c r="K13" s="103">
        <f>$C13*'Unit volumes'!I$20*$D13</f>
        <v>0</v>
      </c>
    </row>
    <row r="14" spans="2:11" ht="17.25" customHeight="1" x14ac:dyDescent="0.2">
      <c r="B14" s="93" t="s">
        <v>9</v>
      </c>
      <c r="C14" s="112">
        <v>240</v>
      </c>
      <c r="D14" s="113">
        <v>0</v>
      </c>
      <c r="E14" s="95">
        <f>$C14*'Unit volumes'!C$20*$D14</f>
        <v>0</v>
      </c>
      <c r="F14" s="95">
        <f>$C14*'Unit volumes'!D$20*$D14</f>
        <v>0</v>
      </c>
      <c r="G14" s="95">
        <f>$C14*'Unit volumes'!E$20*$D14</f>
        <v>0</v>
      </c>
      <c r="H14" s="95">
        <f>$C14*'Unit volumes'!F$20*$D14</f>
        <v>0</v>
      </c>
      <c r="I14" s="95">
        <f>$C14*'Unit volumes'!G$20*$D14</f>
        <v>0</v>
      </c>
      <c r="J14" s="95">
        <f>$C14*'Unit volumes'!H$20*$D14</f>
        <v>0</v>
      </c>
      <c r="K14" s="103">
        <f>$C14*'Unit volumes'!I$20*$D14</f>
        <v>0</v>
      </c>
    </row>
    <row r="15" spans="2:11" ht="17.25" customHeight="1" x14ac:dyDescent="0.2">
      <c r="B15" s="93" t="s">
        <v>8</v>
      </c>
      <c r="C15" s="112">
        <v>20</v>
      </c>
      <c r="D15" s="113">
        <v>0</v>
      </c>
      <c r="E15" s="95">
        <f>$C15*'Unit volumes'!C$20*$D15</f>
        <v>0</v>
      </c>
      <c r="F15" s="95">
        <f>$C15*'Unit volumes'!D$20*$D15</f>
        <v>0</v>
      </c>
      <c r="G15" s="95">
        <f>$C15*'Unit volumes'!E$20*$D15</f>
        <v>0</v>
      </c>
      <c r="H15" s="95">
        <f>$C15*'Unit volumes'!F$20*$D15</f>
        <v>0</v>
      </c>
      <c r="I15" s="95">
        <f>$C15*'Unit volumes'!G$20*$D15</f>
        <v>0</v>
      </c>
      <c r="J15" s="95">
        <f>$C15*'Unit volumes'!H$20*$D15</f>
        <v>0</v>
      </c>
      <c r="K15" s="103">
        <f>$C15*'Unit volumes'!I$20*$D15</f>
        <v>0</v>
      </c>
    </row>
    <row r="16" spans="2:11" ht="17.25" customHeight="1" x14ac:dyDescent="0.2">
      <c r="B16" s="91" t="s">
        <v>6</v>
      </c>
      <c r="C16" s="114">
        <v>350.00000000000006</v>
      </c>
      <c r="D16" s="115">
        <v>0.15</v>
      </c>
      <c r="E16" s="106">
        <f>$C16*'Unit volumes'!C$20*$D16</f>
        <v>26069.800784092935</v>
      </c>
      <c r="F16" s="106">
        <f>$C16*'Unit volumes'!D$20*$D16</f>
        <v>26069.800784092935</v>
      </c>
      <c r="G16" s="106">
        <f>$C16*'Unit volumes'!E$20*$D16</f>
        <v>26386.871314305019</v>
      </c>
      <c r="H16" s="106">
        <f>$C16*'Unit volumes'!F$20*$D16</f>
        <v>26782.477792740465</v>
      </c>
      <c r="I16" s="106">
        <f>$C16*'Unit volumes'!G$20*$D16</f>
        <v>27269.273936834859</v>
      </c>
      <c r="J16" s="106">
        <f>$C16*'Unit volumes'!H$20*$D16</f>
        <v>27761.094296150823</v>
      </c>
      <c r="K16" s="107">
        <f>$C16*'Unit volumes'!I$20*$D16</f>
        <v>28266.16298394656</v>
      </c>
    </row>
    <row r="17" spans="2:13" ht="17.25" customHeight="1" x14ac:dyDescent="0.2">
      <c r="B17" s="90" t="s">
        <v>16</v>
      </c>
      <c r="C17" s="99"/>
      <c r="D17" s="100"/>
      <c r="E17" s="101">
        <f>SUM(E5,E14,E15,E6,E7)</f>
        <v>588070.15189671877</v>
      </c>
      <c r="F17" s="101">
        <f t="shared" ref="F17" si="0">SUM(F5,F14,F15,F6,F7)</f>
        <v>0</v>
      </c>
      <c r="G17" s="101">
        <f>SUM(G5,G14,G15,G6,G7)</f>
        <v>595222.4779312762</v>
      </c>
      <c r="H17" s="101">
        <f t="shared" ref="H17:K17" si="1">SUM(H5,H14,H15,H6,H7)</f>
        <v>8923.9025565094435</v>
      </c>
      <c r="I17" s="101">
        <f t="shared" si="1"/>
        <v>606203.39354206994</v>
      </c>
      <c r="J17" s="101">
        <f t="shared" si="1"/>
        <v>20018.152021787937</v>
      </c>
      <c r="K17" s="102">
        <f t="shared" si="1"/>
        <v>617596.49249246705</v>
      </c>
    </row>
    <row r="18" spans="2:13" ht="17.25" customHeight="1" x14ac:dyDescent="0.2">
      <c r="B18" s="91" t="s">
        <v>15</v>
      </c>
      <c r="C18" s="104"/>
      <c r="D18" s="105"/>
      <c r="E18" s="106">
        <f>SUM(E8:E13,E16)</f>
        <v>327883.60871879169</v>
      </c>
      <c r="F18" s="106">
        <f t="shared" ref="F18" si="2">SUM(F8:F13,F16)</f>
        <v>299579.25358177652</v>
      </c>
      <c r="G18" s="106">
        <f>SUM(G8:G13,G16)</f>
        <v>331871.45007305907</v>
      </c>
      <c r="H18" s="106">
        <f t="shared" ref="H18:K18" si="3">SUM(H8:H13,H16)</f>
        <v>308198.44612630748</v>
      </c>
      <c r="I18" s="106">
        <f t="shared" si="3"/>
        <v>342540.03830897587</v>
      </c>
      <c r="J18" s="106">
        <f t="shared" si="3"/>
        <v>319978.12416418327</v>
      </c>
      <c r="K18" s="107">
        <f t="shared" si="3"/>
        <v>354544.07787710626</v>
      </c>
    </row>
    <row r="19" spans="2:13" ht="17.25" customHeight="1" x14ac:dyDescent="0.2">
      <c r="C19" s="62"/>
      <c r="D19" s="63"/>
      <c r="E19" s="63"/>
      <c r="F19" s="63"/>
      <c r="G19" s="63"/>
      <c r="H19" s="63"/>
      <c r="I19" s="63"/>
      <c r="J19" s="63"/>
      <c r="K19" s="63"/>
      <c r="L19" s="61"/>
    </row>
    <row r="20" spans="2:13" ht="17.25" customHeight="1" x14ac:dyDescent="0.2">
      <c r="B20" s="89" t="s">
        <v>53</v>
      </c>
      <c r="C20" s="108" t="s">
        <v>51</v>
      </c>
      <c r="D20" s="109" t="s">
        <v>18</v>
      </c>
      <c r="E20" s="97">
        <v>2014</v>
      </c>
      <c r="F20" s="97">
        <v>2015</v>
      </c>
      <c r="G20" s="97">
        <v>2016</v>
      </c>
      <c r="H20" s="97">
        <v>2017</v>
      </c>
      <c r="I20" s="97">
        <v>2018</v>
      </c>
      <c r="J20" s="97">
        <v>2019</v>
      </c>
      <c r="K20" s="98">
        <v>2020</v>
      </c>
    </row>
    <row r="21" spans="2:13" ht="17.25" customHeight="1" x14ac:dyDescent="0.2">
      <c r="B21" s="90" t="s">
        <v>33</v>
      </c>
      <c r="C21" s="110">
        <v>817.27</v>
      </c>
      <c r="D21" s="111">
        <v>0</v>
      </c>
      <c r="E21" s="101"/>
      <c r="F21" s="101"/>
      <c r="G21" s="101">
        <f>$C21*'Unit volumes'!E$29*$D21</f>
        <v>0</v>
      </c>
      <c r="H21" s="101">
        <f>$C21*'Unit volumes'!F$29*$D21</f>
        <v>0</v>
      </c>
      <c r="I21" s="101">
        <f>$C21*'Unit volumes'!G$29*$D21</f>
        <v>0</v>
      </c>
      <c r="J21" s="101">
        <f>$C21*'Unit volumes'!H$29*$D21</f>
        <v>0</v>
      </c>
      <c r="K21" s="102">
        <f>$C21*'Unit volumes'!I$29*$D21</f>
        <v>0</v>
      </c>
    </row>
    <row r="22" spans="2:13" ht="17.25" customHeight="1" x14ac:dyDescent="0.2">
      <c r="B22" s="93" t="s">
        <v>4</v>
      </c>
      <c r="C22" s="112">
        <v>179</v>
      </c>
      <c r="D22" s="113">
        <v>1</v>
      </c>
      <c r="E22" s="95"/>
      <c r="F22" s="95"/>
      <c r="G22" s="95">
        <f>$C22*'Unit volumes'!E$29*$D22</f>
        <v>89966.666004963772</v>
      </c>
      <c r="H22" s="95">
        <f>$C22*'Unit volumes'!F$29*$D22</f>
        <v>1348.829707427521</v>
      </c>
      <c r="I22" s="95">
        <f>$C22*'Unit volumes'!G$29*$D22</f>
        <v>91626.409048637986</v>
      </c>
      <c r="J22" s="95">
        <f>$C22*'Unit volumes'!H$29*$D22</f>
        <v>3025.7029325238673</v>
      </c>
      <c r="K22" s="103">
        <f>$C22*'Unit volumes'!I$29*$D22</f>
        <v>93348.452765122493</v>
      </c>
    </row>
    <row r="23" spans="2:13" ht="17.25" customHeight="1" x14ac:dyDescent="0.2">
      <c r="B23" s="93" t="s">
        <v>1</v>
      </c>
      <c r="C23" s="112">
        <v>188</v>
      </c>
      <c r="D23" s="113">
        <v>1</v>
      </c>
      <c r="E23" s="95"/>
      <c r="F23" s="95"/>
      <c r="G23" s="95">
        <f>$C23*'Unit volumes'!E$29*$D23</f>
        <v>94490.129658844628</v>
      </c>
      <c r="H23" s="95">
        <f>$C23*'Unit volumes'!F$29*$D23</f>
        <v>1416.6479608735976</v>
      </c>
      <c r="I23" s="95">
        <f>$C23*'Unit volumes'!G$29*$D23</f>
        <v>96233.323470077885</v>
      </c>
      <c r="J23" s="95">
        <f>$C23*'Unit volumes'!H$29*$D23</f>
        <v>3177.8332475669667</v>
      </c>
      <c r="K23" s="103">
        <f>$C23*'Unit volumes'!I$29*$D23</f>
        <v>98041.950390184516</v>
      </c>
    </row>
    <row r="24" spans="2:13" ht="17.25" customHeight="1" x14ac:dyDescent="0.2">
      <c r="B24" s="93" t="s">
        <v>2</v>
      </c>
      <c r="C24" s="112">
        <v>57</v>
      </c>
      <c r="D24" s="113">
        <v>1</v>
      </c>
      <c r="E24" s="95"/>
      <c r="F24" s="95"/>
      <c r="G24" s="95">
        <f>$C24*'Unit volumes'!E$29*$D24</f>
        <v>28648.603141245447</v>
      </c>
      <c r="H24" s="95">
        <f>$C24*'Unit volumes'!F$29*$D24</f>
        <v>429.51560515848439</v>
      </c>
      <c r="I24" s="95">
        <f>$C24*'Unit volumes'!G$29*$D24</f>
        <v>29177.124669119359</v>
      </c>
      <c r="J24" s="95">
        <f>$C24*'Unit volumes'!H$29*$D24</f>
        <v>963.49199527296332</v>
      </c>
      <c r="K24" s="103">
        <f>$C24*'Unit volumes'!I$29*$D24</f>
        <v>29725.484958726156</v>
      </c>
    </row>
    <row r="25" spans="2:13" ht="17.25" customHeight="1" x14ac:dyDescent="0.2">
      <c r="B25" s="90" t="s">
        <v>31</v>
      </c>
      <c r="C25" s="110">
        <v>912</v>
      </c>
      <c r="D25" s="111">
        <v>1</v>
      </c>
      <c r="E25" s="101"/>
      <c r="F25" s="101"/>
      <c r="G25" s="101">
        <f>$C25*'Unit volumes'!E$20*$D25</f>
        <v>458377.65025992715</v>
      </c>
      <c r="H25" s="101">
        <f>$C25*'Unit volumes'!F$20*$D25</f>
        <v>465249.89994246286</v>
      </c>
      <c r="I25" s="101">
        <f>$C25*'Unit volumes'!G$20*$D25</f>
        <v>473706.24438844546</v>
      </c>
      <c r="J25" s="101">
        <f>$C25*'Unit volumes'!H$20*$D25</f>
        <v>482249.86663027713</v>
      </c>
      <c r="K25" s="102">
        <f>$C25*'Unit volumes'!I$20*$D25</f>
        <v>491023.63126398588</v>
      </c>
      <c r="M25" s="61"/>
    </row>
    <row r="26" spans="2:13" ht="17.25" customHeight="1" x14ac:dyDescent="0.2">
      <c r="B26" s="93" t="s">
        <v>0</v>
      </c>
      <c r="C26" s="112">
        <v>60</v>
      </c>
      <c r="D26" s="113">
        <v>0.5</v>
      </c>
      <c r="E26" s="95"/>
      <c r="F26" s="95"/>
      <c r="G26" s="95">
        <f>$C26*'Unit volumes'!E$20*$D26</f>
        <v>15078.212179602866</v>
      </c>
      <c r="H26" s="95">
        <f>$C26*'Unit volumes'!F$20*$D26</f>
        <v>15304.273024423121</v>
      </c>
      <c r="I26" s="95">
        <f>$C26*'Unit volumes'!G$20*$D26</f>
        <v>15582.442249619917</v>
      </c>
      <c r="J26" s="95">
        <f>$C26*'Unit volumes'!H$20*$D26</f>
        <v>15863.482454943327</v>
      </c>
      <c r="K26" s="103">
        <f>$C26*'Unit volumes'!I$20*$D26</f>
        <v>16152.093133683746</v>
      </c>
    </row>
    <row r="27" spans="2:13" ht="17.25" customHeight="1" x14ac:dyDescent="0.2">
      <c r="B27" s="93" t="s">
        <v>32</v>
      </c>
      <c r="C27" s="112">
        <v>39</v>
      </c>
      <c r="D27" s="113">
        <v>0</v>
      </c>
      <c r="E27" s="95"/>
      <c r="F27" s="95"/>
      <c r="G27" s="95">
        <f>$C27*'Unit volumes'!E$20*$D27</f>
        <v>0</v>
      </c>
      <c r="H27" s="95">
        <f>$C27*'Unit volumes'!F$20*$D27</f>
        <v>0</v>
      </c>
      <c r="I27" s="95">
        <f>$C27*'Unit volumes'!G$20*$D27</f>
        <v>0</v>
      </c>
      <c r="J27" s="95">
        <f>$C27*'Unit volumes'!H$20*$D27</f>
        <v>0</v>
      </c>
      <c r="K27" s="103">
        <f>$C27*'Unit volumes'!I$20*$D27</f>
        <v>0</v>
      </c>
    </row>
    <row r="28" spans="2:13" ht="17.25" customHeight="1" x14ac:dyDescent="0.2">
      <c r="B28" s="93" t="s">
        <v>5</v>
      </c>
      <c r="C28" s="112">
        <v>12</v>
      </c>
      <c r="D28" s="113">
        <v>0.15</v>
      </c>
      <c r="E28" s="95"/>
      <c r="F28" s="95"/>
      <c r="G28" s="95">
        <f>$C28*'Unit volumes'!E$20*$D28</f>
        <v>904.69273077617186</v>
      </c>
      <c r="H28" s="95">
        <f>$C28*'Unit volumes'!F$20*$D28</f>
        <v>918.25638146538722</v>
      </c>
      <c r="I28" s="95">
        <f>$C28*'Unit volumes'!G$20*$D28</f>
        <v>934.94653497719491</v>
      </c>
      <c r="J28" s="95">
        <f>$C28*'Unit volumes'!H$20*$D28</f>
        <v>951.80894729659963</v>
      </c>
      <c r="K28" s="103">
        <f>$C28*'Unit volumes'!I$20*$D28</f>
        <v>969.12558802102478</v>
      </c>
    </row>
    <row r="29" spans="2:13" ht="17.25" customHeight="1" x14ac:dyDescent="0.2">
      <c r="B29" s="93" t="s">
        <v>7</v>
      </c>
      <c r="C29" s="112">
        <v>120</v>
      </c>
      <c r="D29" s="113">
        <v>0</v>
      </c>
      <c r="E29" s="95"/>
      <c r="F29" s="95"/>
      <c r="G29" s="95">
        <f>$C29*'Unit volumes'!E$20*$D29</f>
        <v>0</v>
      </c>
      <c r="H29" s="95">
        <f>$C29*'Unit volumes'!F$20*$D29</f>
        <v>0</v>
      </c>
      <c r="I29" s="95">
        <f>$C29*'Unit volumes'!G$20*$D29</f>
        <v>0</v>
      </c>
      <c r="J29" s="95">
        <f>$C29*'Unit volumes'!H$20*$D29</f>
        <v>0</v>
      </c>
      <c r="K29" s="103">
        <f>$C29*'Unit volumes'!I$20*$D29</f>
        <v>0</v>
      </c>
    </row>
    <row r="30" spans="2:13" ht="17.25" customHeight="1" x14ac:dyDescent="0.2">
      <c r="B30" s="93" t="s">
        <v>9</v>
      </c>
      <c r="C30" s="112">
        <v>240</v>
      </c>
      <c r="D30" s="113">
        <v>0</v>
      </c>
      <c r="E30" s="95"/>
      <c r="F30" s="95"/>
      <c r="G30" s="95">
        <f>$C30*'Unit volumes'!E$25*$D30</f>
        <v>0</v>
      </c>
      <c r="H30" s="95">
        <f>$C30*'Unit volumes'!F$25*$D30</f>
        <v>0</v>
      </c>
      <c r="I30" s="95">
        <f>$C30*'Unit volumes'!G$25*$D30</f>
        <v>0</v>
      </c>
      <c r="J30" s="95">
        <f>$C30*'Unit volumes'!H$25*$D30</f>
        <v>0</v>
      </c>
      <c r="K30" s="103">
        <f>$C30*'Unit volumes'!I$25*$D30</f>
        <v>0</v>
      </c>
    </row>
    <row r="31" spans="2:13" ht="17.25" customHeight="1" x14ac:dyDescent="0.2">
      <c r="B31" s="93" t="s">
        <v>8</v>
      </c>
      <c r="C31" s="112">
        <v>20</v>
      </c>
      <c r="D31" s="113">
        <v>0</v>
      </c>
      <c r="E31" s="95"/>
      <c r="F31" s="95"/>
      <c r="G31" s="95">
        <f>$C31*'Unit volumes'!E$20*$D31</f>
        <v>0</v>
      </c>
      <c r="H31" s="95">
        <f>$C31*'Unit volumes'!F$20*$D31</f>
        <v>0</v>
      </c>
      <c r="I31" s="95">
        <f>$C31*'Unit volumes'!G$20*$D31</f>
        <v>0</v>
      </c>
      <c r="J31" s="95">
        <f>$C31*'Unit volumes'!H$20*$D31</f>
        <v>0</v>
      </c>
      <c r="K31" s="103">
        <f>$C31*'Unit volumes'!I$20*$D31</f>
        <v>0</v>
      </c>
    </row>
    <row r="32" spans="2:13" ht="17.25" customHeight="1" x14ac:dyDescent="0.2">
      <c r="B32" s="91" t="s">
        <v>6</v>
      </c>
      <c r="C32" s="114">
        <v>350.00000000000006</v>
      </c>
      <c r="D32" s="115">
        <v>0.15</v>
      </c>
      <c r="E32" s="106"/>
      <c r="F32" s="106"/>
      <c r="G32" s="106">
        <f>$C32*'Unit volumes'!E$20*$D32</f>
        <v>26386.871314305019</v>
      </c>
      <c r="H32" s="106">
        <f>$C32*'Unit volumes'!F$20*$D32</f>
        <v>26782.477792740465</v>
      </c>
      <c r="I32" s="106">
        <f>$C32*'Unit volumes'!G$20*$D32</f>
        <v>27269.273936834859</v>
      </c>
      <c r="J32" s="106">
        <f>$C32*'Unit volumes'!H$20*$D32</f>
        <v>27761.094296150823</v>
      </c>
      <c r="K32" s="107">
        <f>$C32*'Unit volumes'!I$20*$D32</f>
        <v>28266.16298394656</v>
      </c>
    </row>
    <row r="33" spans="2:19" ht="17.25" customHeight="1" x14ac:dyDescent="0.2">
      <c r="B33" s="92" t="s">
        <v>54</v>
      </c>
      <c r="C33" s="116"/>
      <c r="D33" s="117"/>
      <c r="E33" s="118"/>
      <c r="F33" s="118"/>
      <c r="G33" s="118">
        <f>SUM(G21:G32)</f>
        <v>713852.82528966502</v>
      </c>
      <c r="H33" s="118">
        <f>SUM(H21:H32)</f>
        <v>511449.90041455143</v>
      </c>
      <c r="I33" s="118">
        <f>SUM(I21:I32)</f>
        <v>734529.76429771259</v>
      </c>
      <c r="J33" s="118">
        <f>SUM(J21:J32)</f>
        <v>533993.28050403169</v>
      </c>
      <c r="K33" s="119">
        <f>SUM(K21:K32)</f>
        <v>757526.90108367032</v>
      </c>
    </row>
    <row r="34" spans="2:19" ht="17.25" customHeight="1" x14ac:dyDescent="0.2">
      <c r="C34" s="62"/>
      <c r="D34" s="62"/>
      <c r="E34" s="62"/>
      <c r="F34" s="62"/>
      <c r="G34" s="62"/>
      <c r="H34" s="62"/>
      <c r="I34" s="62"/>
      <c r="J34" s="62"/>
      <c r="K34" s="62"/>
    </row>
    <row r="35" spans="2:19" ht="17.25" customHeight="1" x14ac:dyDescent="0.2">
      <c r="B35" s="120" t="s">
        <v>66</v>
      </c>
      <c r="C35" s="121"/>
      <c r="D35" s="122"/>
      <c r="E35" s="122"/>
      <c r="F35" s="122"/>
      <c r="G35" s="122"/>
      <c r="H35" s="122"/>
      <c r="I35" s="122"/>
      <c r="J35" s="122"/>
      <c r="K35" s="122"/>
    </row>
    <row r="36" spans="2:19" ht="17.25" customHeight="1" x14ac:dyDescent="0.2">
      <c r="C36" s="62"/>
      <c r="D36" s="62"/>
      <c r="E36" s="62"/>
      <c r="F36" s="62"/>
      <c r="G36" s="62"/>
      <c r="H36" s="62"/>
      <c r="I36" s="62"/>
      <c r="J36" s="62"/>
      <c r="K36" s="62"/>
    </row>
    <row r="37" spans="2:19" ht="17.25" customHeight="1" x14ac:dyDescent="0.2">
      <c r="B37" s="89" t="s">
        <v>52</v>
      </c>
      <c r="C37" s="108" t="s">
        <v>51</v>
      </c>
      <c r="D37" s="109" t="s">
        <v>18</v>
      </c>
      <c r="E37" s="97">
        <v>2014</v>
      </c>
      <c r="F37" s="97">
        <v>2015</v>
      </c>
      <c r="G37" s="97">
        <v>2016</v>
      </c>
      <c r="H37" s="97">
        <v>2017</v>
      </c>
      <c r="I37" s="97">
        <v>2018</v>
      </c>
      <c r="J37" s="97">
        <v>2019</v>
      </c>
      <c r="K37" s="98">
        <v>2020</v>
      </c>
    </row>
    <row r="38" spans="2:19" ht="17.25" customHeight="1" x14ac:dyDescent="0.2">
      <c r="B38" s="90" t="s">
        <v>33</v>
      </c>
      <c r="C38" s="110">
        <v>817.27</v>
      </c>
      <c r="D38" s="111">
        <v>1</v>
      </c>
      <c r="E38" s="101">
        <f>$C38*'Unit volumes'!C$31*$D38</f>
        <v>68494.486113934108</v>
      </c>
      <c r="F38" s="101">
        <f>$C38*'Unit volumes'!D$31*$D38</f>
        <v>0</v>
      </c>
      <c r="G38" s="101">
        <f>$C38*'Unit volumes'!E$31*$D38</f>
        <v>833.05519703091386</v>
      </c>
      <c r="H38" s="101">
        <f>$C38*'Unit volumes'!F$31*$D38</f>
        <v>69533.882719538888</v>
      </c>
      <c r="I38" s="101">
        <f>$C38*'Unit volumes'!G$31*$D38</f>
        <v>1278.9837562677155</v>
      </c>
      <c r="J38" s="101">
        <f>$C38*'Unit volumes'!H$31*$D38</f>
        <v>2125.2393242020125</v>
      </c>
      <c r="K38" s="102">
        <f>$C38*'Unit volumes'!I$31*$D38</f>
        <v>70860.87484001249</v>
      </c>
      <c r="S38" s="129"/>
    </row>
    <row r="39" spans="2:19" ht="17.25" customHeight="1" x14ac:dyDescent="0.2">
      <c r="B39" s="93" t="s">
        <v>4</v>
      </c>
      <c r="C39" s="112">
        <v>119</v>
      </c>
      <c r="D39" s="113">
        <v>1</v>
      </c>
      <c r="E39" s="95">
        <f>$C39*'Unit volumes'!C$31*$D39</f>
        <v>9973.2571213407555</v>
      </c>
      <c r="F39" s="95">
        <f>$C39*'Unit volumes'!D$31*$D39</f>
        <v>0</v>
      </c>
      <c r="G39" s="95">
        <f>$C39*'Unit volumes'!E$31*$D39</f>
        <v>121.29843068591623</v>
      </c>
      <c r="H39" s="95">
        <f>$C39*'Unit volumes'!F$31*$D39</f>
        <v>10124.600246705651</v>
      </c>
      <c r="I39" s="95">
        <f>$C39*'Unit volumes'!G$31*$D39</f>
        <v>186.22862333850276</v>
      </c>
      <c r="J39" s="95">
        <f>$C39*'Unit volumes'!H$31*$D39</f>
        <v>309.44911666895825</v>
      </c>
      <c r="K39" s="103">
        <f>$C39*'Unit volumes'!I$31*$D39</f>
        <v>10317.819210250575</v>
      </c>
    </row>
    <row r="40" spans="2:19" ht="17.25" customHeight="1" x14ac:dyDescent="0.2">
      <c r="B40" s="93" t="s">
        <v>1</v>
      </c>
      <c r="C40" s="112">
        <v>188</v>
      </c>
      <c r="D40" s="113">
        <v>1</v>
      </c>
      <c r="E40" s="95">
        <f>$C40*'Unit volumes'!C$31*$D40</f>
        <v>15756.070074050942</v>
      </c>
      <c r="F40" s="95">
        <f>$C40*'Unit volumes'!D$31*$D40</f>
        <v>0</v>
      </c>
      <c r="G40" s="95">
        <f>$C40*'Unit volumes'!E$31*$D40</f>
        <v>191.63113419287606</v>
      </c>
      <c r="H40" s="95">
        <f>$C40*'Unit volumes'!F$31*$D40</f>
        <v>15995.166776308088</v>
      </c>
      <c r="I40" s="95">
        <f>$C40*'Unit volumes'!G$31*$D40</f>
        <v>294.20992594654217</v>
      </c>
      <c r="J40" s="95">
        <f>$C40*'Unit volumes'!H$31*$D40</f>
        <v>488.8775960820517</v>
      </c>
      <c r="K40" s="103">
        <f>$C40*'Unit volumes'!I$31*$D40</f>
        <v>16300.42026493368</v>
      </c>
    </row>
    <row r="41" spans="2:19" ht="17.25" customHeight="1" x14ac:dyDescent="0.2">
      <c r="B41" s="91" t="s">
        <v>2</v>
      </c>
      <c r="C41" s="114">
        <v>57</v>
      </c>
      <c r="D41" s="115">
        <v>1</v>
      </c>
      <c r="E41" s="106">
        <f>$C41*'Unit volumes'!C$31*$D41</f>
        <v>4777.1063522388495</v>
      </c>
      <c r="F41" s="106">
        <f>$C41*'Unit volumes'!D$31*$D41</f>
        <v>0</v>
      </c>
      <c r="G41" s="106">
        <f>$C41*'Unit volumes'!E$31*$D41</f>
        <v>58.100928984010295</v>
      </c>
      <c r="H41" s="106">
        <f>$C41*'Unit volumes'!F$31*$D41</f>
        <v>4849.5984374976651</v>
      </c>
      <c r="I41" s="106">
        <f>$C41*'Unit volumes'!G$31*$D41</f>
        <v>89.201945632728211</v>
      </c>
      <c r="J41" s="106">
        <f>$C41*'Unit volumes'!H$31*$D41</f>
        <v>148.22352647168589</v>
      </c>
      <c r="K41" s="107">
        <f>$C41*'Unit volumes'!I$31*$D41</f>
        <v>4942.1486973469137</v>
      </c>
    </row>
    <row r="42" spans="2:19" ht="17.25" customHeight="1" x14ac:dyDescent="0.2">
      <c r="B42" s="93" t="s">
        <v>31</v>
      </c>
      <c r="C42" s="112">
        <v>480</v>
      </c>
      <c r="D42" s="113">
        <v>1</v>
      </c>
      <c r="E42" s="95">
        <f>$C42*'Unit volumes'!C$21*$D42</f>
        <v>40228.264018853464</v>
      </c>
      <c r="F42" s="95">
        <f>$C42*'Unit volumes'!D$21*$D42</f>
        <v>40228.264018853464</v>
      </c>
      <c r="G42" s="95">
        <f>$C42*'Unit volumes'!E$21*$D42</f>
        <v>40717.534999771451</v>
      </c>
      <c r="H42" s="95">
        <f>$C42*'Unit volumes'!F$21*$D42</f>
        <v>41327.994665108847</v>
      </c>
      <c r="I42" s="95">
        <f>$C42*'Unit volumes'!G$21*$D42</f>
        <v>42079.168944121295</v>
      </c>
      <c r="J42" s="95">
        <f>$C42*'Unit volumes'!H$21*$D42</f>
        <v>42838.096080859614</v>
      </c>
      <c r="K42" s="103">
        <f>$C42*'Unit volumes'!I$21*$D42</f>
        <v>43617.466690116446</v>
      </c>
    </row>
    <row r="43" spans="2:19" ht="17.25" customHeight="1" x14ac:dyDescent="0.2">
      <c r="B43" s="93" t="s">
        <v>0</v>
      </c>
      <c r="C43" s="112">
        <v>60</v>
      </c>
      <c r="D43" s="113">
        <v>0.5</v>
      </c>
      <c r="E43" s="95">
        <f>$C43*'Unit volumes'!C$21*$D43</f>
        <v>2514.2665011783415</v>
      </c>
      <c r="F43" s="95">
        <f>$C43*'Unit volumes'!D$21*$D43</f>
        <v>2514.2665011783415</v>
      </c>
      <c r="G43" s="95">
        <f>$C43*'Unit volumes'!E$21*$D43</f>
        <v>2544.8459374857157</v>
      </c>
      <c r="H43" s="95">
        <f>$C43*'Unit volumes'!F$21*$D43</f>
        <v>2582.9996665693029</v>
      </c>
      <c r="I43" s="95">
        <f>$C43*'Unit volumes'!G$21*$D43</f>
        <v>2629.9480590075809</v>
      </c>
      <c r="J43" s="95">
        <f>$C43*'Unit volumes'!H$21*$D43</f>
        <v>2677.3810050537259</v>
      </c>
      <c r="K43" s="103">
        <f>$C43*'Unit volumes'!I$21*$D43</f>
        <v>2726.0916681322778</v>
      </c>
    </row>
    <row r="44" spans="2:19" ht="17.25" customHeight="1" x14ac:dyDescent="0.2">
      <c r="B44" s="93" t="s">
        <v>32</v>
      </c>
      <c r="C44" s="112">
        <v>39</v>
      </c>
      <c r="D44" s="113">
        <v>1</v>
      </c>
      <c r="E44" s="95">
        <f>$C44*'Unit volumes'!C$21*$D44</f>
        <v>3268.546451531844</v>
      </c>
      <c r="F44" s="95">
        <f>$C44*'Unit volumes'!D$21*$D44</f>
        <v>3268.546451531844</v>
      </c>
      <c r="G44" s="95">
        <f>$C44*'Unit volumes'!E$21*$D44</f>
        <v>3308.2997187314304</v>
      </c>
      <c r="H44" s="95">
        <f>$C44*'Unit volumes'!F$21*$D44</f>
        <v>3357.8995665400935</v>
      </c>
      <c r="I44" s="95">
        <f>$C44*'Unit volumes'!G$21*$D44</f>
        <v>3418.9324767098551</v>
      </c>
      <c r="J44" s="95">
        <f>$C44*'Unit volumes'!H$21*$D44</f>
        <v>3480.5953065698436</v>
      </c>
      <c r="K44" s="103">
        <f>$C44*'Unit volumes'!I$21*$D44</f>
        <v>3543.9191685719611</v>
      </c>
    </row>
    <row r="45" spans="2:19" ht="17.25" customHeight="1" x14ac:dyDescent="0.2">
      <c r="B45" s="93" t="s">
        <v>5</v>
      </c>
      <c r="C45" s="112">
        <v>12</v>
      </c>
      <c r="D45" s="113">
        <v>0.15</v>
      </c>
      <c r="E45" s="95">
        <f>$C45*'Unit volumes'!C$21*$D45</f>
        <v>150.8559900707005</v>
      </c>
      <c r="F45" s="95">
        <f>$C45*'Unit volumes'!D$21*$D45</f>
        <v>150.8559900707005</v>
      </c>
      <c r="G45" s="95">
        <f>$C45*'Unit volumes'!E$21*$D45</f>
        <v>152.69075624914294</v>
      </c>
      <c r="H45" s="95">
        <f>$C45*'Unit volumes'!F$21*$D45</f>
        <v>154.97997999415816</v>
      </c>
      <c r="I45" s="95">
        <f>$C45*'Unit volumes'!G$21*$D45</f>
        <v>157.79688354045484</v>
      </c>
      <c r="J45" s="95">
        <f>$C45*'Unit volumes'!H$21*$D45</f>
        <v>160.64286030322356</v>
      </c>
      <c r="K45" s="103">
        <f>$C45*'Unit volumes'!I$21*$D45</f>
        <v>163.56550008793667</v>
      </c>
    </row>
    <row r="46" spans="2:19" ht="17.25" customHeight="1" x14ac:dyDescent="0.2">
      <c r="B46" s="93" t="s">
        <v>7</v>
      </c>
      <c r="C46" s="112">
        <v>120</v>
      </c>
      <c r="D46" s="113">
        <v>0</v>
      </c>
      <c r="E46" s="95">
        <f>$C46*'Unit volumes'!C$21*$D46</f>
        <v>0</v>
      </c>
      <c r="F46" s="95">
        <f>$C46*'Unit volumes'!D$21*$D46</f>
        <v>0</v>
      </c>
      <c r="G46" s="95">
        <f>$C46*'Unit volumes'!E$21*$D46</f>
        <v>0</v>
      </c>
      <c r="H46" s="95">
        <f>$C46*'Unit volumes'!F$21*$D46</f>
        <v>0</v>
      </c>
      <c r="I46" s="95">
        <f>$C46*'Unit volumes'!G$21*$D46</f>
        <v>0</v>
      </c>
      <c r="J46" s="95">
        <f>$C46*'Unit volumes'!H$21*$D46</f>
        <v>0</v>
      </c>
      <c r="K46" s="103">
        <f>$C46*'Unit volumes'!I$21*$D46</f>
        <v>0</v>
      </c>
    </row>
    <row r="47" spans="2:19" ht="17.25" customHeight="1" x14ac:dyDescent="0.2">
      <c r="B47" s="93" t="s">
        <v>9</v>
      </c>
      <c r="C47" s="112">
        <v>240</v>
      </c>
      <c r="D47" s="113">
        <v>0</v>
      </c>
      <c r="E47" s="95">
        <f>$C47*'Unit volumes'!C$25*$D47</f>
        <v>0</v>
      </c>
      <c r="F47" s="95">
        <f>$C47*'Unit volumes'!D$25*$D47</f>
        <v>0</v>
      </c>
      <c r="G47" s="95">
        <f>$C47*'Unit volumes'!E$25*$D47</f>
        <v>0</v>
      </c>
      <c r="H47" s="95">
        <f>$C47*'Unit volumes'!F$25*$D47</f>
        <v>0</v>
      </c>
      <c r="I47" s="95">
        <f>$C47*'Unit volumes'!G$25*$D47</f>
        <v>0</v>
      </c>
      <c r="J47" s="95">
        <f>$C47*'Unit volumes'!H$25*$D47</f>
        <v>0</v>
      </c>
      <c r="K47" s="103">
        <f>$C47*'Unit volumes'!I$25*$D47</f>
        <v>0</v>
      </c>
    </row>
    <row r="48" spans="2:19" ht="17.25" customHeight="1" x14ac:dyDescent="0.2">
      <c r="B48" s="93" t="s">
        <v>8</v>
      </c>
      <c r="C48" s="112">
        <v>20</v>
      </c>
      <c r="D48" s="113">
        <v>0</v>
      </c>
      <c r="E48" s="95">
        <f>$C48*'Unit volumes'!C$21*$D48</f>
        <v>0</v>
      </c>
      <c r="F48" s="95">
        <f>$C48*'Unit volumes'!D$21*$D48</f>
        <v>0</v>
      </c>
      <c r="G48" s="95">
        <f>$C48*'Unit volumes'!E$21*$D48</f>
        <v>0</v>
      </c>
      <c r="H48" s="95">
        <f>$C48*'Unit volumes'!F$21*$D48</f>
        <v>0</v>
      </c>
      <c r="I48" s="95">
        <f>$C48*'Unit volumes'!G$21*$D48</f>
        <v>0</v>
      </c>
      <c r="J48" s="95">
        <f>$C48*'Unit volumes'!H$21*$D48</f>
        <v>0</v>
      </c>
      <c r="K48" s="103">
        <f>$C48*'Unit volumes'!I$21*$D48</f>
        <v>0</v>
      </c>
    </row>
    <row r="49" spans="2:11" ht="17.25" customHeight="1" x14ac:dyDescent="0.2">
      <c r="B49" s="91" t="s">
        <v>6</v>
      </c>
      <c r="C49" s="114">
        <v>350.00000000000006</v>
      </c>
      <c r="D49" s="115">
        <v>0.15</v>
      </c>
      <c r="E49" s="106">
        <f>$C49*'Unit volumes'!C$21*$D49</f>
        <v>4399.9663770620982</v>
      </c>
      <c r="F49" s="106">
        <f>$C49*'Unit volumes'!D$21*$D49</f>
        <v>4399.9663770620982</v>
      </c>
      <c r="G49" s="106">
        <f>$C49*'Unit volumes'!E$21*$D49</f>
        <v>4453.4803906000034</v>
      </c>
      <c r="H49" s="106">
        <f>$C49*'Unit volumes'!F$21*$D49</f>
        <v>4520.24941649628</v>
      </c>
      <c r="I49" s="106">
        <f>$C49*'Unit volumes'!G$21*$D49</f>
        <v>4602.4091032632668</v>
      </c>
      <c r="J49" s="106">
        <f>$C49*'Unit volumes'!H$21*$D49</f>
        <v>4685.4167588440214</v>
      </c>
      <c r="K49" s="107">
        <f>$C49*'Unit volumes'!I$21*$D49</f>
        <v>4770.6604192314871</v>
      </c>
    </row>
    <row r="50" spans="2:11" ht="17.25" customHeight="1" x14ac:dyDescent="0.2">
      <c r="B50" s="90" t="s">
        <v>16</v>
      </c>
      <c r="C50" s="99"/>
      <c r="D50" s="100"/>
      <c r="E50" s="101">
        <f>SUM(E38,E47,E48,E39,E40)</f>
        <v>94223.813309325807</v>
      </c>
      <c r="F50" s="101">
        <f t="shared" ref="F50" si="4">SUM(F38,F47,F48,F39,F40)</f>
        <v>0</v>
      </c>
      <c r="G50" s="101">
        <f>SUM(G38,G47,G48,G39,G40)</f>
        <v>1145.9847619097061</v>
      </c>
      <c r="H50" s="101">
        <f t="shared" ref="H50:K50" si="5">SUM(H38,H47,H48,H39,H40)</f>
        <v>95653.649742552632</v>
      </c>
      <c r="I50" s="101">
        <f t="shared" si="5"/>
        <v>1759.4223055527605</v>
      </c>
      <c r="J50" s="101">
        <f t="shared" si="5"/>
        <v>2923.5660369530224</v>
      </c>
      <c r="K50" s="102">
        <f t="shared" si="5"/>
        <v>97479.114315196741</v>
      </c>
    </row>
    <row r="51" spans="2:11" ht="17.25" customHeight="1" x14ac:dyDescent="0.2">
      <c r="B51" s="91" t="s">
        <v>15</v>
      </c>
      <c r="C51" s="104"/>
      <c r="D51" s="105"/>
      <c r="E51" s="106">
        <f>SUM(E41:E46,E49)</f>
        <v>55339.005690935301</v>
      </c>
      <c r="F51" s="106">
        <f t="shared" ref="F51" si="6">SUM(F41:F46,F49)</f>
        <v>50561.899338696443</v>
      </c>
      <c r="G51" s="106">
        <f>SUM(G41:G46,G49)</f>
        <v>51234.952731821744</v>
      </c>
      <c r="H51" s="106">
        <f t="shared" ref="H51:K51" si="7">SUM(H41:H46,H49)</f>
        <v>56793.721732206344</v>
      </c>
      <c r="I51" s="106">
        <f t="shared" si="7"/>
        <v>52977.45741227518</v>
      </c>
      <c r="J51" s="106">
        <f t="shared" si="7"/>
        <v>53990.355538102114</v>
      </c>
      <c r="K51" s="107">
        <f t="shared" si="7"/>
        <v>59763.85214348702</v>
      </c>
    </row>
    <row r="52" spans="2:11" ht="17.25" customHeight="1" x14ac:dyDescent="0.2">
      <c r="C52" s="62"/>
      <c r="D52" s="63"/>
      <c r="E52" s="63"/>
      <c r="F52" s="63"/>
      <c r="G52" s="63"/>
      <c r="H52" s="63"/>
      <c r="I52" s="63"/>
      <c r="J52" s="63"/>
      <c r="K52" s="63"/>
    </row>
    <row r="53" spans="2:11" ht="17.25" customHeight="1" x14ac:dyDescent="0.2">
      <c r="B53" s="89" t="s">
        <v>53</v>
      </c>
      <c r="C53" s="108" t="s">
        <v>51</v>
      </c>
      <c r="D53" s="109" t="s">
        <v>18</v>
      </c>
      <c r="E53" s="97">
        <v>2014</v>
      </c>
      <c r="F53" s="97">
        <v>2015</v>
      </c>
      <c r="G53" s="97">
        <v>2016</v>
      </c>
      <c r="H53" s="97">
        <v>2017</v>
      </c>
      <c r="I53" s="97">
        <v>2018</v>
      </c>
      <c r="J53" s="97">
        <v>2019</v>
      </c>
      <c r="K53" s="98">
        <v>2020</v>
      </c>
    </row>
    <row r="54" spans="2:11" ht="17.25" customHeight="1" x14ac:dyDescent="0.2">
      <c r="B54" s="90" t="s">
        <v>33</v>
      </c>
      <c r="C54" s="110">
        <v>817.27</v>
      </c>
      <c r="D54" s="111">
        <v>0</v>
      </c>
      <c r="E54" s="101"/>
      <c r="F54" s="101"/>
      <c r="G54" s="101">
        <f>$C54*'Unit volumes'!E$30*$D54</f>
        <v>0</v>
      </c>
      <c r="H54" s="101">
        <f>$C54*'Unit volumes'!F$30*$D54</f>
        <v>0</v>
      </c>
      <c r="I54" s="101">
        <f>$C54*'Unit volumes'!G$30*$D54</f>
        <v>0</v>
      </c>
      <c r="J54" s="101">
        <f>$C54*'Unit volumes'!H$30*$D54</f>
        <v>0</v>
      </c>
      <c r="K54" s="102">
        <f>$C54*'Unit volumes'!I$30*$D54</f>
        <v>0</v>
      </c>
    </row>
    <row r="55" spans="2:11" ht="17.25" customHeight="1" x14ac:dyDescent="0.2">
      <c r="B55" s="93" t="s">
        <v>4</v>
      </c>
      <c r="C55" s="112">
        <v>119</v>
      </c>
      <c r="D55" s="113">
        <v>1</v>
      </c>
      <c r="E55" s="95"/>
      <c r="F55" s="95"/>
      <c r="G55" s="95">
        <f>$C55*'Unit volumes'!E$30*$D55</f>
        <v>10094.555552026672</v>
      </c>
      <c r="H55" s="95">
        <f>$C55*'Unit volumes'!F$30*$D55</f>
        <v>151.34312536489608</v>
      </c>
      <c r="I55" s="95">
        <f>$C55*'Unit volumes'!G$30*$D55</f>
        <v>10280.784175365174</v>
      </c>
      <c r="J55" s="95">
        <f>$C55*'Unit volumes'!H$30*$D55</f>
        <v>339.49381134793811</v>
      </c>
      <c r="K55" s="103">
        <f>$C55*'Unit volumes'!I$30*$D55</f>
        <v>10474.003138910097</v>
      </c>
    </row>
    <row r="56" spans="2:11" ht="17.25" customHeight="1" x14ac:dyDescent="0.2">
      <c r="B56" s="93" t="s">
        <v>1</v>
      </c>
      <c r="C56" s="112">
        <v>188</v>
      </c>
      <c r="D56" s="113">
        <v>1</v>
      </c>
      <c r="E56" s="95"/>
      <c r="F56" s="95"/>
      <c r="G56" s="95">
        <f>$C56*'Unit volumes'!E$30*$D56</f>
        <v>15947.701208243818</v>
      </c>
      <c r="H56" s="95">
        <f>$C56*'Unit volumes'!F$30*$D56</f>
        <v>239.09670225714677</v>
      </c>
      <c r="I56" s="95">
        <f>$C56*'Unit volumes'!G$30*$D56</f>
        <v>16241.911134190359</v>
      </c>
      <c r="J56" s="95">
        <f>$C56*'Unit volumes'!H$30*$D56</f>
        <v>536.34316414632235</v>
      </c>
      <c r="K56" s="103">
        <f>$C56*'Unit volumes'!I$30*$D56</f>
        <v>16547.164622815952</v>
      </c>
    </row>
    <row r="57" spans="2:11" ht="17.25" customHeight="1" x14ac:dyDescent="0.2">
      <c r="B57" s="93" t="s">
        <v>2</v>
      </c>
      <c r="C57" s="112">
        <v>57</v>
      </c>
      <c r="D57" s="113">
        <v>1</v>
      </c>
      <c r="E57" s="95"/>
      <c r="F57" s="95"/>
      <c r="G57" s="95">
        <f>$C57*'Unit volumes'!E$30*$D57</f>
        <v>4835.2072812228598</v>
      </c>
      <c r="H57" s="95">
        <f>$C57*'Unit volumes'!F$30*$D57</f>
        <v>72.492085258815777</v>
      </c>
      <c r="I57" s="95">
        <f>$C57*'Unit volumes'!G$30*$D57</f>
        <v>4924.4092268555878</v>
      </c>
      <c r="J57" s="95">
        <f>$C57*'Unit volumes'!H$30*$D57</f>
        <v>162.61468274649138</v>
      </c>
      <c r="K57" s="103">
        <f>$C57*'Unit volumes'!I$30*$D57</f>
        <v>5016.9594867048363</v>
      </c>
    </row>
    <row r="58" spans="2:11" ht="17.25" customHeight="1" x14ac:dyDescent="0.2">
      <c r="B58" s="90" t="s">
        <v>31</v>
      </c>
      <c r="C58" s="110">
        <v>912</v>
      </c>
      <c r="D58" s="111">
        <v>1</v>
      </c>
      <c r="E58" s="101"/>
      <c r="F58" s="101"/>
      <c r="G58" s="101">
        <f>$C58*'Unit volumes'!E$21*$D58</f>
        <v>77363.316499565757</v>
      </c>
      <c r="H58" s="101">
        <f>$C58*'Unit volumes'!F$21*$D58</f>
        <v>78523.189863706808</v>
      </c>
      <c r="I58" s="101">
        <f>$C58*'Unit volumes'!G$21*$D58</f>
        <v>79950.420993830456</v>
      </c>
      <c r="J58" s="101">
        <f>$C58*'Unit volumes'!H$21*$D58</f>
        <v>81392.382553633273</v>
      </c>
      <c r="K58" s="102">
        <f>$C58*'Unit volumes'!I$21*$D58</f>
        <v>82873.186711221249</v>
      </c>
    </row>
    <row r="59" spans="2:11" ht="17.25" customHeight="1" x14ac:dyDescent="0.2">
      <c r="B59" s="93" t="s">
        <v>0</v>
      </c>
      <c r="C59" s="112">
        <v>60</v>
      </c>
      <c r="D59" s="113">
        <v>0.5</v>
      </c>
      <c r="E59" s="95"/>
      <c r="F59" s="95"/>
      <c r="G59" s="95">
        <f>$C59*'Unit volumes'!E$21*$D59</f>
        <v>2544.8459374857157</v>
      </c>
      <c r="H59" s="95">
        <f>$C59*'Unit volumes'!F$21*$D59</f>
        <v>2582.9996665693029</v>
      </c>
      <c r="I59" s="95">
        <f>$C59*'Unit volumes'!G$21*$D59</f>
        <v>2629.9480590075809</v>
      </c>
      <c r="J59" s="95">
        <f>$C59*'Unit volumes'!H$21*$D59</f>
        <v>2677.3810050537259</v>
      </c>
      <c r="K59" s="103">
        <f>$C59*'Unit volumes'!I$21*$D59</f>
        <v>2726.0916681322778</v>
      </c>
    </row>
    <row r="60" spans="2:11" ht="17.25" customHeight="1" x14ac:dyDescent="0.2">
      <c r="B60" s="93" t="s">
        <v>32</v>
      </c>
      <c r="C60" s="112">
        <v>39</v>
      </c>
      <c r="D60" s="113">
        <v>0</v>
      </c>
      <c r="E60" s="95"/>
      <c r="F60" s="95"/>
      <c r="G60" s="95">
        <f>$C60*'Unit volumes'!E$21*$D60</f>
        <v>0</v>
      </c>
      <c r="H60" s="95">
        <f>$C60*'Unit volumes'!F$21*$D60</f>
        <v>0</v>
      </c>
      <c r="I60" s="95">
        <f>$C60*'Unit volumes'!G$21*$D60</f>
        <v>0</v>
      </c>
      <c r="J60" s="95">
        <f>$C60*'Unit volumes'!H$21*$D60</f>
        <v>0</v>
      </c>
      <c r="K60" s="103">
        <f>$C60*'Unit volumes'!I$21*$D60</f>
        <v>0</v>
      </c>
    </row>
    <row r="61" spans="2:11" ht="17.25" customHeight="1" x14ac:dyDescent="0.2">
      <c r="B61" s="93" t="s">
        <v>5</v>
      </c>
      <c r="C61" s="112">
        <v>12</v>
      </c>
      <c r="D61" s="113">
        <v>0.15</v>
      </c>
      <c r="E61" s="95"/>
      <c r="F61" s="95"/>
      <c r="G61" s="95">
        <f>$C61*'Unit volumes'!E$21*$D61</f>
        <v>152.69075624914294</v>
      </c>
      <c r="H61" s="95">
        <f>$C61*'Unit volumes'!F$21*$D61</f>
        <v>154.97997999415816</v>
      </c>
      <c r="I61" s="95">
        <f>$C61*'Unit volumes'!G$21*$D61</f>
        <v>157.79688354045484</v>
      </c>
      <c r="J61" s="95">
        <f>$C61*'Unit volumes'!H$21*$D61</f>
        <v>160.64286030322356</v>
      </c>
      <c r="K61" s="103">
        <f>$C61*'Unit volumes'!I$21*$D61</f>
        <v>163.56550008793667</v>
      </c>
    </row>
    <row r="62" spans="2:11" ht="17.25" customHeight="1" x14ac:dyDescent="0.2">
      <c r="B62" s="93" t="s">
        <v>7</v>
      </c>
      <c r="C62" s="112">
        <v>120</v>
      </c>
      <c r="D62" s="113">
        <v>0</v>
      </c>
      <c r="E62" s="95"/>
      <c r="F62" s="95"/>
      <c r="G62" s="95">
        <f>$C62*'Unit volumes'!E$21*$D62</f>
        <v>0</v>
      </c>
      <c r="H62" s="95">
        <f>$C62*'Unit volumes'!F$21*$D62</f>
        <v>0</v>
      </c>
      <c r="I62" s="95">
        <f>$C62*'Unit volumes'!G$21*$D62</f>
        <v>0</v>
      </c>
      <c r="J62" s="95">
        <f>$C62*'Unit volumes'!H$21*$D62</f>
        <v>0</v>
      </c>
      <c r="K62" s="103">
        <f>$C62*'Unit volumes'!I$21*$D62</f>
        <v>0</v>
      </c>
    </row>
    <row r="63" spans="2:11" ht="17.25" customHeight="1" x14ac:dyDescent="0.2">
      <c r="B63" s="93" t="s">
        <v>9</v>
      </c>
      <c r="C63" s="112">
        <v>240</v>
      </c>
      <c r="D63" s="113">
        <v>0</v>
      </c>
      <c r="E63" s="95"/>
      <c r="F63" s="95"/>
      <c r="G63" s="95">
        <f>$C63*'Unit volumes'!E$25*$D63</f>
        <v>0</v>
      </c>
      <c r="H63" s="95">
        <f>$C63*'Unit volumes'!F$25*$D63</f>
        <v>0</v>
      </c>
      <c r="I63" s="95">
        <f>$C63*'Unit volumes'!G$25*$D63</f>
        <v>0</v>
      </c>
      <c r="J63" s="95">
        <f>$C63*'Unit volumes'!H$25*$D63</f>
        <v>0</v>
      </c>
      <c r="K63" s="103">
        <f>$C63*'Unit volumes'!I$25*$D63</f>
        <v>0</v>
      </c>
    </row>
    <row r="64" spans="2:11" ht="17.25" customHeight="1" x14ac:dyDescent="0.2">
      <c r="B64" s="93" t="s">
        <v>8</v>
      </c>
      <c r="C64" s="112">
        <v>20</v>
      </c>
      <c r="D64" s="113">
        <v>0</v>
      </c>
      <c r="E64" s="95"/>
      <c r="F64" s="95"/>
      <c r="G64" s="95">
        <f>$C64*'Unit volumes'!E$21*$D64</f>
        <v>0</v>
      </c>
      <c r="H64" s="95">
        <f>$C64*'Unit volumes'!F$21*$D64</f>
        <v>0</v>
      </c>
      <c r="I64" s="95">
        <f>$C64*'Unit volumes'!G$21*$D64</f>
        <v>0</v>
      </c>
      <c r="J64" s="95">
        <f>$C64*'Unit volumes'!H$21*$D64</f>
        <v>0</v>
      </c>
      <c r="K64" s="103">
        <f>$C64*'Unit volumes'!I$21*$D64</f>
        <v>0</v>
      </c>
    </row>
    <row r="65" spans="2:12" ht="17.25" customHeight="1" x14ac:dyDescent="0.2">
      <c r="B65" s="91" t="s">
        <v>6</v>
      </c>
      <c r="C65" s="114">
        <v>350.00000000000006</v>
      </c>
      <c r="D65" s="115">
        <v>0.15</v>
      </c>
      <c r="E65" s="106"/>
      <c r="F65" s="106"/>
      <c r="G65" s="106">
        <f>$C65*'Unit volumes'!E$21*$D65</f>
        <v>4453.4803906000034</v>
      </c>
      <c r="H65" s="106">
        <f>$C65*'Unit volumes'!F$21*$D65</f>
        <v>4520.24941649628</v>
      </c>
      <c r="I65" s="106">
        <f>$C65*'Unit volumes'!G$21*$D65</f>
        <v>4602.4091032632668</v>
      </c>
      <c r="J65" s="106">
        <f>$C65*'Unit volumes'!H$21*$D65</f>
        <v>4685.4167588440214</v>
      </c>
      <c r="K65" s="107">
        <f>$C65*'Unit volumes'!I$21*$D65</f>
        <v>4770.6604192314871</v>
      </c>
    </row>
    <row r="66" spans="2:12" ht="17.25" customHeight="1" x14ac:dyDescent="0.2">
      <c r="B66" s="92" t="s">
        <v>54</v>
      </c>
      <c r="C66" s="116"/>
      <c r="D66" s="117"/>
      <c r="E66" s="118"/>
      <c r="F66" s="118"/>
      <c r="G66" s="118">
        <f>SUM(G54:G65)</f>
        <v>115391.79762539396</v>
      </c>
      <c r="H66" s="118">
        <f>SUM(H54:H65)</f>
        <v>86244.350839647406</v>
      </c>
      <c r="I66" s="118">
        <f>SUM(I54:I65)</f>
        <v>118787.67957605289</v>
      </c>
      <c r="J66" s="118">
        <f>SUM(J54:J65)</f>
        <v>89954.274836074997</v>
      </c>
      <c r="K66" s="119">
        <f>SUM(K54:K65)</f>
        <v>122571.63154710383</v>
      </c>
    </row>
    <row r="69" spans="2:12" ht="17.25" customHeight="1" x14ac:dyDescent="0.2">
      <c r="J69" s="96"/>
      <c r="K69" s="96"/>
      <c r="L69" s="65"/>
    </row>
    <row r="70" spans="2:12" ht="17.25" customHeight="1" x14ac:dyDescent="0.2">
      <c r="J70" s="96"/>
      <c r="K70" s="96"/>
    </row>
    <row r="71" spans="2:12" ht="17.25" customHeight="1" x14ac:dyDescent="0.2">
      <c r="J71" s="96"/>
      <c r="K71" s="96"/>
    </row>
    <row r="72" spans="2:12" ht="17.25" customHeight="1" x14ac:dyDescent="0.2">
      <c r="J72" s="96"/>
      <c r="K72" s="96"/>
    </row>
    <row r="73" spans="2:12" ht="17.25" customHeight="1" x14ac:dyDescent="0.2">
      <c r="J73" s="96"/>
      <c r="K73" s="96"/>
    </row>
    <row r="74" spans="2:12" ht="17.25" customHeight="1" x14ac:dyDescent="0.2">
      <c r="J74" s="96"/>
      <c r="K74" s="96"/>
    </row>
    <row r="75" spans="2:12" ht="17.25" customHeight="1" x14ac:dyDescent="0.2">
      <c r="J75" s="96"/>
      <c r="K75" s="96"/>
    </row>
    <row r="76" spans="2:12" ht="17.25" customHeight="1" x14ac:dyDescent="0.2">
      <c r="J76" s="96"/>
      <c r="K76" s="96"/>
    </row>
    <row r="77" spans="2:12" ht="17.25" customHeight="1" x14ac:dyDescent="0.2">
      <c r="J77" s="96"/>
      <c r="K77" s="96"/>
    </row>
    <row r="78" spans="2:12" ht="17.25" customHeight="1" x14ac:dyDescent="0.2">
      <c r="J78" s="96"/>
      <c r="K78" s="96"/>
    </row>
    <row r="79" spans="2:12" ht="17.25" customHeight="1" x14ac:dyDescent="0.2">
      <c r="J79" s="96"/>
      <c r="K79" s="96"/>
    </row>
    <row r="80" spans="2:12" ht="17.25" customHeight="1" x14ac:dyDescent="0.2">
      <c r="J80" s="96"/>
      <c r="K80" s="96"/>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
    <Synchronization>Synchronous</Synchronization>
    <Type>10002</Type>
    <SequenceNumber>10000</SequenceNumber>
    <Assembly>ContentTypeEventHandler, Version=1.0.0.0, Culture=neutral, PublicKeyToken=7306187a9f99cb99</Assembly>
    <Class>ContentTypeEventHandler.AutoSetContentTypeItemEventHandler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Management Doc" ma:contentTypeID="0x010100D0028BF0C5DFD24FAF083FF18D968BC40300C6A4FEDDEA8CE241AA8052696D6E51EE" ma:contentTypeVersion="47" ma:contentTypeDescription="Documents that facilitate management of teams or contracts" ma:contentTypeScope="" ma:versionID="059a4f02f62259631133325d26b7ea7f">
  <xsd:schema xmlns:xsd="http://www.w3.org/2001/XMLSchema" xmlns:xs="http://www.w3.org/2001/XMLSchema" xmlns:p="http://schemas.microsoft.com/office/2006/metadata/properties" xmlns:ns1="452e29db-1283-48fb-b5d4-5ceeee35c20a" targetNamespace="http://schemas.microsoft.com/office/2006/metadata/properties" ma:root="true" ma:fieldsID="4579fb02c562a0fa740ccd3910559da2" ns1:_="">
    <xsd:import namespace="452e29db-1283-48fb-b5d4-5ceeee35c20a"/>
    <xsd:element name="properties">
      <xsd:complexType>
        <xsd:sequence>
          <xsd:element name="documentManagement">
            <xsd:complexType>
              <xsd:all>
                <xsd:element ref="ns1:DocumentTypeManagementDocument"/>
                <xsd:element ref="ns1:Notes1" minOccurs="0"/>
                <xsd:element ref="ns1:Doc_x0020_Owner_x0020_-_x0020_Company" minOccurs="0"/>
                <xsd:element ref="ns1:SelectedCont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2e29db-1283-48fb-b5d4-5ceeee35c20a" elementFormDefault="qualified">
    <xsd:import namespace="http://schemas.microsoft.com/office/2006/documentManagement/types"/>
    <xsd:import namespace="http://schemas.microsoft.com/office/infopath/2007/PartnerControls"/>
    <xsd:element name="DocumentTypeManagementDocument" ma:index="0" ma:displayName="Document Type - Management Document" ma:description="Documents that facilitate the management of teams or contracts" ma:format="Dropdown" ma:internalName="DocumentTypeManagementDocument" ma:readOnly="false">
      <xsd:simpleType>
        <xsd:restriction base="dms:Choice">
          <xsd:enumeration value="Agreement"/>
          <xsd:enumeration value="Analysis"/>
          <xsd:enumeration value="Contract"/>
          <xsd:enumeration value="Financial"/>
          <xsd:enumeration value="Plan and Approvals"/>
          <xsd:enumeration value="Role"/>
          <xsd:enumeration value="Standard or Specification"/>
          <xsd:enumeration value="Team Register"/>
        </xsd:restriction>
      </xsd:simpleType>
    </xsd:element>
    <xsd:element name="Notes1" ma:index="3" nillable="true" ma:displayName="Notes" ma:internalName="Notes1">
      <xsd:simpleType>
        <xsd:restriction base="dms:Note">
          <xsd:maxLength value="255"/>
        </xsd:restriction>
      </xsd:simpleType>
    </xsd:element>
    <xsd:element name="Doc_x0020_Owner_x0020_-_x0020_Company" ma:index="8" nillable="true" ma:displayName="Doc Owner - Company" ma:default="All" ma:format="Dropdown" ma:hidden="true" ma:internalName="Doc_x0020_Owner_x0020__x002d__x0020_Company" ma:readOnly="false">
      <xsd:simpleType>
        <xsd:restriction base="dms:Choice">
          <xsd:enumeration value="All"/>
          <xsd:enumeration value="CitiPower only"/>
          <xsd:enumeration value="Powercor only"/>
          <xsd:enumeration value="CitiPower &amp; Powercor"/>
          <xsd:enumeration value="ETSA Utilities"/>
          <xsd:enumeration value="Wellington Electricity Lines"/>
          <xsd:enumeration value="Third Party"/>
        </xsd:restriction>
      </xsd:simpleType>
    </xsd:element>
    <xsd:element name="SelectedContentType" ma:index="12" nillable="true" ma:displayName="SelectedContentType" ma:hidden="true" ma:internalName="SelectedContentType"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axOccurs="1" ma:index="2" ma:displayName="Title"/>
        <xsd:element ref="dc:subject" minOccurs="0" maxOccurs="1"/>
        <xsd:element ref="dc:description" minOccurs="0" maxOccurs="1"/>
        <xsd:element name="keywords" minOccurs="0" maxOccurs="1" type="xsd:string" ma:index="11"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oc_x0020_Owner_x0020_-_x0020_Company xmlns="452e29db-1283-48fb-b5d4-5ceeee35c20a">All</Doc_x0020_Owner_x0020_-_x0020_Company>
    <SelectedContentType xmlns="452e29db-1283-48fb-b5d4-5ceeee35c20a">Management Doc</SelectedContentType>
    <Notes1 xmlns="452e29db-1283-48fb-b5d4-5ceeee35c20a">&lt;div&gt;&lt;/div&gt;</Notes1>
    <DocumentTypeManagementDocument xmlns="452e29db-1283-48fb-b5d4-5ceeee35c20a">Financial</DocumentTypeManagementDocument>
  </documentManagement>
</p:properties>
</file>

<file path=customXml/itemProps1.xml><?xml version="1.0" encoding="utf-8"?>
<ds:datastoreItem xmlns:ds="http://schemas.openxmlformats.org/officeDocument/2006/customXml" ds:itemID="{453513A3-AF39-4CFF-B26B-B07FD0BF3C40}">
  <ds:schemaRefs>
    <ds:schemaRef ds:uri="http://schemas.microsoft.com/sharepoint/v3/contenttype/forms"/>
  </ds:schemaRefs>
</ds:datastoreItem>
</file>

<file path=customXml/itemProps2.xml><?xml version="1.0" encoding="utf-8"?>
<ds:datastoreItem xmlns:ds="http://schemas.openxmlformats.org/officeDocument/2006/customXml" ds:itemID="{482BA622-E616-47F9-AADE-3E341FBF3B13}">
  <ds:schemaRefs>
    <ds:schemaRef ds:uri="http://schemas.microsoft.com/sharepoint/events"/>
  </ds:schemaRefs>
</ds:datastoreItem>
</file>

<file path=customXml/itemProps3.xml><?xml version="1.0" encoding="utf-8"?>
<ds:datastoreItem xmlns:ds="http://schemas.openxmlformats.org/officeDocument/2006/customXml" ds:itemID="{B51D9FB9-5BB4-4DCA-AF7B-B377B025A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2e29db-1283-48fb-b5d4-5ceeee35c2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344607B-027C-4430-AC5B-77AC913D5A09}">
  <ds:schemaRefs>
    <ds:schemaRef ds:uri="http://purl.org/dc/dcmitype/"/>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452e29db-1283-48fb-b5d4-5ceeee35c20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Unit volumes</vt:lpstr>
      <vt:lpstr>Unit rate summary - phones</vt:lpstr>
      <vt:lpstr>Unit rate summary - tablets</vt:lpstr>
    </vt:vector>
  </TitlesOfParts>
  <Company>CHED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Mobile OPEX Step Change updated_v0.3c</dc:title>
  <dc:creator>Amber Edwards</dc:creator>
  <cp:lastModifiedBy>Fenella Douglas</cp:lastModifiedBy>
  <cp:lastPrinted>2014-09-29T05:17:50Z</cp:lastPrinted>
  <dcterms:created xsi:type="dcterms:W3CDTF">2014-08-04T04:26:06Z</dcterms:created>
  <dcterms:modified xsi:type="dcterms:W3CDTF">2016-01-05T03:03:44Z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0x010100D0028BF0C5DFD24FAF083FF18D968BC40300C6A4FEDDEA8CE241AA8052696D6E51EE</vt:lpwstr>
  </property>
</Properties>
</file>