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 activeTab="1"/>
  </bookViews>
  <sheets>
    <sheet name="Instructions" sheetId="15" r:id="rId1"/>
    <sheet name="DNSP Data Inputs 2012-15" sheetId="16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2009-11'!$A$1:$L$125</definedName>
    <definedName name="_xlnm.Print_Area" localSheetId="4">'Data 2009-15 (Real $2008)'!$A$1:$L$125</definedName>
    <definedName name="_xlnm.Print_Area" localSheetId="1">'DNSP Data Inputs 2012-15'!$A$1:$L$120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13" i="16" l="1"/>
  <c r="J113" i="16" s="1"/>
  <c r="I114" i="16"/>
  <c r="J114" i="16" s="1"/>
  <c r="I112" i="16"/>
  <c r="J112" i="16" s="1"/>
  <c r="H144" i="4" l="1"/>
  <c r="H116" i="16" l="1"/>
  <c r="H115" i="16"/>
  <c r="H114" i="16"/>
  <c r="H113" i="16"/>
  <c r="H112" i="16"/>
  <c r="H111" i="16"/>
  <c r="H110" i="16"/>
  <c r="H109" i="16"/>
  <c r="H108" i="16"/>
  <c r="H107" i="16"/>
  <c r="H106" i="16"/>
  <c r="H102" i="16"/>
  <c r="H101" i="16"/>
  <c r="H100" i="16"/>
  <c r="H99" i="16"/>
  <c r="H98" i="16"/>
  <c r="H97" i="16"/>
  <c r="H96" i="16"/>
  <c r="H95" i="16"/>
  <c r="H94" i="16"/>
  <c r="H93" i="16"/>
  <c r="H92" i="16"/>
  <c r="H88" i="16"/>
  <c r="H87" i="16"/>
  <c r="H86" i="16"/>
  <c r="H85" i="16"/>
  <c r="H84" i="16"/>
  <c r="H83" i="16"/>
  <c r="H82" i="16"/>
  <c r="H78" i="16"/>
  <c r="H77" i="16"/>
  <c r="H76" i="16"/>
  <c r="H75" i="16"/>
  <c r="H74" i="16"/>
  <c r="H73" i="16"/>
  <c r="H72" i="16"/>
  <c r="H67" i="16"/>
  <c r="I138" i="4"/>
  <c r="I137" i="4"/>
  <c r="I134" i="4"/>
  <c r="I133" i="4"/>
  <c r="I132" i="4"/>
  <c r="I131" i="4"/>
  <c r="I128" i="4"/>
  <c r="I127" i="4"/>
  <c r="G60" i="4"/>
  <c r="G8" i="14" s="1"/>
  <c r="G59" i="16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N151" i="4" l="1"/>
  <c r="G114" i="4" l="1"/>
  <c r="G113" i="4"/>
  <c r="G112" i="4"/>
  <c r="J2" i="16" l="1"/>
  <c r="N147" i="4"/>
  <c r="G144" i="4" s="1"/>
  <c r="E40" i="4"/>
  <c r="F8" i="14"/>
  <c r="G31" i="12" l="1"/>
  <c r="G41" i="12"/>
  <c r="Q116" i="4"/>
  <c r="N74" i="14" s="1"/>
  <c r="J116" i="4"/>
  <c r="H74" i="14" s="1"/>
  <c r="I116" i="4"/>
  <c r="G74" i="14" s="1"/>
  <c r="F74" i="14"/>
  <c r="J115" i="4"/>
  <c r="H73" i="14" s="1"/>
  <c r="I115" i="4"/>
  <c r="G73" i="14" s="1"/>
  <c r="F73" i="14"/>
  <c r="F72" i="14"/>
  <c r="J113" i="4"/>
  <c r="H71" i="14" s="1"/>
  <c r="I113" i="4"/>
  <c r="G71" i="14" s="1"/>
  <c r="F71" i="14"/>
  <c r="Q111" i="4"/>
  <c r="N69" i="14" s="1"/>
  <c r="P111" i="4"/>
  <c r="M69" i="14" s="1"/>
  <c r="O111" i="4"/>
  <c r="L69" i="14" s="1"/>
  <c r="I111" i="4"/>
  <c r="G69" i="14" s="1"/>
  <c r="F69" i="14"/>
  <c r="Q110" i="4"/>
  <c r="N68" i="14" s="1"/>
  <c r="P110" i="4"/>
  <c r="M68" i="14" s="1"/>
  <c r="J110" i="4"/>
  <c r="H68" i="14" s="1"/>
  <c r="I110" i="4"/>
  <c r="G68" i="14" s="1"/>
  <c r="F68" i="14"/>
  <c r="Q109" i="4"/>
  <c r="N67" i="14" s="1"/>
  <c r="J109" i="4"/>
  <c r="H67" i="14" s="1"/>
  <c r="I109" i="4"/>
  <c r="G67" i="14" s="1"/>
  <c r="F67" i="14"/>
  <c r="J108" i="4"/>
  <c r="H66" i="14" s="1"/>
  <c r="I108" i="4"/>
  <c r="G66" i="14" s="1"/>
  <c r="F66" i="14"/>
  <c r="O107" i="4"/>
  <c r="L65" i="14" s="1"/>
  <c r="J107" i="4"/>
  <c r="H65" i="14" s="1"/>
  <c r="I107" i="4"/>
  <c r="G65" i="14" s="1"/>
  <c r="P106" i="4"/>
  <c r="M64" i="14" s="1"/>
  <c r="O106" i="4"/>
  <c r="L64" i="14" s="1"/>
  <c r="J106" i="4"/>
  <c r="H64" i="14" s="1"/>
  <c r="J102" i="4"/>
  <c r="H60" i="14" s="1"/>
  <c r="I102" i="4"/>
  <c r="G60" i="14" s="1"/>
  <c r="F60" i="14"/>
  <c r="O101" i="4"/>
  <c r="L59" i="14" s="1"/>
  <c r="J101" i="4"/>
  <c r="H59" i="14" s="1"/>
  <c r="I101" i="4"/>
  <c r="G59" i="14" s="1"/>
  <c r="P100" i="4"/>
  <c r="M58" i="14" s="1"/>
  <c r="O100" i="4"/>
  <c r="L58" i="14" s="1"/>
  <c r="J100" i="4"/>
  <c r="H58" i="14" s="1"/>
  <c r="I100" i="4"/>
  <c r="G58" i="14" s="1"/>
  <c r="Q99" i="4"/>
  <c r="N57" i="14" s="1"/>
  <c r="P99" i="4"/>
  <c r="M57" i="14" s="1"/>
  <c r="O99" i="4"/>
  <c r="L57" i="14" s="1"/>
  <c r="I99" i="4"/>
  <c r="G57" i="14" s="1"/>
  <c r="Q98" i="4"/>
  <c r="N56" i="14" s="1"/>
  <c r="P98" i="4"/>
  <c r="M56" i="14" s="1"/>
  <c r="O98" i="4"/>
  <c r="L56" i="14" s="1"/>
  <c r="F56" i="14"/>
  <c r="Q97" i="4"/>
  <c r="N55" i="14" s="1"/>
  <c r="P97" i="4"/>
  <c r="M55" i="14" s="1"/>
  <c r="O97" i="4"/>
  <c r="L55" i="14" s="1"/>
  <c r="I97" i="4"/>
  <c r="G55" i="14" s="1"/>
  <c r="F55" i="14"/>
  <c r="Q96" i="4"/>
  <c r="N54" i="14" s="1"/>
  <c r="P96" i="4"/>
  <c r="M54" i="14" s="1"/>
  <c r="O96" i="4"/>
  <c r="L54" i="14" s="1"/>
  <c r="J96" i="4"/>
  <c r="H54" i="14" s="1"/>
  <c r="I96" i="4"/>
  <c r="G54" i="14" s="1"/>
  <c r="F54" i="14"/>
  <c r="Q95" i="4"/>
  <c r="N53" i="14" s="1"/>
  <c r="J95" i="4"/>
  <c r="H53" i="14" s="1"/>
  <c r="I95" i="4"/>
  <c r="G53" i="14" s="1"/>
  <c r="F53" i="14"/>
  <c r="P94" i="4"/>
  <c r="M52" i="14" s="1"/>
  <c r="J94" i="4"/>
  <c r="H52" i="14" s="1"/>
  <c r="I94" i="4"/>
  <c r="G52" i="14" s="1"/>
  <c r="F52" i="14"/>
  <c r="O93" i="4"/>
  <c r="L51" i="14" s="1"/>
  <c r="J93" i="4"/>
  <c r="H51" i="14" s="1"/>
  <c r="I93" i="4"/>
  <c r="G51" i="14" s="1"/>
  <c r="P92" i="4"/>
  <c r="M50" i="14" s="1"/>
  <c r="O92" i="4"/>
  <c r="L50" i="14" s="1"/>
  <c r="J92" i="4"/>
  <c r="H50" i="14" s="1"/>
  <c r="P88" i="4"/>
  <c r="M46" i="14" s="1"/>
  <c r="J88" i="4"/>
  <c r="H46" i="14" s="1"/>
  <c r="I88" i="4"/>
  <c r="G46" i="14" s="1"/>
  <c r="F46" i="14"/>
  <c r="O87" i="4"/>
  <c r="L45" i="14" s="1"/>
  <c r="J87" i="4"/>
  <c r="H45" i="14" s="1"/>
  <c r="I87" i="4"/>
  <c r="G45" i="14" s="1"/>
  <c r="P86" i="4"/>
  <c r="M44" i="14" s="1"/>
  <c r="O86" i="4"/>
  <c r="L44" i="14" s="1"/>
  <c r="J86" i="4"/>
  <c r="H44" i="14" s="1"/>
  <c r="Q85" i="4"/>
  <c r="N43" i="14" s="1"/>
  <c r="P85" i="4"/>
  <c r="M43" i="14" s="1"/>
  <c r="O85" i="4"/>
  <c r="L43" i="14" s="1"/>
  <c r="Q84" i="4"/>
  <c r="N42" i="14" s="1"/>
  <c r="P84" i="4"/>
  <c r="M42" i="14" s="1"/>
  <c r="O84" i="4"/>
  <c r="L42" i="14" s="1"/>
  <c r="F42" i="14"/>
  <c r="Q83" i="4"/>
  <c r="N41" i="14" s="1"/>
  <c r="P83" i="4"/>
  <c r="M41" i="14" s="1"/>
  <c r="O83" i="4"/>
  <c r="L41" i="14" s="1"/>
  <c r="I83" i="4"/>
  <c r="G41" i="14" s="1"/>
  <c r="F41" i="14"/>
  <c r="Q82" i="4"/>
  <c r="N40" i="14" s="1"/>
  <c r="P82" i="4"/>
  <c r="M40" i="14" s="1"/>
  <c r="J82" i="4"/>
  <c r="H40" i="14" s="1"/>
  <c r="I82" i="4"/>
  <c r="G40" i="14" s="1"/>
  <c r="F40" i="14"/>
  <c r="Q78" i="4"/>
  <c r="N36" i="14" s="1"/>
  <c r="P78" i="4"/>
  <c r="M36" i="14" s="1"/>
  <c r="O78" i="4"/>
  <c r="L36" i="14" s="1"/>
  <c r="F36" i="14"/>
  <c r="Q77" i="4"/>
  <c r="N35" i="14" s="1"/>
  <c r="P77" i="4"/>
  <c r="M35" i="14" s="1"/>
  <c r="O77" i="4"/>
  <c r="L35" i="14" s="1"/>
  <c r="I77" i="4"/>
  <c r="G35" i="14" s="1"/>
  <c r="F35" i="14"/>
  <c r="Q76" i="4"/>
  <c r="N34" i="14" s="1"/>
  <c r="P76" i="4"/>
  <c r="M34" i="14" s="1"/>
  <c r="J76" i="4"/>
  <c r="H34" i="14" s="1"/>
  <c r="I76" i="4"/>
  <c r="G34" i="14" s="1"/>
  <c r="F34" i="14"/>
  <c r="Q75" i="4"/>
  <c r="N33" i="14" s="1"/>
  <c r="P75" i="4"/>
  <c r="M33" i="14" s="1"/>
  <c r="J75" i="4"/>
  <c r="H33" i="14" s="1"/>
  <c r="I75" i="4"/>
  <c r="G33" i="14" s="1"/>
  <c r="F33" i="14"/>
  <c r="Q74" i="4"/>
  <c r="N32" i="14" s="1"/>
  <c r="J74" i="4"/>
  <c r="H32" i="14" s="1"/>
  <c r="I74" i="4"/>
  <c r="G32" i="14" s="1"/>
  <c r="F32" i="14"/>
  <c r="Q73" i="4"/>
  <c r="N31" i="14" s="1"/>
  <c r="O73" i="4"/>
  <c r="L31" i="14" s="1"/>
  <c r="J73" i="4"/>
  <c r="H31" i="14" s="1"/>
  <c r="I73" i="4"/>
  <c r="G31" i="14" s="1"/>
  <c r="P72" i="4"/>
  <c r="M30" i="14" s="1"/>
  <c r="O72" i="4"/>
  <c r="L30" i="14" s="1"/>
  <c r="J72" i="4"/>
  <c r="H30" i="14" s="1"/>
  <c r="G73" i="12"/>
  <c r="F53" i="12"/>
  <c r="E53" i="12"/>
  <c r="E33" i="12"/>
  <c r="F23" i="12"/>
  <c r="E32" i="12"/>
  <c r="P116" i="4"/>
  <c r="M74" i="14" s="1"/>
  <c r="O116" i="4"/>
  <c r="L74" i="14" s="1"/>
  <c r="P115" i="4"/>
  <c r="M73" i="14" s="1"/>
  <c r="O115" i="4"/>
  <c r="L73" i="14" s="1"/>
  <c r="J111" i="4"/>
  <c r="H69" i="14" s="1"/>
  <c r="O110" i="4"/>
  <c r="L68" i="14" s="1"/>
  <c r="P109" i="4"/>
  <c r="M67" i="14" s="1"/>
  <c r="O109" i="4"/>
  <c r="L67" i="14" s="1"/>
  <c r="Q108" i="4"/>
  <c r="N66" i="14" s="1"/>
  <c r="P108" i="4"/>
  <c r="M66" i="14"/>
  <c r="O108" i="4"/>
  <c r="L66" i="14" s="1"/>
  <c r="Q107" i="4"/>
  <c r="N65" i="14" s="1"/>
  <c r="P107" i="4"/>
  <c r="M65" i="14" s="1"/>
  <c r="F65" i="14"/>
  <c r="Q106" i="4"/>
  <c r="N64" i="14" s="1"/>
  <c r="I106" i="4"/>
  <c r="G64" i="14" s="1"/>
  <c r="F64" i="14"/>
  <c r="Q102" i="4"/>
  <c r="N60" i="14" s="1"/>
  <c r="P102" i="4"/>
  <c r="M60" i="14" s="1"/>
  <c r="O102" i="4"/>
  <c r="L60" i="14" s="1"/>
  <c r="Q101" i="4"/>
  <c r="N59" i="14" s="1"/>
  <c r="P101" i="4"/>
  <c r="M59" i="14" s="1"/>
  <c r="F59" i="14"/>
  <c r="Q100" i="4"/>
  <c r="N58" i="14" s="1"/>
  <c r="F58" i="14"/>
  <c r="J99" i="4"/>
  <c r="H57" i="14" s="1"/>
  <c r="F57" i="14"/>
  <c r="J98" i="4"/>
  <c r="H56" i="14" s="1"/>
  <c r="I98" i="4"/>
  <c r="G56" i="14" s="1"/>
  <c r="J97" i="4"/>
  <c r="H55" i="14" s="1"/>
  <c r="P95" i="4"/>
  <c r="M53" i="14" s="1"/>
  <c r="O95" i="4"/>
  <c r="L53" i="14" s="1"/>
  <c r="Q94" i="4"/>
  <c r="N52" i="14" s="1"/>
  <c r="O94" i="4"/>
  <c r="L52" i="14" s="1"/>
  <c r="Q93" i="4"/>
  <c r="N51" i="14" s="1"/>
  <c r="P93" i="4"/>
  <c r="M51" i="14" s="1"/>
  <c r="F51" i="14"/>
  <c r="Q92" i="4"/>
  <c r="N50" i="14" s="1"/>
  <c r="I92" i="4"/>
  <c r="G50" i="14" s="1"/>
  <c r="F50" i="14"/>
  <c r="Q88" i="4"/>
  <c r="N46" i="14" s="1"/>
  <c r="O88" i="4"/>
  <c r="L46" i="14" s="1"/>
  <c r="Q87" i="4"/>
  <c r="N45" i="14" s="1"/>
  <c r="P87" i="4"/>
  <c r="M45" i="14" s="1"/>
  <c r="F45" i="14"/>
  <c r="Q86" i="4"/>
  <c r="N44" i="14" s="1"/>
  <c r="I86" i="4"/>
  <c r="G44" i="14" s="1"/>
  <c r="F44" i="14"/>
  <c r="J85" i="4"/>
  <c r="H43" i="14" s="1"/>
  <c r="I85" i="4"/>
  <c r="G43" i="14" s="1"/>
  <c r="F43" i="14"/>
  <c r="J84" i="4"/>
  <c r="H42" i="14" s="1"/>
  <c r="I84" i="4"/>
  <c r="G42" i="14" s="1"/>
  <c r="J83" i="4"/>
  <c r="H41" i="14" s="1"/>
  <c r="O82" i="4"/>
  <c r="L40" i="14" s="1"/>
  <c r="J78" i="4"/>
  <c r="H36" i="14" s="1"/>
  <c r="I78" i="4"/>
  <c r="G36" i="14" s="1"/>
  <c r="J77" i="4"/>
  <c r="H35" i="14" s="1"/>
  <c r="O76" i="4"/>
  <c r="L34" i="14" s="1"/>
  <c r="O75" i="4"/>
  <c r="L33" i="14" s="1"/>
  <c r="P74" i="4"/>
  <c r="M32" i="14" s="1"/>
  <c r="O74" i="4"/>
  <c r="L32" i="14" s="1"/>
  <c r="P73" i="4"/>
  <c r="M31" i="14" s="1"/>
  <c r="F31" i="14"/>
  <c r="Q72" i="4"/>
  <c r="N30" i="14" s="1"/>
  <c r="I72" i="4"/>
  <c r="G30" i="14" s="1"/>
  <c r="F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L27" i="14"/>
  <c r="R27" i="14"/>
  <c r="M27" i="14"/>
  <c r="N27" i="14"/>
  <c r="S27" i="14"/>
  <c r="T27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I143" i="4"/>
  <c r="J143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G27" i="19" s="1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O1" i="16"/>
  <c r="O67" i="16" s="1"/>
  <c r="P1" i="16"/>
  <c r="P67" i="16" s="1"/>
  <c r="Q1" i="16"/>
  <c r="Q67" i="16" s="1"/>
  <c r="O3" i="16"/>
  <c r="O68" i="16" s="1"/>
  <c r="P3" i="16"/>
  <c r="P68" i="16" s="1"/>
  <c r="Q3" i="16"/>
  <c r="Q68" i="16" s="1"/>
  <c r="G7" i="16"/>
  <c r="H7" i="16"/>
  <c r="I7" i="16"/>
  <c r="J7" i="16"/>
  <c r="G8" i="16"/>
  <c r="H8" i="16"/>
  <c r="I8" i="16"/>
  <c r="J8" i="16"/>
  <c r="G9" i="16"/>
  <c r="H9" i="16"/>
  <c r="I9" i="16"/>
  <c r="J9" i="16"/>
  <c r="G19" i="16"/>
  <c r="H19" i="16"/>
  <c r="I19" i="16"/>
  <c r="J19" i="16"/>
  <c r="G20" i="16"/>
  <c r="H20" i="16"/>
  <c r="I20" i="16"/>
  <c r="J20" i="16"/>
  <c r="G21" i="16"/>
  <c r="H21" i="16"/>
  <c r="I21" i="16"/>
  <c r="J21" i="16"/>
  <c r="G30" i="16"/>
  <c r="H30" i="16"/>
  <c r="I30" i="16"/>
  <c r="J30" i="16"/>
  <c r="G31" i="16"/>
  <c r="H31" i="16"/>
  <c r="I31" i="16"/>
  <c r="J31" i="16"/>
  <c r="G32" i="16"/>
  <c r="H32" i="16"/>
  <c r="I32" i="16"/>
  <c r="J32" i="16"/>
  <c r="G52" i="16"/>
  <c r="H52" i="16"/>
  <c r="I52" i="16"/>
  <c r="J52" i="16"/>
  <c r="G53" i="16"/>
  <c r="H53" i="16"/>
  <c r="I53" i="16"/>
  <c r="J53" i="16"/>
  <c r="G54" i="16"/>
  <c r="H54" i="16"/>
  <c r="I54" i="16"/>
  <c r="J54" i="16"/>
  <c r="G58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I112" i="4"/>
  <c r="G70" i="14" s="1"/>
  <c r="I114" i="4"/>
  <c r="G72" i="14" s="1"/>
  <c r="F70" i="14"/>
  <c r="Q114" i="4"/>
  <c r="N72" i="14" s="1"/>
  <c r="P114" i="4"/>
  <c r="M72" i="14" s="1"/>
  <c r="O114" i="4"/>
  <c r="L72" i="14" s="1"/>
  <c r="Q113" i="4"/>
  <c r="N71" i="14" s="1"/>
  <c r="P113" i="4"/>
  <c r="M71" i="14" s="1"/>
  <c r="O113" i="4"/>
  <c r="L71" i="14" s="1"/>
  <c r="Q112" i="4"/>
  <c r="N70" i="14" s="1"/>
  <c r="O112" i="4"/>
  <c r="L70" i="14" s="1"/>
  <c r="P112" i="4"/>
  <c r="M70" i="14" s="1"/>
  <c r="J47" i="13"/>
  <c r="I8" i="13"/>
  <c r="I6" i="13"/>
  <c r="I7" i="13"/>
  <c r="I9" i="13"/>
  <c r="I144" i="4"/>
  <c r="I26" i="16"/>
  <c r="H25" i="16"/>
  <c r="G25" i="16"/>
  <c r="G61" i="12"/>
  <c r="I25" i="16"/>
  <c r="G25" i="4"/>
  <c r="E41" i="12"/>
  <c r="E24" i="4"/>
  <c r="E8" i="14"/>
  <c r="E51" i="13" s="1"/>
  <c r="F21" i="12"/>
  <c r="S44" i="14" l="1"/>
  <c r="S30" i="14"/>
  <c r="T32" i="14"/>
  <c r="F27" i="19"/>
  <c r="C16" i="13"/>
  <c r="C15" i="13" s="1"/>
  <c r="T60" i="14"/>
  <c r="E99" i="3"/>
  <c r="F125" i="8"/>
  <c r="F130" i="8" s="1"/>
  <c r="F50" i="3"/>
  <c r="F102" i="8" s="1"/>
  <c r="G24" i="16"/>
  <c r="J26" i="16"/>
  <c r="I24" i="16"/>
  <c r="R31" i="14"/>
  <c r="S33" i="14"/>
  <c r="S53" i="14"/>
  <c r="R50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R43" i="14"/>
  <c r="T46" i="14"/>
  <c r="R68" i="14"/>
  <c r="S69" i="12"/>
  <c r="G69" i="12"/>
  <c r="T30" i="14"/>
  <c r="S57" i="14"/>
  <c r="S74" i="14"/>
  <c r="G39" i="12"/>
  <c r="R54" i="14"/>
  <c r="S56" i="14"/>
  <c r="R34" i="14"/>
  <c r="T42" i="14"/>
  <c r="S31" i="14"/>
  <c r="S59" i="14"/>
  <c r="R60" i="14"/>
  <c r="S65" i="14"/>
  <c r="R66" i="14"/>
  <c r="R73" i="14"/>
  <c r="R58" i="14"/>
  <c r="J22" i="16"/>
  <c r="I47" i="13"/>
  <c r="R44" i="14"/>
  <c r="R64" i="14"/>
  <c r="S58" i="14"/>
  <c r="F41" i="12"/>
  <c r="I14" i="13"/>
  <c r="H22" i="16"/>
  <c r="G26" i="16"/>
  <c r="I11" i="13"/>
  <c r="J144" i="4"/>
  <c r="J22" i="13" s="1"/>
  <c r="T73" i="14"/>
  <c r="S43" i="14"/>
  <c r="T56" i="14"/>
  <c r="T36" i="14"/>
  <c r="R57" i="14"/>
  <c r="R40" i="14"/>
  <c r="T69" i="14"/>
  <c r="R30" i="14"/>
  <c r="J16" i="16"/>
  <c r="E22" i="4"/>
  <c r="E16" i="17" s="1"/>
  <c r="R32" i="14"/>
  <c r="T33" i="14"/>
  <c r="S34" i="14"/>
  <c r="R35" i="14"/>
  <c r="S40" i="14"/>
  <c r="T44" i="14"/>
  <c r="S45" i="14"/>
  <c r="R46" i="14"/>
  <c r="T50" i="14"/>
  <c r="S51" i="14"/>
  <c r="R52" i="14"/>
  <c r="T58" i="14"/>
  <c r="T64" i="14"/>
  <c r="T67" i="14"/>
  <c r="S68" i="14"/>
  <c r="R69" i="14"/>
  <c r="R71" i="14"/>
  <c r="T74" i="14"/>
  <c r="H16" i="16"/>
  <c r="T31" i="14"/>
  <c r="S32" i="14"/>
  <c r="R33" i="14"/>
  <c r="T34" i="14"/>
  <c r="R42" i="14"/>
  <c r="T45" i="14"/>
  <c r="S46" i="14"/>
  <c r="T51" i="14"/>
  <c r="S52" i="14"/>
  <c r="R53" i="14"/>
  <c r="S55" i="14"/>
  <c r="R56" i="14"/>
  <c r="T59" i="14"/>
  <c r="S60" i="14"/>
  <c r="T65" i="14"/>
  <c r="S66" i="14"/>
  <c r="R67" i="14"/>
  <c r="S71" i="14"/>
  <c r="S73" i="14"/>
  <c r="R74" i="14"/>
  <c r="R51" i="14"/>
  <c r="S64" i="14"/>
  <c r="R65" i="14"/>
  <c r="H26" i="16"/>
  <c r="S42" i="14"/>
  <c r="R59" i="14"/>
  <c r="F32" i="12"/>
  <c r="R45" i="14"/>
  <c r="I40" i="16"/>
  <c r="I16" i="16"/>
  <c r="G22" i="16"/>
  <c r="G40" i="16"/>
  <c r="I49" i="16"/>
  <c r="F31" i="12"/>
  <c r="I22" i="16"/>
  <c r="G49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G16" i="16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R41" i="14"/>
  <c r="R55" i="14"/>
  <c r="R70" i="14"/>
  <c r="T53" i="14"/>
  <c r="S54" i="14"/>
  <c r="S35" i="14"/>
  <c r="R36" i="14"/>
  <c r="T40" i="14"/>
  <c r="S41" i="14"/>
  <c r="T54" i="14"/>
  <c r="S69" i="14"/>
  <c r="R72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J145" i="4" s="1"/>
  <c r="I47" i="4"/>
  <c r="I63" i="12" s="1"/>
  <c r="I45" i="4"/>
  <c r="I43" i="12" s="1"/>
  <c r="I43" i="4"/>
  <c r="I23" i="12" s="1"/>
  <c r="I38" i="4"/>
  <c r="I62" i="12" s="1"/>
  <c r="I36" i="4"/>
  <c r="I42" i="12" s="1"/>
  <c r="I34" i="4"/>
  <c r="I22" i="12" s="1"/>
  <c r="I15" i="4"/>
  <c r="I13" i="4"/>
  <c r="I11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J44" i="4"/>
  <c r="J33" i="12" s="1"/>
  <c r="J37" i="4"/>
  <c r="J52" i="12" s="1"/>
  <c r="J23" i="4"/>
  <c r="J10" i="4"/>
  <c r="J48" i="4"/>
  <c r="J73" i="12" s="1"/>
  <c r="I35" i="4"/>
  <c r="I32" i="12" s="1"/>
  <c r="I14" i="4"/>
  <c r="I48" i="4"/>
  <c r="I73" i="12" s="1"/>
  <c r="J12" i="4"/>
  <c r="J41" i="12" s="1"/>
  <c r="I39" i="4"/>
  <c r="I72" i="12" s="1"/>
  <c r="I12" i="4"/>
  <c r="H55" i="4"/>
  <c r="AE32" i="13" s="1"/>
  <c r="I44" i="4"/>
  <c r="I33" i="12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J47" i="4"/>
  <c r="J63" i="12" s="1"/>
  <c r="J45" i="4"/>
  <c r="J43" i="12" s="1"/>
  <c r="J43" i="4"/>
  <c r="J38" i="4"/>
  <c r="J62" i="12" s="1"/>
  <c r="J36" i="4"/>
  <c r="J42" i="12" s="1"/>
  <c r="J34" i="4"/>
  <c r="J22" i="12" s="1"/>
  <c r="J15" i="4"/>
  <c r="J13" i="4"/>
  <c r="J51" i="12" s="1"/>
  <c r="J11" i="4"/>
  <c r="J31" i="12" s="1"/>
  <c r="H43" i="4"/>
  <c r="H23" i="12" s="1"/>
  <c r="H34" i="4"/>
  <c r="H13" i="4"/>
  <c r="H24" i="4" s="1"/>
  <c r="J46" i="4"/>
  <c r="J53" i="12" s="1"/>
  <c r="J39" i="4"/>
  <c r="J72" i="12" s="1"/>
  <c r="J35" i="4"/>
  <c r="J32" i="12" s="1"/>
  <c r="J14" i="4"/>
  <c r="J61" i="12" s="1"/>
  <c r="I46" i="4"/>
  <c r="I53" i="12" s="1"/>
  <c r="I37" i="4"/>
  <c r="I52" i="12" s="1"/>
  <c r="I23" i="4"/>
  <c r="I10" i="4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27" i="16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40" i="4"/>
  <c r="G7" i="12" s="1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R76" i="14"/>
  <c r="H8" i="14" s="1"/>
  <c r="H51" i="13" s="1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S76" i="14"/>
  <c r="J180" i="12"/>
  <c r="B197" i="12" s="1"/>
  <c r="J21" i="12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H22" i="12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I8" i="14" l="1"/>
  <c r="I51" i="13" s="1"/>
  <c r="J8" i="14"/>
  <c r="J51" i="13" s="1"/>
  <c r="H51" i="12"/>
  <c r="I181" i="12"/>
  <c r="B208" i="12" s="1"/>
  <c r="I208" i="12" s="1"/>
  <c r="I31" i="12"/>
  <c r="I183" i="12"/>
  <c r="B232" i="12" s="1"/>
  <c r="I232" i="12" s="1"/>
  <c r="J232" i="12" s="1"/>
  <c r="H40" i="4"/>
  <c r="H7" i="12" s="1"/>
  <c r="H52" i="13" s="1"/>
  <c r="J182" i="12"/>
  <c r="B221" i="12" s="1"/>
  <c r="J221" i="12" s="1"/>
  <c r="K221" i="12" s="1"/>
  <c r="I22" i="4"/>
  <c r="I17" i="17"/>
  <c r="I32" i="17" s="1"/>
  <c r="H53" i="13"/>
  <c r="H32" i="13"/>
  <c r="T32" i="13"/>
  <c r="J25" i="4"/>
  <c r="J19" i="17" s="1"/>
  <c r="J44" i="17" s="1"/>
  <c r="H26" i="4"/>
  <c r="H20" i="17" s="1"/>
  <c r="H50" i="17" s="1"/>
  <c r="H71" i="12"/>
  <c r="H185" i="12"/>
  <c r="B255" i="12" s="1"/>
  <c r="H255" i="12" s="1"/>
  <c r="I255" i="12" s="1"/>
  <c r="J184" i="12"/>
  <c r="B245" i="12" s="1"/>
  <c r="J245" i="12" s="1"/>
  <c r="K245" i="12" s="1"/>
  <c r="J40" i="4"/>
  <c r="J7" i="12" s="1"/>
  <c r="H184" i="12"/>
  <c r="B243" i="12" s="1"/>
  <c r="H243" i="12" s="1"/>
  <c r="H61" i="12"/>
  <c r="H25" i="4"/>
  <c r="H19" i="17" s="1"/>
  <c r="H44" i="17" s="1"/>
  <c r="J183" i="12"/>
  <c r="B233" i="12" s="1"/>
  <c r="J233" i="12" s="1"/>
  <c r="I71" i="12"/>
  <c r="I26" i="4"/>
  <c r="I20" i="17" s="1"/>
  <c r="I50" i="17" s="1"/>
  <c r="I185" i="12"/>
  <c r="B256" i="12" s="1"/>
  <c r="I256" i="12" s="1"/>
  <c r="J256" i="12" s="1"/>
  <c r="I25" i="4"/>
  <c r="I19" i="17" s="1"/>
  <c r="I44" i="17" s="1"/>
  <c r="I184" i="12"/>
  <c r="B244" i="12" s="1"/>
  <c r="I244" i="12" s="1"/>
  <c r="J244" i="12" s="1"/>
  <c r="K244" i="12" s="1"/>
  <c r="I61" i="12"/>
  <c r="I49" i="4"/>
  <c r="I8" i="12" s="1"/>
  <c r="J71" i="12"/>
  <c r="J26" i="4"/>
  <c r="J20" i="17" s="1"/>
  <c r="J50" i="17" s="1"/>
  <c r="J185" i="12"/>
  <c r="B257" i="12" s="1"/>
  <c r="J257" i="12" s="1"/>
  <c r="I180" i="12"/>
  <c r="B196" i="12" s="1"/>
  <c r="J24" i="4"/>
  <c r="J18" i="17" s="1"/>
  <c r="J38" i="17" s="1"/>
  <c r="H16" i="4"/>
  <c r="H6" i="12" s="1"/>
  <c r="I21" i="12"/>
  <c r="I16" i="4"/>
  <c r="I6" i="12" s="1"/>
  <c r="I182" i="12"/>
  <c r="B220" i="12" s="1"/>
  <c r="I220" i="12" s="1"/>
  <c r="J220" i="12" s="1"/>
  <c r="I41" i="12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J23" i="12"/>
  <c r="J49" i="4"/>
  <c r="J8" i="12" s="1"/>
  <c r="J22" i="4"/>
  <c r="J16" i="17" s="1"/>
  <c r="J16" i="4"/>
  <c r="J6" i="12" s="1"/>
  <c r="H49" i="4"/>
  <c r="H8" i="12" s="1"/>
  <c r="I40" i="4"/>
  <c r="I7" i="12" s="1"/>
  <c r="I52" i="13" s="1"/>
  <c r="H180" i="12"/>
  <c r="B195" i="12" s="1"/>
  <c r="H183" i="12"/>
  <c r="B231" i="12" s="1"/>
  <c r="H231" i="12" s="1"/>
  <c r="J181" i="12"/>
  <c r="B209" i="12" s="1"/>
  <c r="I24" i="4"/>
  <c r="I18" i="17" s="1"/>
  <c r="I38" i="17" s="1"/>
  <c r="I51" i="12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J197" i="12"/>
  <c r="I242" i="12"/>
  <c r="I16" i="17"/>
  <c r="G16" i="17"/>
  <c r="G27" i="4"/>
  <c r="F241" i="12"/>
  <c r="G241" i="12" s="1"/>
  <c r="G186" i="12"/>
  <c r="G171" i="12" s="1"/>
  <c r="H174" i="12" s="1"/>
  <c r="J17" i="17"/>
  <c r="J32" i="17" s="1"/>
  <c r="E252" i="12"/>
  <c r="E186" i="12"/>
  <c r="E171" i="12" s="1"/>
  <c r="B192" i="12"/>
  <c r="E19" i="17"/>
  <c r="E27" i="4"/>
  <c r="J52" i="13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L221" i="12" l="1"/>
  <c r="K232" i="12"/>
  <c r="J255" i="12"/>
  <c r="K255" i="12" s="1"/>
  <c r="K257" i="12"/>
  <c r="J27" i="4"/>
  <c r="B222" i="12"/>
  <c r="J207" i="12"/>
  <c r="K207" i="12" s="1"/>
  <c r="B210" i="12"/>
  <c r="K220" i="12"/>
  <c r="L220" i="12" s="1"/>
  <c r="K256" i="12"/>
  <c r="L256" i="12" s="1"/>
  <c r="B258" i="12"/>
  <c r="I186" i="12"/>
  <c r="I171" i="12" s="1"/>
  <c r="J174" i="12" s="1"/>
  <c r="B246" i="12"/>
  <c r="H186" i="12"/>
  <c r="H171" i="12" s="1"/>
  <c r="I174" i="12" s="1"/>
  <c r="I243" i="12"/>
  <c r="J243" i="12" s="1"/>
  <c r="K243" i="12" s="1"/>
  <c r="I219" i="12"/>
  <c r="J219" i="12" s="1"/>
  <c r="K219" i="12" s="1"/>
  <c r="H27" i="4"/>
  <c r="B234" i="12"/>
  <c r="J209" i="12"/>
  <c r="K209" i="12" s="1"/>
  <c r="J186" i="12"/>
  <c r="J171" i="12" s="1"/>
  <c r="K174" i="12" s="1"/>
  <c r="I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L245" i="12"/>
  <c r="M245" i="12" s="1"/>
  <c r="N245" i="12" s="1"/>
  <c r="K197" i="12"/>
  <c r="L197" i="12" s="1"/>
  <c r="L244" i="12"/>
  <c r="J242" i="12"/>
  <c r="K242" i="12" s="1"/>
  <c r="G229" i="12"/>
  <c r="H38" i="17"/>
  <c r="H57" i="17" s="1"/>
  <c r="H21" i="17"/>
  <c r="G204" i="12"/>
  <c r="G49" i="17"/>
  <c r="G51" i="17" s="1"/>
  <c r="H48" i="17" s="1"/>
  <c r="L232" i="12"/>
  <c r="M232" i="12" s="1"/>
  <c r="N232" i="12" s="1"/>
  <c r="I193" i="12"/>
  <c r="H230" i="12"/>
  <c r="I228" i="12"/>
  <c r="H206" i="12"/>
  <c r="L255" i="12"/>
  <c r="M255" i="12" s="1"/>
  <c r="F174" i="12"/>
  <c r="I21" i="17"/>
  <c r="I26" i="17"/>
  <c r="I57" i="17" s="1"/>
  <c r="J26" i="17"/>
  <c r="J57" i="17" s="1"/>
  <c r="J21" i="17"/>
  <c r="I194" i="12"/>
  <c r="G205" i="12"/>
  <c r="K233" i="12"/>
  <c r="M221" i="12"/>
  <c r="N221" i="12" s="1"/>
  <c r="H195" i="12"/>
  <c r="L257" i="12"/>
  <c r="M257" i="12" s="1"/>
  <c r="H241" i="12"/>
  <c r="I241" i="12" s="1"/>
  <c r="I196" i="12"/>
  <c r="I24" i="13"/>
  <c r="J208" i="12"/>
  <c r="K208" i="12" s="1"/>
  <c r="F252" i="12"/>
  <c r="F240" i="12"/>
  <c r="E44" i="17"/>
  <c r="E21" i="17"/>
  <c r="J254" i="12"/>
  <c r="K254" i="12" s="1"/>
  <c r="E192" i="12"/>
  <c r="B198" i="12"/>
  <c r="G26" i="17"/>
  <c r="G57" i="17" s="1"/>
  <c r="G21" i="17"/>
  <c r="M256" i="12" l="1"/>
  <c r="N256" i="12" s="1"/>
  <c r="B26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244" i="12"/>
  <c r="N244" i="12" s="1"/>
  <c r="M197" i="12"/>
  <c r="N197" i="12" s="1"/>
  <c r="H229" i="12"/>
  <c r="I10" i="14"/>
  <c r="H49" i="17"/>
  <c r="H51" i="17" s="1"/>
  <c r="I48" i="17" s="1"/>
  <c r="L233" i="12"/>
  <c r="M233" i="12" s="1"/>
  <c r="L253" i="12"/>
  <c r="M253" i="12" s="1"/>
  <c r="O245" i="12"/>
  <c r="L231" i="12"/>
  <c r="J196" i="12"/>
  <c r="K196" i="12" s="1"/>
  <c r="O221" i="12"/>
  <c r="J10" i="14"/>
  <c r="O232" i="12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M220" i="12"/>
  <c r="J228" i="12"/>
  <c r="K228" i="12" s="1"/>
  <c r="H205" i="12"/>
  <c r="I205" i="12" s="1"/>
  <c r="J194" i="12"/>
  <c r="K194" i="12" s="1"/>
  <c r="L194" i="12" s="1"/>
  <c r="L207" i="12"/>
  <c r="I195" i="12"/>
  <c r="N255" i="12"/>
  <c r="O256" i="12" l="1"/>
  <c r="P256" i="12" s="1"/>
  <c r="N219" i="12"/>
  <c r="O219" i="12" s="1"/>
  <c r="P219" i="12" s="1"/>
  <c r="Q219" i="12" s="1"/>
  <c r="E261" i="12"/>
  <c r="E172" i="12" s="1"/>
  <c r="J134" i="12"/>
  <c r="K134" i="12" s="1"/>
  <c r="Q256" i="12"/>
  <c r="R256" i="12" s="1"/>
  <c r="S256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P221" i="12"/>
  <c r="P245" i="12"/>
  <c r="Q245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P232" i="12"/>
  <c r="Q232" i="12" s="1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O255" i="12"/>
  <c r="P255" i="12" s="1"/>
  <c r="Q255" i="12" s="1"/>
  <c r="R255" i="12" s="1"/>
  <c r="I204" i="12"/>
  <c r="L228" i="12"/>
  <c r="N253" i="12"/>
  <c r="J37" i="17"/>
  <c r="J39" i="17" s="1"/>
  <c r="K36" i="17" s="1"/>
  <c r="L196" i="12"/>
  <c r="M231" i="12"/>
  <c r="J205" i="12"/>
  <c r="M207" i="12"/>
  <c r="N207" i="12" s="1"/>
  <c r="E45" i="17"/>
  <c r="J195" i="12"/>
  <c r="K195" i="12" s="1"/>
  <c r="I133" i="12" l="1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T256" i="12"/>
  <c r="U256" i="12" s="1"/>
  <c r="V256" i="12" s="1"/>
  <c r="W256" i="12" s="1"/>
  <c r="X256" i="12" s="1"/>
  <c r="Y256" i="12" s="1"/>
  <c r="Z256" i="12" s="1"/>
  <c r="AA256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Q221" i="12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32" i="12"/>
  <c r="S232" i="12" s="1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I136" i="12" l="1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T232" i="12"/>
  <c r="U232" i="12" s="1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R221" i="12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K215" i="12" l="1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V232" i="12"/>
  <c r="W232" i="12" s="1"/>
  <c r="X232" i="12" s="1"/>
  <c r="Y232" i="12" s="1"/>
  <c r="Z232" i="12" s="1"/>
  <c r="AA232" i="12" s="1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S221" i="12"/>
  <c r="T221" i="12" s="1"/>
  <c r="U221" i="12" s="1"/>
  <c r="K246" i="12"/>
  <c r="L203" i="12" l="1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V221" i="12"/>
  <c r="W221" i="12" s="1"/>
  <c r="X221" i="12" s="1"/>
  <c r="Y221" i="12" s="1"/>
  <c r="Z221" i="12" s="1"/>
  <c r="AA221" i="12" s="1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N203" i="12" l="1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M65" i="12" s="1"/>
  <c r="N60" i="12" s="1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65" i="12"/>
  <c r="O60" i="12" s="1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55" i="12" l="1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R261" i="12"/>
  <c r="R172" i="12" s="1"/>
  <c r="U37" i="17"/>
  <c r="U39" i="17" s="1"/>
  <c r="V36" i="17" s="1"/>
  <c r="S210" i="12"/>
  <c r="T204" i="12"/>
  <c r="U246" i="12"/>
  <c r="U64" i="12" s="1"/>
  <c r="V240" i="12"/>
  <c r="V216" i="12"/>
  <c r="R55" i="12" l="1"/>
  <c r="S5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S55" i="12" s="1"/>
  <c r="T50" i="12" s="1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R173" i="12"/>
  <c r="S170" i="12" s="1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261" i="12" l="1"/>
  <c r="S172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S173" i="12"/>
  <c r="T170" i="12" s="1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T35" i="12" s="1"/>
  <c r="U30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U35" i="12" s="1"/>
  <c r="V30" i="12" s="1"/>
  <c r="V97" i="12"/>
  <c r="U119" i="12"/>
  <c r="U83" i="12" s="1"/>
  <c r="U9" i="12" s="1"/>
  <c r="Y136" i="12"/>
  <c r="Z133" i="12"/>
  <c r="Z108" i="12"/>
  <c r="AA105" i="12"/>
  <c r="AA108" i="12" s="1"/>
  <c r="W116" i="12"/>
  <c r="W74" i="12" s="1"/>
  <c r="W75" i="12" s="1"/>
  <c r="X70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V261" i="12" l="1"/>
  <c r="V172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V173" i="12"/>
  <c r="W170" i="12" s="1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J58" i="13" s="1"/>
  <c r="L24" i="17"/>
  <c r="D85" i="12"/>
  <c r="C85" i="12" s="1"/>
  <c r="AA9" i="12"/>
  <c r="I35" i="13"/>
  <c r="AA84" i="12"/>
  <c r="N45" i="17"/>
  <c r="O77" i="12"/>
  <c r="O14" i="12"/>
  <c r="P5" i="12"/>
  <c r="J59" i="13" l="1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<sst xmlns="http://schemas.openxmlformats.org/spreadsheetml/2006/main" count="1195" uniqueCount="407">
  <si>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</si>
  <si>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</si>
  <si>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</si>
  <si>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</si>
  <si>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</si>
  <si>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</si>
  <si>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</si>
  <si>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</si>
  <si>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</si>
  <si>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</si>
  <si>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</si>
  <si>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</si>
  <si>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</si>
  <si>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</si>
  <si>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</si>
  <si>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</si>
  <si>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</si>
  <si>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</si>
  <si>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</si>
  <si>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</si>
  <si>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</si>
  <si>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</si>
  <si>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</si>
  <si>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</si>
  <si>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</si>
  <si>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</si>
  <si>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</si>
  <si>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</si>
  <si>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</si>
  <si>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</si>
  <si>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</si>
  <si>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</si>
  <si>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</si>
  <si>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</si>
  <si>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</si>
  <si>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</si>
  <si>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</si>
  <si>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</si>
  <si>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</si>
  <si>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</si>
  <si>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</si>
  <si>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</si>
  <si>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</si>
  <si>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</si>
  <si>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</si>
  <si>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</si>
  <si>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</si>
  <si>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</si>
  <si>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</si>
  <si>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</si>
  <si>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</si>
  <si>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</si>
  <si>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</si>
  <si>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</si>
  <si>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</si>
  <si>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</si>
  <si>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</si>
  <si>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</si>
  <si>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</si>
  <si>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</si>
  <si>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</si>
  <si>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</si>
  <si>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</si>
  <si>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</si>
  <si>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</si>
  <si>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</si>
  <si>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</si>
  <si>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</si>
  <si>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</si>
  <si>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</si>
  <si>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</si>
  <si>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</si>
  <si>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</si>
  <si>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</si>
  <si>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</si>
  <si>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</si>
  <si>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</si>
  <si>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</si>
  <si>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</si>
  <si>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</si>
  <si>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</si>
  <si>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</si>
  <si>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</si>
  <si>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</si>
  <si>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</si>
  <si>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</si>
  <si>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</si>
  <si>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</si>
  <si>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</si>
  <si>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</si>
  <si>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</si>
  <si>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</si>
  <si>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</si>
  <si>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</si>
  <si>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</si>
  <si>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</si>
  <si>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</si>
  <si>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</si>
  <si>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</si>
  <si>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</si>
  <si>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</si>
  <si>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</si>
  <si>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</si>
  <si>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</si>
  <si>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</si>
  <si>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</si>
  <si>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</si>
  <si>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</si>
  <si>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</si>
  <si>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</si>
  <si>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</si>
  <si>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</si>
  <si>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</si>
  <si>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</si>
  <si>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</si>
  <si>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</si>
  <si>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</si>
  <si>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</si>
  <si>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</si>
  <si>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</si>
  <si>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</si>
  <si>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</si>
  <si>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</si>
  <si>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</si>
  <si>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</si>
  <si>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</si>
  <si>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</si>
  <si>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</si>
  <si>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</si>
  <si>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</si>
  <si>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</si>
  <si>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</si>
  <si>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</si>
  <si>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</si>
  <si>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</si>
  <si>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</si>
  <si>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</si>
  <si>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</si>
  <si>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</si>
  <si>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</si>
  <si>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</si>
  <si>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</si>
  <si>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</si>
  <si>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</si>
  <si>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</si>
  <si>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</si>
  <si>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</si>
  <si>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</si>
  <si>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</si>
  <si>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</si>
  <si>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</si>
  <si>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</si>
  <si>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</si>
  <si>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</si>
  <si>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</si>
  <si>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</si>
  <si>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</si>
  <si>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</si>
  <si>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</si>
  <si>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</si>
  <si>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</si>
  <si>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</si>
  <si>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</si>
  <si>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</si>
  <si>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</si>
  <si>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</si>
  <si>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</si>
  <si>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</si>
  <si>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</si>
  <si>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</si>
  <si>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</si>
  <si>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</si>
  <si>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</si>
  <si>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</si>
  <si>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</si>
  <si>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</si>
  <si>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</si>
  <si>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</si>
  <si>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</si>
  <si>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</si>
  <si>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</si>
  <si>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</si>
  <si>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</si>
  <si>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</si>
  <si>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</si>
  <si>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</si>
  <si>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</si>
  <si>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</si>
  <si>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</si>
  <si>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</si>
  <si>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</si>
  <si>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</si>
  <si>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</si>
  <si>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</si>
  <si>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</si>
  <si>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</si>
  <si>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</si>
  <si>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</si>
  <si>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</si>
  <si>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</si>
  <si>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</si>
  <si>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</si>
  <si>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</si>
  <si>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</si>
  <si>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</si>
  <si>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</si>
  <si>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</si>
  <si>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</si>
  <si>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</si>
  <si>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</si>
  <si>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</si>
  <si>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</si>
  <si>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</si>
  <si>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</si>
  <si>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</si>
  <si>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</si>
  <si>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</si>
  <si>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</si>
  <si>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</si>
  <si>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</si>
  <si>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</si>
  <si>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</si>
  <si>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</si>
  <si>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</si>
  <si>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</si>
  <si>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</si>
  <si>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</si>
  <si>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</si>
  <si>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</si>
  <si>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</si>
  <si>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</si>
  <si>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</si>
  <si>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</si>
  <si>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</si>
  <si>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</si>
  <si>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</si>
  <si>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</si>
  <si>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</si>
  <si>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</si>
  <si>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</si>
  <si>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</si>
  <si>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</si>
  <si>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</si>
  <si>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</si>
  <si>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</si>
  <si>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</si>
  <si>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</si>
  <si>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</si>
  <si>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</si>
  <si>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</si>
  <si>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</si>
  <si>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</si>
  <si>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</si>
  <si>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</si>
  <si>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</si>
  <si>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</si>
  <si>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</si>
  <si>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</si>
  <si>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</si>
  <si>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</si>
  <si>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</si>
  <si>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</si>
  <si>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</si>
  <si>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</si>
  <si>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</si>
  <si>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</si>
  <si>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</si>
  <si>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</si>
  <si>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</si>
  <si>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</si>
  <si>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</si>
  <si>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</si>
  <si>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</si>
  <si>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</si>
  <si>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</si>
  <si>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</si>
  <si>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</si>
  <si>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</si>
  <si>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</si>
  <si>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</si>
  <si>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</si>
  <si>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</si>
  <si>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</si>
  <si>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</si>
  <si>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</si>
  <si>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</si>
  <si>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</si>
  <si>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</si>
  <si>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</si>
  <si>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</si>
  <si>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</si>
  <si>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</si>
  <si>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</si>
  <si>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</si>
  <si>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</si>
  <si>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</si>
  <si>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</si>
  <si>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</si>
  <si>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</si>
  <si>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</si>
  <si>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</si>
  <si>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</si>
  <si>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</si>
  <si>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</si>
  <si>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</si>
  <si>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</si>
  <si>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</si>
  <si>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</si>
  <si>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</si>
  <si>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</si>
  <si>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</si>
  <si>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</si>
  <si>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</si>
  <si>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</si>
  <si>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</si>
  <si>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</si>
  <si>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</si>
  <si>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</si>
  <si>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</si>
  <si>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</si>
  <si>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</si>
  <si>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</si>
  <si>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</si>
  <si>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</si>
  <si>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</si>
  <si>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</si>
  <si>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</si>
  <si>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</si>
  <si>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</si>
  <si>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</si>
  <si>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</si>
  <si>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</si>
  <si>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</si>
  <si>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</si>
  <si>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</si>
  <si>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</si>
  <si>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</si>
  <si>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</si>
  <si>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</si>
  <si>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</si>
  <si>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</si>
  <si>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</si>
  <si>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</si>
  <si>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</si>
  <si>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</si>
  <si>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</si>
  <si>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</si>
  <si>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</si>
  <si>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</si>
  <si>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</si>
  <si>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</si>
  <si>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</si>
  <si>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</si>
  <si>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</si>
  <si>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</si>
  <si>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</si>
  <si>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</si>
  <si>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</si>
  <si>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</si>
  <si>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</si>
  <si>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</si>
  <si>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</si>
  <si>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</si>
  <si>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</si>
  <si>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</si>
  <si>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</si>
  <si>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</si>
  <si>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</si>
  <si>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</si>
  <si>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</si>
  <si>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</si>
  <si>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</si>
  <si>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</si>
  <si>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</si>
  <si>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</si>
  <si>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</si>
  <si>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</si>
  <si>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</si>
  <si>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</si>
  <si>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</si>
  <si>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</si>
  <si>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</si>
  <si>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</si>
  <si>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</si>
  <si>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</si>
  <si>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</si>
  <si>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</si>
  <si>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</si>
  <si>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</si>
  <si>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</si>
  <si>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</si>
  <si>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</si>
  <si>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</si>
  <si>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</si>
  <si>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</si>
  <si>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</si>
  <si>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</si>
  <si>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These templates are for the AMI 2014 Charges Application.</t>
  </si>
  <si>
    <t xml:space="preserve">      and located in tab "DNSP Data Inputs 2012-15".</t>
  </si>
  <si>
    <t>AMI Costs and Revenues for 2012 and 2013 are to be expressed in</t>
  </si>
  <si>
    <t>AMI Costs for 2014-15 are to be expressed in</t>
  </si>
  <si>
    <t>Real 2013 $</t>
  </si>
  <si>
    <t>AMI Proposed Tariffs for 2014-15 are to be expressed in</t>
  </si>
  <si>
    <t>AMI Proposed Tariffs for 2014-15 are to be rounded to whole cents.</t>
  </si>
  <si>
    <t>The ABS changed the index reference base in September 2012 from 1989-90 to 2011-12.</t>
  </si>
  <si>
    <t>AMI DATA INPUTS 2012 - 2015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</si>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</sst>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20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35" fillId="3" borderId="10" xfId="4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173" fontId="3" fillId="2" borderId="11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6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9" fillId="2" borderId="17" xfId="4" applyNumberFormat="1" applyFont="1" applyFill="1" applyBorder="1"/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173" fontId="3" fillId="3" borderId="14" xfId="3" applyNumberFormat="1" applyFont="1" applyFill="1" applyBorder="1" applyAlignment="1"/>
    <xf numFmtId="173" fontId="9" fillId="2" borderId="11" xfId="3" applyNumberFormat="1" applyFont="1" applyFill="1" applyBorder="1" applyAlignment="1"/>
    <xf numFmtId="3" fontId="9" fillId="2" borderId="11" xfId="1" applyNumberFormat="1" applyFont="1" applyFill="1" applyBorder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3" borderId="7" xfId="4" applyNumberFormat="1" applyFont="1" applyFill="1" applyBorder="1"/>
    <xf numFmtId="174" fontId="3" fillId="0" borderId="0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0" xfId="4" applyFont="1" applyFill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0" fontId="1" fillId="0" borderId="18" xfId="1" applyFont="1" applyFill="1" applyBorder="1"/>
    <xf numFmtId="0" fontId="1" fillId="0" borderId="18" xfId="4" applyFont="1" applyFill="1" applyBorder="1"/>
    <xf numFmtId="0" fontId="33" fillId="3" borderId="16" xfId="4" applyFont="1" applyFill="1" applyBorder="1" applyAlignment="1">
      <alignment horizontal="center"/>
    </xf>
    <xf numFmtId="0" fontId="1" fillId="3" borderId="11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3" fontId="1" fillId="3" borderId="9" xfId="4" applyNumberFormat="1" applyFont="1" applyFill="1" applyBorder="1"/>
    <xf numFmtId="165" fontId="46" fillId="12" borderId="0" xfId="4" applyNumberFormat="1" applyFont="1" applyFill="1"/>
    <xf numFmtId="10" fontId="9" fillId="2" borderId="0" xfId="4" applyNumberFormat="1" applyFont="1" applyFill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93" customFormat="1" x14ac:dyDescent="0.2">
      <c r="A3" s="563" t="s">
        <v>376</v>
      </c>
    </row>
    <row r="4" spans="1:3" s="793" customFormat="1" x14ac:dyDescent="0.2"/>
    <row r="5" spans="1:3" s="793" customFormat="1" x14ac:dyDescent="0.2">
      <c r="A5" s="564" t="s">
        <v>397</v>
      </c>
    </row>
    <row r="6" spans="1:3" s="793" customFormat="1" x14ac:dyDescent="0.2"/>
    <row r="7" spans="1:3" s="793" customFormat="1" x14ac:dyDescent="0.2">
      <c r="A7" s="564" t="s">
        <v>377</v>
      </c>
      <c r="B7" s="565"/>
      <c r="C7" s="566" t="s">
        <v>398</v>
      </c>
    </row>
    <row r="8" spans="1:3" s="793" customFormat="1" ht="15" x14ac:dyDescent="0.25">
      <c r="A8" s="567"/>
    </row>
    <row r="9" spans="1:3" s="793" customFormat="1" x14ac:dyDescent="0.2">
      <c r="A9" s="564" t="s">
        <v>378</v>
      </c>
    </row>
    <row r="10" spans="1:3" s="793" customFormat="1" x14ac:dyDescent="0.2"/>
    <row r="11" spans="1:3" s="793" customFormat="1" x14ac:dyDescent="0.2">
      <c r="A11" s="568" t="s">
        <v>399</v>
      </c>
      <c r="B11" s="569"/>
      <c r="C11" s="570" t="s">
        <v>22</v>
      </c>
    </row>
    <row r="12" spans="1:3" s="794" customFormat="1" x14ac:dyDescent="0.2">
      <c r="A12" s="571"/>
      <c r="B12" s="572"/>
      <c r="C12" s="573"/>
    </row>
    <row r="13" spans="1:3" s="793" customFormat="1" x14ac:dyDescent="0.2">
      <c r="A13" s="568" t="s">
        <v>400</v>
      </c>
      <c r="B13" s="569"/>
      <c r="C13" s="570" t="s">
        <v>401</v>
      </c>
    </row>
    <row r="14" spans="1:3" s="793" customFormat="1" x14ac:dyDescent="0.2">
      <c r="B14" s="795"/>
    </row>
    <row r="15" spans="1:3" s="793" customFormat="1" x14ac:dyDescent="0.2">
      <c r="A15" s="568" t="s">
        <v>402</v>
      </c>
      <c r="C15" s="570" t="s">
        <v>22</v>
      </c>
    </row>
    <row r="16" spans="1:3" s="793" customFormat="1" x14ac:dyDescent="0.2"/>
    <row r="17" spans="1:1" s="793" customFormat="1" x14ac:dyDescent="0.2">
      <c r="A17" s="568" t="s">
        <v>403</v>
      </c>
    </row>
    <row r="20" spans="1:1" x14ac:dyDescent="0.2">
      <c r="A20" s="787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63">
        <v>0</v>
      </c>
      <c r="E141" s="763">
        <v>0</v>
      </c>
      <c r="F141" s="763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63">
        <v>0</v>
      </c>
      <c r="E161" s="763">
        <v>0</v>
      </c>
      <c r="F161" s="763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63">
        <v>0</v>
      </c>
      <c r="E171" s="763">
        <v>0</v>
      </c>
      <c r="F171" s="763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42"/>
  <sheetViews>
    <sheetView tabSelected="1" zoomScale="85" zoomScaleNormal="100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L133" sqref="L133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95" customWidth="1"/>
    <col min="6" max="6" width="5.5703125" style="21" customWidth="1"/>
    <col min="7" max="10" width="11.5703125" style="21" customWidth="1"/>
    <col min="11" max="11" width="5.7109375" style="1" customWidth="1"/>
    <col min="12" max="14" width="5.7109375" style="20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88"/>
      <c r="F1" s="788"/>
      <c r="G1" s="4">
        <v>2012</v>
      </c>
      <c r="H1" s="5">
        <v>2013</v>
      </c>
      <c r="I1" s="5">
        <v>2014</v>
      </c>
      <c r="J1" s="6">
        <v>2015</v>
      </c>
      <c r="K1" s="54"/>
      <c r="L1" s="21"/>
      <c r="N1" s="21"/>
      <c r="O1" s="44">
        <f>H1</f>
        <v>2013</v>
      </c>
      <c r="P1" s="45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96"/>
      <c r="F2" s="796"/>
      <c r="G2" s="814" t="s">
        <v>22</v>
      </c>
      <c r="H2" s="894" t="s">
        <v>22</v>
      </c>
      <c r="I2" s="813" t="s">
        <v>401</v>
      </c>
      <c r="J2" s="815" t="str">
        <f>I2</f>
        <v>Real 2013 $</v>
      </c>
      <c r="K2" s="108"/>
      <c r="L2" s="21"/>
      <c r="N2" s="21"/>
      <c r="O2" s="66"/>
      <c r="P2" s="748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96"/>
      <c r="F3" s="796"/>
      <c r="G3" s="574" t="s">
        <v>20</v>
      </c>
      <c r="H3" s="895" t="s">
        <v>18</v>
      </c>
      <c r="I3" s="61" t="s">
        <v>18</v>
      </c>
      <c r="J3" s="62" t="s">
        <v>18</v>
      </c>
      <c r="K3" s="108"/>
      <c r="L3" s="21"/>
      <c r="N3" s="21"/>
      <c r="O3" s="60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96"/>
      <c r="F5" s="796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96"/>
      <c r="F6" s="796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96"/>
      <c r="F7" s="796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749" t="str">
        <f t="shared" ref="G8:J8" si="1">G$2</f>
        <v>Nominal $</v>
      </c>
      <c r="H8" s="108" t="str">
        <f t="shared" si="1"/>
        <v>Nominal $</v>
      </c>
      <c r="I8" s="108" t="str">
        <f t="shared" si="1"/>
        <v>Real 2013 $</v>
      </c>
      <c r="J8" s="750" t="str">
        <f t="shared" si="1"/>
        <v>Real 2013 $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50" t="str">
        <f t="shared" ref="G9:J9" si="2">G$3</f>
        <v>Actual</v>
      </c>
      <c r="H9" s="751" t="str">
        <f t="shared" si="2"/>
        <v>Forecast</v>
      </c>
      <c r="I9" s="751" t="str">
        <f t="shared" si="2"/>
        <v>Forecast</v>
      </c>
      <c r="J9" s="752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805"/>
      <c r="E10" s="805"/>
      <c r="F10" s="805"/>
      <c r="G10" s="812">
        <v>949291.2300000001</v>
      </c>
      <c r="H10" s="753">
        <v>39119.330790101485</v>
      </c>
      <c r="I10" s="9">
        <v>0</v>
      </c>
      <c r="J10" s="754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805"/>
      <c r="E11" s="805"/>
      <c r="F11" s="805"/>
      <c r="G11" s="8">
        <v>160108.47999999998</v>
      </c>
      <c r="H11" s="9">
        <v>50266.466158505798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805"/>
      <c r="E12" s="805"/>
      <c r="F12" s="805"/>
      <c r="G12" s="8">
        <v>97462298.309903547</v>
      </c>
      <c r="H12" s="9">
        <v>65804588.892046392</v>
      </c>
      <c r="I12" s="9">
        <v>7207991.7673095902</v>
      </c>
      <c r="J12" s="10">
        <v>7181586.8696489315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805"/>
      <c r="E13" s="805"/>
      <c r="F13" s="805"/>
      <c r="G13" s="8">
        <v>9257594.75</v>
      </c>
      <c r="H13" s="9">
        <v>9022086.7167293243</v>
      </c>
      <c r="I13" s="9">
        <v>7114832.0691176532</v>
      </c>
      <c r="J13" s="10">
        <v>5301437.3758418933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805"/>
      <c r="E14" s="805"/>
      <c r="F14" s="805"/>
      <c r="G14" s="8">
        <v>11529042.254151428</v>
      </c>
      <c r="H14" s="9">
        <v>8366816.1912810458</v>
      </c>
      <c r="I14" s="9">
        <v>2300080.3630929971</v>
      </c>
      <c r="J14" s="10">
        <v>1085610.0114067115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805"/>
      <c r="E15" s="805"/>
      <c r="F15" s="805"/>
      <c r="G15" s="8">
        <v>174723.79</v>
      </c>
      <c r="H15" s="9">
        <v>123220.28133821014</v>
      </c>
      <c r="I15" s="9">
        <v>123220.28133821014</v>
      </c>
      <c r="J15" s="10">
        <v>132844.15995985043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96"/>
      <c r="E16" s="796"/>
      <c r="F16" s="796"/>
      <c r="G16" s="11">
        <f t="shared" ref="G16:J16" si="3">SUM(G10:G15)</f>
        <v>119533058.81405498</v>
      </c>
      <c r="H16" s="12">
        <f t="shared" si="3"/>
        <v>83406097.878343582</v>
      </c>
      <c r="I16" s="12">
        <f t="shared" si="3"/>
        <v>16746124.480858451</v>
      </c>
      <c r="J16" s="13">
        <f t="shared" si="3"/>
        <v>13701478.416857388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96"/>
      <c r="E17" s="796"/>
      <c r="F17" s="796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96"/>
      <c r="E18" s="796"/>
      <c r="F18" s="796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96"/>
      <c r="E19" s="796"/>
      <c r="F19" s="796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806"/>
      <c r="E20" s="806"/>
      <c r="F20" s="806"/>
      <c r="G20" s="749" t="str">
        <f t="shared" ref="G20:J20" si="5">G$2</f>
        <v>Nominal $</v>
      </c>
      <c r="H20" s="108" t="str">
        <f t="shared" si="5"/>
        <v>Nominal $</v>
      </c>
      <c r="I20" s="108" t="str">
        <f t="shared" si="5"/>
        <v>Real 2013 $</v>
      </c>
      <c r="J20" s="750" t="str">
        <f t="shared" si="5"/>
        <v>Real 2013 $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807"/>
      <c r="E21" s="807"/>
      <c r="F21" s="807"/>
      <c r="G21" s="50" t="str">
        <f t="shared" ref="G21:J21" si="6">G$3</f>
        <v>Actual</v>
      </c>
      <c r="H21" s="751" t="str">
        <f t="shared" si="6"/>
        <v>Forecast</v>
      </c>
      <c r="I21" s="751" t="str">
        <f t="shared" si="6"/>
        <v>Forecast</v>
      </c>
      <c r="J21" s="752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808"/>
      <c r="E22" s="808"/>
      <c r="F22" s="808"/>
      <c r="G22" s="324">
        <f t="shared" ref="G22:J22" si="7">SUM(G10:G12)-G23</f>
        <v>98571698.019903541</v>
      </c>
      <c r="H22" s="19">
        <f t="shared" si="7"/>
        <v>65893974.688994996</v>
      </c>
      <c r="I22" s="19">
        <f t="shared" si="7"/>
        <v>7207991.7673095902</v>
      </c>
      <c r="J22" s="755">
        <f t="shared" si="7"/>
        <v>7181586.8696489315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809"/>
      <c r="E23" s="809"/>
      <c r="F23" s="809"/>
      <c r="G23" s="8"/>
      <c r="H23" s="9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809"/>
      <c r="E24" s="809"/>
      <c r="F24" s="809"/>
      <c r="G24" s="324">
        <f t="shared" ref="G24:J26" si="8">G13</f>
        <v>9257594.75</v>
      </c>
      <c r="H24" s="19">
        <f t="shared" si="8"/>
        <v>9022086.7167293243</v>
      </c>
      <c r="I24" s="19">
        <f t="shared" si="8"/>
        <v>7114832.0691176532</v>
      </c>
      <c r="J24" s="325">
        <f t="shared" si="8"/>
        <v>5301437.3758418933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809"/>
      <c r="E25" s="809"/>
      <c r="F25" s="809"/>
      <c r="G25" s="324">
        <f t="shared" si="8"/>
        <v>11529042.254151428</v>
      </c>
      <c r="H25" s="19">
        <f t="shared" si="8"/>
        <v>8366816.1912810458</v>
      </c>
      <c r="I25" s="19">
        <f t="shared" si="8"/>
        <v>2300080.3630929971</v>
      </c>
      <c r="J25" s="325">
        <f t="shared" si="8"/>
        <v>1085610.0114067115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809"/>
      <c r="E26" s="809"/>
      <c r="F26" s="809"/>
      <c r="G26" s="324">
        <f t="shared" si="8"/>
        <v>174723.79</v>
      </c>
      <c r="H26" s="19">
        <f t="shared" si="8"/>
        <v>123220.28133821014</v>
      </c>
      <c r="I26" s="19">
        <f t="shared" si="8"/>
        <v>123220.28133821014</v>
      </c>
      <c r="J26" s="325">
        <f t="shared" si="8"/>
        <v>132844.15995985043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96"/>
      <c r="F27" s="796"/>
      <c r="G27" s="11">
        <f t="shared" ref="G27:J27" si="9">SUM(G21:G26)</f>
        <v>119533058.81405498</v>
      </c>
      <c r="H27" s="12">
        <f t="shared" si="9"/>
        <v>83406097.878343582</v>
      </c>
      <c r="I27" s="12">
        <f t="shared" si="9"/>
        <v>16746124.480858451</v>
      </c>
      <c r="J27" s="13">
        <f t="shared" si="9"/>
        <v>13701478.416857388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96"/>
      <c r="F28" s="796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96"/>
      <c r="F29" s="796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96"/>
      <c r="F30" s="796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96"/>
      <c r="F31" s="796"/>
      <c r="G31" s="749" t="str">
        <f t="shared" ref="G31:J31" si="11">G$2</f>
        <v>Nominal $</v>
      </c>
      <c r="H31" s="108" t="str">
        <f t="shared" si="11"/>
        <v>Nominal $</v>
      </c>
      <c r="I31" s="108" t="str">
        <f t="shared" si="11"/>
        <v>Real 2013 $</v>
      </c>
      <c r="J31" s="750" t="str">
        <f t="shared" si="11"/>
        <v>Real 2013 $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810"/>
      <c r="F32" s="810"/>
      <c r="G32" s="50" t="str">
        <f t="shared" ref="G32:J32" si="12">G$3</f>
        <v>Actual</v>
      </c>
      <c r="H32" s="751" t="str">
        <f t="shared" si="12"/>
        <v>Forecast</v>
      </c>
      <c r="I32" s="751" t="str">
        <f t="shared" si="12"/>
        <v>Forecast</v>
      </c>
      <c r="J32" s="752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810"/>
      <c r="F33" s="810"/>
      <c r="G33" s="35"/>
      <c r="H33" s="36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810"/>
      <c r="F34" s="810"/>
      <c r="G34" s="24"/>
      <c r="H34" s="25"/>
      <c r="I34" s="25"/>
      <c r="J34" s="26"/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810"/>
      <c r="F35" s="810"/>
      <c r="G35" s="24"/>
      <c r="H35" s="25"/>
      <c r="I35" s="25"/>
      <c r="J35" s="26"/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810"/>
      <c r="F36" s="810"/>
      <c r="G36" s="24"/>
      <c r="H36" s="25"/>
      <c r="I36" s="25"/>
      <c r="J36" s="26"/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810"/>
      <c r="F37" s="810"/>
      <c r="G37" s="24"/>
      <c r="H37" s="25"/>
      <c r="I37" s="25"/>
      <c r="J37" s="26"/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810"/>
      <c r="F38" s="810"/>
      <c r="G38" s="24"/>
      <c r="H38" s="25"/>
      <c r="I38" s="25"/>
      <c r="J38" s="26"/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810"/>
      <c r="F39" s="810"/>
      <c r="G39" s="24"/>
      <c r="H39" s="25"/>
      <c r="I39" s="25"/>
      <c r="J39" s="26"/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810"/>
      <c r="F40" s="810"/>
      <c r="G40" s="326">
        <f t="shared" ref="G40:J40" si="13">SUM(G34:G39)</f>
        <v>0</v>
      </c>
      <c r="H40" s="90">
        <f t="shared" si="13"/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810"/>
      <c r="F41" s="810"/>
      <c r="G41" s="328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810"/>
      <c r="F42" s="810"/>
      <c r="G42" s="23"/>
      <c r="H42" s="20"/>
      <c r="I42" s="20"/>
      <c r="J42" s="725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810"/>
      <c r="F43" s="810"/>
      <c r="G43" s="24"/>
      <c r="H43" s="25"/>
      <c r="I43" s="25"/>
      <c r="J43" s="26"/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810"/>
      <c r="F44" s="810"/>
      <c r="G44" s="24"/>
      <c r="H44" s="25"/>
      <c r="I44" s="25"/>
      <c r="J44" s="26"/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810"/>
      <c r="F45" s="810"/>
      <c r="G45" s="24"/>
      <c r="H45" s="25"/>
      <c r="I45" s="25"/>
      <c r="J45" s="26"/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810"/>
      <c r="F46" s="810"/>
      <c r="G46" s="24"/>
      <c r="H46" s="25"/>
      <c r="I46" s="25"/>
      <c r="J46" s="26"/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810"/>
      <c r="F47" s="810"/>
      <c r="G47" s="24"/>
      <c r="H47" s="25"/>
      <c r="I47" s="25"/>
      <c r="J47" s="26"/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810"/>
      <c r="F48" s="810"/>
      <c r="G48" s="27"/>
      <c r="H48" s="28"/>
      <c r="I48" s="28"/>
      <c r="J48" s="29"/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96"/>
      <c r="F49" s="796"/>
      <c r="G49" s="326">
        <f t="shared" ref="G49:J49" si="14">SUM(G43:G48)</f>
        <v>0</v>
      </c>
      <c r="H49" s="90">
        <f t="shared" si="14"/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96"/>
      <c r="F50" s="796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96"/>
      <c r="F51" s="796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96"/>
      <c r="F52" s="796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96"/>
      <c r="F53" s="796"/>
      <c r="G53" s="749" t="str">
        <f t="shared" ref="G53:J53" si="16">G$2</f>
        <v>Nominal $</v>
      </c>
      <c r="H53" s="108" t="str">
        <f t="shared" si="16"/>
        <v>Nominal $</v>
      </c>
      <c r="I53" s="108" t="str">
        <f t="shared" si="16"/>
        <v>Real 2013 $</v>
      </c>
      <c r="J53" s="750" t="str">
        <f t="shared" si="16"/>
        <v>Real 2013 $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96"/>
      <c r="F54" s="796"/>
      <c r="G54" s="749" t="str">
        <f t="shared" ref="G54:J54" si="17">G$3</f>
        <v>Actual</v>
      </c>
      <c r="H54" s="108" t="str">
        <f t="shared" si="17"/>
        <v>Forecast</v>
      </c>
      <c r="I54" s="108" t="str">
        <f t="shared" si="17"/>
        <v>Forecast</v>
      </c>
      <c r="J54" s="750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96"/>
      <c r="F55" s="796"/>
      <c r="G55" s="16">
        <v>22519258.547136702</v>
      </c>
      <c r="H55" s="17">
        <v>24331213.754284441</v>
      </c>
      <c r="I55" s="17">
        <v>22601198.481573496</v>
      </c>
      <c r="J55" s="18">
        <v>22346530.120556399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96"/>
      <c r="D56" s="796"/>
      <c r="E56" s="796"/>
      <c r="F56" s="796"/>
      <c r="G56" s="790"/>
      <c r="H56" s="790"/>
      <c r="I56" s="790"/>
      <c r="J56" s="790"/>
      <c r="K56" s="19"/>
      <c r="L56" s="2"/>
      <c r="M56" s="21"/>
      <c r="N56" s="21"/>
      <c r="O56" s="21"/>
    </row>
    <row r="57" spans="1:15" s="1" customFormat="1" x14ac:dyDescent="0.2">
      <c r="A57" s="788"/>
      <c r="B57" s="442"/>
      <c r="C57" s="796"/>
      <c r="D57" s="796"/>
      <c r="E57" s="796"/>
      <c r="F57" s="796"/>
      <c r="G57" s="790"/>
      <c r="H57" s="790"/>
      <c r="I57" s="798"/>
      <c r="J57" s="798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88"/>
      <c r="F58" s="788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88"/>
      <c r="F59" s="788"/>
      <c r="G59" s="575" t="str">
        <f>G$2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88"/>
      <c r="F60" s="788"/>
      <c r="G60" s="576">
        <v>79301450.791750014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88"/>
      <c r="F61" s="19"/>
      <c r="K61" s="19"/>
      <c r="M61" s="21"/>
      <c r="N61" s="21"/>
      <c r="O61" s="21"/>
    </row>
    <row r="62" spans="1:15" s="1" customFormat="1" x14ac:dyDescent="0.2">
      <c r="A62" s="30"/>
      <c r="B62" s="443"/>
      <c r="E62" s="788"/>
      <c r="F62" s="801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96"/>
      <c r="F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95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G65" s="795"/>
      <c r="H65" s="900" t="s">
        <v>380</v>
      </c>
      <c r="I65" s="903"/>
      <c r="J65" s="904"/>
      <c r="K65" s="32"/>
      <c r="L65" s="2"/>
      <c r="N65" s="2"/>
      <c r="O65" s="900" t="s">
        <v>23</v>
      </c>
      <c r="P65" s="901"/>
      <c r="Q65" s="902"/>
    </row>
    <row r="66" spans="1:17" x14ac:dyDescent="0.2">
      <c r="G66" s="795"/>
      <c r="L66" s="2"/>
      <c r="N66" s="2"/>
    </row>
    <row r="67" spans="1:17" x14ac:dyDescent="0.2">
      <c r="G67" s="795"/>
      <c r="H67" s="756">
        <f>H$1</f>
        <v>2013</v>
      </c>
      <c r="I67" s="756">
        <f>I$1</f>
        <v>2014</v>
      </c>
      <c r="J67" s="756">
        <f>J$1</f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G68" s="795"/>
      <c r="H68" s="816" t="s">
        <v>20</v>
      </c>
      <c r="I68" s="716" t="s">
        <v>21</v>
      </c>
      <c r="J68" s="716" t="s">
        <v>21</v>
      </c>
      <c r="K68" s="108"/>
      <c r="L68" s="2"/>
      <c r="M68" s="21"/>
      <c r="N68" s="2"/>
      <c r="O68" s="757" t="str">
        <f>O3</f>
        <v>Forecast</v>
      </c>
      <c r="P68" s="308" t="str">
        <f>P3</f>
        <v>Forecast</v>
      </c>
      <c r="Q68" s="730" t="str">
        <f>Q3</f>
        <v>Forecast</v>
      </c>
    </row>
    <row r="69" spans="1:17" x14ac:dyDescent="0.2">
      <c r="B69" s="1"/>
      <c r="G69" s="795"/>
      <c r="H69" s="717" t="s">
        <v>22</v>
      </c>
      <c r="I69" s="717" t="s">
        <v>22</v>
      </c>
      <c r="J69" s="717" t="s">
        <v>22</v>
      </c>
      <c r="K69" s="108"/>
      <c r="L69" s="2"/>
      <c r="M69" s="21"/>
      <c r="N69" s="2"/>
      <c r="O69" s="733"/>
      <c r="P69" s="734"/>
      <c r="Q69" s="735"/>
    </row>
    <row r="70" spans="1:17" x14ac:dyDescent="0.2">
      <c r="B70" s="89"/>
      <c r="G70" s="795"/>
      <c r="H70" s="736"/>
      <c r="I70" s="20"/>
      <c r="J70" s="737"/>
      <c r="K70" s="2"/>
      <c r="L70" s="2"/>
      <c r="M70" s="21"/>
      <c r="N70" s="2"/>
      <c r="O70" s="736"/>
      <c r="P70" s="738"/>
      <c r="Q70" s="725"/>
    </row>
    <row r="71" spans="1:17" x14ac:dyDescent="0.2">
      <c r="A71" s="88" t="s">
        <v>24</v>
      </c>
      <c r="B71" s="89"/>
      <c r="G71" s="795"/>
      <c r="H71" s="339" t="s">
        <v>25</v>
      </c>
      <c r="I71" s="698"/>
      <c r="J71" s="121"/>
      <c r="K71" s="118"/>
      <c r="L71" s="2"/>
      <c r="M71" s="21"/>
      <c r="N71" s="2"/>
      <c r="O71" s="23"/>
      <c r="P71" s="20"/>
      <c r="Q71" s="725"/>
    </row>
    <row r="72" spans="1:17" x14ac:dyDescent="0.2">
      <c r="A72" s="82" t="s">
        <v>26</v>
      </c>
      <c r="B72" s="53"/>
      <c r="G72" s="795"/>
      <c r="H72" s="742">
        <f>'Data 2009-15 (Real $2008)'!H72</f>
        <v>0</v>
      </c>
      <c r="I72" s="747"/>
      <c r="J72" s="333"/>
      <c r="K72" s="119"/>
      <c r="L72" s="2"/>
      <c r="M72" s="21"/>
      <c r="N72" s="2"/>
      <c r="O72" s="77"/>
      <c r="P72" s="758"/>
      <c r="Q72" s="73"/>
    </row>
    <row r="73" spans="1:17" x14ac:dyDescent="0.2">
      <c r="A73" s="82" t="s">
        <v>27</v>
      </c>
      <c r="B73" s="444"/>
      <c r="G73" s="795"/>
      <c r="H73" s="742">
        <f>'Data 2009-15 (Real $2008)'!H73</f>
        <v>0</v>
      </c>
      <c r="I73" s="747"/>
      <c r="J73" s="333"/>
      <c r="K73" s="119"/>
      <c r="L73" s="2"/>
      <c r="M73" s="21"/>
      <c r="N73" s="2"/>
      <c r="O73" s="77"/>
      <c r="P73" s="758"/>
      <c r="Q73" s="73"/>
    </row>
    <row r="74" spans="1:17" x14ac:dyDescent="0.2">
      <c r="A74" s="551" t="s">
        <v>370</v>
      </c>
      <c r="B74" s="2"/>
      <c r="G74" s="795"/>
      <c r="H74" s="742">
        <f>'Data 2009-15 (Real $2008)'!H74</f>
        <v>0</v>
      </c>
      <c r="I74" s="747"/>
      <c r="J74" s="333"/>
      <c r="K74" s="119"/>
      <c r="L74" s="2"/>
      <c r="M74" s="21"/>
      <c r="N74" s="2"/>
      <c r="O74" s="77"/>
      <c r="P74" s="758"/>
      <c r="Q74" s="73"/>
    </row>
    <row r="75" spans="1:17" x14ac:dyDescent="0.2">
      <c r="A75" s="551" t="s">
        <v>371</v>
      </c>
      <c r="G75" s="795"/>
      <c r="H75" s="742">
        <f>'Data 2009-15 (Real $2008)'!H75</f>
        <v>0</v>
      </c>
      <c r="I75" s="747"/>
      <c r="J75" s="333"/>
      <c r="K75" s="119"/>
      <c r="L75" s="2"/>
      <c r="M75" s="21"/>
      <c r="N75" s="2"/>
      <c r="O75" s="77"/>
      <c r="P75" s="758"/>
      <c r="Q75" s="73"/>
    </row>
    <row r="76" spans="1:17" x14ac:dyDescent="0.2">
      <c r="A76" s="551" t="s">
        <v>372</v>
      </c>
      <c r="G76" s="795"/>
      <c r="H76" s="742">
        <f>'Data 2009-15 (Real $2008)'!H76</f>
        <v>0</v>
      </c>
      <c r="I76" s="747"/>
      <c r="J76" s="333"/>
      <c r="K76" s="119"/>
      <c r="L76" s="2"/>
      <c r="M76" s="21"/>
      <c r="N76" s="2"/>
      <c r="O76" s="77"/>
      <c r="P76" s="758"/>
      <c r="Q76" s="73"/>
    </row>
    <row r="77" spans="1:17" x14ac:dyDescent="0.2">
      <c r="A77" s="551" t="s">
        <v>373</v>
      </c>
      <c r="B77" s="2"/>
      <c r="G77" s="795"/>
      <c r="H77" s="742">
        <f>'Data 2009-15 (Real $2008)'!H77</f>
        <v>0</v>
      </c>
      <c r="I77" s="747"/>
      <c r="J77" s="333"/>
      <c r="K77" s="119"/>
      <c r="L77" s="2"/>
      <c r="M77" s="21"/>
      <c r="N77" s="2"/>
      <c r="O77" s="77"/>
      <c r="P77" s="758"/>
      <c r="Q77" s="73"/>
    </row>
    <row r="78" spans="1:17" x14ac:dyDescent="0.2">
      <c r="A78" s="551" t="s">
        <v>374</v>
      </c>
      <c r="B78" s="86"/>
      <c r="G78" s="795"/>
      <c r="H78" s="742">
        <f>'Data 2009-15 (Real $2008)'!H78</f>
        <v>0</v>
      </c>
      <c r="I78" s="747"/>
      <c r="J78" s="333"/>
      <c r="K78" s="119"/>
      <c r="L78" s="2"/>
      <c r="M78" s="21"/>
      <c r="N78" s="2"/>
      <c r="O78" s="77"/>
      <c r="P78" s="758"/>
      <c r="Q78" s="73"/>
    </row>
    <row r="79" spans="1:17" x14ac:dyDescent="0.2">
      <c r="A79" s="82"/>
      <c r="G79" s="795"/>
      <c r="H79" s="740"/>
      <c r="I79" s="334"/>
      <c r="J79" s="741"/>
      <c r="K79" s="2"/>
      <c r="L79" s="2"/>
      <c r="M79" s="21"/>
      <c r="N79" s="2"/>
      <c r="O79" s="23"/>
      <c r="P79" s="20"/>
      <c r="Q79" s="725"/>
    </row>
    <row r="80" spans="1:17" x14ac:dyDescent="0.2">
      <c r="A80" s="82"/>
      <c r="G80" s="795"/>
      <c r="H80" s="740"/>
      <c r="I80" s="334"/>
      <c r="J80" s="741"/>
      <c r="K80" s="2"/>
      <c r="L80" s="2"/>
      <c r="M80" s="21"/>
      <c r="N80" s="2"/>
      <c r="O80" s="23"/>
      <c r="P80" s="20"/>
      <c r="Q80" s="725"/>
    </row>
    <row r="81" spans="1:17" x14ac:dyDescent="0.2">
      <c r="A81" s="88" t="s">
        <v>24</v>
      </c>
      <c r="B81" s="319"/>
      <c r="G81" s="795"/>
      <c r="H81" s="511" t="s">
        <v>28</v>
      </c>
      <c r="I81" s="700"/>
      <c r="J81" s="335"/>
      <c r="K81" s="118"/>
      <c r="L81" s="2"/>
      <c r="M81" s="21"/>
      <c r="N81" s="2"/>
      <c r="O81" s="23"/>
      <c r="P81" s="20"/>
      <c r="Q81" s="725"/>
    </row>
    <row r="82" spans="1:17" x14ac:dyDescent="0.2">
      <c r="A82" s="82" t="s">
        <v>26</v>
      </c>
      <c r="B82" s="319"/>
      <c r="G82" s="795"/>
      <c r="H82" s="742">
        <f>'Data 2009-15 (Real $2008)'!H82</f>
        <v>0</v>
      </c>
      <c r="I82" s="747"/>
      <c r="J82" s="333"/>
      <c r="K82" s="119"/>
      <c r="L82" s="2"/>
      <c r="M82" s="21"/>
      <c r="N82" s="2"/>
      <c r="O82" s="77"/>
      <c r="P82" s="758"/>
      <c r="Q82" s="73"/>
    </row>
    <row r="83" spans="1:17" x14ac:dyDescent="0.2">
      <c r="A83" s="82" t="s">
        <v>27</v>
      </c>
      <c r="B83" s="431"/>
      <c r="G83" s="795"/>
      <c r="H83" s="742">
        <f>'Data 2009-15 (Real $2008)'!H83</f>
        <v>0</v>
      </c>
      <c r="I83" s="747"/>
      <c r="J83" s="333"/>
      <c r="K83" s="119"/>
      <c r="L83" s="2"/>
      <c r="M83" s="21"/>
      <c r="N83" s="2"/>
      <c r="O83" s="77"/>
      <c r="P83" s="758"/>
      <c r="Q83" s="73"/>
    </row>
    <row r="84" spans="1:17" x14ac:dyDescent="0.2">
      <c r="A84" s="551" t="s">
        <v>370</v>
      </c>
      <c r="G84" s="795"/>
      <c r="H84" s="742">
        <f>'Data 2009-15 (Real $2008)'!H84</f>
        <v>0</v>
      </c>
      <c r="I84" s="747"/>
      <c r="J84" s="333"/>
      <c r="K84" s="119"/>
      <c r="L84" s="2"/>
      <c r="M84" s="21"/>
      <c r="N84" s="2"/>
      <c r="O84" s="77"/>
      <c r="P84" s="758"/>
      <c r="Q84" s="73"/>
    </row>
    <row r="85" spans="1:17" x14ac:dyDescent="0.2">
      <c r="A85" s="551" t="s">
        <v>371</v>
      </c>
      <c r="G85" s="795"/>
      <c r="H85" s="742">
        <f>'Data 2009-15 (Real $2008)'!H85</f>
        <v>0</v>
      </c>
      <c r="I85" s="747"/>
      <c r="J85" s="333"/>
      <c r="K85" s="119"/>
      <c r="L85" s="2"/>
      <c r="M85" s="21"/>
      <c r="N85" s="2"/>
      <c r="O85" s="77"/>
      <c r="P85" s="758"/>
      <c r="Q85" s="73"/>
    </row>
    <row r="86" spans="1:17" x14ac:dyDescent="0.2">
      <c r="A86" s="551" t="s">
        <v>372</v>
      </c>
      <c r="G86" s="795"/>
      <c r="H86" s="742">
        <f>'Data 2009-15 (Real $2008)'!H86</f>
        <v>0</v>
      </c>
      <c r="I86" s="747"/>
      <c r="J86" s="333"/>
      <c r="K86" s="119"/>
      <c r="L86" s="2"/>
      <c r="M86" s="21"/>
      <c r="N86" s="2"/>
      <c r="O86" s="77"/>
      <c r="P86" s="758"/>
      <c r="Q86" s="73"/>
    </row>
    <row r="87" spans="1:17" x14ac:dyDescent="0.2">
      <c r="A87" s="551" t="s">
        <v>373</v>
      </c>
      <c r="G87" s="795"/>
      <c r="H87" s="742">
        <f>'Data 2009-15 (Real $2008)'!H87</f>
        <v>0</v>
      </c>
      <c r="I87" s="747"/>
      <c r="J87" s="333"/>
      <c r="K87" s="119"/>
      <c r="L87" s="2"/>
      <c r="M87" s="21"/>
      <c r="N87" s="2"/>
      <c r="O87" s="77"/>
      <c r="P87" s="758"/>
      <c r="Q87" s="73"/>
    </row>
    <row r="88" spans="1:17" x14ac:dyDescent="0.2">
      <c r="A88" s="551" t="s">
        <v>374</v>
      </c>
      <c r="B88" s="106"/>
      <c r="G88" s="795"/>
      <c r="H88" s="742">
        <f>'Data 2009-15 (Real $2008)'!H88</f>
        <v>0</v>
      </c>
      <c r="I88" s="747"/>
      <c r="J88" s="333"/>
      <c r="K88" s="119"/>
      <c r="L88" s="2"/>
      <c r="M88" s="21"/>
      <c r="N88" s="2"/>
      <c r="O88" s="77"/>
      <c r="P88" s="758"/>
      <c r="Q88" s="73"/>
    </row>
    <row r="89" spans="1:17" x14ac:dyDescent="0.2">
      <c r="A89" s="82"/>
      <c r="B89" s="86"/>
      <c r="G89" s="795"/>
      <c r="H89" s="740"/>
      <c r="I89" s="334"/>
      <c r="J89" s="741"/>
      <c r="K89" s="2"/>
      <c r="L89" s="2"/>
      <c r="M89" s="21"/>
      <c r="N89" s="2"/>
      <c r="O89" s="23"/>
      <c r="P89" s="20"/>
      <c r="Q89" s="725"/>
    </row>
    <row r="90" spans="1:17" x14ac:dyDescent="0.2">
      <c r="A90" s="82"/>
      <c r="B90" s="91"/>
      <c r="G90" s="795"/>
      <c r="H90" s="740"/>
      <c r="I90" s="334"/>
      <c r="J90" s="741"/>
      <c r="K90" s="2"/>
      <c r="L90" s="2"/>
      <c r="M90" s="21"/>
      <c r="N90" s="2"/>
      <c r="O90" s="23"/>
      <c r="P90" s="20"/>
      <c r="Q90" s="725"/>
    </row>
    <row r="91" spans="1:17" x14ac:dyDescent="0.2">
      <c r="A91" s="88" t="s">
        <v>29</v>
      </c>
      <c r="B91" s="91"/>
      <c r="G91" s="795"/>
      <c r="H91" s="339" t="s">
        <v>25</v>
      </c>
      <c r="I91" s="700"/>
      <c r="J91" s="335"/>
      <c r="K91" s="118"/>
      <c r="L91" s="2"/>
      <c r="M91" s="21"/>
      <c r="N91" s="2"/>
      <c r="O91" s="23"/>
      <c r="P91" s="20"/>
      <c r="Q91" s="725"/>
    </row>
    <row r="92" spans="1:17" x14ac:dyDescent="0.2">
      <c r="A92" s="82" t="s">
        <v>30</v>
      </c>
      <c r="B92" s="89"/>
      <c r="G92" s="795"/>
      <c r="H92" s="742">
        <f>'Data 2009-15 (Real $2008)'!H92</f>
        <v>0</v>
      </c>
      <c r="I92" s="747"/>
      <c r="J92" s="333"/>
      <c r="K92" s="119"/>
      <c r="L92" s="2"/>
      <c r="M92" s="21"/>
      <c r="N92" s="2"/>
      <c r="O92" s="77"/>
      <c r="P92" s="758"/>
      <c r="Q92" s="73"/>
    </row>
    <row r="93" spans="1:17" x14ac:dyDescent="0.2">
      <c r="A93" s="82" t="s">
        <v>31</v>
      </c>
      <c r="B93" s="84"/>
      <c r="G93" s="795"/>
      <c r="H93" s="742">
        <f>'Data 2009-15 (Real $2008)'!H93</f>
        <v>0</v>
      </c>
      <c r="I93" s="747"/>
      <c r="J93" s="333"/>
      <c r="K93" s="119"/>
      <c r="L93" s="2"/>
      <c r="M93" s="21"/>
      <c r="N93" s="2"/>
      <c r="O93" s="77"/>
      <c r="P93" s="758"/>
      <c r="Q93" s="73"/>
    </row>
    <row r="94" spans="1:17" x14ac:dyDescent="0.2">
      <c r="A94" s="82" t="s">
        <v>32</v>
      </c>
      <c r="B94" s="89"/>
      <c r="G94" s="795"/>
      <c r="H94" s="742">
        <f>'Data 2009-15 (Real $2008)'!H94</f>
        <v>0</v>
      </c>
      <c r="I94" s="747"/>
      <c r="J94" s="333"/>
      <c r="K94" s="119"/>
      <c r="L94" s="2"/>
      <c r="M94" s="21"/>
      <c r="N94" s="2"/>
      <c r="O94" s="77"/>
      <c r="P94" s="758"/>
      <c r="Q94" s="73"/>
    </row>
    <row r="95" spans="1:17" x14ac:dyDescent="0.2">
      <c r="A95" s="82" t="s">
        <v>33</v>
      </c>
      <c r="B95" s="91"/>
      <c r="G95" s="795"/>
      <c r="H95" s="742">
        <f>'Data 2009-15 (Real $2008)'!H95</f>
        <v>0</v>
      </c>
      <c r="I95" s="747"/>
      <c r="J95" s="333"/>
      <c r="K95" s="119"/>
      <c r="L95" s="2"/>
      <c r="M95" s="21"/>
      <c r="N95" s="2"/>
      <c r="O95" s="77"/>
      <c r="P95" s="758"/>
      <c r="Q95" s="73"/>
    </row>
    <row r="96" spans="1:17" x14ac:dyDescent="0.2">
      <c r="A96" s="82" t="s">
        <v>34</v>
      </c>
      <c r="B96" s="91"/>
      <c r="G96" s="795"/>
      <c r="H96" s="742">
        <f>'Data 2009-15 (Real $2008)'!H96</f>
        <v>0</v>
      </c>
      <c r="I96" s="747"/>
      <c r="J96" s="333"/>
      <c r="K96" s="119"/>
      <c r="L96" s="2"/>
      <c r="M96" s="21"/>
      <c r="N96" s="2"/>
      <c r="O96" s="77"/>
      <c r="P96" s="758"/>
      <c r="Q96" s="73"/>
    </row>
    <row r="97" spans="1:17" x14ac:dyDescent="0.2">
      <c r="A97" s="82" t="s">
        <v>35</v>
      </c>
      <c r="B97" s="91"/>
      <c r="G97" s="795"/>
      <c r="H97" s="742">
        <f>'Data 2009-15 (Real $2008)'!H97</f>
        <v>0</v>
      </c>
      <c r="I97" s="747"/>
      <c r="J97" s="333"/>
      <c r="K97" s="119"/>
      <c r="L97" s="2"/>
      <c r="M97" s="21"/>
      <c r="N97" s="2"/>
      <c r="O97" s="77"/>
      <c r="P97" s="758"/>
      <c r="Q97" s="73"/>
    </row>
    <row r="98" spans="1:17" x14ac:dyDescent="0.2">
      <c r="A98" s="551" t="s">
        <v>370</v>
      </c>
      <c r="B98" s="91"/>
      <c r="G98" s="795"/>
      <c r="H98" s="742">
        <f>'Data 2009-15 (Real $2008)'!H98</f>
        <v>0</v>
      </c>
      <c r="I98" s="747"/>
      <c r="J98" s="333"/>
      <c r="K98" s="119"/>
      <c r="L98" s="2"/>
      <c r="M98" s="21"/>
      <c r="N98" s="2"/>
      <c r="O98" s="77"/>
      <c r="P98" s="758"/>
      <c r="Q98" s="73"/>
    </row>
    <row r="99" spans="1:17" x14ac:dyDescent="0.2">
      <c r="A99" s="551" t="s">
        <v>371</v>
      </c>
      <c r="B99" s="91"/>
      <c r="G99" s="795"/>
      <c r="H99" s="742">
        <f>'Data 2009-15 (Real $2008)'!H99</f>
        <v>0</v>
      </c>
      <c r="I99" s="747"/>
      <c r="J99" s="333"/>
      <c r="K99" s="119"/>
      <c r="L99" s="2"/>
      <c r="M99" s="21"/>
      <c r="N99" s="2"/>
      <c r="O99" s="77"/>
      <c r="P99" s="758"/>
      <c r="Q99" s="73"/>
    </row>
    <row r="100" spans="1:17" x14ac:dyDescent="0.2">
      <c r="A100" s="551" t="s">
        <v>372</v>
      </c>
      <c r="B100" s="91"/>
      <c r="G100" s="795"/>
      <c r="H100" s="742">
        <f>'Data 2009-15 (Real $2008)'!H100</f>
        <v>0</v>
      </c>
      <c r="I100" s="747"/>
      <c r="J100" s="333"/>
      <c r="K100" s="119"/>
      <c r="L100" s="2"/>
      <c r="M100" s="21"/>
      <c r="N100" s="2"/>
      <c r="O100" s="77"/>
      <c r="P100" s="758"/>
      <c r="Q100" s="73"/>
    </row>
    <row r="101" spans="1:17" x14ac:dyDescent="0.2">
      <c r="A101" s="551" t="s">
        <v>373</v>
      </c>
      <c r="B101" s="91"/>
      <c r="G101" s="795"/>
      <c r="H101" s="742">
        <f>'Data 2009-15 (Real $2008)'!H101</f>
        <v>0</v>
      </c>
      <c r="I101" s="747"/>
      <c r="J101" s="333"/>
      <c r="K101" s="119"/>
      <c r="L101" s="2"/>
      <c r="M101" s="21"/>
      <c r="N101" s="2"/>
      <c r="O101" s="77"/>
      <c r="P101" s="758"/>
      <c r="Q101" s="73"/>
    </row>
    <row r="102" spans="1:17" x14ac:dyDescent="0.2">
      <c r="A102" s="551" t="s">
        <v>374</v>
      </c>
      <c r="B102" s="91"/>
      <c r="G102" s="795"/>
      <c r="H102" s="742">
        <f>'Data 2009-15 (Real $2008)'!H102</f>
        <v>0</v>
      </c>
      <c r="I102" s="747"/>
      <c r="J102" s="333"/>
      <c r="K102" s="119"/>
      <c r="L102" s="2"/>
      <c r="M102" s="21"/>
      <c r="N102" s="2"/>
      <c r="O102" s="77"/>
      <c r="P102" s="758"/>
      <c r="Q102" s="73"/>
    </row>
    <row r="103" spans="1:17" x14ac:dyDescent="0.2">
      <c r="A103" s="82"/>
      <c r="B103" s="91"/>
      <c r="G103" s="795"/>
      <c r="H103" s="740"/>
      <c r="I103" s="334"/>
      <c r="J103" s="741"/>
      <c r="K103" s="2"/>
      <c r="L103" s="2"/>
      <c r="M103" s="21"/>
      <c r="N103" s="2"/>
      <c r="O103" s="23"/>
      <c r="P103" s="20"/>
      <c r="Q103" s="725"/>
    </row>
    <row r="104" spans="1:17" x14ac:dyDescent="0.2">
      <c r="A104" s="82"/>
      <c r="B104" s="91"/>
      <c r="G104" s="795"/>
      <c r="H104" s="740"/>
      <c r="I104" s="334"/>
      <c r="J104" s="741"/>
      <c r="K104" s="2"/>
      <c r="L104" s="2"/>
      <c r="M104" s="21"/>
      <c r="N104" s="2"/>
      <c r="O104" s="23"/>
      <c r="P104" s="20"/>
      <c r="Q104" s="725"/>
    </row>
    <row r="105" spans="1:17" x14ac:dyDescent="0.2">
      <c r="A105" s="88" t="s">
        <v>29</v>
      </c>
      <c r="G105" s="795"/>
      <c r="H105" s="511" t="s">
        <v>28</v>
      </c>
      <c r="I105" s="700"/>
      <c r="J105" s="335"/>
      <c r="K105" s="118"/>
      <c r="L105" s="2"/>
      <c r="M105" s="21"/>
      <c r="N105" s="2"/>
      <c r="O105" s="23"/>
      <c r="P105" s="20"/>
      <c r="Q105" s="725"/>
    </row>
    <row r="106" spans="1:17" x14ac:dyDescent="0.2">
      <c r="A106" s="82" t="s">
        <v>30</v>
      </c>
      <c r="B106" s="91"/>
      <c r="G106" s="795"/>
      <c r="H106" s="742">
        <f>'Data 2009-15 (Real $2008)'!H106</f>
        <v>0</v>
      </c>
      <c r="I106" s="747"/>
      <c r="J106" s="333"/>
      <c r="K106" s="119"/>
      <c r="L106" s="2"/>
      <c r="M106" s="21"/>
      <c r="N106" s="2"/>
      <c r="O106" s="77"/>
      <c r="P106" s="758"/>
      <c r="Q106" s="73"/>
    </row>
    <row r="107" spans="1:17" x14ac:dyDescent="0.2">
      <c r="A107" s="82" t="s">
        <v>31</v>
      </c>
      <c r="B107" s="91"/>
      <c r="G107" s="795"/>
      <c r="H107" s="742">
        <f>'Data 2009-15 (Real $2008)'!H107</f>
        <v>0</v>
      </c>
      <c r="I107" s="747"/>
      <c r="J107" s="333"/>
      <c r="K107" s="119"/>
      <c r="L107" s="2"/>
      <c r="M107" s="21"/>
      <c r="N107" s="2"/>
      <c r="O107" s="77"/>
      <c r="P107" s="758"/>
      <c r="Q107" s="73"/>
    </row>
    <row r="108" spans="1:17" x14ac:dyDescent="0.2">
      <c r="A108" s="82" t="s">
        <v>32</v>
      </c>
      <c r="B108" s="91"/>
      <c r="G108" s="795"/>
      <c r="H108" s="742">
        <f>'Data 2009-15 (Real $2008)'!H108</f>
        <v>0</v>
      </c>
      <c r="I108" s="747"/>
      <c r="J108" s="333"/>
      <c r="K108" s="119"/>
      <c r="L108" s="2"/>
      <c r="M108" s="21"/>
      <c r="N108" s="2"/>
      <c r="O108" s="77"/>
      <c r="P108" s="758"/>
      <c r="Q108" s="73"/>
    </row>
    <row r="109" spans="1:17" x14ac:dyDescent="0.2">
      <c r="A109" s="82" t="s">
        <v>33</v>
      </c>
      <c r="B109" s="91"/>
      <c r="G109" s="795"/>
      <c r="H109" s="742">
        <f>'Data 2009-15 (Real $2008)'!H109</f>
        <v>0</v>
      </c>
      <c r="I109" s="747"/>
      <c r="J109" s="333"/>
      <c r="K109" s="119"/>
      <c r="L109" s="2"/>
      <c r="M109" s="21"/>
      <c r="N109" s="2"/>
      <c r="O109" s="77"/>
      <c r="P109" s="758"/>
      <c r="Q109" s="73"/>
    </row>
    <row r="110" spans="1:17" x14ac:dyDescent="0.2">
      <c r="A110" s="82" t="s">
        <v>34</v>
      </c>
      <c r="B110" s="91"/>
      <c r="G110" s="795"/>
      <c r="H110" s="742">
        <f>'Data 2009-15 (Real $2008)'!H110</f>
        <v>0</v>
      </c>
      <c r="I110" s="747"/>
      <c r="J110" s="333"/>
      <c r="K110" s="119"/>
      <c r="L110" s="2"/>
      <c r="M110" s="21"/>
      <c r="N110" s="2"/>
      <c r="O110" s="77"/>
      <c r="P110" s="758"/>
      <c r="Q110" s="73"/>
    </row>
    <row r="111" spans="1:17" x14ac:dyDescent="0.2">
      <c r="A111" s="82" t="s">
        <v>35</v>
      </c>
      <c r="B111" s="89"/>
      <c r="G111" s="795"/>
      <c r="H111" s="742">
        <f>'Data 2009-15 (Real $2008)'!H111</f>
        <v>0</v>
      </c>
      <c r="I111" s="747"/>
      <c r="J111" s="333"/>
      <c r="K111" s="119"/>
      <c r="L111" s="2"/>
      <c r="M111" s="21"/>
      <c r="N111" s="2"/>
      <c r="O111" s="77"/>
      <c r="P111" s="758"/>
      <c r="Q111" s="73"/>
    </row>
    <row r="112" spans="1:17" x14ac:dyDescent="0.2">
      <c r="A112" s="551" t="s">
        <v>375</v>
      </c>
      <c r="B112" s="89"/>
      <c r="G112" s="795"/>
      <c r="H112" s="742">
        <f>'Data 2009-15 (Real $2008)'!H112</f>
        <v>127.75</v>
      </c>
      <c r="I112" s="747">
        <f>H112*(1+$I$117)</f>
        <v>117.16075250118475</v>
      </c>
      <c r="J112" s="333">
        <f>I112</f>
        <v>117.16075250118475</v>
      </c>
      <c r="K112" s="119"/>
      <c r="L112" s="2"/>
      <c r="M112" s="21"/>
      <c r="N112" s="2"/>
      <c r="O112" s="77">
        <v>617598.49951628468</v>
      </c>
      <c r="P112" s="758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G113" s="795"/>
      <c r="H113" s="742">
        <f>'Data 2009-15 (Real $2008)'!H113</f>
        <v>168.5</v>
      </c>
      <c r="I113" s="747">
        <f t="shared" ref="I113:I114" si="19">H113*(1+$I$117)</f>
        <v>154.53296905244329</v>
      </c>
      <c r="J113" s="333">
        <f t="shared" ref="J113:J114" si="20">I113</f>
        <v>154.53296905244329</v>
      </c>
      <c r="K113" s="119"/>
      <c r="L113" s="2"/>
      <c r="M113" s="21"/>
      <c r="N113" s="2"/>
      <c r="O113" s="77">
        <v>118144.14401795466</v>
      </c>
      <c r="P113" s="758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G114" s="795"/>
      <c r="H114" s="742">
        <f>'Data 2009-15 (Real $2008)'!H114</f>
        <v>223.27</v>
      </c>
      <c r="I114" s="747">
        <f t="shared" si="19"/>
        <v>204.76306231655201</v>
      </c>
      <c r="J114" s="333">
        <f t="shared" si="20"/>
        <v>204.76306231655201</v>
      </c>
      <c r="K114" s="119"/>
      <c r="L114" s="2"/>
      <c r="M114" s="21"/>
      <c r="N114" s="2"/>
      <c r="O114" s="77">
        <v>4336.3195815169502</v>
      </c>
      <c r="P114" s="758">
        <v>4485.4476854641198</v>
      </c>
      <c r="Q114" s="73">
        <v>4585.1865444224395</v>
      </c>
    </row>
    <row r="115" spans="1:17" x14ac:dyDescent="0.2">
      <c r="A115" s="551" t="s">
        <v>373</v>
      </c>
      <c r="G115" s="795"/>
      <c r="H115" s="742">
        <f>'Data 2009-15 (Real $2008)'!H115</f>
        <v>0</v>
      </c>
      <c r="I115" s="747"/>
      <c r="J115" s="333"/>
      <c r="K115" s="119"/>
      <c r="L115" s="2"/>
      <c r="M115" s="21"/>
      <c r="N115" s="2"/>
      <c r="O115" s="77"/>
      <c r="P115" s="758"/>
      <c r="Q115" s="73"/>
    </row>
    <row r="116" spans="1:17" x14ac:dyDescent="0.2">
      <c r="A116" s="551" t="s">
        <v>374</v>
      </c>
      <c r="B116" s="58"/>
      <c r="G116" s="795"/>
      <c r="H116" s="759">
        <f>'Data 2009-15 (Real $2008)'!H116</f>
        <v>0</v>
      </c>
      <c r="I116" s="760"/>
      <c r="J116" s="336"/>
      <c r="K116" s="119"/>
      <c r="L116" s="2"/>
      <c r="M116" s="21"/>
      <c r="N116" s="2"/>
      <c r="O116" s="78"/>
      <c r="P116" s="761"/>
      <c r="Q116" s="79"/>
    </row>
    <row r="117" spans="1:17" x14ac:dyDescent="0.2">
      <c r="B117" s="58"/>
      <c r="I117" s="898">
        <v>-8.2890391380158565E-2</v>
      </c>
      <c r="L117" s="2"/>
    </row>
    <row r="119" spans="1:17" ht="13.5" thickBot="1" x14ac:dyDescent="0.25">
      <c r="A119" s="68"/>
      <c r="B119" s="449"/>
      <c r="C119" s="68"/>
      <c r="D119" s="68"/>
      <c r="E119" s="811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95" customFormat="1" x14ac:dyDescent="0.2">
      <c r="B121" s="841"/>
      <c r="K121" s="788"/>
      <c r="L121" s="810"/>
      <c r="M121" s="810"/>
      <c r="N121" s="810"/>
      <c r="O121" s="810"/>
    </row>
    <row r="122" spans="1:17" s="795" customFormat="1" x14ac:dyDescent="0.2">
      <c r="B122" s="841"/>
      <c r="K122" s="788"/>
      <c r="L122" s="810"/>
      <c r="M122" s="810"/>
      <c r="N122" s="810"/>
      <c r="O122" s="810"/>
    </row>
    <row r="123" spans="1:17" s="795" customFormat="1" x14ac:dyDescent="0.2">
      <c r="B123" s="841"/>
      <c r="K123" s="788"/>
      <c r="L123" s="810"/>
      <c r="M123" s="810"/>
      <c r="N123" s="810"/>
      <c r="O123" s="810"/>
    </row>
    <row r="124" spans="1:17" s="795" customFormat="1" x14ac:dyDescent="0.2">
      <c r="A124" s="41" t="s">
        <v>384</v>
      </c>
      <c r="B124" s="841"/>
      <c r="I124" s="696" t="s">
        <v>385</v>
      </c>
      <c r="K124" s="788"/>
      <c r="L124" s="810"/>
      <c r="M124" s="810"/>
      <c r="N124" s="810"/>
      <c r="O124" s="810"/>
    </row>
    <row r="125" spans="1:17" s="795" customFormat="1" x14ac:dyDescent="0.2">
      <c r="A125" s="30"/>
      <c r="B125" s="841"/>
      <c r="I125" s="697" t="s">
        <v>386</v>
      </c>
      <c r="K125" s="788"/>
      <c r="L125" s="810"/>
      <c r="M125" s="810"/>
      <c r="N125" s="810"/>
      <c r="O125" s="810"/>
    </row>
    <row r="126" spans="1:17" s="795" customFormat="1" x14ac:dyDescent="0.2">
      <c r="A126" s="38" t="s">
        <v>9</v>
      </c>
      <c r="B126" s="841"/>
      <c r="I126" s="796"/>
      <c r="K126" s="788"/>
      <c r="L126" s="810"/>
      <c r="M126" s="810"/>
      <c r="N126" s="810"/>
      <c r="O126" s="810"/>
    </row>
    <row r="127" spans="1:17" s="795" customFormat="1" x14ac:dyDescent="0.2">
      <c r="A127" s="886" t="s">
        <v>10</v>
      </c>
      <c r="B127" s="841"/>
      <c r="I127" s="887">
        <v>4.02E-2</v>
      </c>
      <c r="K127" s="788"/>
      <c r="L127" s="810"/>
      <c r="M127" s="810"/>
      <c r="N127" s="810"/>
      <c r="O127" s="810"/>
    </row>
    <row r="128" spans="1:17" s="795" customFormat="1" x14ac:dyDescent="0.2">
      <c r="A128" s="788" t="s">
        <v>11</v>
      </c>
      <c r="B128" s="841"/>
      <c r="I128" s="887">
        <v>2.6200000000000001E-2</v>
      </c>
      <c r="K128" s="788"/>
      <c r="L128" s="810"/>
      <c r="M128" s="810"/>
      <c r="N128" s="810"/>
      <c r="O128" s="810"/>
    </row>
    <row r="129" spans="1:17" s="795" customFormat="1" x14ac:dyDescent="0.2">
      <c r="B129" s="841"/>
      <c r="I129" s="42"/>
      <c r="K129" s="788"/>
      <c r="L129" s="810"/>
      <c r="M129" s="810"/>
      <c r="N129" s="810"/>
      <c r="O129" s="810"/>
    </row>
    <row r="130" spans="1:17" s="795" customFormat="1" x14ac:dyDescent="0.2">
      <c r="A130" s="56" t="s">
        <v>12</v>
      </c>
      <c r="B130" s="841"/>
      <c r="K130" s="788"/>
      <c r="L130" s="810"/>
      <c r="M130" s="810"/>
      <c r="N130" s="810"/>
      <c r="O130" s="810"/>
    </row>
    <row r="131" spans="1:17" s="795" customFormat="1" x14ac:dyDescent="0.2">
      <c r="A131" s="795" t="s">
        <v>13</v>
      </c>
      <c r="B131" s="841"/>
      <c r="I131" s="899">
        <v>7.2800000000000004E-2</v>
      </c>
      <c r="K131" s="788"/>
      <c r="L131" s="810"/>
      <c r="M131" s="810"/>
      <c r="N131" s="810"/>
      <c r="O131" s="810"/>
    </row>
    <row r="132" spans="1:17" s="795" customFormat="1" x14ac:dyDescent="0.2">
      <c r="A132" s="795" t="s">
        <v>14</v>
      </c>
      <c r="B132" s="841"/>
      <c r="I132" s="888">
        <v>0.8</v>
      </c>
      <c r="K132" s="788"/>
      <c r="L132" s="810"/>
      <c r="M132" s="810"/>
      <c r="N132" s="810"/>
      <c r="O132" s="810"/>
    </row>
    <row r="133" spans="1:17" s="795" customFormat="1" x14ac:dyDescent="0.2">
      <c r="A133" s="795" t="s">
        <v>15</v>
      </c>
      <c r="B133" s="841"/>
      <c r="I133" s="889">
        <v>0.6</v>
      </c>
      <c r="K133" s="788"/>
      <c r="L133" s="810"/>
      <c r="M133" s="810"/>
      <c r="N133" s="810"/>
      <c r="O133" s="810"/>
    </row>
    <row r="134" spans="1:17" s="795" customFormat="1" x14ac:dyDescent="0.2">
      <c r="A134" s="795" t="s">
        <v>16</v>
      </c>
      <c r="B134" s="841"/>
      <c r="I134" s="890">
        <v>2.47E-2</v>
      </c>
      <c r="K134" s="788"/>
      <c r="L134" s="810"/>
      <c r="M134" s="810"/>
      <c r="N134" s="810"/>
      <c r="O134" s="810"/>
    </row>
    <row r="135" spans="1:17" s="795" customFormat="1" x14ac:dyDescent="0.2">
      <c r="A135" s="788"/>
      <c r="B135" s="841"/>
      <c r="I135" s="52"/>
      <c r="K135" s="788"/>
      <c r="L135" s="810"/>
      <c r="M135" s="810"/>
      <c r="N135" s="810"/>
      <c r="O135" s="810"/>
    </row>
    <row r="136" spans="1:17" s="795" customFormat="1" x14ac:dyDescent="0.2">
      <c r="A136" s="441" t="s">
        <v>19</v>
      </c>
      <c r="B136" s="841"/>
      <c r="K136" s="788"/>
      <c r="L136" s="810"/>
      <c r="M136" s="810"/>
      <c r="N136" s="810"/>
      <c r="O136" s="810"/>
    </row>
    <row r="137" spans="1:17" s="795" customFormat="1" x14ac:dyDescent="0.2">
      <c r="A137" s="795" t="s">
        <v>88</v>
      </c>
      <c r="B137" s="841"/>
      <c r="I137" s="891">
        <v>0.3</v>
      </c>
      <c r="K137" s="788"/>
      <c r="L137" s="810"/>
      <c r="M137" s="810"/>
      <c r="N137" s="810"/>
      <c r="O137" s="810"/>
    </row>
    <row r="138" spans="1:17" s="795" customFormat="1" x14ac:dyDescent="0.2">
      <c r="A138" s="788" t="s">
        <v>17</v>
      </c>
      <c r="B138" s="841"/>
      <c r="I138" s="888">
        <v>0.25</v>
      </c>
      <c r="K138" s="788"/>
      <c r="L138" s="810"/>
      <c r="M138" s="810"/>
      <c r="N138" s="810"/>
      <c r="O138" s="810"/>
    </row>
    <row r="139" spans="1:17" s="795" customFormat="1" ht="13.5" thickBot="1" x14ac:dyDescent="0.25">
      <c r="A139" s="811"/>
      <c r="B139" s="892"/>
      <c r="C139" s="811"/>
      <c r="D139" s="811"/>
      <c r="E139" s="811"/>
      <c r="F139" s="811"/>
      <c r="G139" s="811"/>
      <c r="H139" s="811"/>
      <c r="I139" s="811"/>
      <c r="J139" s="811"/>
      <c r="K139" s="893"/>
      <c r="L139" s="811"/>
      <c r="M139" s="811"/>
      <c r="N139" s="811"/>
      <c r="O139" s="811"/>
      <c r="P139" s="811"/>
      <c r="Q139" s="811"/>
    </row>
    <row r="140" spans="1:17" s="795" customFormat="1" x14ac:dyDescent="0.2">
      <c r="B140" s="841"/>
      <c r="K140" s="788"/>
      <c r="L140" s="810"/>
      <c r="M140" s="810"/>
      <c r="N140" s="810"/>
      <c r="O140" s="810"/>
    </row>
    <row r="141" spans="1:17" s="795" customFormat="1" x14ac:dyDescent="0.2">
      <c r="B141" s="841"/>
      <c r="K141" s="788"/>
      <c r="L141" s="810"/>
      <c r="M141" s="810"/>
      <c r="N141" s="810"/>
      <c r="O141" s="810"/>
    </row>
    <row r="142" spans="1:17" s="795" customFormat="1" x14ac:dyDescent="0.2">
      <c r="B142" s="841"/>
      <c r="K142" s="788"/>
      <c r="L142" s="810"/>
      <c r="M142" s="810"/>
      <c r="N142" s="810"/>
      <c r="O142" s="810"/>
    </row>
  </sheetData>
  <mergeCells count="2">
    <mergeCell ref="O65:Q65"/>
    <mergeCell ref="H65:J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8" t="str">
        <f>'IMRO Decision 2006-10'!A1</f>
        <v>Powercor</v>
      </c>
      <c r="B1" s="579" t="s">
        <v>0</v>
      </c>
      <c r="C1" s="580" t="str">
        <f>IF(SUM(C201)&lt;0.001,"Ok","Error")</f>
        <v>Ok</v>
      </c>
      <c r="D1" s="786">
        <f>C201</f>
        <v>0</v>
      </c>
      <c r="E1" s="581"/>
      <c r="F1" s="581"/>
      <c r="G1" s="581"/>
      <c r="H1" s="581"/>
      <c r="I1" s="581"/>
      <c r="J1" s="581"/>
      <c r="K1" s="581"/>
    </row>
    <row r="2" spans="1:11" s="458" customFormat="1" ht="15" x14ac:dyDescent="0.25">
      <c r="A2" s="582"/>
      <c r="B2" s="582"/>
      <c r="C2" s="583"/>
      <c r="D2" s="583"/>
      <c r="E2" s="583"/>
      <c r="F2" s="583"/>
      <c r="G2" s="583"/>
      <c r="H2" s="583"/>
      <c r="I2" s="583"/>
      <c r="J2" s="583"/>
      <c r="K2" s="583"/>
    </row>
    <row r="3" spans="1:11" ht="15.75" x14ac:dyDescent="0.25">
      <c r="A3" s="818" t="s">
        <v>396</v>
      </c>
      <c r="B3" s="584"/>
    </row>
    <row r="4" spans="1:11" s="458" customFormat="1" x14ac:dyDescent="0.2">
      <c r="A4" s="585"/>
      <c r="B4" s="585"/>
    </row>
    <row r="5" spans="1:11" ht="15.75" x14ac:dyDescent="0.25">
      <c r="A5" s="910" t="s">
        <v>40</v>
      </c>
      <c r="B5" s="911"/>
      <c r="C5" s="911"/>
      <c r="D5" s="912"/>
      <c r="E5" s="912"/>
      <c r="F5" s="913"/>
    </row>
    <row r="6" spans="1:11" s="458" customFormat="1" x14ac:dyDescent="0.2">
      <c r="A6" s="586" t="s">
        <v>74</v>
      </c>
      <c r="B6" s="587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19">
        <v>2006</v>
      </c>
      <c r="E8" s="75">
        <v>2007</v>
      </c>
      <c r="F8" s="820">
        <v>2008</v>
      </c>
    </row>
    <row r="9" spans="1:11" ht="12.75" customHeight="1" x14ac:dyDescent="0.2">
      <c r="A9" s="590" t="s">
        <v>37</v>
      </c>
      <c r="B9" s="590"/>
      <c r="C9" s="34" t="s">
        <v>8</v>
      </c>
      <c r="D9" s="907" t="s">
        <v>41</v>
      </c>
      <c r="E9" s="908"/>
      <c r="F9" s="909"/>
    </row>
    <row r="10" spans="1:11" x14ac:dyDescent="0.2">
      <c r="A10" s="454" t="str">
        <f>A$161</f>
        <v>Accumulation Meters</v>
      </c>
      <c r="C10" s="821">
        <f>C161</f>
        <v>15</v>
      </c>
      <c r="D10" s="822">
        <v>3110319.3672495438</v>
      </c>
      <c r="E10" s="823">
        <v>3322720.7410121309</v>
      </c>
      <c r="F10" s="824">
        <v>3520556.3383218911</v>
      </c>
      <c r="G10" s="591"/>
    </row>
    <row r="11" spans="1:11" x14ac:dyDescent="0.2">
      <c r="A11" s="454" t="str">
        <f>A$162</f>
        <v>Manually read interval meters</v>
      </c>
      <c r="C11" s="825">
        <f>C162</f>
        <v>10</v>
      </c>
      <c r="D11" s="762">
        <v>4428728.5773323188</v>
      </c>
      <c r="E11" s="763">
        <v>3924638.6174798836</v>
      </c>
      <c r="F11" s="764">
        <v>2127705.6690441784</v>
      </c>
      <c r="G11" s="591"/>
    </row>
    <row r="12" spans="1:11" x14ac:dyDescent="0.2">
      <c r="A12" s="454" t="str">
        <f>A$163</f>
        <v>Metering Data Services (IT)</v>
      </c>
      <c r="C12" s="825">
        <f>C163</f>
        <v>5</v>
      </c>
      <c r="D12" s="762">
        <v>0</v>
      </c>
      <c r="E12" s="763">
        <v>0</v>
      </c>
      <c r="F12" s="764">
        <v>0</v>
      </c>
      <c r="G12" s="591"/>
    </row>
    <row r="13" spans="1:11" x14ac:dyDescent="0.2">
      <c r="A13" s="454" t="str">
        <f>A$164</f>
        <v>Metering Data Services (Other)</v>
      </c>
      <c r="C13" s="826">
        <f>C164</f>
        <v>5</v>
      </c>
      <c r="D13" s="827">
        <v>0</v>
      </c>
      <c r="E13" s="828">
        <v>0</v>
      </c>
      <c r="F13" s="829">
        <v>0</v>
      </c>
      <c r="G13" s="591"/>
    </row>
    <row r="14" spans="1:11" ht="13.5" thickBot="1" x14ac:dyDescent="0.25">
      <c r="A14" s="592" t="s">
        <v>45</v>
      </c>
      <c r="B14" s="592"/>
      <c r="C14" s="830"/>
      <c r="D14" s="831">
        <f>SUM(D10:D13)</f>
        <v>7539047.9445818625</v>
      </c>
      <c r="E14" s="832">
        <f>SUM(E10:E13)</f>
        <v>7247359.3584920149</v>
      </c>
      <c r="F14" s="833">
        <f>SUM(F10:F13)</f>
        <v>5648262.0073660696</v>
      </c>
      <c r="G14" s="591"/>
    </row>
    <row r="15" spans="1:11" ht="13.5" thickTop="1" x14ac:dyDescent="0.2">
      <c r="C15" s="830"/>
      <c r="D15" s="830"/>
      <c r="E15" s="830"/>
      <c r="F15" s="830"/>
    </row>
    <row r="16" spans="1:11" x14ac:dyDescent="0.2">
      <c r="C16" s="830"/>
      <c r="D16" s="830"/>
      <c r="E16" s="830"/>
      <c r="F16" s="830"/>
    </row>
    <row r="17" spans="1:6" x14ac:dyDescent="0.2">
      <c r="A17" s="455"/>
      <c r="B17" s="594"/>
      <c r="C17" s="307" t="s">
        <v>283</v>
      </c>
      <c r="D17" s="75">
        <v>2006</v>
      </c>
      <c r="E17" s="834">
        <v>2007</v>
      </c>
      <c r="F17" s="820">
        <v>2008</v>
      </c>
    </row>
    <row r="18" spans="1:6" x14ac:dyDescent="0.2">
      <c r="A18" s="595" t="s">
        <v>47</v>
      </c>
      <c r="B18" s="596"/>
      <c r="C18" s="320" t="s">
        <v>48</v>
      </c>
      <c r="D18" s="917" t="s">
        <v>22</v>
      </c>
      <c r="E18" s="908"/>
      <c r="F18" s="909"/>
    </row>
    <row r="19" spans="1:6" x14ac:dyDescent="0.2">
      <c r="A19" s="454" t="str">
        <f>A$176</f>
        <v>Standard metering (Group 1) (Unit cost &lt; $1,000)</v>
      </c>
      <c r="C19" s="835">
        <f>C176</f>
        <v>0.375</v>
      </c>
      <c r="D19" s="836">
        <f>SUM(D10:D11)-D20</f>
        <v>7539047.9445818625</v>
      </c>
      <c r="E19" s="836">
        <f>SUM(E10:E11)-E20</f>
        <v>7247359.3584920149</v>
      </c>
      <c r="F19" s="837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35">
        <f>C177</f>
        <v>0.06</v>
      </c>
      <c r="D20" s="762">
        <v>0</v>
      </c>
      <c r="E20" s="763">
        <v>0</v>
      </c>
      <c r="F20" s="764">
        <v>0</v>
      </c>
    </row>
    <row r="21" spans="1:6" x14ac:dyDescent="0.2">
      <c r="A21" s="454" t="str">
        <f>A$178</f>
        <v>IT</v>
      </c>
      <c r="B21" s="594"/>
      <c r="C21" s="835">
        <f>C178</f>
        <v>0.4</v>
      </c>
      <c r="D21" s="836">
        <f t="shared" ref="D21:F22" si="0">D12</f>
        <v>0</v>
      </c>
      <c r="E21" s="836">
        <f t="shared" si="0"/>
        <v>0</v>
      </c>
      <c r="F21" s="837">
        <f t="shared" si="0"/>
        <v>0</v>
      </c>
    </row>
    <row r="22" spans="1:6" x14ac:dyDescent="0.2">
      <c r="A22" s="591" t="str">
        <f>A$179</f>
        <v>Other</v>
      </c>
      <c r="B22" s="594"/>
      <c r="C22" s="838">
        <f>C179</f>
        <v>0.1764705882352941</v>
      </c>
      <c r="D22" s="836">
        <f t="shared" si="0"/>
        <v>0</v>
      </c>
      <c r="E22" s="836">
        <f t="shared" si="0"/>
        <v>0</v>
      </c>
      <c r="F22" s="837">
        <f t="shared" si="0"/>
        <v>0</v>
      </c>
    </row>
    <row r="23" spans="1:6" ht="13.5" thickBot="1" x14ac:dyDescent="0.25">
      <c r="A23" s="592" t="s">
        <v>45</v>
      </c>
      <c r="B23" s="592"/>
      <c r="C23" s="830"/>
      <c r="D23" s="831">
        <f>SUM(D19:D22)</f>
        <v>7539047.9445818625</v>
      </c>
      <c r="E23" s="832">
        <f>SUM(E19:E22)</f>
        <v>7247359.3584920149</v>
      </c>
      <c r="F23" s="833">
        <f>SUM(F19:F22)</f>
        <v>5648262.0073660696</v>
      </c>
    </row>
    <row r="24" spans="1:6" ht="13.5" thickTop="1" x14ac:dyDescent="0.2">
      <c r="C24" s="830"/>
      <c r="D24" s="830"/>
      <c r="E24" s="830"/>
      <c r="F24" s="830"/>
    </row>
    <row r="25" spans="1:6" x14ac:dyDescent="0.2">
      <c r="C25" s="830"/>
      <c r="D25" s="830"/>
      <c r="E25" s="830"/>
      <c r="F25" s="830"/>
    </row>
    <row r="26" spans="1:6" x14ac:dyDescent="0.2">
      <c r="C26" s="830"/>
      <c r="D26" s="819">
        <v>2006</v>
      </c>
      <c r="E26" s="75">
        <v>2007</v>
      </c>
      <c r="F26" s="820">
        <v>2008</v>
      </c>
    </row>
    <row r="27" spans="1:6" ht="12.75" customHeight="1" x14ac:dyDescent="0.2">
      <c r="A27" s="87" t="s">
        <v>266</v>
      </c>
      <c r="B27" s="446"/>
      <c r="C27" s="830"/>
      <c r="D27" s="914" t="s">
        <v>22</v>
      </c>
      <c r="E27" s="915"/>
      <c r="F27" s="916" t="s">
        <v>46</v>
      </c>
    </row>
    <row r="28" spans="1:6" x14ac:dyDescent="0.2">
      <c r="A28" s="454" t="s">
        <v>126</v>
      </c>
      <c r="C28" s="830"/>
      <c r="D28" s="822">
        <v>74998.116624314891</v>
      </c>
      <c r="E28" s="823">
        <v>0</v>
      </c>
      <c r="F28" s="824">
        <v>0</v>
      </c>
    </row>
    <row r="29" spans="1:6" x14ac:dyDescent="0.2">
      <c r="A29" s="454" t="s">
        <v>5</v>
      </c>
      <c r="C29" s="830"/>
      <c r="D29" s="827">
        <v>0</v>
      </c>
      <c r="E29" s="828">
        <v>0</v>
      </c>
      <c r="F29" s="829">
        <v>0</v>
      </c>
    </row>
    <row r="30" spans="1:6" x14ac:dyDescent="0.2">
      <c r="C30" s="830"/>
      <c r="D30" s="830"/>
      <c r="E30" s="830"/>
      <c r="F30" s="830"/>
    </row>
    <row r="31" spans="1:6" x14ac:dyDescent="0.2">
      <c r="C31" s="830"/>
      <c r="D31" s="830"/>
      <c r="E31" s="830"/>
      <c r="F31" s="830"/>
    </row>
    <row r="32" spans="1:6" x14ac:dyDescent="0.2">
      <c r="A32" s="598" t="s">
        <v>281</v>
      </c>
      <c r="B32" s="599"/>
      <c r="C32" s="830"/>
      <c r="D32" s="830"/>
      <c r="E32" s="830"/>
      <c r="F32" s="830"/>
    </row>
    <row r="33" spans="1:6" x14ac:dyDescent="0.2">
      <c r="A33" s="458" t="s">
        <v>294</v>
      </c>
      <c r="C33" s="839" t="s">
        <v>287</v>
      </c>
      <c r="D33" s="830"/>
      <c r="E33" s="830"/>
      <c r="F33" s="830"/>
    </row>
    <row r="34" spans="1:6" x14ac:dyDescent="0.2">
      <c r="A34" s="454" t="s">
        <v>295</v>
      </c>
      <c r="C34" s="840">
        <v>2013</v>
      </c>
      <c r="D34" s="830"/>
      <c r="E34" s="830"/>
      <c r="F34" s="830"/>
    </row>
    <row r="35" spans="1:6" x14ac:dyDescent="0.2">
      <c r="C35" s="830"/>
      <c r="D35" s="830"/>
      <c r="E35" s="830"/>
      <c r="F35" s="830"/>
    </row>
    <row r="36" spans="1:6" x14ac:dyDescent="0.2">
      <c r="C36" s="830"/>
      <c r="D36" s="830"/>
      <c r="E36" s="830"/>
      <c r="F36" s="830"/>
    </row>
    <row r="37" spans="1:6" x14ac:dyDescent="0.2">
      <c r="C37" s="830"/>
      <c r="D37" s="819">
        <v>2006</v>
      </c>
      <c r="E37" s="834">
        <v>2007</v>
      </c>
      <c r="F37" s="820">
        <v>2008</v>
      </c>
    </row>
    <row r="38" spans="1:6" ht="12.75" customHeight="1" x14ac:dyDescent="0.2">
      <c r="A38" s="87" t="s">
        <v>264</v>
      </c>
      <c r="B38" s="446"/>
      <c r="C38" s="830"/>
      <c r="D38" s="907" t="s">
        <v>73</v>
      </c>
      <c r="E38" s="908"/>
      <c r="F38" s="909"/>
    </row>
    <row r="39" spans="1:6" s="458" customFormat="1" ht="12.75" customHeight="1" x14ac:dyDescent="0.2">
      <c r="A39" s="600" t="s">
        <v>159</v>
      </c>
      <c r="B39" s="601"/>
      <c r="C39" s="841"/>
      <c r="D39" s="842"/>
      <c r="E39" s="843"/>
      <c r="F39" s="844"/>
    </row>
    <row r="40" spans="1:6" x14ac:dyDescent="0.2">
      <c r="A40" s="454" t="s">
        <v>160</v>
      </c>
      <c r="C40" s="845" t="s">
        <v>276</v>
      </c>
      <c r="D40" s="762">
        <v>845937.06489649508</v>
      </c>
      <c r="E40" s="763">
        <v>996010.34727968555</v>
      </c>
      <c r="F40" s="764">
        <v>707136.82785838749</v>
      </c>
    </row>
    <row r="41" spans="1:6" x14ac:dyDescent="0.2">
      <c r="A41" s="454" t="s">
        <v>90</v>
      </c>
      <c r="C41" s="845" t="s">
        <v>275</v>
      </c>
      <c r="D41" s="762">
        <v>1239098.503989053</v>
      </c>
      <c r="E41" s="763">
        <v>1212055.5811555262</v>
      </c>
      <c r="F41" s="764">
        <v>884890.27122668817</v>
      </c>
    </row>
    <row r="42" spans="1:6" x14ac:dyDescent="0.2">
      <c r="A42" s="454" t="s">
        <v>45</v>
      </c>
      <c r="C42" s="830"/>
      <c r="D42" s="846">
        <f>SUM(D40:D41)</f>
        <v>2085035.568885548</v>
      </c>
      <c r="E42" s="847">
        <f>SUM(E40:E41)</f>
        <v>2208065.928435212</v>
      </c>
      <c r="F42" s="848">
        <f>SUM(F40:F41)</f>
        <v>1592027.0990850758</v>
      </c>
    </row>
    <row r="43" spans="1:6" x14ac:dyDescent="0.2">
      <c r="C43" s="830"/>
      <c r="D43" s="849"/>
      <c r="E43" s="836"/>
      <c r="F43" s="837"/>
    </row>
    <row r="44" spans="1:6" x14ac:dyDescent="0.2">
      <c r="A44" s="600" t="s">
        <v>161</v>
      </c>
      <c r="B44" s="601"/>
      <c r="C44" s="830"/>
      <c r="D44" s="849"/>
      <c r="E44" s="836"/>
      <c r="F44" s="837"/>
    </row>
    <row r="45" spans="1:6" x14ac:dyDescent="0.2">
      <c r="A45" s="454" t="s">
        <v>24</v>
      </c>
      <c r="C45" s="845" t="s">
        <v>276</v>
      </c>
      <c r="D45" s="762">
        <v>4990149.8962514158</v>
      </c>
      <c r="E45" s="763">
        <v>4950865.0806182912</v>
      </c>
      <c r="F45" s="764">
        <v>5341167.6142753046</v>
      </c>
    </row>
    <row r="46" spans="1:6" x14ac:dyDescent="0.2">
      <c r="A46" s="454" t="s">
        <v>269</v>
      </c>
      <c r="C46" s="845" t="s">
        <v>276</v>
      </c>
      <c r="D46" s="762">
        <v>239142.0949747758</v>
      </c>
      <c r="E46" s="763">
        <v>207431.66436038926</v>
      </c>
      <c r="F46" s="764">
        <v>334398.38757395191</v>
      </c>
    </row>
    <row r="47" spans="1:6" x14ac:dyDescent="0.2">
      <c r="A47" s="604" t="s">
        <v>54</v>
      </c>
      <c r="B47" s="594"/>
      <c r="C47" s="845" t="s">
        <v>275</v>
      </c>
      <c r="D47" s="762">
        <v>113778.50490563316</v>
      </c>
      <c r="E47" s="763">
        <v>97822.167596246582</v>
      </c>
      <c r="F47" s="764">
        <v>39422.778339117649</v>
      </c>
    </row>
    <row r="48" spans="1:6" x14ac:dyDescent="0.2">
      <c r="A48" s="454" t="s">
        <v>45</v>
      </c>
      <c r="C48" s="830"/>
      <c r="D48" s="846">
        <f>SUM(D45:D47)</f>
        <v>5343070.4961318243</v>
      </c>
      <c r="E48" s="847">
        <f>SUM(E45:E47)</f>
        <v>5256118.9125749264</v>
      </c>
      <c r="F48" s="848">
        <f>SUM(F45:F47)</f>
        <v>5714988.7801883742</v>
      </c>
    </row>
    <row r="49" spans="1:6" x14ac:dyDescent="0.2">
      <c r="A49" s="455"/>
      <c r="B49" s="594"/>
      <c r="C49" s="830"/>
      <c r="D49" s="850"/>
      <c r="E49" s="851"/>
      <c r="F49" s="852"/>
    </row>
    <row r="50" spans="1:6" ht="13.5" thickBot="1" x14ac:dyDescent="0.25">
      <c r="A50" s="604" t="s">
        <v>265</v>
      </c>
      <c r="B50" s="594"/>
      <c r="C50" s="853"/>
      <c r="D50" s="831">
        <f>SUM(D42,D48)</f>
        <v>7428106.0650173724</v>
      </c>
      <c r="E50" s="832">
        <f>SUM(E42,E48)</f>
        <v>7464184.8410101384</v>
      </c>
      <c r="F50" s="854">
        <f>SUM(F42,F48)</f>
        <v>7307015.87927345</v>
      </c>
    </row>
    <row r="51" spans="1:6" ht="13.5" thickTop="1" x14ac:dyDescent="0.2">
      <c r="C51" s="830"/>
      <c r="D51" s="830"/>
      <c r="E51" s="830"/>
      <c r="F51" s="830"/>
    </row>
    <row r="52" spans="1:6" x14ac:dyDescent="0.2">
      <c r="C52" s="830"/>
      <c r="D52" s="830"/>
      <c r="E52" s="830"/>
      <c r="F52" s="830"/>
    </row>
    <row r="53" spans="1:6" ht="13.5" thickBot="1" x14ac:dyDescent="0.25">
      <c r="A53" s="605" t="s">
        <v>277</v>
      </c>
      <c r="B53" s="606"/>
      <c r="C53" s="830"/>
      <c r="D53" s="832">
        <f>SUM(D40,D45:D46)</f>
        <v>6075229.0561226867</v>
      </c>
      <c r="E53" s="832">
        <f>SUM(E40,E45:E46)</f>
        <v>6154307.0922583658</v>
      </c>
      <c r="F53" s="832">
        <f>SUM(F40,F45:F46)</f>
        <v>6382702.8297076439</v>
      </c>
    </row>
    <row r="54" spans="1:6" ht="13.5" thickTop="1" x14ac:dyDescent="0.2">
      <c r="A54" s="455"/>
      <c r="B54" s="594"/>
      <c r="C54" s="830"/>
      <c r="D54" s="830"/>
      <c r="E54" s="830"/>
      <c r="F54" s="830"/>
    </row>
    <row r="55" spans="1:6" x14ac:dyDescent="0.2">
      <c r="C55" s="853"/>
      <c r="D55" s="830"/>
      <c r="E55" s="830"/>
      <c r="F55" s="830"/>
    </row>
    <row r="56" spans="1:6" x14ac:dyDescent="0.2">
      <c r="A56" s="87" t="s">
        <v>278</v>
      </c>
      <c r="B56" s="446"/>
      <c r="C56" s="853"/>
      <c r="D56" s="819">
        <v>2006</v>
      </c>
      <c r="E56" s="75">
        <v>2007</v>
      </c>
      <c r="F56" s="820">
        <v>2008</v>
      </c>
    </row>
    <row r="57" spans="1:6" x14ac:dyDescent="0.2">
      <c r="A57" s="607"/>
      <c r="B57" s="608"/>
      <c r="C57" s="853"/>
      <c r="D57" s="907" t="s">
        <v>358</v>
      </c>
      <c r="E57" s="908"/>
      <c r="F57" s="909"/>
    </row>
    <row r="58" spans="1:6" x14ac:dyDescent="0.2">
      <c r="A58" s="609" t="s">
        <v>52</v>
      </c>
      <c r="B58" s="610"/>
      <c r="C58" s="853"/>
      <c r="D58" s="855"/>
      <c r="E58" s="856"/>
      <c r="F58" s="837"/>
    </row>
    <row r="59" spans="1:6" x14ac:dyDescent="0.2">
      <c r="A59" s="612" t="s">
        <v>55</v>
      </c>
      <c r="B59" s="592"/>
      <c r="C59" s="853"/>
      <c r="D59" s="762">
        <v>857970.5</v>
      </c>
      <c r="E59" s="763">
        <v>869043.5</v>
      </c>
      <c r="F59" s="764">
        <v>880173</v>
      </c>
    </row>
    <row r="60" spans="1:6" x14ac:dyDescent="0.2">
      <c r="A60" s="607"/>
      <c r="B60" s="608"/>
      <c r="C60" s="853"/>
      <c r="D60" s="855"/>
      <c r="E60" s="856"/>
      <c r="F60" s="837"/>
    </row>
    <row r="61" spans="1:6" x14ac:dyDescent="0.2">
      <c r="A61" s="609" t="s">
        <v>24</v>
      </c>
      <c r="B61" s="610"/>
      <c r="C61" s="830"/>
      <c r="D61" s="857"/>
      <c r="E61" s="853"/>
      <c r="F61" s="858"/>
    </row>
    <row r="62" spans="1:6" x14ac:dyDescent="0.2">
      <c r="A62" s="612" t="s">
        <v>270</v>
      </c>
      <c r="B62" s="592"/>
      <c r="C62" s="830"/>
      <c r="D62" s="857"/>
      <c r="E62" s="853"/>
      <c r="F62" s="858"/>
    </row>
    <row r="63" spans="1:6" x14ac:dyDescent="0.2">
      <c r="A63" s="612" t="s">
        <v>56</v>
      </c>
      <c r="B63" s="592"/>
      <c r="C63" s="830"/>
      <c r="D63" s="762">
        <v>4675.8603095692206</v>
      </c>
      <c r="E63" s="763">
        <v>4736.2071410836606</v>
      </c>
      <c r="F63" s="764">
        <v>4796.8618924012771</v>
      </c>
    </row>
    <row r="64" spans="1:6" x14ac:dyDescent="0.2">
      <c r="A64" s="612" t="s">
        <v>57</v>
      </c>
      <c r="B64" s="592"/>
      <c r="C64" s="830"/>
      <c r="D64" s="762">
        <v>820938.34478370775</v>
      </c>
      <c r="E64" s="763">
        <v>831533.40637590701</v>
      </c>
      <c r="F64" s="764">
        <v>842182.5292866251</v>
      </c>
    </row>
    <row r="65" spans="1:6" x14ac:dyDescent="0.2">
      <c r="A65" s="612" t="s">
        <v>58</v>
      </c>
      <c r="B65" s="592"/>
      <c r="C65" s="830"/>
      <c r="D65" s="762">
        <v>298.232548218538</v>
      </c>
      <c r="E65" s="763">
        <v>302.08154886182803</v>
      </c>
      <c r="F65" s="764">
        <v>305.95018903698349</v>
      </c>
    </row>
    <row r="66" spans="1:6" x14ac:dyDescent="0.2">
      <c r="A66" s="612" t="s">
        <v>59</v>
      </c>
      <c r="B66" s="592"/>
      <c r="C66" s="830"/>
      <c r="D66" s="762">
        <v>32058.062358504401</v>
      </c>
      <c r="E66" s="763">
        <v>32471.804934147411</v>
      </c>
      <c r="F66" s="764">
        <v>32887.658631936523</v>
      </c>
    </row>
    <row r="67" spans="1:6" x14ac:dyDescent="0.2">
      <c r="C67" s="830"/>
      <c r="D67" s="857"/>
      <c r="E67" s="853"/>
      <c r="F67" s="858"/>
    </row>
    <row r="68" spans="1:6" x14ac:dyDescent="0.2">
      <c r="A68" s="609" t="s">
        <v>53</v>
      </c>
      <c r="B68" s="610"/>
      <c r="C68" s="853"/>
      <c r="D68" s="855"/>
      <c r="E68" s="856"/>
      <c r="F68" s="837"/>
    </row>
    <row r="69" spans="1:6" x14ac:dyDescent="0.2">
      <c r="A69" s="612" t="s">
        <v>60</v>
      </c>
      <c r="B69" s="592"/>
      <c r="C69" s="853"/>
      <c r="D69" s="762">
        <v>6182</v>
      </c>
      <c r="E69" s="763">
        <v>7457</v>
      </c>
      <c r="F69" s="764">
        <v>6345</v>
      </c>
    </row>
    <row r="70" spans="1:6" collapsed="1" x14ac:dyDescent="0.2">
      <c r="A70" s="612"/>
      <c r="B70" s="592"/>
      <c r="C70" s="853"/>
      <c r="D70" s="859"/>
      <c r="E70" s="860"/>
      <c r="F70" s="861"/>
    </row>
    <row r="71" spans="1:6" x14ac:dyDescent="0.2">
      <c r="A71" s="612"/>
      <c r="B71" s="592"/>
      <c r="C71" s="853"/>
      <c r="D71" s="856"/>
      <c r="E71" s="856"/>
      <c r="F71" s="836"/>
    </row>
    <row r="72" spans="1:6" x14ac:dyDescent="0.2">
      <c r="A72" s="612"/>
      <c r="B72" s="592"/>
      <c r="C72" s="853"/>
      <c r="D72" s="856"/>
      <c r="E72" s="856"/>
      <c r="F72" s="836"/>
    </row>
    <row r="73" spans="1:6" x14ac:dyDescent="0.2">
      <c r="A73" s="590" t="s">
        <v>61</v>
      </c>
      <c r="B73" s="590"/>
      <c r="C73" s="853"/>
      <c r="D73" s="819">
        <v>2006</v>
      </c>
      <c r="E73" s="75">
        <v>2007</v>
      </c>
      <c r="F73" s="820">
        <v>2008</v>
      </c>
    </row>
    <row r="74" spans="1:6" x14ac:dyDescent="0.2">
      <c r="A74" s="612"/>
      <c r="B74" s="592"/>
      <c r="C74" s="853"/>
      <c r="D74" s="907" t="s">
        <v>62</v>
      </c>
      <c r="E74" s="908"/>
      <c r="F74" s="909"/>
    </row>
    <row r="75" spans="1:6" ht="13.5" thickBot="1" x14ac:dyDescent="0.25">
      <c r="A75" s="612" t="s">
        <v>63</v>
      </c>
      <c r="B75" s="592"/>
      <c r="C75" s="853"/>
      <c r="D75" s="765">
        <v>15791099.579999998</v>
      </c>
      <c r="E75" s="766">
        <v>20564547.279999997</v>
      </c>
      <c r="F75" s="767">
        <v>26973621.240000002</v>
      </c>
    </row>
    <row r="76" spans="1:6" ht="13.5" thickTop="1" x14ac:dyDescent="0.2"/>
    <row r="79" spans="1:6" ht="15.75" x14ac:dyDescent="0.25">
      <c r="A79" s="910" t="s">
        <v>64</v>
      </c>
      <c r="B79" s="911"/>
      <c r="C79" s="911"/>
      <c r="D79" s="912"/>
      <c r="E79" s="912"/>
      <c r="F79" s="913"/>
    </row>
    <row r="80" spans="1:6" x14ac:dyDescent="0.2">
      <c r="A80" s="604"/>
      <c r="B80" s="594"/>
      <c r="C80" s="594"/>
      <c r="D80" s="455"/>
      <c r="E80" s="455"/>
      <c r="F80" s="455"/>
    </row>
    <row r="81" spans="1:6" x14ac:dyDescent="0.2">
      <c r="A81" s="604"/>
      <c r="B81" s="594"/>
      <c r="C81" s="594"/>
      <c r="D81" s="613">
        <v>2006</v>
      </c>
      <c r="E81" s="614">
        <v>2007</v>
      </c>
      <c r="F81" s="615">
        <v>2008</v>
      </c>
    </row>
    <row r="82" spans="1:6" x14ac:dyDescent="0.2">
      <c r="A82" s="598" t="s">
        <v>37</v>
      </c>
      <c r="B82" s="599"/>
      <c r="C82" s="33" t="s">
        <v>7</v>
      </c>
      <c r="D82" s="907" t="s">
        <v>41</v>
      </c>
      <c r="E82" s="908"/>
      <c r="F82" s="909"/>
    </row>
    <row r="83" spans="1:6" x14ac:dyDescent="0.2">
      <c r="A83" s="616"/>
      <c r="B83" s="617"/>
      <c r="C83" s="97" t="s">
        <v>8</v>
      </c>
      <c r="D83" s="857"/>
      <c r="E83" s="853"/>
      <c r="F83" s="858"/>
    </row>
    <row r="84" spans="1:6" x14ac:dyDescent="0.2">
      <c r="A84" s="619" t="str">
        <f>'Data 2009-15 (Real $2008)'!A$154</f>
        <v>Remotely read interval meters &amp; transformers</v>
      </c>
      <c r="B84" s="620"/>
      <c r="C84" s="862">
        <f>'Data 2009-15 (Real $2008)'!C154</f>
        <v>15</v>
      </c>
      <c r="D84" s="762">
        <v>0</v>
      </c>
      <c r="E84" s="763">
        <v>0</v>
      </c>
      <c r="F84" s="764">
        <v>0</v>
      </c>
    </row>
    <row r="85" spans="1:6" x14ac:dyDescent="0.2">
      <c r="A85" s="454" t="s">
        <v>284</v>
      </c>
      <c r="C85" s="862">
        <f>'Data 2009-15 (Real $2008)'!C155</f>
        <v>7</v>
      </c>
      <c r="D85" s="762">
        <v>332599.15000000002</v>
      </c>
      <c r="E85" s="763">
        <v>2817702.7430999996</v>
      </c>
      <c r="F85" s="764">
        <v>10813305.572385356</v>
      </c>
    </row>
    <row r="86" spans="1:6" x14ac:dyDescent="0.2">
      <c r="A86" s="454" t="s">
        <v>286</v>
      </c>
      <c r="C86" s="862">
        <f>'Data 2009-15 (Real $2008)'!C156</f>
        <v>7</v>
      </c>
      <c r="D86" s="762">
        <v>0</v>
      </c>
      <c r="E86" s="763">
        <v>0</v>
      </c>
      <c r="F86" s="764">
        <v>352889.07546270383</v>
      </c>
    </row>
    <row r="87" spans="1:6" x14ac:dyDescent="0.2">
      <c r="A87" s="619" t="s">
        <v>285</v>
      </c>
      <c r="B87" s="620"/>
      <c r="C87" s="863">
        <f>'Data 2009-15 (Real $2008)'!C157</f>
        <v>7</v>
      </c>
      <c r="D87" s="762">
        <v>0</v>
      </c>
      <c r="E87" s="763">
        <v>73834.561198694442</v>
      </c>
      <c r="F87" s="764">
        <v>188267.84</v>
      </c>
    </row>
    <row r="88" spans="1:6" x14ac:dyDescent="0.2">
      <c r="A88" s="592" t="s">
        <v>45</v>
      </c>
      <c r="B88" s="592"/>
      <c r="C88" s="796"/>
      <c r="D88" s="864">
        <f>SUM(D84:D87)</f>
        <v>332599.15000000002</v>
      </c>
      <c r="E88" s="865">
        <f>SUM(E84:E87)</f>
        <v>2891537.3042986942</v>
      </c>
      <c r="F88" s="866">
        <f>SUM(F84:F87)</f>
        <v>11354462.48784806</v>
      </c>
    </row>
    <row r="89" spans="1:6" x14ac:dyDescent="0.2">
      <c r="C89" s="830"/>
      <c r="D89" s="867"/>
      <c r="E89" s="867"/>
      <c r="F89" s="867"/>
    </row>
    <row r="90" spans="1:6" x14ac:dyDescent="0.2">
      <c r="C90" s="830"/>
      <c r="D90" s="867"/>
      <c r="E90" s="867"/>
      <c r="F90" s="867"/>
    </row>
    <row r="91" spans="1:6" x14ac:dyDescent="0.2">
      <c r="A91" s="622"/>
      <c r="B91" s="622"/>
      <c r="C91" s="796"/>
      <c r="D91" s="868">
        <v>2006</v>
      </c>
      <c r="E91" s="869">
        <v>2007</v>
      </c>
      <c r="F91" s="870">
        <v>2008</v>
      </c>
    </row>
    <row r="92" spans="1:6" x14ac:dyDescent="0.2">
      <c r="A92" s="622"/>
      <c r="B92" s="622"/>
      <c r="C92" s="307" t="s">
        <v>283</v>
      </c>
      <c r="D92" s="907" t="s">
        <v>41</v>
      </c>
      <c r="E92" s="908"/>
      <c r="F92" s="909"/>
    </row>
    <row r="93" spans="1:6" x14ac:dyDescent="0.2">
      <c r="A93" s="595" t="s">
        <v>47</v>
      </c>
      <c r="B93" s="596"/>
      <c r="C93" s="320" t="s">
        <v>48</v>
      </c>
      <c r="D93" s="867"/>
      <c r="E93" s="867"/>
      <c r="F93" s="871"/>
    </row>
    <row r="94" spans="1:6" x14ac:dyDescent="0.2">
      <c r="A94" s="454" t="str">
        <f>'Data 2009-15 (Real $2008)'!A$162</f>
        <v>Meters and transformers (Group 1) (Unit cost &lt; $1,000)</v>
      </c>
      <c r="C94" s="872">
        <f>'Data 2009-15 (Real $2008)'!C162</f>
        <v>0.375</v>
      </c>
      <c r="D94" s="873">
        <f>D84-D95</f>
        <v>0</v>
      </c>
      <c r="E94" s="790">
        <f>E84-E95</f>
        <v>0</v>
      </c>
      <c r="F94" s="874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75">
        <f>'Data 2009-15 (Real $2008)'!C163</f>
        <v>0.06</v>
      </c>
      <c r="D95" s="762">
        <v>0</v>
      </c>
      <c r="E95" s="763">
        <v>0</v>
      </c>
      <c r="F95" s="764">
        <v>0</v>
      </c>
    </row>
    <row r="96" spans="1:6" x14ac:dyDescent="0.2">
      <c r="A96" s="454" t="str">
        <f>'Data 2009-15 (Real $2008)'!A$164</f>
        <v>IT</v>
      </c>
      <c r="C96" s="875">
        <f>'Data 2009-15 (Real $2008)'!C164</f>
        <v>0.4</v>
      </c>
      <c r="D96" s="873">
        <f t="shared" ref="D96:F98" si="1">D85</f>
        <v>332599.15000000002</v>
      </c>
      <c r="E96" s="790">
        <f t="shared" si="1"/>
        <v>2817702.7430999996</v>
      </c>
      <c r="F96" s="874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75">
        <f>'Data 2009-15 (Real $2008)'!C165</f>
        <v>0.21428571428571427</v>
      </c>
      <c r="D97" s="873">
        <f t="shared" si="1"/>
        <v>0</v>
      </c>
      <c r="E97" s="790">
        <f t="shared" si="1"/>
        <v>0</v>
      </c>
      <c r="F97" s="874">
        <f t="shared" si="1"/>
        <v>352889.07546270383</v>
      </c>
    </row>
    <row r="98" spans="1:6" x14ac:dyDescent="0.2">
      <c r="A98" s="591" t="str">
        <f>'Data 2009-15 (Real $2008)'!A$166</f>
        <v>Other</v>
      </c>
      <c r="B98" s="623"/>
      <c r="C98" s="876">
        <f>'Data 2009-15 (Real $2008)'!C166</f>
        <v>0.1764705882352941</v>
      </c>
      <c r="D98" s="873">
        <f t="shared" si="1"/>
        <v>0</v>
      </c>
      <c r="E98" s="790">
        <f t="shared" si="1"/>
        <v>73834.561198694442</v>
      </c>
      <c r="F98" s="874">
        <f t="shared" si="1"/>
        <v>188267.84</v>
      </c>
    </row>
    <row r="99" spans="1:6" ht="13.5" thickBot="1" x14ac:dyDescent="0.25">
      <c r="A99" s="592" t="s">
        <v>45</v>
      </c>
      <c r="B99" s="592"/>
      <c r="C99" s="796"/>
      <c r="D99" s="877">
        <f>SUM(D93:D98)</f>
        <v>332599.15000000002</v>
      </c>
      <c r="E99" s="878">
        <f>SUM(E93:E98)</f>
        <v>2891537.3042986942</v>
      </c>
      <c r="F99" s="879">
        <f>SUM(F93:F98)</f>
        <v>11354462.48784806</v>
      </c>
    </row>
    <row r="100" spans="1:6" ht="13.5" thickTop="1" x14ac:dyDescent="0.2">
      <c r="A100" s="624"/>
      <c r="B100" s="587"/>
      <c r="C100" s="853"/>
      <c r="D100" s="867"/>
      <c r="E100" s="867"/>
      <c r="F100" s="867"/>
    </row>
    <row r="101" spans="1:6" x14ac:dyDescent="0.2">
      <c r="A101" s="624"/>
      <c r="B101" s="587"/>
      <c r="C101" s="853"/>
      <c r="D101" s="867"/>
      <c r="E101" s="867"/>
      <c r="F101" s="867"/>
    </row>
    <row r="102" spans="1:6" x14ac:dyDescent="0.2">
      <c r="A102" s="604"/>
      <c r="B102" s="594"/>
      <c r="C102" s="853"/>
      <c r="D102" s="868">
        <v>2006</v>
      </c>
      <c r="E102" s="869">
        <v>2007</v>
      </c>
      <c r="F102" s="870">
        <v>2008</v>
      </c>
    </row>
    <row r="103" spans="1:6" x14ac:dyDescent="0.2">
      <c r="A103" s="590" t="s">
        <v>1</v>
      </c>
      <c r="B103" s="590"/>
      <c r="C103" s="853"/>
      <c r="D103" s="907" t="s">
        <v>73</v>
      </c>
      <c r="E103" s="908"/>
      <c r="F103" s="909"/>
    </row>
    <row r="104" spans="1:6" x14ac:dyDescent="0.2">
      <c r="A104" s="604"/>
      <c r="B104" s="594"/>
      <c r="C104" s="853"/>
      <c r="D104" s="857"/>
      <c r="E104" s="853"/>
      <c r="F104" s="858"/>
    </row>
    <row r="105" spans="1:6" x14ac:dyDescent="0.2">
      <c r="A105" s="624" t="s">
        <v>65</v>
      </c>
      <c r="B105" s="587"/>
      <c r="C105" s="853"/>
      <c r="D105" s="762">
        <v>0</v>
      </c>
      <c r="E105" s="763">
        <v>0</v>
      </c>
      <c r="F105" s="764">
        <v>0</v>
      </c>
    </row>
    <row r="106" spans="1:6" x14ac:dyDescent="0.2">
      <c r="A106" s="624" t="s">
        <v>66</v>
      </c>
      <c r="B106" s="587"/>
      <c r="C106" s="880"/>
      <c r="D106" s="762">
        <v>0</v>
      </c>
      <c r="E106" s="763">
        <v>499385.93479999999</v>
      </c>
      <c r="F106" s="764">
        <v>1535317.135</v>
      </c>
    </row>
    <row r="107" spans="1:6" x14ac:dyDescent="0.2">
      <c r="A107" s="624" t="s">
        <v>67</v>
      </c>
      <c r="B107" s="587"/>
      <c r="C107" s="880"/>
      <c r="D107" s="762">
        <v>60639.99</v>
      </c>
      <c r="E107" s="763">
        <v>1664894.4995230739</v>
      </c>
      <c r="F107" s="764">
        <v>2447.6852999999956</v>
      </c>
    </row>
    <row r="108" spans="1:6" x14ac:dyDescent="0.2">
      <c r="A108" s="624" t="s">
        <v>68</v>
      </c>
      <c r="B108" s="587"/>
      <c r="C108" s="880"/>
      <c r="D108" s="762">
        <v>0</v>
      </c>
      <c r="E108" s="763">
        <v>0</v>
      </c>
      <c r="F108" s="764">
        <v>0</v>
      </c>
    </row>
    <row r="109" spans="1:6" x14ac:dyDescent="0.2">
      <c r="A109" s="624" t="s">
        <v>69</v>
      </c>
      <c r="B109" s="587"/>
      <c r="C109" s="880"/>
      <c r="D109" s="762">
        <v>1213000</v>
      </c>
      <c r="E109" s="763">
        <v>3501090.9819832309</v>
      </c>
      <c r="F109" s="764">
        <v>7560461.2647709977</v>
      </c>
    </row>
    <row r="110" spans="1:6" x14ac:dyDescent="0.2">
      <c r="A110" s="624" t="s">
        <v>70</v>
      </c>
      <c r="B110" s="587"/>
      <c r="C110" s="880"/>
      <c r="D110" s="762">
        <v>0</v>
      </c>
      <c r="E110" s="763">
        <v>0</v>
      </c>
      <c r="F110" s="764">
        <v>0</v>
      </c>
    </row>
    <row r="111" spans="1:6" x14ac:dyDescent="0.2">
      <c r="A111" s="624" t="s">
        <v>71</v>
      </c>
      <c r="B111" s="587"/>
      <c r="C111" s="880"/>
      <c r="D111" s="762">
        <v>255024.31979254476</v>
      </c>
      <c r="E111" s="763">
        <v>192338.65197024439</v>
      </c>
      <c r="F111" s="764">
        <v>472803.03936028399</v>
      </c>
    </row>
    <row r="112" spans="1:6" x14ac:dyDescent="0.2">
      <c r="A112" s="624" t="s">
        <v>72</v>
      </c>
      <c r="B112" s="587"/>
      <c r="C112" s="880"/>
      <c r="D112" s="762">
        <v>0</v>
      </c>
      <c r="E112" s="763">
        <v>0</v>
      </c>
      <c r="F112" s="764">
        <v>0</v>
      </c>
    </row>
    <row r="113" spans="1:14" x14ac:dyDescent="0.2">
      <c r="A113" s="624" t="s">
        <v>279</v>
      </c>
      <c r="B113" s="587"/>
      <c r="C113" s="880"/>
      <c r="D113" s="762">
        <v>0</v>
      </c>
      <c r="E113" s="763">
        <v>0</v>
      </c>
      <c r="F113" s="764">
        <v>0</v>
      </c>
    </row>
    <row r="114" spans="1:14" x14ac:dyDescent="0.2">
      <c r="A114" s="624" t="s">
        <v>280</v>
      </c>
      <c r="B114" s="587"/>
      <c r="C114" s="853"/>
      <c r="D114" s="762">
        <v>0</v>
      </c>
      <c r="E114" s="763">
        <v>0</v>
      </c>
      <c r="F114" s="764">
        <v>0</v>
      </c>
    </row>
    <row r="115" spans="1:14" x14ac:dyDescent="0.2">
      <c r="A115" s="592" t="s">
        <v>45</v>
      </c>
      <c r="C115" s="880"/>
      <c r="D115" s="864">
        <f>SUM(D105:D114)</f>
        <v>1528664.3097925447</v>
      </c>
      <c r="E115" s="865">
        <f>SUM(E105:E114)</f>
        <v>5857710.0682765488</v>
      </c>
      <c r="F115" s="866">
        <f>SUM(F105:F112)</f>
        <v>9571029.1244312823</v>
      </c>
    </row>
    <row r="116" spans="1:14" s="455" customFormat="1" x14ac:dyDescent="0.2">
      <c r="A116" s="587"/>
      <c r="B116" s="587"/>
      <c r="C116" s="594"/>
      <c r="D116" s="621"/>
      <c r="E116" s="621"/>
      <c r="F116" s="621"/>
    </row>
    <row r="117" spans="1:14" s="455" customFormat="1" x14ac:dyDescent="0.2">
      <c r="A117" s="587"/>
      <c r="B117" s="587"/>
      <c r="C117" s="594"/>
      <c r="D117" s="621"/>
      <c r="E117" s="621"/>
      <c r="F117" s="621"/>
    </row>
    <row r="118" spans="1:14" s="455" customFormat="1" ht="13.5" thickBot="1" x14ac:dyDescent="0.25">
      <c r="A118" s="587" t="s">
        <v>111</v>
      </c>
      <c r="B118" s="587"/>
      <c r="C118" s="594"/>
      <c r="D118" s="625">
        <f>SUM(D88,D115)</f>
        <v>1861263.4597925446</v>
      </c>
      <c r="E118" s="625">
        <f>SUM(E88,E115)</f>
        <v>8749247.3725752421</v>
      </c>
      <c r="F118" s="625">
        <f>SUM(F88,F115)</f>
        <v>20925491.612279341</v>
      </c>
    </row>
    <row r="119" spans="1:14" s="455" customFormat="1" ht="13.5" thickTop="1" x14ac:dyDescent="0.2">
      <c r="A119" s="587"/>
      <c r="B119" s="587"/>
      <c r="C119" s="594"/>
      <c r="D119" s="621"/>
      <c r="E119" s="621"/>
      <c r="F119" s="621"/>
    </row>
    <row r="120" spans="1:14" s="455" customFormat="1" x14ac:dyDescent="0.2">
      <c r="A120" s="587"/>
      <c r="B120" s="587"/>
      <c r="C120" s="594"/>
      <c r="D120" s="621"/>
      <c r="E120" s="621"/>
      <c r="F120" s="621"/>
    </row>
    <row r="121" spans="1:14" ht="13.5" thickBot="1" x14ac:dyDescent="0.25">
      <c r="A121" s="626"/>
      <c r="B121" s="627"/>
      <c r="C121" s="626"/>
      <c r="D121" s="626"/>
      <c r="E121" s="626"/>
      <c r="F121" s="626"/>
      <c r="G121" s="626"/>
      <c r="H121" s="626"/>
      <c r="I121" s="626"/>
      <c r="J121" s="626"/>
      <c r="K121" s="626"/>
      <c r="L121" s="626"/>
      <c r="M121" s="626"/>
      <c r="N121" s="626"/>
    </row>
    <row r="124" spans="1:14" ht="15.75" x14ac:dyDescent="0.25">
      <c r="A124" s="628" t="s">
        <v>39</v>
      </c>
      <c r="B124" s="629"/>
    </row>
    <row r="126" spans="1:14" x14ac:dyDescent="0.2">
      <c r="A126" s="446" t="s">
        <v>78</v>
      </c>
      <c r="B126" s="446"/>
      <c r="C126" s="630"/>
    </row>
    <row r="127" spans="1:14" x14ac:dyDescent="0.2">
      <c r="A127" s="446"/>
      <c r="B127" s="446"/>
      <c r="C127" s="630"/>
    </row>
    <row r="128" spans="1:14" x14ac:dyDescent="0.2">
      <c r="A128" s="454" t="s">
        <v>79</v>
      </c>
      <c r="C128" s="631">
        <v>2.64E-2</v>
      </c>
    </row>
    <row r="129" spans="1:6" x14ac:dyDescent="0.2">
      <c r="A129" s="454" t="s">
        <v>80</v>
      </c>
      <c r="C129" s="632">
        <v>1.4250000000000001E-2</v>
      </c>
    </row>
    <row r="130" spans="1:6" x14ac:dyDescent="0.2">
      <c r="A130" s="454" t="s">
        <v>13</v>
      </c>
      <c r="C130" s="633">
        <v>0.06</v>
      </c>
    </row>
    <row r="131" spans="1:6" x14ac:dyDescent="0.2">
      <c r="A131" s="454" t="s">
        <v>14</v>
      </c>
      <c r="C131" s="634">
        <v>1</v>
      </c>
    </row>
    <row r="132" spans="1:6" x14ac:dyDescent="0.2">
      <c r="A132" s="454" t="s">
        <v>17</v>
      </c>
      <c r="C132" s="634">
        <v>0.5</v>
      </c>
    </row>
    <row r="133" spans="1:6" x14ac:dyDescent="0.2">
      <c r="A133" s="454" t="s">
        <v>15</v>
      </c>
      <c r="C133" s="635">
        <v>0.6</v>
      </c>
    </row>
    <row r="134" spans="1:6" x14ac:dyDescent="0.2">
      <c r="A134" s="454" t="s">
        <v>16</v>
      </c>
      <c r="C134" s="636">
        <v>2.5600000000000001E-2</v>
      </c>
    </row>
    <row r="135" spans="1:6" x14ac:dyDescent="0.2">
      <c r="C135" s="637"/>
    </row>
    <row r="136" spans="1:6" x14ac:dyDescent="0.2">
      <c r="A136" s="454" t="s">
        <v>81</v>
      </c>
      <c r="C136" s="638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9">
        <f>C128+C129</f>
        <v>4.0649999999999999E-2</v>
      </c>
    </row>
    <row r="139" spans="1:6" x14ac:dyDescent="0.2">
      <c r="A139" s="454" t="s">
        <v>84</v>
      </c>
      <c r="C139" s="640">
        <f>(1+C138)*(1+C134)-1</f>
        <v>6.7290640000000179E-2</v>
      </c>
    </row>
    <row r="140" spans="1:6" x14ac:dyDescent="0.2">
      <c r="C140" s="602"/>
    </row>
    <row r="141" spans="1:6" x14ac:dyDescent="0.2">
      <c r="A141" s="454" t="s">
        <v>85</v>
      </c>
      <c r="C141" s="641">
        <f>ROUND((C136*(1-C133))+(C138*C133),3)</f>
        <v>5.8999999999999997E-2</v>
      </c>
    </row>
    <row r="144" spans="1:6" x14ac:dyDescent="0.2">
      <c r="A144" s="446" t="s">
        <v>263</v>
      </c>
      <c r="B144" s="446"/>
      <c r="C144" s="905" t="s">
        <v>36</v>
      </c>
      <c r="D144" s="906"/>
      <c r="F144" s="642" t="s">
        <v>75</v>
      </c>
    </row>
    <row r="145" spans="1:9" x14ac:dyDescent="0.2">
      <c r="A145" s="446"/>
      <c r="B145" s="446"/>
      <c r="C145" s="643">
        <v>37529</v>
      </c>
      <c r="D145" s="644">
        <v>138.5</v>
      </c>
      <c r="F145" s="645"/>
    </row>
    <row r="146" spans="1:9" x14ac:dyDescent="0.2">
      <c r="C146" s="646">
        <v>37894</v>
      </c>
      <c r="D146" s="647">
        <v>142.1</v>
      </c>
      <c r="F146" s="648">
        <f t="shared" ref="F146:F151" si="2">D146/D145-1</f>
        <v>2.5992779783393427E-2</v>
      </c>
    </row>
    <row r="147" spans="1:9" x14ac:dyDescent="0.2">
      <c r="C147" s="646">
        <v>38260</v>
      </c>
      <c r="D147" s="647">
        <v>145.4</v>
      </c>
      <c r="F147" s="648">
        <f t="shared" si="2"/>
        <v>2.3223082336382816E-2</v>
      </c>
      <c r="I147" s="649"/>
    </row>
    <row r="148" spans="1:9" x14ac:dyDescent="0.2">
      <c r="C148" s="646">
        <v>38625</v>
      </c>
      <c r="D148" s="647">
        <v>149.80000000000001</v>
      </c>
      <c r="F148" s="648">
        <f t="shared" si="2"/>
        <v>3.0261348005502064E-2</v>
      </c>
    </row>
    <row r="149" spans="1:9" x14ac:dyDescent="0.2">
      <c r="C149" s="646">
        <v>38990</v>
      </c>
      <c r="D149" s="647">
        <v>155.69999999999999</v>
      </c>
      <c r="F149" s="648">
        <f t="shared" si="2"/>
        <v>3.9385847797062556E-2</v>
      </c>
    </row>
    <row r="150" spans="1:9" x14ac:dyDescent="0.2">
      <c r="C150" s="646">
        <v>39355</v>
      </c>
      <c r="D150" s="647">
        <v>158.6</v>
      </c>
      <c r="F150" s="648">
        <f t="shared" si="2"/>
        <v>1.862556197816323E-2</v>
      </c>
    </row>
    <row r="151" spans="1:9" x14ac:dyDescent="0.2">
      <c r="C151" s="650">
        <v>39721</v>
      </c>
      <c r="D151" s="651">
        <v>166.5</v>
      </c>
      <c r="F151" s="648">
        <f t="shared" si="2"/>
        <v>4.9810844892812067E-2</v>
      </c>
    </row>
    <row r="152" spans="1:9" x14ac:dyDescent="0.2">
      <c r="A152" s="652"/>
      <c r="B152" s="652"/>
    </row>
    <row r="153" spans="1:9" x14ac:dyDescent="0.2">
      <c r="A153" s="652"/>
      <c r="B153" s="589">
        <v>2004</v>
      </c>
      <c r="C153" s="589">
        <f>B153+1</f>
        <v>2005</v>
      </c>
      <c r="D153" s="589">
        <f>C153+1</f>
        <v>2006</v>
      </c>
      <c r="E153" s="589">
        <f>D153+1</f>
        <v>2007</v>
      </c>
      <c r="F153" s="589">
        <f>E153+1</f>
        <v>2008</v>
      </c>
    </row>
    <row r="154" spans="1:9" x14ac:dyDescent="0.2">
      <c r="A154" s="652"/>
      <c r="B154" s="653"/>
      <c r="C154" s="653"/>
      <c r="D154" s="653"/>
      <c r="E154" s="653"/>
    </row>
    <row r="155" spans="1:9" x14ac:dyDescent="0.2">
      <c r="A155" s="654" t="s">
        <v>76</v>
      </c>
      <c r="B155" s="655">
        <f>F146</f>
        <v>2.5992779783393427E-2</v>
      </c>
      <c r="C155" s="655">
        <f>F147</f>
        <v>2.3223082336382816E-2</v>
      </c>
      <c r="D155" s="655">
        <f>F148</f>
        <v>3.0261348005502064E-2</v>
      </c>
      <c r="E155" s="655">
        <f>F149</f>
        <v>3.9385847797062556E-2</v>
      </c>
      <c r="F155" s="655">
        <f>F150</f>
        <v>1.862556197816323E-2</v>
      </c>
    </row>
    <row r="156" spans="1:9" x14ac:dyDescent="0.2">
      <c r="A156" s="454" t="s">
        <v>77</v>
      </c>
      <c r="B156" s="656">
        <f>C156*(1+C155)</f>
        <v>1.1161154116819139</v>
      </c>
      <c r="C156" s="657">
        <f>D156*(1+D155)</f>
        <v>1.090784044016506</v>
      </c>
      <c r="D156" s="657">
        <f>E156*(1+E155)</f>
        <v>1.0587449933244324</v>
      </c>
      <c r="E156" s="657">
        <f>F156*(1+F155)</f>
        <v>1.0186255619781632</v>
      </c>
      <c r="F156" s="657">
        <v>1</v>
      </c>
    </row>
    <row r="159" spans="1:9" x14ac:dyDescent="0.2">
      <c r="A159" s="598" t="s">
        <v>282</v>
      </c>
      <c r="B159" s="599"/>
      <c r="C159" s="588" t="s">
        <v>7</v>
      </c>
    </row>
    <row r="160" spans="1:9" x14ac:dyDescent="0.2">
      <c r="A160" s="616"/>
      <c r="B160" s="617"/>
      <c r="C160" s="618" t="s">
        <v>8</v>
      </c>
    </row>
    <row r="161" spans="1:3" x14ac:dyDescent="0.2">
      <c r="A161" s="458" t="s">
        <v>42</v>
      </c>
      <c r="C161" s="658">
        <f>'IMRO Decision 2006-10'!D190</f>
        <v>15</v>
      </c>
    </row>
    <row r="162" spans="1:3" x14ac:dyDescent="0.2">
      <c r="A162" s="454" t="s">
        <v>267</v>
      </c>
      <c r="C162" s="659">
        <f>'IMRO Decision 2006-10'!D191</f>
        <v>10</v>
      </c>
    </row>
    <row r="163" spans="1:3" x14ac:dyDescent="0.2">
      <c r="A163" s="458" t="s">
        <v>43</v>
      </c>
      <c r="C163" s="659">
        <f>'IMRO Decision 2006-10'!D192</f>
        <v>5</v>
      </c>
    </row>
    <row r="164" spans="1:3" x14ac:dyDescent="0.2">
      <c r="A164" s="458" t="s">
        <v>44</v>
      </c>
      <c r="C164" s="660">
        <f>'IMRO Decision 2006-10'!D193</f>
        <v>5</v>
      </c>
    </row>
    <row r="167" spans="1:3" x14ac:dyDescent="0.2">
      <c r="A167" s="598" t="s">
        <v>92</v>
      </c>
      <c r="B167" s="599"/>
      <c r="C167" s="661"/>
    </row>
    <row r="168" spans="1:3" x14ac:dyDescent="0.2">
      <c r="A168" s="599"/>
      <c r="B168" s="599"/>
      <c r="C168" s="661"/>
    </row>
    <row r="169" spans="1:3" x14ac:dyDescent="0.2">
      <c r="A169" s="661" t="s">
        <v>88</v>
      </c>
      <c r="B169" s="662"/>
      <c r="C169" s="663">
        <v>0.3</v>
      </c>
    </row>
    <row r="170" spans="1:3" x14ac:dyDescent="0.2">
      <c r="A170" s="662" t="s">
        <v>17</v>
      </c>
      <c r="B170" s="662"/>
      <c r="C170" s="664">
        <f>C132</f>
        <v>0.5</v>
      </c>
    </row>
    <row r="171" spans="1:3" x14ac:dyDescent="0.2">
      <c r="A171" s="661" t="s">
        <v>15</v>
      </c>
      <c r="B171" s="662"/>
      <c r="C171" s="665">
        <f>C133</f>
        <v>0.6</v>
      </c>
    </row>
    <row r="174" spans="1:3" x14ac:dyDescent="0.2">
      <c r="A174" s="595" t="s">
        <v>89</v>
      </c>
      <c r="B174" s="596"/>
    </row>
    <row r="175" spans="1:3" x14ac:dyDescent="0.2">
      <c r="A175" s="654" t="s">
        <v>283</v>
      </c>
      <c r="B175" s="666"/>
    </row>
    <row r="176" spans="1:3" x14ac:dyDescent="0.2">
      <c r="A176" s="454" t="s">
        <v>360</v>
      </c>
      <c r="C176" s="667">
        <v>0.375</v>
      </c>
    </row>
    <row r="177" spans="1:8" x14ac:dyDescent="0.2">
      <c r="A177" s="454" t="s">
        <v>359</v>
      </c>
      <c r="C177" s="668">
        <v>0.06</v>
      </c>
    </row>
    <row r="178" spans="1:8" x14ac:dyDescent="0.2">
      <c r="A178" s="454" t="s">
        <v>284</v>
      </c>
      <c r="C178" s="668">
        <v>0.4</v>
      </c>
    </row>
    <row r="179" spans="1:8" x14ac:dyDescent="0.2">
      <c r="A179" s="591" t="s">
        <v>285</v>
      </c>
      <c r="B179" s="623"/>
      <c r="C179" s="669">
        <v>0.1764705882352941</v>
      </c>
    </row>
    <row r="182" spans="1:8" x14ac:dyDescent="0.2">
      <c r="A182" s="598" t="s">
        <v>93</v>
      </c>
      <c r="B182" s="599"/>
    </row>
    <row r="183" spans="1:8" x14ac:dyDescent="0.2">
      <c r="D183" s="589">
        <v>2006</v>
      </c>
      <c r="E183" s="589">
        <v>2007</v>
      </c>
      <c r="F183" s="589">
        <v>2008</v>
      </c>
      <c r="G183" s="589">
        <v>2009</v>
      </c>
      <c r="H183" s="589">
        <v>2010</v>
      </c>
    </row>
    <row r="184" spans="1:8" x14ac:dyDescent="0.2">
      <c r="A184" s="458" t="s">
        <v>362</v>
      </c>
      <c r="D184" s="670">
        <f>'IMRO Decision 2006-10'!D41*10^6</f>
        <v>190095.21696142427</v>
      </c>
      <c r="E184" s="670">
        <f>'IMRO Decision 2006-10'!E41*10^6</f>
        <v>-4638810.1375992047</v>
      </c>
      <c r="F184" s="670">
        <f>'IMRO Decision 2006-10'!F41*10^6</f>
        <v>-10768217.460581301</v>
      </c>
      <c r="G184" s="670">
        <f>'IMRO Decision 2006-10'!G41*10^6</f>
        <v>-13630869.502886569</v>
      </c>
      <c r="H184" s="670">
        <f>'IMRO Decision 2006-10'!H41*10^6</f>
        <v>-12452968.501429787</v>
      </c>
    </row>
    <row r="185" spans="1:8" x14ac:dyDescent="0.2">
      <c r="A185" s="454" t="s">
        <v>148</v>
      </c>
      <c r="D185" s="671">
        <f>'IMRO Decision 2006-10'!D71</f>
        <v>1.0510983425414364</v>
      </c>
      <c r="E185" s="671">
        <f>'IMRO Decision 2006-10'!E71</f>
        <v>1.0780064601104973</v>
      </c>
      <c r="F185" s="671">
        <f>'IMRO Decision 2006-10'!F71</f>
        <v>1.1056034254893261</v>
      </c>
      <c r="G185" s="671">
        <f>'IMRO Decision 2006-10'!G71</f>
        <v>1.1339068731818529</v>
      </c>
      <c r="H185" s="671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7" t="s">
        <v>98</v>
      </c>
      <c r="B188" s="608"/>
      <c r="D188" s="589">
        <v>2006</v>
      </c>
      <c r="E188" s="589">
        <v>2007</v>
      </c>
      <c r="F188" s="589">
        <v>2008</v>
      </c>
    </row>
    <row r="189" spans="1:8" x14ac:dyDescent="0.2">
      <c r="A189" s="609" t="s">
        <v>271</v>
      </c>
      <c r="B189" s="610"/>
      <c r="D189" s="672"/>
      <c r="E189" s="672"/>
      <c r="F189" s="672"/>
    </row>
    <row r="190" spans="1:8" x14ac:dyDescent="0.2">
      <c r="A190" s="612" t="s">
        <v>274</v>
      </c>
      <c r="B190" s="592"/>
      <c r="D190" s="623">
        <f>D205*D218</f>
        <v>1307368.72</v>
      </c>
      <c r="E190" s="623">
        <f>E205*E218</f>
        <v>1318907.04</v>
      </c>
      <c r="F190" s="623">
        <f>F205*F218</f>
        <v>1296321.3600000001</v>
      </c>
    </row>
    <row r="191" spans="1:8" x14ac:dyDescent="0.2">
      <c r="A191" s="612" t="s">
        <v>273</v>
      </c>
      <c r="B191" s="592"/>
      <c r="D191" s="623">
        <f>((D208*12+D210)*D222+(D208*4+D210)*D223)+((D209*12+D211)*D224+(D209*4+D211)*D225)</f>
        <v>9300467.8000000007</v>
      </c>
      <c r="E191" s="623">
        <f>((E208*12+E210)*E222+(E208*4+E210)*E223)+((E209*12+E211)*E224+(E209*4+E211)*E225)</f>
        <v>9700727</v>
      </c>
      <c r="F191" s="623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3">
        <f>D213*D228</f>
        <v>106311.8563265306</v>
      </c>
      <c r="E192" s="623">
        <f>E213*E228</f>
        <v>402889.25632653059</v>
      </c>
      <c r="F192" s="623">
        <f>F213*F228</f>
        <v>756342.0163265306</v>
      </c>
    </row>
    <row r="193" spans="1:6" x14ac:dyDescent="0.2">
      <c r="A193" s="612" t="s">
        <v>104</v>
      </c>
      <c r="B193" s="592"/>
      <c r="D193" s="673">
        <f>SUM(D190:D192)</f>
        <v>10714148.376326531</v>
      </c>
      <c r="E193" s="673">
        <f>SUM(E190:E192)</f>
        <v>11422523.296326529</v>
      </c>
      <c r="F193" s="673">
        <f>SUM(F190:F192)</f>
        <v>12105291.376326529</v>
      </c>
    </row>
    <row r="194" spans="1:6" x14ac:dyDescent="0.2">
      <c r="A194" s="612"/>
      <c r="B194" s="592"/>
      <c r="D194" s="591"/>
      <c r="E194" s="591"/>
      <c r="F194" s="591"/>
    </row>
    <row r="195" spans="1:6" x14ac:dyDescent="0.2">
      <c r="A195" s="609" t="s">
        <v>105</v>
      </c>
      <c r="B195" s="610"/>
      <c r="D195" s="591"/>
      <c r="E195" s="591"/>
      <c r="F195" s="591"/>
    </row>
    <row r="196" spans="1:6" x14ac:dyDescent="0.2">
      <c r="A196" s="454" t="s">
        <v>109</v>
      </c>
      <c r="D196" s="670">
        <f>'IMRO Decision 2006-10'!D105*10^3</f>
        <v>420000</v>
      </c>
      <c r="E196" s="670">
        <f>'IMRO Decision 2006-10'!E105*10^3</f>
        <v>420000</v>
      </c>
      <c r="F196" s="670">
        <f>'IMRO Decision 2006-10'!F105*10^3</f>
        <v>420000</v>
      </c>
    </row>
    <row r="197" spans="1:6" s="458" customFormat="1" x14ac:dyDescent="0.2">
      <c r="A197" s="612" t="s">
        <v>108</v>
      </c>
      <c r="B197" s="592"/>
      <c r="D197" s="670">
        <f>'IMRO Decision 2006-10'!D111*10^3</f>
        <v>1949305.4129536522</v>
      </c>
      <c r="E197" s="670">
        <f>'IMRO Decision 2006-10'!E111*10^3</f>
        <v>1975569.4544452247</v>
      </c>
      <c r="F197" s="670">
        <f>'IMRO Decision 2006-10'!F111*10^3</f>
        <v>2002187.3655104858</v>
      </c>
    </row>
    <row r="198" spans="1:6" s="458" customFormat="1" x14ac:dyDescent="0.2">
      <c r="A198" s="612" t="s">
        <v>106</v>
      </c>
      <c r="B198" s="592"/>
      <c r="D198" s="603">
        <f>SUM(D196:D197)</f>
        <v>2369305.4129536524</v>
      </c>
      <c r="E198" s="603">
        <f>SUM(E196:E197)</f>
        <v>2395569.4544452247</v>
      </c>
      <c r="F198" s="603">
        <f>SUM(F196:F197)</f>
        <v>2422187.3655104861</v>
      </c>
    </row>
    <row r="199" spans="1:6" s="458" customFormat="1" x14ac:dyDescent="0.2">
      <c r="A199" s="592"/>
      <c r="B199" s="592"/>
      <c r="D199" s="623"/>
      <c r="E199" s="623"/>
      <c r="F199" s="623"/>
    </row>
    <row r="200" spans="1:6" s="458" customFormat="1" ht="13.5" thickBot="1" x14ac:dyDescent="0.25">
      <c r="A200" s="612" t="s">
        <v>107</v>
      </c>
      <c r="B200" s="592"/>
      <c r="C200" s="454"/>
      <c r="D200" s="593">
        <f>SUM(D193,D198)</f>
        <v>13083453.789280184</v>
      </c>
      <c r="E200" s="593">
        <f>SUM(E193,E198)</f>
        <v>13818092.750771753</v>
      </c>
      <c r="F200" s="593">
        <f>SUM(F193,F198)</f>
        <v>14527478.741837015</v>
      </c>
    </row>
    <row r="201" spans="1:6" s="458" customFormat="1" ht="13.5" thickTop="1" x14ac:dyDescent="0.2">
      <c r="A201" s="674" t="s">
        <v>0</v>
      </c>
      <c r="B201" s="675"/>
      <c r="C201" s="676">
        <f>SUM(D201:F201)</f>
        <v>0</v>
      </c>
      <c r="D201" s="676">
        <f>IF(ABS('IMRO Decision 2006-10'!D114*10^3-D200)&lt;0.001,0,ABS('IMRO Decision 2006-10'!D114*10^3-D200))</f>
        <v>0</v>
      </c>
      <c r="E201" s="676">
        <f>IF(ABS('IMRO Decision 2006-10'!E114*10^3-E200)&lt;0.001,0,ABS('IMRO Decision 2006-10'!E114*10^3-E200))</f>
        <v>0</v>
      </c>
      <c r="F201" s="676">
        <f>IF(ABS('IMRO Decision 2006-10'!F114*10^3-F200)&lt;0.001,0,ABS('IMRO Decision 2006-10'!F114*10^3-F200))</f>
        <v>0</v>
      </c>
    </row>
    <row r="202" spans="1:6" s="458" customFormat="1" x14ac:dyDescent="0.2">
      <c r="A202" s="592"/>
      <c r="B202" s="592"/>
      <c r="D202" s="623"/>
      <c r="E202" s="623"/>
      <c r="F202" s="623"/>
    </row>
    <row r="203" spans="1:6" s="458" customFormat="1" x14ac:dyDescent="0.2">
      <c r="A203" s="592"/>
      <c r="B203" s="592"/>
      <c r="D203" s="623"/>
      <c r="E203" s="623"/>
      <c r="F203" s="623"/>
    </row>
    <row r="204" spans="1:6" x14ac:dyDescent="0.2">
      <c r="A204" s="595" t="s">
        <v>96</v>
      </c>
      <c r="B204" s="596"/>
      <c r="D204" s="589">
        <v>2006</v>
      </c>
      <c r="E204" s="589">
        <v>2007</v>
      </c>
      <c r="F204" s="589">
        <v>2008</v>
      </c>
    </row>
    <row r="205" spans="1:6" x14ac:dyDescent="0.2">
      <c r="A205" s="612" t="s">
        <v>97</v>
      </c>
      <c r="B205" s="592"/>
      <c r="D205" s="677">
        <f>'IMRO Decision 2006-10'!D349</f>
        <v>1.52</v>
      </c>
      <c r="E205" s="677">
        <f>'IMRO Decision 2006-10'!E349</f>
        <v>1.52</v>
      </c>
      <c r="F205" s="677">
        <f>'IMRO Decision 2006-10'!F349</f>
        <v>1.52</v>
      </c>
    </row>
    <row r="206" spans="1:6" s="458" customFormat="1" x14ac:dyDescent="0.2">
      <c r="A206" s="612"/>
      <c r="B206" s="592"/>
      <c r="D206" s="678"/>
      <c r="E206" s="678"/>
      <c r="F206" s="678"/>
    </row>
    <row r="207" spans="1:6" x14ac:dyDescent="0.2">
      <c r="A207" s="609" t="s">
        <v>99</v>
      </c>
      <c r="B207" s="610"/>
      <c r="D207" s="678"/>
      <c r="E207" s="678"/>
      <c r="F207" s="678"/>
    </row>
    <row r="208" spans="1:6" x14ac:dyDescent="0.2">
      <c r="A208" s="612" t="s">
        <v>100</v>
      </c>
      <c r="B208" s="592"/>
      <c r="D208" s="677">
        <f>'IMRO Decision 2006-10'!D365</f>
        <v>1.5</v>
      </c>
      <c r="E208" s="677">
        <f>'IMRO Decision 2006-10'!E365</f>
        <v>1.5</v>
      </c>
      <c r="F208" s="677">
        <f>'IMRO Decision 2006-10'!F365</f>
        <v>1.5</v>
      </c>
    </row>
    <row r="209" spans="1:6" x14ac:dyDescent="0.2">
      <c r="A209" s="612" t="s">
        <v>101</v>
      </c>
      <c r="B209" s="592"/>
      <c r="D209" s="677">
        <f>'IMRO Decision 2006-10'!D366</f>
        <v>2.5</v>
      </c>
      <c r="E209" s="677">
        <f>'IMRO Decision 2006-10'!E366</f>
        <v>2.5</v>
      </c>
      <c r="F209" s="677">
        <f>'IMRO Decision 2006-10'!F366</f>
        <v>2.5</v>
      </c>
    </row>
    <row r="210" spans="1:6" x14ac:dyDescent="0.2">
      <c r="A210" s="612" t="s">
        <v>102</v>
      </c>
      <c r="B210" s="592"/>
      <c r="D210" s="677">
        <f>'IMRO Decision 2006-10'!D367</f>
        <v>4.5</v>
      </c>
      <c r="E210" s="677">
        <f>'IMRO Decision 2006-10'!E367</f>
        <v>4.5</v>
      </c>
      <c r="F210" s="677">
        <f>'IMRO Decision 2006-10'!F367</f>
        <v>4.5</v>
      </c>
    </row>
    <row r="211" spans="1:6" x14ac:dyDescent="0.2">
      <c r="A211" s="612" t="s">
        <v>103</v>
      </c>
      <c r="B211" s="592"/>
      <c r="D211" s="677">
        <f>'IMRO Decision 2006-10'!D368</f>
        <v>6.2</v>
      </c>
      <c r="E211" s="677">
        <f>'IMRO Decision 2006-10'!E368</f>
        <v>6.2</v>
      </c>
      <c r="F211" s="677">
        <f>'IMRO Decision 2006-10'!F368</f>
        <v>6.2</v>
      </c>
    </row>
    <row r="212" spans="1:6" x14ac:dyDescent="0.2">
      <c r="A212" s="612"/>
      <c r="B212" s="592"/>
      <c r="D212" s="678"/>
      <c r="E212" s="678"/>
      <c r="F212" s="678"/>
    </row>
    <row r="213" spans="1:6" x14ac:dyDescent="0.2">
      <c r="A213" s="612" t="s">
        <v>53</v>
      </c>
      <c r="B213" s="592"/>
      <c r="D213" s="677">
        <f>'IMRO Decision 2006-10'!D356</f>
        <v>10.6</v>
      </c>
      <c r="E213" s="677">
        <f>'IMRO Decision 2006-10'!E356</f>
        <v>10.6</v>
      </c>
      <c r="F213" s="677">
        <f>'IMRO Decision 2006-10'!F356</f>
        <v>10.6</v>
      </c>
    </row>
    <row r="216" spans="1:6" x14ac:dyDescent="0.2">
      <c r="A216" s="607" t="s">
        <v>95</v>
      </c>
      <c r="B216" s="608"/>
      <c r="C216" s="455"/>
      <c r="D216" s="589">
        <v>2006</v>
      </c>
      <c r="E216" s="589">
        <v>2007</v>
      </c>
      <c r="F216" s="589">
        <v>2008</v>
      </c>
    </row>
    <row r="217" spans="1:6" x14ac:dyDescent="0.2">
      <c r="A217" s="609" t="s">
        <v>52</v>
      </c>
      <c r="B217" s="610"/>
      <c r="C217" s="455"/>
      <c r="D217" s="611"/>
      <c r="E217" s="611"/>
      <c r="F217" s="597"/>
    </row>
    <row r="218" spans="1:6" x14ac:dyDescent="0.2">
      <c r="A218" s="612" t="s">
        <v>55</v>
      </c>
      <c r="B218" s="592"/>
      <c r="C218" s="455"/>
      <c r="D218" s="670">
        <f>'IMRO Decision 2006-10'!J349</f>
        <v>860111</v>
      </c>
      <c r="E218" s="670">
        <f>'IMRO Decision 2006-10'!K349</f>
        <v>867702</v>
      </c>
      <c r="F218" s="670">
        <f>'IMRO Decision 2006-10'!L349</f>
        <v>852843</v>
      </c>
    </row>
    <row r="219" spans="1:6" x14ac:dyDescent="0.2">
      <c r="A219" s="607"/>
      <c r="B219" s="608"/>
      <c r="C219" s="455"/>
      <c r="D219" s="611"/>
      <c r="E219" s="611"/>
      <c r="F219" s="597"/>
    </row>
    <row r="220" spans="1:6" x14ac:dyDescent="0.2">
      <c r="A220" s="609" t="s">
        <v>24</v>
      </c>
      <c r="B220" s="610"/>
      <c r="D220" s="455"/>
      <c r="E220" s="455"/>
      <c r="F220" s="455"/>
    </row>
    <row r="221" spans="1:6" x14ac:dyDescent="0.2">
      <c r="A221" s="612" t="s">
        <v>270</v>
      </c>
      <c r="B221" s="592"/>
      <c r="D221" s="455"/>
      <c r="E221" s="455"/>
      <c r="F221" s="455"/>
    </row>
    <row r="222" spans="1:6" x14ac:dyDescent="0.2">
      <c r="A222" s="612" t="s">
        <v>56</v>
      </c>
      <c r="B222" s="592"/>
      <c r="D222" s="670">
        <f>'IMRO Decision 2006-10'!J370</f>
        <v>5055</v>
      </c>
      <c r="E222" s="670">
        <f>'IMRO Decision 2006-10'!K370</f>
        <v>3571</v>
      </c>
      <c r="F222" s="670">
        <f>'IMRO Decision 2006-10'!L370</f>
        <v>2185</v>
      </c>
    </row>
    <row r="223" spans="1:6" x14ac:dyDescent="0.2">
      <c r="A223" s="612" t="s">
        <v>57</v>
      </c>
      <c r="B223" s="592"/>
      <c r="D223" s="670">
        <f>'IMRO Decision 2006-10'!J371</f>
        <v>823351</v>
      </c>
      <c r="E223" s="670">
        <f>'IMRO Decision 2006-10'!K371</f>
        <v>778943</v>
      </c>
      <c r="F223" s="670">
        <f>'IMRO Decision 2006-10'!L371</f>
        <v>678947</v>
      </c>
    </row>
    <row r="224" spans="1:6" x14ac:dyDescent="0.2">
      <c r="A224" s="612" t="s">
        <v>58</v>
      </c>
      <c r="B224" s="592"/>
      <c r="D224" s="670">
        <f>'IMRO Decision 2006-10'!J372</f>
        <v>1397</v>
      </c>
      <c r="E224" s="670">
        <f>'IMRO Decision 2006-10'!K372</f>
        <v>3070</v>
      </c>
      <c r="F224" s="670">
        <f>'IMRO Decision 2006-10'!L372</f>
        <v>4641</v>
      </c>
    </row>
    <row r="225" spans="1:14" x14ac:dyDescent="0.2">
      <c r="A225" s="612" t="s">
        <v>59</v>
      </c>
      <c r="B225" s="592"/>
      <c r="D225" s="670">
        <f>'IMRO Decision 2006-10'!J373</f>
        <v>30307</v>
      </c>
      <c r="E225" s="670">
        <f>'IMRO Decision 2006-10'!K373</f>
        <v>82120</v>
      </c>
      <c r="F225" s="670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9" t="s">
        <v>53</v>
      </c>
      <c r="B227" s="610"/>
      <c r="C227" s="455"/>
      <c r="D227" s="611"/>
      <c r="E227" s="611"/>
      <c r="F227" s="597"/>
    </row>
    <row r="228" spans="1:14" x14ac:dyDescent="0.2">
      <c r="A228" s="612" t="s">
        <v>60</v>
      </c>
      <c r="B228" s="592"/>
      <c r="C228" s="455"/>
      <c r="D228" s="670">
        <f>SUM('IMRO Decision 2006-10'!J356,'IMRO Decision 2006-10'!J358:J362)</f>
        <v>10029.420408163265</v>
      </c>
      <c r="E228" s="670">
        <f>SUM('IMRO Decision 2006-10'!K356,'IMRO Decision 2006-10'!K358:K362)</f>
        <v>38008.420408163263</v>
      </c>
      <c r="F228" s="670">
        <f>SUM('IMRO Decision 2006-10'!L356,'IMRO Decision 2006-10'!L358:L362)</f>
        <v>71353.020408163269</v>
      </c>
    </row>
    <row r="231" spans="1:14" ht="13.5" thickBot="1" x14ac:dyDescent="0.25">
      <c r="A231" s="626"/>
      <c r="B231" s="627"/>
      <c r="C231" s="626"/>
      <c r="D231" s="626"/>
      <c r="E231" s="626"/>
      <c r="F231" s="626"/>
      <c r="G231" s="626"/>
      <c r="H231" s="626"/>
      <c r="I231" s="626"/>
      <c r="J231" s="626"/>
      <c r="K231" s="626"/>
      <c r="L231" s="626"/>
      <c r="M231" s="626"/>
      <c r="N231" s="626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388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18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5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6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4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62">
        <v>4532473.805165709</v>
      </c>
      <c r="E10" s="763">
        <v>3901457.2776575359</v>
      </c>
      <c r="F10" s="763">
        <v>1584273.64</v>
      </c>
      <c r="G10" s="763"/>
      <c r="H10" s="763"/>
      <c r="I10" s="763"/>
      <c r="J10" s="764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62">
        <v>4149037.5409553209</v>
      </c>
      <c r="E11" s="763">
        <v>4817824.8053511195</v>
      </c>
      <c r="F11" s="763">
        <v>760748.95</v>
      </c>
      <c r="G11" s="763"/>
      <c r="H11" s="763"/>
      <c r="I11" s="763"/>
      <c r="J11" s="764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62">
        <v>2210814.54</v>
      </c>
      <c r="E12" s="763">
        <v>66062251.949999988</v>
      </c>
      <c r="F12" s="763">
        <v>92857134.000426456</v>
      </c>
      <c r="G12" s="763"/>
      <c r="H12" s="763"/>
      <c r="I12" s="763"/>
      <c r="J12" s="764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62">
        <v>24047547.66</v>
      </c>
      <c r="E13" s="763">
        <v>21118048.699999999</v>
      </c>
      <c r="F13" s="763">
        <v>11333414.250000002</v>
      </c>
      <c r="G13" s="763"/>
      <c r="H13" s="763"/>
      <c r="I13" s="763"/>
      <c r="J13" s="764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62">
        <v>945747.1</v>
      </c>
      <c r="E14" s="763">
        <v>3326145.38</v>
      </c>
      <c r="F14" s="763">
        <v>16172606.329999998</v>
      </c>
      <c r="G14" s="763"/>
      <c r="H14" s="763"/>
      <c r="I14" s="763"/>
      <c r="J14" s="764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62">
        <v>527728.94999999995</v>
      </c>
      <c r="E15" s="763">
        <v>627653.81999999995</v>
      </c>
      <c r="F15" s="763">
        <v>349105.82</v>
      </c>
      <c r="G15" s="763"/>
      <c r="H15" s="763"/>
      <c r="I15" s="763"/>
      <c r="J15" s="764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4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62">
        <v>0</v>
      </c>
      <c r="E23" s="763">
        <v>0</v>
      </c>
      <c r="F23" s="763">
        <v>0</v>
      </c>
      <c r="G23" s="763"/>
      <c r="H23" s="763"/>
      <c r="I23" s="763"/>
      <c r="J23" s="764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4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62">
        <v>0</v>
      </c>
      <c r="E34" s="763">
        <v>0</v>
      </c>
      <c r="F34" s="763">
        <v>0</v>
      </c>
      <c r="G34" s="763"/>
      <c r="H34" s="763"/>
      <c r="I34" s="763"/>
      <c r="J34" s="764"/>
      <c r="K34" s="36"/>
    </row>
    <row r="35" spans="1:11" x14ac:dyDescent="0.2">
      <c r="A35" s="83" t="s">
        <v>267</v>
      </c>
      <c r="C35" s="20"/>
      <c r="D35" s="762">
        <v>0</v>
      </c>
      <c r="E35" s="763">
        <v>0</v>
      </c>
      <c r="F35" s="763">
        <v>0</v>
      </c>
      <c r="G35" s="763"/>
      <c r="H35" s="763"/>
      <c r="I35" s="763"/>
      <c r="J35" s="764"/>
      <c r="K35" s="36"/>
    </row>
    <row r="36" spans="1:11" x14ac:dyDescent="0.2">
      <c r="A36" s="83" t="s">
        <v>363</v>
      </c>
      <c r="C36" s="20"/>
      <c r="D36" s="762">
        <v>0</v>
      </c>
      <c r="E36" s="763">
        <v>0</v>
      </c>
      <c r="F36" s="763">
        <v>0</v>
      </c>
      <c r="G36" s="763"/>
      <c r="H36" s="763"/>
      <c r="I36" s="763"/>
      <c r="J36" s="764"/>
      <c r="K36" s="36"/>
    </row>
    <row r="37" spans="1:11" x14ac:dyDescent="0.2">
      <c r="A37" s="83" t="s">
        <v>284</v>
      </c>
      <c r="C37" s="20"/>
      <c r="D37" s="762">
        <v>0</v>
      </c>
      <c r="E37" s="763">
        <v>0</v>
      </c>
      <c r="F37" s="763">
        <v>0</v>
      </c>
      <c r="G37" s="763"/>
      <c r="H37" s="763"/>
      <c r="I37" s="763"/>
      <c r="J37" s="764"/>
      <c r="K37" s="36"/>
    </row>
    <row r="38" spans="1:11" x14ac:dyDescent="0.2">
      <c r="A38" s="83" t="s">
        <v>286</v>
      </c>
      <c r="B38" s="446"/>
      <c r="C38" s="20"/>
      <c r="D38" s="762">
        <v>0</v>
      </c>
      <c r="E38" s="763">
        <v>0</v>
      </c>
      <c r="F38" s="763">
        <v>0</v>
      </c>
      <c r="G38" s="763"/>
      <c r="H38" s="763"/>
      <c r="I38" s="763"/>
      <c r="J38" s="764"/>
      <c r="K38" s="36"/>
    </row>
    <row r="39" spans="1:11" x14ac:dyDescent="0.2">
      <c r="A39" s="83" t="s">
        <v>285</v>
      </c>
      <c r="B39" s="447"/>
      <c r="C39" s="20"/>
      <c r="D39" s="762">
        <v>0</v>
      </c>
      <c r="E39" s="763">
        <v>0</v>
      </c>
      <c r="F39" s="763">
        <v>0</v>
      </c>
      <c r="G39" s="763"/>
      <c r="H39" s="763"/>
      <c r="I39" s="763"/>
      <c r="J39" s="764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5"/>
      <c r="K42" s="2"/>
    </row>
    <row r="43" spans="1:11" x14ac:dyDescent="0.2">
      <c r="A43" s="83" t="s">
        <v>42</v>
      </c>
      <c r="C43" s="20"/>
      <c r="D43" s="762">
        <v>0</v>
      </c>
      <c r="E43" s="763">
        <v>0</v>
      </c>
      <c r="F43" s="763">
        <v>0</v>
      </c>
      <c r="G43" s="763"/>
      <c r="H43" s="763"/>
      <c r="I43" s="763"/>
      <c r="J43" s="764"/>
      <c r="K43" s="36"/>
    </row>
    <row r="44" spans="1:11" x14ac:dyDescent="0.2">
      <c r="A44" s="83" t="s">
        <v>267</v>
      </c>
      <c r="B44" s="447"/>
      <c r="C44" s="20"/>
      <c r="D44" s="762">
        <v>0</v>
      </c>
      <c r="E44" s="763">
        <v>0</v>
      </c>
      <c r="F44" s="763">
        <v>0</v>
      </c>
      <c r="G44" s="763"/>
      <c r="H44" s="763"/>
      <c r="I44" s="763"/>
      <c r="J44" s="764"/>
      <c r="K44" s="36"/>
    </row>
    <row r="45" spans="1:11" x14ac:dyDescent="0.2">
      <c r="A45" s="83" t="s">
        <v>363</v>
      </c>
      <c r="C45" s="20"/>
      <c r="D45" s="762">
        <v>0</v>
      </c>
      <c r="E45" s="763">
        <v>0</v>
      </c>
      <c r="F45" s="763">
        <v>0</v>
      </c>
      <c r="G45" s="763"/>
      <c r="H45" s="763"/>
      <c r="I45" s="763"/>
      <c r="J45" s="764"/>
      <c r="K45" s="36"/>
    </row>
    <row r="46" spans="1:11" x14ac:dyDescent="0.2">
      <c r="A46" s="83" t="s">
        <v>284</v>
      </c>
      <c r="C46" s="20"/>
      <c r="D46" s="762">
        <v>0</v>
      </c>
      <c r="E46" s="763">
        <v>0</v>
      </c>
      <c r="F46" s="763">
        <v>0</v>
      </c>
      <c r="G46" s="763"/>
      <c r="H46" s="763"/>
      <c r="I46" s="763"/>
      <c r="J46" s="764"/>
      <c r="K46" s="36"/>
    </row>
    <row r="47" spans="1:11" x14ac:dyDescent="0.2">
      <c r="A47" s="83" t="s">
        <v>286</v>
      </c>
      <c r="B47" s="89"/>
      <c r="C47" s="20"/>
      <c r="D47" s="762">
        <v>0</v>
      </c>
      <c r="E47" s="763">
        <v>0</v>
      </c>
      <c r="F47" s="763">
        <v>0</v>
      </c>
      <c r="G47" s="763"/>
      <c r="H47" s="763"/>
      <c r="I47" s="763"/>
      <c r="J47" s="764"/>
      <c r="K47" s="36"/>
    </row>
    <row r="48" spans="1:11" x14ac:dyDescent="0.2">
      <c r="A48" s="83" t="s">
        <v>285</v>
      </c>
      <c r="C48" s="20"/>
      <c r="D48" s="762">
        <v>0</v>
      </c>
      <c r="E48" s="763">
        <v>0</v>
      </c>
      <c r="F48" s="763">
        <v>0</v>
      </c>
      <c r="G48" s="763"/>
      <c r="H48" s="763"/>
      <c r="I48" s="763"/>
      <c r="J48" s="764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6">D$1</f>
        <v>2009</v>
      </c>
      <c r="E52" s="45">
        <f t="shared" si="16"/>
        <v>2010</v>
      </c>
      <c r="F52" s="45">
        <f t="shared" si="16"/>
        <v>2011</v>
      </c>
      <c r="G52" s="45">
        <f t="shared" si="16"/>
        <v>2012</v>
      </c>
      <c r="H52" s="45">
        <f t="shared" si="16"/>
        <v>2013</v>
      </c>
      <c r="I52" s="45">
        <f t="shared" si="16"/>
        <v>2014</v>
      </c>
      <c r="J52" s="46">
        <f t="shared" si="16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7">D$2</f>
        <v>Nominal $</v>
      </c>
      <c r="E53" s="48" t="str">
        <f t="shared" si="17"/>
        <v>Nominal $</v>
      </c>
      <c r="F53" s="48" t="str">
        <f t="shared" si="17"/>
        <v>Nominal $</v>
      </c>
      <c r="G53" s="48" t="str">
        <f t="shared" si="17"/>
        <v>Nominal $</v>
      </c>
      <c r="H53" s="48" t="str">
        <f t="shared" si="17"/>
        <v>Nominal $</v>
      </c>
      <c r="I53" s="48" t="str">
        <f t="shared" si="17"/>
        <v>Nominal $</v>
      </c>
      <c r="J53" s="49" t="str">
        <f t="shared" si="17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Actual</v>
      </c>
      <c r="J54" s="724" t="str">
        <f t="shared" si="18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65">
        <v>24814068.844235312</v>
      </c>
      <c r="E55" s="766">
        <v>19953460.2551184</v>
      </c>
      <c r="F55" s="766">
        <v>26822517.64150586</v>
      </c>
      <c r="G55" s="766"/>
      <c r="H55" s="766"/>
      <c r="I55" s="766"/>
      <c r="J55" s="767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6">
        <f t="shared" si="19"/>
        <v>2015</v>
      </c>
      <c r="K58" s="19"/>
    </row>
    <row r="59" spans="1:11" s="1" customFormat="1" x14ac:dyDescent="0.2">
      <c r="B59" s="86"/>
      <c r="D59" s="722" t="s">
        <v>22</v>
      </c>
      <c r="E59" s="726" t="s">
        <v>22</v>
      </c>
      <c r="F59" s="726" t="s">
        <v>22</v>
      </c>
      <c r="G59" s="726" t="s">
        <v>22</v>
      </c>
      <c r="H59" s="726" t="s">
        <v>22</v>
      </c>
      <c r="I59" s="726" t="s">
        <v>22</v>
      </c>
      <c r="J59" s="723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68">
        <v>33138971.770000003</v>
      </c>
      <c r="E60" s="766">
        <v>71092652.63000001</v>
      </c>
      <c r="F60" s="766">
        <v>72026210.274123311</v>
      </c>
      <c r="G60" s="766"/>
      <c r="H60" s="766"/>
      <c r="I60" s="766"/>
      <c r="J60" s="767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J58" sqref="J58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803"/>
      <c r="P2" s="2"/>
      <c r="Q2" s="727"/>
    </row>
    <row r="3" spans="1:17" s="1" customFormat="1" ht="15.75" x14ac:dyDescent="0.25">
      <c r="A3" s="70" t="s">
        <v>388</v>
      </c>
      <c r="B3" s="445"/>
      <c r="C3" s="2"/>
      <c r="D3" s="701" t="s">
        <v>20</v>
      </c>
      <c r="E3" s="702" t="s">
        <v>20</v>
      </c>
      <c r="F3" s="702" t="s">
        <v>20</v>
      </c>
      <c r="G3" s="702" t="s">
        <v>20</v>
      </c>
      <c r="H3" s="61" t="s">
        <v>18</v>
      </c>
      <c r="I3" s="61" t="s">
        <v>18</v>
      </c>
      <c r="J3" s="62" t="s">
        <v>18</v>
      </c>
      <c r="K3" s="108"/>
      <c r="L3" s="21"/>
      <c r="M3" s="21"/>
      <c r="N3" s="21"/>
      <c r="O3" s="804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Forecast</v>
      </c>
      <c r="I9" s="51" t="str">
        <f t="shared" si="1"/>
        <v>Forecast</v>
      </c>
      <c r="J9" s="724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69">
        <f>'Data 2009-11'!D10/D$145</f>
        <v>4317419.4924881766</v>
      </c>
      <c r="E10" s="770">
        <f>'Data 2009-11'!E10/E$145</f>
        <v>3670054.1176541243</v>
      </c>
      <c r="F10" s="770">
        <f>'Data 2009-11'!F10/F$145</f>
        <v>1449889.2054472012</v>
      </c>
      <c r="G10" s="770">
        <f>'DNSP Data Inputs 2012-15'!G10/G$145</f>
        <v>839228.47869565233</v>
      </c>
      <c r="H10" s="770">
        <f>'DNSP Data Inputs 2012-15'!H10/$H$145</f>
        <v>33904.311093644807</v>
      </c>
      <c r="I10" s="770">
        <f>'DNSP Data Inputs 2012-15'!I10/$H$145</f>
        <v>0</v>
      </c>
      <c r="J10" s="771">
        <f>'DNSP Data Inputs 2012-15'!J10/$H$145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69">
        <f>'Data 2009-11'!D11/D$145</f>
        <v>3952176.300273357</v>
      </c>
      <c r="E11" s="770">
        <f>'Data 2009-11'!E11/E$145</f>
        <v>4532070.0719376495</v>
      </c>
      <c r="F11" s="770">
        <f>'Data 2009-11'!F11/F$145</f>
        <v>696219.1775533756</v>
      </c>
      <c r="G11" s="770">
        <f>'DNSP Data Inputs 2012-15'!G11/G$145</f>
        <v>141545.17797101449</v>
      </c>
      <c r="H11" s="770">
        <f>'DNSP Data Inputs 2012-15'!H11/$H$145</f>
        <v>43565.415660110993</v>
      </c>
      <c r="I11" s="770">
        <f>'DNSP Data Inputs 2012-15'!I11/$H$145</f>
        <v>0</v>
      </c>
      <c r="J11" s="771">
        <f>'DNSP Data Inputs 2012-15'!J11/$H$145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69">
        <f>'Data 2009-11'!D12/D$145</f>
        <v>2105917.0332972975</v>
      </c>
      <c r="E12" s="770">
        <f>'Data 2009-11'!E12/E$145</f>
        <v>62143968.916192174</v>
      </c>
      <c r="F12" s="770">
        <f>'Data 2009-11'!F12/F$145</f>
        <v>84980620.03732045</v>
      </c>
      <c r="G12" s="770">
        <f>'DNSP Data Inputs 2012-15'!G12/G$145</f>
        <v>86162321.694262564</v>
      </c>
      <c r="H12" s="770">
        <f>'DNSP Data Inputs 2012-15'!H12/$H$145</f>
        <v>57032142.629338577</v>
      </c>
      <c r="I12" s="770">
        <f>'DNSP Data Inputs 2012-15'!I12/$H$145</f>
        <v>6247090.3848163961</v>
      </c>
      <c r="J12" s="771">
        <f>'DNSP Data Inputs 2012-15'!J12/$H$145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69">
        <f>'Data 2009-11'!D13/D$145</f>
        <v>22906552.906162161</v>
      </c>
      <c r="E13" s="770">
        <f>'Data 2009-11'!E13/E$145</f>
        <v>19865495.39632266</v>
      </c>
      <c r="F13" s="770">
        <f>'Data 2009-11'!F13/F$145</f>
        <v>10372068.667339874</v>
      </c>
      <c r="G13" s="770">
        <f>'DNSP Data Inputs 2012-15'!G13/G$145</f>
        <v>8184250.4311594209</v>
      </c>
      <c r="H13" s="770">
        <f>'DNSP Data Inputs 2012-15'!H13/$H$145</f>
        <v>7819347.3298175996</v>
      </c>
      <c r="I13" s="770">
        <f>'DNSP Data Inputs 2012-15'!I13/$H$145</f>
        <v>6166349.8576883422</v>
      </c>
      <c r="J13" s="771">
        <f>'DNSP Data Inputs 2012-15'!J13/$H$145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69">
        <f>'Data 2009-11'!D14/D$145</f>
        <v>900873.81417417421</v>
      </c>
      <c r="E14" s="770">
        <f>'Data 2009-11'!E14/E$145</f>
        <v>3128865.1083511272</v>
      </c>
      <c r="F14" s="770">
        <f>'Data 2009-11'!F14/F$145</f>
        <v>14800781.096006922</v>
      </c>
      <c r="G14" s="770">
        <f>'DNSP Data Inputs 2012-15'!G14/G$145</f>
        <v>10192341.702945465</v>
      </c>
      <c r="H14" s="770">
        <f>'DNSP Data Inputs 2012-15'!H14/$H$145</f>
        <v>7251431.2817517659</v>
      </c>
      <c r="I14" s="770">
        <f>'DNSP Data Inputs 2012-15'!I14/$H$145</f>
        <v>1993455.3734855996</v>
      </c>
      <c r="J14" s="771">
        <f>'DNSP Data Inputs 2012-15'!J14/$H$145</f>
        <v>940886.7383391388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69">
        <f>'Data 2009-11'!D15/D$145</f>
        <v>502689.55837837834</v>
      </c>
      <c r="E15" s="770">
        <f>'Data 2009-11'!E15/E$145</f>
        <v>590426.42854092538</v>
      </c>
      <c r="F15" s="770">
        <f>'Data 2009-11'!F15/F$145</f>
        <v>319493.26631275244</v>
      </c>
      <c r="G15" s="770">
        <f>'DNSP Data Inputs 2012-15'!G15/G$145</f>
        <v>154465.95927536234</v>
      </c>
      <c r="H15" s="770">
        <f>'DNSP Data Inputs 2012-15'!H15/$H$145</f>
        <v>106793.71725331793</v>
      </c>
      <c r="I15" s="770">
        <f>'DNSP Data Inputs 2012-15'!I15/$H$145</f>
        <v>106793.71725331793</v>
      </c>
      <c r="J15" s="771">
        <f>'DNSP Data Inputs 2012-15'!J15/$H$145</f>
        <v>115134.63127524522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72287184.684915006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Forecast</v>
      </c>
      <c r="I21" s="51" t="str">
        <f t="shared" si="4"/>
        <v>Forecast</v>
      </c>
      <c r="J21" s="724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57109612.356092334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69">
        <f>'Data 2009-11'!D23/D$145</f>
        <v>0</v>
      </c>
      <c r="E23" s="770">
        <f>'Data 2009-11'!E23/E$145</f>
        <v>0</v>
      </c>
      <c r="F23" s="770">
        <f>'Data 2009-11'!F23/F$145</f>
        <v>0</v>
      </c>
      <c r="G23" s="770">
        <f>'DNSP Data Inputs 2012-15'!G23/G$145</f>
        <v>0</v>
      </c>
      <c r="H23" s="770">
        <f>'DNSP Data Inputs 2012-15'!H23/$H$145</f>
        <v>0</v>
      </c>
      <c r="I23" s="770">
        <f>'DNSP Data Inputs 2012-15'!I23/$H$145</f>
        <v>0</v>
      </c>
      <c r="J23" s="771">
        <f>'DNSP Data Inputs 2012-15'!J23/$H$145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7819347.3298175996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7251431.2817517659</v>
      </c>
      <c r="I25" s="19">
        <f t="shared" si="7"/>
        <v>1993455.3734855996</v>
      </c>
      <c r="J25" s="325">
        <f t="shared" si="7"/>
        <v>940886.7383391388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106793.71725331793</v>
      </c>
      <c r="I26" s="19">
        <f t="shared" si="7"/>
        <v>106793.71725331793</v>
      </c>
      <c r="J26" s="325">
        <f t="shared" si="7"/>
        <v>115134.63127524522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72287184.684915006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Forecast</v>
      </c>
      <c r="I32" s="51" t="str">
        <f t="shared" si="10"/>
        <v>Forecast</v>
      </c>
      <c r="J32" s="724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74">
        <f>'Data 2009-11'!D34/D$145</f>
        <v>0</v>
      </c>
      <c r="E34" s="775">
        <f>'Data 2009-11'!E34/E$145</f>
        <v>0</v>
      </c>
      <c r="F34" s="775">
        <f>'Data 2009-11'!F34/F$145</f>
        <v>0</v>
      </c>
      <c r="G34" s="770">
        <f>'DNSP Data Inputs 2012-15'!G34/G$145</f>
        <v>0</v>
      </c>
      <c r="H34" s="770">
        <f>'DNSP Data Inputs 2012-15'!H34/$H$145</f>
        <v>0</v>
      </c>
      <c r="I34" s="770">
        <f>'DNSP Data Inputs 2012-15'!I34/$H$145</f>
        <v>0</v>
      </c>
      <c r="J34" s="771">
        <f>'DNSP Data Inputs 2012-15'!J34/$H$145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74">
        <f>'Data 2009-11'!D35/D$145</f>
        <v>0</v>
      </c>
      <c r="E35" s="775">
        <f>'Data 2009-11'!E35/E$145</f>
        <v>0</v>
      </c>
      <c r="F35" s="775">
        <f>'Data 2009-11'!F35/F$145</f>
        <v>0</v>
      </c>
      <c r="G35" s="770">
        <f>'DNSP Data Inputs 2012-15'!G35/G$145</f>
        <v>0</v>
      </c>
      <c r="H35" s="770">
        <f>'DNSP Data Inputs 2012-15'!H35/$H$145</f>
        <v>0</v>
      </c>
      <c r="I35" s="770">
        <f>'DNSP Data Inputs 2012-15'!I35/$H$145</f>
        <v>0</v>
      </c>
      <c r="J35" s="771">
        <f>'DNSP Data Inputs 2012-15'!J35/$H$145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74">
        <f>'Data 2009-11'!D36/D$145</f>
        <v>0</v>
      </c>
      <c r="E36" s="775">
        <f>'Data 2009-11'!E36/E$145</f>
        <v>0</v>
      </c>
      <c r="F36" s="775">
        <f>'Data 2009-11'!F36/F$145</f>
        <v>0</v>
      </c>
      <c r="G36" s="770">
        <f>'DNSP Data Inputs 2012-15'!G36/G$145</f>
        <v>0</v>
      </c>
      <c r="H36" s="770">
        <f>'DNSP Data Inputs 2012-15'!H36/$H$145</f>
        <v>0</v>
      </c>
      <c r="I36" s="770">
        <f>'DNSP Data Inputs 2012-15'!I36/$H$145</f>
        <v>0</v>
      </c>
      <c r="J36" s="771">
        <f>'DNSP Data Inputs 2012-15'!J36/$H$145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74">
        <f>'Data 2009-11'!D37/D$145</f>
        <v>0</v>
      </c>
      <c r="E37" s="775">
        <f>'Data 2009-11'!E37/E$145</f>
        <v>0</v>
      </c>
      <c r="F37" s="775">
        <f>'Data 2009-11'!F37/F$145</f>
        <v>0</v>
      </c>
      <c r="G37" s="770">
        <f>'DNSP Data Inputs 2012-15'!G37/G$145</f>
        <v>0</v>
      </c>
      <c r="H37" s="770">
        <f>'DNSP Data Inputs 2012-15'!H37/$H$145</f>
        <v>0</v>
      </c>
      <c r="I37" s="770">
        <f>'DNSP Data Inputs 2012-15'!I37/$H$145</f>
        <v>0</v>
      </c>
      <c r="J37" s="771">
        <f>'DNSP Data Inputs 2012-15'!J37/$H$145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74">
        <f>'Data 2009-11'!D38/D$145</f>
        <v>0</v>
      </c>
      <c r="E38" s="775">
        <f>'Data 2009-11'!E38/E$145</f>
        <v>0</v>
      </c>
      <c r="F38" s="775">
        <f>'Data 2009-11'!F38/F$145</f>
        <v>0</v>
      </c>
      <c r="G38" s="770">
        <f>'DNSP Data Inputs 2012-15'!G38/G$145</f>
        <v>0</v>
      </c>
      <c r="H38" s="770">
        <f>'DNSP Data Inputs 2012-15'!H38/$H$145</f>
        <v>0</v>
      </c>
      <c r="I38" s="770">
        <f>'DNSP Data Inputs 2012-15'!I38/$H$145</f>
        <v>0</v>
      </c>
      <c r="J38" s="771">
        <f>'DNSP Data Inputs 2012-15'!J38/$H$145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74">
        <f>'Data 2009-11'!D39/D$145</f>
        <v>0</v>
      </c>
      <c r="E39" s="775">
        <f>'Data 2009-11'!E39/E$145</f>
        <v>0</v>
      </c>
      <c r="F39" s="775">
        <f>'Data 2009-11'!F39/F$145</f>
        <v>0</v>
      </c>
      <c r="G39" s="770">
        <f>'DNSP Data Inputs 2012-15'!G39/G$145</f>
        <v>0</v>
      </c>
      <c r="H39" s="770">
        <f>'DNSP Data Inputs 2012-15'!H39/$H$145</f>
        <v>0</v>
      </c>
      <c r="I39" s="770">
        <f>'DNSP Data Inputs 2012-15'!I39/$H$145</f>
        <v>0</v>
      </c>
      <c r="J39" s="771">
        <f>'DNSP Data Inputs 2012-15'!J39/$H$145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5"/>
      <c r="K42" s="2"/>
      <c r="M42" s="2"/>
      <c r="N42" s="2"/>
      <c r="O42" s="2"/>
    </row>
    <row r="43" spans="1:15" x14ac:dyDescent="0.2">
      <c r="A43" s="83" t="str">
        <f t="shared" ref="A43:A48" si="14">A10</f>
        <v>Accumulation Meters</v>
      </c>
      <c r="C43" s="20"/>
      <c r="D43" s="774">
        <f>'Data 2009-11'!D43/D$145</f>
        <v>0</v>
      </c>
      <c r="E43" s="775">
        <f>'Data 2009-11'!E43/E$145</f>
        <v>0</v>
      </c>
      <c r="F43" s="775">
        <f>'Data 2009-11'!F43/F$145</f>
        <v>0</v>
      </c>
      <c r="G43" s="770">
        <f>'DNSP Data Inputs 2012-15'!G43/G$145</f>
        <v>0</v>
      </c>
      <c r="H43" s="770">
        <f>'DNSP Data Inputs 2012-15'!H43/$H$145</f>
        <v>0</v>
      </c>
      <c r="I43" s="770">
        <f>'DNSP Data Inputs 2012-15'!I43/$H$145</f>
        <v>0</v>
      </c>
      <c r="J43" s="771">
        <f>'DNSP Data Inputs 2012-15'!J43/$H$145</f>
        <v>0</v>
      </c>
      <c r="K43" s="36"/>
      <c r="M43" s="2"/>
      <c r="N43" s="2"/>
      <c r="O43" s="2"/>
    </row>
    <row r="44" spans="1:15" x14ac:dyDescent="0.2">
      <c r="A44" s="83" t="str">
        <f t="shared" si="14"/>
        <v>Manually read interval meters</v>
      </c>
      <c r="B44" s="447"/>
      <c r="C44" s="20"/>
      <c r="D44" s="774">
        <f>'Data 2009-11'!D44/D$145</f>
        <v>0</v>
      </c>
      <c r="E44" s="775">
        <f>'Data 2009-11'!E44/E$145</f>
        <v>0</v>
      </c>
      <c r="F44" s="775">
        <f>'Data 2009-11'!F44/F$145</f>
        <v>0</v>
      </c>
      <c r="G44" s="770">
        <f>'DNSP Data Inputs 2012-15'!G44/G$145</f>
        <v>0</v>
      </c>
      <c r="H44" s="770">
        <f>'DNSP Data Inputs 2012-15'!H44/$H$145</f>
        <v>0</v>
      </c>
      <c r="I44" s="770">
        <f>'DNSP Data Inputs 2012-15'!I44/$H$145</f>
        <v>0</v>
      </c>
      <c r="J44" s="771">
        <f>'DNSP Data Inputs 2012-15'!J44/$H$145</f>
        <v>0</v>
      </c>
      <c r="K44" s="36"/>
      <c r="M44" s="2"/>
      <c r="N44" s="2"/>
      <c r="O44" s="2"/>
    </row>
    <row r="45" spans="1:15" x14ac:dyDescent="0.2">
      <c r="A45" s="83" t="str">
        <f t="shared" si="14"/>
        <v>Remotely read interval meters &amp; transformers</v>
      </c>
      <c r="C45" s="20"/>
      <c r="D45" s="774">
        <f>'Data 2009-11'!D45/D$145</f>
        <v>0</v>
      </c>
      <c r="E45" s="775">
        <f>'Data 2009-11'!E45/E$145</f>
        <v>0</v>
      </c>
      <c r="F45" s="775">
        <f>'Data 2009-11'!F45/F$145</f>
        <v>0</v>
      </c>
      <c r="G45" s="770">
        <f>'DNSP Data Inputs 2012-15'!G45/G$145</f>
        <v>0</v>
      </c>
      <c r="H45" s="770">
        <f>'DNSP Data Inputs 2012-15'!H45/$H$145</f>
        <v>0</v>
      </c>
      <c r="I45" s="770">
        <f>'DNSP Data Inputs 2012-15'!I45/$H$145</f>
        <v>0</v>
      </c>
      <c r="J45" s="771">
        <f>'DNSP Data Inputs 2012-15'!J45/$H$145</f>
        <v>0</v>
      </c>
      <c r="K45" s="36"/>
      <c r="M45" s="2"/>
      <c r="N45" s="2"/>
      <c r="O45" s="2"/>
    </row>
    <row r="46" spans="1:15" x14ac:dyDescent="0.2">
      <c r="A46" s="83" t="str">
        <f t="shared" si="14"/>
        <v>IT</v>
      </c>
      <c r="C46" s="20"/>
      <c r="D46" s="774">
        <f>'Data 2009-11'!D46/D$145</f>
        <v>0</v>
      </c>
      <c r="E46" s="775">
        <f>'Data 2009-11'!E46/E$145</f>
        <v>0</v>
      </c>
      <c r="F46" s="775">
        <f>'Data 2009-11'!F46/F$145</f>
        <v>0</v>
      </c>
      <c r="G46" s="770">
        <f>'DNSP Data Inputs 2012-15'!G46/G$145</f>
        <v>0</v>
      </c>
      <c r="H46" s="770">
        <f>'DNSP Data Inputs 2012-15'!H46/$H$145</f>
        <v>0</v>
      </c>
      <c r="I46" s="770">
        <f>'DNSP Data Inputs 2012-15'!I46/$H$145</f>
        <v>0</v>
      </c>
      <c r="J46" s="771">
        <f>'DNSP Data Inputs 2012-15'!J46/$H$145</f>
        <v>0</v>
      </c>
      <c r="K46" s="36"/>
      <c r="M46" s="2"/>
      <c r="N46" s="2"/>
      <c r="O46" s="2"/>
    </row>
    <row r="47" spans="1:15" x14ac:dyDescent="0.2">
      <c r="A47" s="83" t="str">
        <f t="shared" si="14"/>
        <v>Communications</v>
      </c>
      <c r="B47" s="89"/>
      <c r="C47" s="20"/>
      <c r="D47" s="774">
        <f>'Data 2009-11'!D47/D$145</f>
        <v>0</v>
      </c>
      <c r="E47" s="775">
        <f>'Data 2009-11'!E47/E$145</f>
        <v>0</v>
      </c>
      <c r="F47" s="775">
        <f>'Data 2009-11'!F47/F$145</f>
        <v>0</v>
      </c>
      <c r="G47" s="770">
        <f>'DNSP Data Inputs 2012-15'!G47/G$145</f>
        <v>0</v>
      </c>
      <c r="H47" s="770">
        <f>'DNSP Data Inputs 2012-15'!H47/$H$145</f>
        <v>0</v>
      </c>
      <c r="I47" s="770">
        <f>'DNSP Data Inputs 2012-15'!I47/$H$145</f>
        <v>0</v>
      </c>
      <c r="J47" s="771">
        <f>'DNSP Data Inputs 2012-15'!J47/$H$145</f>
        <v>0</v>
      </c>
      <c r="K47" s="36"/>
      <c r="M47" s="2"/>
      <c r="N47" s="2"/>
      <c r="O47" s="2"/>
    </row>
    <row r="48" spans="1:15" x14ac:dyDescent="0.2">
      <c r="A48" s="83" t="str">
        <f t="shared" si="14"/>
        <v>Other</v>
      </c>
      <c r="C48" s="20"/>
      <c r="D48" s="774">
        <f>'Data 2009-11'!D48/D$145</f>
        <v>0</v>
      </c>
      <c r="E48" s="775">
        <f>'Data 2009-11'!E48/E$145</f>
        <v>0</v>
      </c>
      <c r="F48" s="775">
        <f>'Data 2009-11'!F48/F$145</f>
        <v>0</v>
      </c>
      <c r="G48" s="770">
        <f>'DNSP Data Inputs 2012-15'!G48/G$145</f>
        <v>0</v>
      </c>
      <c r="H48" s="770">
        <f>'DNSP Data Inputs 2012-15'!H48/$H$145</f>
        <v>0</v>
      </c>
      <c r="I48" s="770">
        <f>'DNSP Data Inputs 2012-15'!I48/$H$145</f>
        <v>0</v>
      </c>
      <c r="J48" s="771">
        <f>'DNSP Data Inputs 2012-15'!J48/$H$145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6">D$2</f>
        <v>Real 2008 $</v>
      </c>
      <c r="E53" s="48" t="str">
        <f t="shared" si="16"/>
        <v>Real 2008 $</v>
      </c>
      <c r="F53" s="48" t="str">
        <f t="shared" si="16"/>
        <v>Real 2008 $</v>
      </c>
      <c r="G53" s="48" t="str">
        <f t="shared" si="16"/>
        <v>Real 2008 $</v>
      </c>
      <c r="H53" s="48" t="str">
        <f t="shared" si="16"/>
        <v>Real 2008 $</v>
      </c>
      <c r="I53" s="48" t="str">
        <f t="shared" si="16"/>
        <v>Real 2008 $</v>
      </c>
      <c r="J53" s="49" t="str">
        <f t="shared" si="16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7">D$3</f>
        <v>Actual</v>
      </c>
      <c r="E54" s="51" t="str">
        <f t="shared" si="17"/>
        <v>Actual</v>
      </c>
      <c r="F54" s="51" t="str">
        <f t="shared" si="17"/>
        <v>Actual</v>
      </c>
      <c r="G54" s="51" t="str">
        <f t="shared" si="17"/>
        <v>Actual</v>
      </c>
      <c r="H54" s="51" t="str">
        <f t="shared" si="17"/>
        <v>Forecast</v>
      </c>
      <c r="I54" s="51" t="str">
        <f t="shared" si="17"/>
        <v>Forecast</v>
      </c>
      <c r="J54" s="724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406</v>
      </c>
      <c r="B55" s="83"/>
      <c r="C55" s="2"/>
      <c r="D55" s="772">
        <f>'Data 2009-11'!D55/D$145</f>
        <v>23636704.616791114</v>
      </c>
      <c r="E55" s="773">
        <f>'Data 2009-11'!E55/E$145</f>
        <v>18769980.999180183</v>
      </c>
      <c r="F55" s="773">
        <f>'Data 2009-11'!F55/F$145</f>
        <v>24547324.281262718</v>
      </c>
      <c r="G55" s="773">
        <f>'DNSP Data Inputs 2012-15'!G55/G$145</f>
        <v>19908330.019932449</v>
      </c>
      <c r="H55" s="773">
        <f>'DNSP Data Inputs 2012-15'!H55/$H$145</f>
        <v>21087606.146370098</v>
      </c>
      <c r="I55" s="791">
        <f>'DNSP Data Inputs 2012-15'!I55/$H$145+I56</f>
        <v>20015374.479376387</v>
      </c>
      <c r="J55" s="792">
        <f>'DNSP Data Inputs 2012-15'!J55/$H$145+J56</f>
        <v>19760711.080877095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96"/>
      <c r="D56" s="789"/>
      <c r="E56" s="789"/>
      <c r="F56" s="789"/>
      <c r="G56" s="789"/>
      <c r="H56" s="789"/>
      <c r="I56" s="790">
        <f>'AMI RAB 2009-15'!I12*10^3*$I$133*I57</f>
        <v>427154.30965981766</v>
      </c>
      <c r="J56" s="790">
        <f>'AMI RAB 2009-15'!J12*10^3*$I$133*J57</f>
        <v>393209.29164511821</v>
      </c>
      <c r="K56" s="19"/>
      <c r="L56" s="2"/>
      <c r="M56" s="21"/>
      <c r="N56" s="21"/>
      <c r="O56" s="21"/>
    </row>
    <row r="57" spans="1:15" s="1" customFormat="1" x14ac:dyDescent="0.2">
      <c r="A57" s="788" t="s">
        <v>394</v>
      </c>
      <c r="B57" s="442"/>
      <c r="C57" s="796"/>
      <c r="D57" s="789"/>
      <c r="E57" s="789"/>
      <c r="F57" s="789"/>
      <c r="G57" s="789"/>
      <c r="H57" s="789"/>
      <c r="I57" s="797">
        <v>2.3E-3</v>
      </c>
      <c r="J57" s="797">
        <v>2.3E-3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8">D$1</f>
        <v>2009</v>
      </c>
      <c r="E58" s="45">
        <f t="shared" si="18"/>
        <v>2010</v>
      </c>
      <c r="F58" s="45">
        <f t="shared" si="18"/>
        <v>2011</v>
      </c>
      <c r="G58" s="45">
        <f t="shared" si="18"/>
        <v>2012</v>
      </c>
      <c r="H58" s="45">
        <f t="shared" si="18"/>
        <v>2013</v>
      </c>
      <c r="I58" s="45">
        <f t="shared" si="18"/>
        <v>2014</v>
      </c>
      <c r="J58" s="4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22" t="s">
        <v>22</v>
      </c>
      <c r="E59" s="726" t="s">
        <v>22</v>
      </c>
      <c r="F59" s="799" t="s">
        <v>22</v>
      </c>
      <c r="G59" s="726" t="s">
        <v>22</v>
      </c>
      <c r="H59" s="726" t="s">
        <v>22</v>
      </c>
      <c r="I59" s="726" t="s">
        <v>22</v>
      </c>
      <c r="J59" s="723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800">
        <f>'Data 2009-11'!D60</f>
        <v>33138971.770000003</v>
      </c>
      <c r="E60" s="885">
        <f>'Data 2009-11'!E60</f>
        <v>71092652.63000001</v>
      </c>
      <c r="F60" s="885">
        <f>'Data 2009-11'!F60</f>
        <v>72026210.274123311</v>
      </c>
      <c r="G60" s="897">
        <f>'DNSP Data Inputs 2012-15'!G60</f>
        <v>79301450.791750014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900" t="s">
        <v>380</v>
      </c>
      <c r="F65" s="903"/>
      <c r="G65" s="903"/>
      <c r="H65" s="903"/>
      <c r="I65" s="903"/>
      <c r="J65" s="904"/>
      <c r="K65" s="32"/>
      <c r="L65" s="2"/>
      <c r="N65" s="2"/>
      <c r="O65" s="900" t="s">
        <v>23</v>
      </c>
      <c r="P65" s="901"/>
      <c r="Q65" s="902"/>
    </row>
    <row r="66" spans="1:17" x14ac:dyDescent="0.2">
      <c r="L66" s="2"/>
    </row>
    <row r="67" spans="1:17" x14ac:dyDescent="0.2">
      <c r="D67" s="54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8" t="s">
        <v>20</v>
      </c>
      <c r="F68" s="729" t="s">
        <v>20</v>
      </c>
      <c r="G68" s="729" t="s">
        <v>20</v>
      </c>
      <c r="H68" s="729" t="s">
        <v>20</v>
      </c>
      <c r="I68" s="730" t="s">
        <v>21</v>
      </c>
      <c r="J68" s="730" t="s">
        <v>21</v>
      </c>
      <c r="K68" s="108"/>
      <c r="L68" s="2"/>
      <c r="M68" s="21"/>
      <c r="N68" s="2"/>
      <c r="O68" s="684" t="str">
        <f>O$3</f>
        <v>Forecast</v>
      </c>
      <c r="P68" s="731" t="str">
        <f>P$3</f>
        <v>Forecast</v>
      </c>
      <c r="Q68" s="732" t="str">
        <f>Q$3</f>
        <v>Forecast</v>
      </c>
    </row>
    <row r="69" spans="1:17" x14ac:dyDescent="0.2">
      <c r="B69" s="1"/>
      <c r="D69" s="308"/>
      <c r="E69" s="733" t="s">
        <v>22</v>
      </c>
      <c r="F69" s="717" t="s">
        <v>22</v>
      </c>
      <c r="G69" s="724" t="s">
        <v>22</v>
      </c>
      <c r="H69" s="724" t="s">
        <v>22</v>
      </c>
      <c r="I69" s="724" t="s">
        <v>22</v>
      </c>
      <c r="J69" s="724" t="s">
        <v>22</v>
      </c>
      <c r="K69" s="108"/>
      <c r="L69" s="2"/>
      <c r="M69" s="21"/>
      <c r="N69" s="2"/>
      <c r="O69" s="733"/>
      <c r="P69" s="734"/>
      <c r="Q69" s="735"/>
    </row>
    <row r="70" spans="1:17" x14ac:dyDescent="0.2">
      <c r="B70" s="89"/>
      <c r="D70" s="20"/>
      <c r="E70" s="736"/>
      <c r="F70" s="738"/>
      <c r="G70" s="738"/>
      <c r="H70" s="20"/>
      <c r="I70" s="20"/>
      <c r="J70" s="737"/>
      <c r="K70" s="2"/>
      <c r="L70" s="2"/>
      <c r="M70" s="21"/>
      <c r="N70" s="2"/>
      <c r="O70" s="736"/>
      <c r="P70" s="738"/>
      <c r="Q70" s="737"/>
    </row>
    <row r="71" spans="1:17" x14ac:dyDescent="0.2">
      <c r="A71" s="88" t="s">
        <v>24</v>
      </c>
      <c r="B71" s="89"/>
      <c r="D71" s="332"/>
      <c r="E71" s="339" t="s">
        <v>25</v>
      </c>
      <c r="F71" s="698"/>
      <c r="G71" s="698"/>
      <c r="H71" s="698"/>
      <c r="I71" s="698"/>
      <c r="J71" s="121"/>
      <c r="K71" s="118"/>
      <c r="L71" s="2"/>
      <c r="M71" s="21"/>
      <c r="N71" s="2"/>
      <c r="O71" s="23"/>
      <c r="P71" s="20"/>
      <c r="Q71" s="725"/>
    </row>
    <row r="72" spans="1:17" x14ac:dyDescent="0.2">
      <c r="A72" s="82" t="s">
        <v>26</v>
      </c>
      <c r="B72" s="53"/>
      <c r="D72" s="337"/>
      <c r="E72" s="685">
        <v>0</v>
      </c>
      <c r="F72" s="720">
        <v>0</v>
      </c>
      <c r="G72" s="720">
        <v>0</v>
      </c>
      <c r="H72" s="720">
        <v>0</v>
      </c>
      <c r="I72" s="699">
        <f>'DNSP Data Inputs 2012-15'!I72</f>
        <v>0</v>
      </c>
      <c r="J72" s="691">
        <f>'DNSP Data Inputs 2012-15'!J72</f>
        <v>0</v>
      </c>
      <c r="K72" s="119"/>
      <c r="L72" s="2"/>
      <c r="M72" s="21"/>
      <c r="N72" s="2"/>
      <c r="O72" s="687">
        <f>'DNSP Data Inputs 2012-15'!O72</f>
        <v>0</v>
      </c>
      <c r="P72" s="739">
        <f>'DNSP Data Inputs 2012-15'!P72</f>
        <v>0</v>
      </c>
      <c r="Q72" s="688">
        <f>'DNSP Data Inputs 2012-15'!Q72</f>
        <v>0</v>
      </c>
    </row>
    <row r="73" spans="1:17" x14ac:dyDescent="0.2">
      <c r="A73" s="82" t="s">
        <v>27</v>
      </c>
      <c r="B73" s="444"/>
      <c r="D73" s="337"/>
      <c r="E73" s="685">
        <v>0</v>
      </c>
      <c r="F73" s="720">
        <v>0</v>
      </c>
      <c r="G73" s="720">
        <v>0</v>
      </c>
      <c r="H73" s="720">
        <v>0</v>
      </c>
      <c r="I73" s="699">
        <f>'DNSP Data Inputs 2012-15'!I73</f>
        <v>0</v>
      </c>
      <c r="J73" s="691">
        <f>'DNSP Data Inputs 2012-15'!J73</f>
        <v>0</v>
      </c>
      <c r="K73" s="119"/>
      <c r="L73" s="2"/>
      <c r="M73" s="21"/>
      <c r="N73" s="2"/>
      <c r="O73" s="687">
        <f>'DNSP Data Inputs 2012-15'!O73</f>
        <v>0</v>
      </c>
      <c r="P73" s="739">
        <f>'DNSP Data Inputs 2012-15'!P73</f>
        <v>0</v>
      </c>
      <c r="Q73" s="688">
        <f>'DNSP Data Inputs 2012-15'!Q73</f>
        <v>0</v>
      </c>
    </row>
    <row r="74" spans="1:17" x14ac:dyDescent="0.2">
      <c r="A74" s="551" t="s">
        <v>370</v>
      </c>
      <c r="B74" s="2"/>
      <c r="D74" s="337"/>
      <c r="E74" s="685">
        <v>0</v>
      </c>
      <c r="F74" s="720">
        <v>0</v>
      </c>
      <c r="G74" s="720">
        <v>0</v>
      </c>
      <c r="H74" s="720">
        <v>0</v>
      </c>
      <c r="I74" s="699">
        <f>'DNSP Data Inputs 2012-15'!I74</f>
        <v>0</v>
      </c>
      <c r="J74" s="691">
        <f>'DNSP Data Inputs 2012-15'!J74</f>
        <v>0</v>
      </c>
      <c r="K74" s="119"/>
      <c r="L74" s="2"/>
      <c r="M74" s="21"/>
      <c r="N74" s="2"/>
      <c r="O74" s="687">
        <f>'DNSP Data Inputs 2012-15'!O74</f>
        <v>0</v>
      </c>
      <c r="P74" s="739">
        <f>'DNSP Data Inputs 2012-15'!P74</f>
        <v>0</v>
      </c>
      <c r="Q74" s="688">
        <f>'DNSP Data Inputs 2012-15'!Q74</f>
        <v>0</v>
      </c>
    </row>
    <row r="75" spans="1:17" x14ac:dyDescent="0.2">
      <c r="A75" s="551" t="s">
        <v>371</v>
      </c>
      <c r="D75" s="337"/>
      <c r="E75" s="685">
        <v>0</v>
      </c>
      <c r="F75" s="720">
        <v>0</v>
      </c>
      <c r="G75" s="720">
        <v>0</v>
      </c>
      <c r="H75" s="720">
        <v>0</v>
      </c>
      <c r="I75" s="699">
        <f>'DNSP Data Inputs 2012-15'!I75</f>
        <v>0</v>
      </c>
      <c r="J75" s="691">
        <f>'DNSP Data Inputs 2012-15'!J75</f>
        <v>0</v>
      </c>
      <c r="K75" s="119"/>
      <c r="L75" s="2"/>
      <c r="M75" s="21"/>
      <c r="N75" s="2"/>
      <c r="O75" s="687">
        <f>'DNSP Data Inputs 2012-15'!O75</f>
        <v>0</v>
      </c>
      <c r="P75" s="739">
        <f>'DNSP Data Inputs 2012-15'!P75</f>
        <v>0</v>
      </c>
      <c r="Q75" s="688">
        <f>'DNSP Data Inputs 2012-15'!Q75</f>
        <v>0</v>
      </c>
    </row>
    <row r="76" spans="1:17" x14ac:dyDescent="0.2">
      <c r="A76" s="551" t="s">
        <v>372</v>
      </c>
      <c r="D76" s="337"/>
      <c r="E76" s="685">
        <v>0</v>
      </c>
      <c r="F76" s="720">
        <v>0</v>
      </c>
      <c r="G76" s="720">
        <v>0</v>
      </c>
      <c r="H76" s="720">
        <v>0</v>
      </c>
      <c r="I76" s="699">
        <f>'DNSP Data Inputs 2012-15'!I76</f>
        <v>0</v>
      </c>
      <c r="J76" s="691">
        <f>'DNSP Data Inputs 2012-15'!J76</f>
        <v>0</v>
      </c>
      <c r="K76" s="119"/>
      <c r="L76" s="2"/>
      <c r="M76" s="21"/>
      <c r="N76" s="2"/>
      <c r="O76" s="687">
        <f>'DNSP Data Inputs 2012-15'!O76</f>
        <v>0</v>
      </c>
      <c r="P76" s="739">
        <f>'DNSP Data Inputs 2012-15'!P76</f>
        <v>0</v>
      </c>
      <c r="Q76" s="688">
        <f>'DNSP Data Inputs 2012-15'!Q76</f>
        <v>0</v>
      </c>
    </row>
    <row r="77" spans="1:17" x14ac:dyDescent="0.2">
      <c r="A77" s="551" t="s">
        <v>373</v>
      </c>
      <c r="B77" s="2"/>
      <c r="D77" s="337"/>
      <c r="E77" s="685">
        <v>0</v>
      </c>
      <c r="F77" s="720">
        <v>0</v>
      </c>
      <c r="G77" s="720">
        <v>0</v>
      </c>
      <c r="H77" s="720">
        <v>0</v>
      </c>
      <c r="I77" s="699">
        <f>'DNSP Data Inputs 2012-15'!I77</f>
        <v>0</v>
      </c>
      <c r="J77" s="691">
        <f>'DNSP Data Inputs 2012-15'!J77</f>
        <v>0</v>
      </c>
      <c r="K77" s="119"/>
      <c r="L77" s="2"/>
      <c r="M77" s="21"/>
      <c r="N77" s="2"/>
      <c r="O77" s="687">
        <f>'DNSP Data Inputs 2012-15'!O77</f>
        <v>0</v>
      </c>
      <c r="P77" s="739">
        <f>'DNSP Data Inputs 2012-15'!P77</f>
        <v>0</v>
      </c>
      <c r="Q77" s="688">
        <f>'DNSP Data Inputs 2012-15'!Q77</f>
        <v>0</v>
      </c>
    </row>
    <row r="78" spans="1:17" x14ac:dyDescent="0.2">
      <c r="A78" s="551" t="s">
        <v>374</v>
      </c>
      <c r="B78" s="86"/>
      <c r="D78" s="337"/>
      <c r="E78" s="685">
        <v>0</v>
      </c>
      <c r="F78" s="720">
        <v>0</v>
      </c>
      <c r="G78" s="720">
        <v>0</v>
      </c>
      <c r="H78" s="720">
        <v>0</v>
      </c>
      <c r="I78" s="699">
        <f>'DNSP Data Inputs 2012-15'!I78</f>
        <v>0</v>
      </c>
      <c r="J78" s="691">
        <f>'DNSP Data Inputs 2012-15'!J78</f>
        <v>0</v>
      </c>
      <c r="K78" s="119"/>
      <c r="L78" s="2"/>
      <c r="M78" s="21"/>
      <c r="N78" s="2"/>
      <c r="O78" s="687">
        <f>'DNSP Data Inputs 2012-15'!O78</f>
        <v>0</v>
      </c>
      <c r="P78" s="739">
        <f>'DNSP Data Inputs 2012-15'!P78</f>
        <v>0</v>
      </c>
      <c r="Q78" s="688">
        <f>'DNSP Data Inputs 2012-15'!Q78</f>
        <v>0</v>
      </c>
    </row>
    <row r="79" spans="1:17" x14ac:dyDescent="0.2">
      <c r="A79" s="82"/>
      <c r="D79" s="338"/>
      <c r="E79" s="740"/>
      <c r="F79" s="334"/>
      <c r="G79" s="334"/>
      <c r="H79" s="334"/>
      <c r="I79" s="334"/>
      <c r="J79" s="741"/>
      <c r="K79" s="2"/>
      <c r="L79" s="2"/>
      <c r="M79" s="21"/>
      <c r="N79" s="2"/>
      <c r="O79" s="23"/>
      <c r="P79" s="20"/>
      <c r="Q79" s="725"/>
    </row>
    <row r="80" spans="1:17" x14ac:dyDescent="0.2">
      <c r="A80" s="82"/>
      <c r="D80" s="338"/>
      <c r="E80" s="740"/>
      <c r="F80" s="334"/>
      <c r="G80" s="334"/>
      <c r="H80" s="334"/>
      <c r="I80" s="334"/>
      <c r="J80" s="741"/>
      <c r="K80" s="2"/>
      <c r="L80" s="2"/>
      <c r="M80" s="21"/>
      <c r="N80" s="2"/>
      <c r="O80" s="23"/>
      <c r="P80" s="20"/>
      <c r="Q80" s="725"/>
    </row>
    <row r="81" spans="1:17" x14ac:dyDescent="0.2">
      <c r="A81" s="88" t="s">
        <v>24</v>
      </c>
      <c r="B81" s="319"/>
      <c r="D81" s="332"/>
      <c r="E81" s="511" t="s">
        <v>28</v>
      </c>
      <c r="F81" s="700"/>
      <c r="G81" s="700"/>
      <c r="H81" s="700"/>
      <c r="I81" s="700"/>
      <c r="J81" s="335"/>
      <c r="K81" s="118"/>
      <c r="L81" s="2"/>
      <c r="M81" s="21"/>
      <c r="N81" s="2"/>
      <c r="O81" s="23"/>
      <c r="P81" s="20"/>
      <c r="Q81" s="725"/>
    </row>
    <row r="82" spans="1:17" x14ac:dyDescent="0.2">
      <c r="A82" s="82" t="s">
        <v>26</v>
      </c>
      <c r="B82" s="319"/>
      <c r="D82" s="334"/>
      <c r="E82" s="685">
        <v>0</v>
      </c>
      <c r="F82" s="720">
        <v>0</v>
      </c>
      <c r="G82" s="720">
        <v>0</v>
      </c>
      <c r="H82" s="720">
        <v>0</v>
      </c>
      <c r="I82" s="699">
        <f>'DNSP Data Inputs 2012-15'!I82</f>
        <v>0</v>
      </c>
      <c r="J82" s="691">
        <f>'DNSP Data Inputs 2012-15'!J82</f>
        <v>0</v>
      </c>
      <c r="K82" s="119"/>
      <c r="L82" s="2"/>
      <c r="M82" s="21"/>
      <c r="N82" s="2"/>
      <c r="O82" s="687">
        <f>'DNSP Data Inputs 2012-15'!O82</f>
        <v>0</v>
      </c>
      <c r="P82" s="739">
        <f>'DNSP Data Inputs 2012-15'!P82</f>
        <v>0</v>
      </c>
      <c r="Q82" s="688">
        <f>'DNSP Data Inputs 2012-15'!Q82</f>
        <v>0</v>
      </c>
    </row>
    <row r="83" spans="1:17" x14ac:dyDescent="0.2">
      <c r="A83" s="82" t="s">
        <v>27</v>
      </c>
      <c r="B83" s="431"/>
      <c r="D83" s="334"/>
      <c r="E83" s="685">
        <v>0</v>
      </c>
      <c r="F83" s="720">
        <v>0</v>
      </c>
      <c r="G83" s="720">
        <v>0</v>
      </c>
      <c r="H83" s="720">
        <v>0</v>
      </c>
      <c r="I83" s="699">
        <f>'DNSP Data Inputs 2012-15'!I83</f>
        <v>0</v>
      </c>
      <c r="J83" s="691">
        <f>'DNSP Data Inputs 2012-15'!J83</f>
        <v>0</v>
      </c>
      <c r="K83" s="119"/>
      <c r="L83" s="2"/>
      <c r="M83" s="21"/>
      <c r="N83" s="2"/>
      <c r="O83" s="687">
        <f>'DNSP Data Inputs 2012-15'!O83</f>
        <v>0</v>
      </c>
      <c r="P83" s="739">
        <f>'DNSP Data Inputs 2012-15'!P83</f>
        <v>0</v>
      </c>
      <c r="Q83" s="688">
        <f>'DNSP Data Inputs 2012-15'!Q83</f>
        <v>0</v>
      </c>
    </row>
    <row r="84" spans="1:17" x14ac:dyDescent="0.2">
      <c r="A84" s="551" t="s">
        <v>370</v>
      </c>
      <c r="D84" s="337"/>
      <c r="E84" s="685">
        <v>0</v>
      </c>
      <c r="F84" s="720">
        <v>0</v>
      </c>
      <c r="G84" s="720">
        <v>0</v>
      </c>
      <c r="H84" s="720">
        <v>0</v>
      </c>
      <c r="I84" s="699">
        <f>'DNSP Data Inputs 2012-15'!I84</f>
        <v>0</v>
      </c>
      <c r="J84" s="691">
        <f>'DNSP Data Inputs 2012-15'!J84</f>
        <v>0</v>
      </c>
      <c r="K84" s="119"/>
      <c r="L84" s="2"/>
      <c r="M84" s="21"/>
      <c r="N84" s="2"/>
      <c r="O84" s="687">
        <f>'DNSP Data Inputs 2012-15'!O84</f>
        <v>0</v>
      </c>
      <c r="P84" s="739">
        <f>'DNSP Data Inputs 2012-15'!P84</f>
        <v>0</v>
      </c>
      <c r="Q84" s="688">
        <f>'DNSP Data Inputs 2012-15'!Q84</f>
        <v>0</v>
      </c>
    </row>
    <row r="85" spans="1:17" x14ac:dyDescent="0.2">
      <c r="A85" s="551" t="s">
        <v>371</v>
      </c>
      <c r="D85" s="337"/>
      <c r="E85" s="685">
        <v>0</v>
      </c>
      <c r="F85" s="720">
        <v>0</v>
      </c>
      <c r="G85" s="720">
        <v>0</v>
      </c>
      <c r="H85" s="720">
        <v>0</v>
      </c>
      <c r="I85" s="699">
        <f>'DNSP Data Inputs 2012-15'!I85</f>
        <v>0</v>
      </c>
      <c r="J85" s="691">
        <f>'DNSP Data Inputs 2012-15'!J85</f>
        <v>0</v>
      </c>
      <c r="K85" s="119"/>
      <c r="L85" s="2"/>
      <c r="M85" s="21"/>
      <c r="N85" s="2"/>
      <c r="O85" s="687">
        <f>'DNSP Data Inputs 2012-15'!O85</f>
        <v>0</v>
      </c>
      <c r="P85" s="739">
        <f>'DNSP Data Inputs 2012-15'!P85</f>
        <v>0</v>
      </c>
      <c r="Q85" s="688">
        <f>'DNSP Data Inputs 2012-15'!Q85</f>
        <v>0</v>
      </c>
    </row>
    <row r="86" spans="1:17" x14ac:dyDescent="0.2">
      <c r="A86" s="551" t="s">
        <v>372</v>
      </c>
      <c r="D86" s="337"/>
      <c r="E86" s="685">
        <v>0</v>
      </c>
      <c r="F86" s="720">
        <v>0</v>
      </c>
      <c r="G86" s="720">
        <v>0</v>
      </c>
      <c r="H86" s="720">
        <v>0</v>
      </c>
      <c r="I86" s="699">
        <f>'DNSP Data Inputs 2012-15'!I86</f>
        <v>0</v>
      </c>
      <c r="J86" s="691">
        <f>'DNSP Data Inputs 2012-15'!J86</f>
        <v>0</v>
      </c>
      <c r="K86" s="119"/>
      <c r="L86" s="2"/>
      <c r="M86" s="21"/>
      <c r="N86" s="2"/>
      <c r="O86" s="687">
        <f>'DNSP Data Inputs 2012-15'!O86</f>
        <v>0</v>
      </c>
      <c r="P86" s="739">
        <f>'DNSP Data Inputs 2012-15'!P86</f>
        <v>0</v>
      </c>
      <c r="Q86" s="688">
        <f>'DNSP Data Inputs 2012-15'!Q86</f>
        <v>0</v>
      </c>
    </row>
    <row r="87" spans="1:17" x14ac:dyDescent="0.2">
      <c r="A87" s="551" t="s">
        <v>373</v>
      </c>
      <c r="D87" s="337"/>
      <c r="E87" s="685">
        <v>0</v>
      </c>
      <c r="F87" s="720">
        <v>0</v>
      </c>
      <c r="G87" s="720">
        <v>0</v>
      </c>
      <c r="H87" s="720">
        <v>0</v>
      </c>
      <c r="I87" s="699">
        <f>'DNSP Data Inputs 2012-15'!I87</f>
        <v>0</v>
      </c>
      <c r="J87" s="691">
        <f>'DNSP Data Inputs 2012-15'!J87</f>
        <v>0</v>
      </c>
      <c r="K87" s="119"/>
      <c r="L87" s="2"/>
      <c r="M87" s="21"/>
      <c r="N87" s="2"/>
      <c r="O87" s="687">
        <f>'DNSP Data Inputs 2012-15'!O87</f>
        <v>0</v>
      </c>
      <c r="P87" s="739">
        <f>'DNSP Data Inputs 2012-15'!P87</f>
        <v>0</v>
      </c>
      <c r="Q87" s="688">
        <f>'DNSP Data Inputs 2012-15'!Q87</f>
        <v>0</v>
      </c>
    </row>
    <row r="88" spans="1:17" x14ac:dyDescent="0.2">
      <c r="A88" s="551" t="s">
        <v>374</v>
      </c>
      <c r="B88" s="106"/>
      <c r="D88" s="337"/>
      <c r="E88" s="685">
        <v>0</v>
      </c>
      <c r="F88" s="720">
        <v>0</v>
      </c>
      <c r="G88" s="720">
        <v>0</v>
      </c>
      <c r="H88" s="720">
        <v>0</v>
      </c>
      <c r="I88" s="699">
        <f>'DNSP Data Inputs 2012-15'!I88</f>
        <v>0</v>
      </c>
      <c r="J88" s="691">
        <f>'DNSP Data Inputs 2012-15'!J88</f>
        <v>0</v>
      </c>
      <c r="K88" s="119"/>
      <c r="L88" s="2"/>
      <c r="M88" s="21"/>
      <c r="N88" s="2"/>
      <c r="O88" s="687">
        <f>'DNSP Data Inputs 2012-15'!O88</f>
        <v>0</v>
      </c>
      <c r="P88" s="739">
        <f>'DNSP Data Inputs 2012-15'!P88</f>
        <v>0</v>
      </c>
      <c r="Q88" s="688">
        <f>'DNSP Data Inputs 2012-15'!Q88</f>
        <v>0</v>
      </c>
    </row>
    <row r="89" spans="1:17" x14ac:dyDescent="0.2">
      <c r="A89" s="82"/>
      <c r="B89" s="86"/>
      <c r="D89" s="338"/>
      <c r="E89" s="740"/>
      <c r="F89" s="334"/>
      <c r="G89" s="334"/>
      <c r="H89" s="334"/>
      <c r="I89" s="334"/>
      <c r="J89" s="741"/>
      <c r="K89" s="2"/>
      <c r="L89" s="2"/>
      <c r="M89" s="21"/>
      <c r="N89" s="2"/>
      <c r="O89" s="23"/>
      <c r="P89" s="20"/>
      <c r="Q89" s="725"/>
    </row>
    <row r="90" spans="1:17" x14ac:dyDescent="0.2">
      <c r="A90" s="82"/>
      <c r="B90" s="91"/>
      <c r="D90" s="338"/>
      <c r="E90" s="740"/>
      <c r="F90" s="334"/>
      <c r="G90" s="334"/>
      <c r="H90" s="334"/>
      <c r="I90" s="334"/>
      <c r="J90" s="741"/>
      <c r="K90" s="2"/>
      <c r="L90" s="2"/>
      <c r="M90" s="21"/>
      <c r="N90" s="2"/>
      <c r="O90" s="23"/>
      <c r="P90" s="20"/>
      <c r="Q90" s="725"/>
    </row>
    <row r="91" spans="1:17" x14ac:dyDescent="0.2">
      <c r="A91" s="88" t="s">
        <v>29</v>
      </c>
      <c r="B91" s="91"/>
      <c r="D91" s="332"/>
      <c r="E91" s="339" t="s">
        <v>25</v>
      </c>
      <c r="F91" s="700"/>
      <c r="G91" s="700"/>
      <c r="H91" s="700"/>
      <c r="I91" s="700"/>
      <c r="J91" s="335"/>
      <c r="K91" s="118"/>
      <c r="L91" s="2"/>
      <c r="M91" s="21"/>
      <c r="N91" s="2"/>
      <c r="O91" s="23"/>
      <c r="P91" s="20"/>
      <c r="Q91" s="725"/>
    </row>
    <row r="92" spans="1:17" x14ac:dyDescent="0.2">
      <c r="A92" s="82" t="s">
        <v>30</v>
      </c>
      <c r="B92" s="89"/>
      <c r="D92" s="337"/>
      <c r="E92" s="685">
        <v>0</v>
      </c>
      <c r="F92" s="720">
        <v>0</v>
      </c>
      <c r="G92" s="720">
        <v>0</v>
      </c>
      <c r="H92" s="720">
        <v>0</v>
      </c>
      <c r="I92" s="699">
        <f>'DNSP Data Inputs 2012-15'!I92</f>
        <v>0</v>
      </c>
      <c r="J92" s="691">
        <f>'DNSP Data Inputs 2012-15'!J92</f>
        <v>0</v>
      </c>
      <c r="K92" s="119"/>
      <c r="L92" s="2"/>
      <c r="M92" s="21"/>
      <c r="N92" s="2"/>
      <c r="O92" s="687">
        <f>'DNSP Data Inputs 2012-15'!O92</f>
        <v>0</v>
      </c>
      <c r="P92" s="739">
        <f>'DNSP Data Inputs 2012-15'!P92</f>
        <v>0</v>
      </c>
      <c r="Q92" s="688">
        <f>'DNSP Data Inputs 2012-15'!Q92</f>
        <v>0</v>
      </c>
    </row>
    <row r="93" spans="1:17" x14ac:dyDescent="0.2">
      <c r="A93" s="82" t="s">
        <v>31</v>
      </c>
      <c r="B93" s="84"/>
      <c r="D93" s="337"/>
      <c r="E93" s="685">
        <v>0</v>
      </c>
      <c r="F93" s="720">
        <v>0</v>
      </c>
      <c r="G93" s="720">
        <v>0</v>
      </c>
      <c r="H93" s="720">
        <v>0</v>
      </c>
      <c r="I93" s="699">
        <f>'DNSP Data Inputs 2012-15'!I93</f>
        <v>0</v>
      </c>
      <c r="J93" s="691">
        <f>'DNSP Data Inputs 2012-15'!J93</f>
        <v>0</v>
      </c>
      <c r="K93" s="119"/>
      <c r="L93" s="2"/>
      <c r="M93" s="21"/>
      <c r="N93" s="2"/>
      <c r="O93" s="687">
        <f>'DNSP Data Inputs 2012-15'!O93</f>
        <v>0</v>
      </c>
      <c r="P93" s="739">
        <f>'DNSP Data Inputs 2012-15'!P93</f>
        <v>0</v>
      </c>
      <c r="Q93" s="688">
        <f>'DNSP Data Inputs 2012-15'!Q93</f>
        <v>0</v>
      </c>
    </row>
    <row r="94" spans="1:17" x14ac:dyDescent="0.2">
      <c r="A94" s="82" t="s">
        <v>32</v>
      </c>
      <c r="B94" s="89"/>
      <c r="D94" s="337"/>
      <c r="E94" s="685">
        <v>0</v>
      </c>
      <c r="F94" s="720">
        <v>0</v>
      </c>
      <c r="G94" s="720">
        <v>0</v>
      </c>
      <c r="H94" s="720">
        <v>0</v>
      </c>
      <c r="I94" s="699">
        <f>'DNSP Data Inputs 2012-15'!I94</f>
        <v>0</v>
      </c>
      <c r="J94" s="691">
        <f>'DNSP Data Inputs 2012-15'!J94</f>
        <v>0</v>
      </c>
      <c r="K94" s="119"/>
      <c r="L94" s="2"/>
      <c r="M94" s="21"/>
      <c r="N94" s="2"/>
      <c r="O94" s="687">
        <f>'DNSP Data Inputs 2012-15'!O94</f>
        <v>0</v>
      </c>
      <c r="P94" s="739">
        <f>'DNSP Data Inputs 2012-15'!P94</f>
        <v>0</v>
      </c>
      <c r="Q94" s="688">
        <f>'DNSP Data Inputs 2012-15'!Q94</f>
        <v>0</v>
      </c>
    </row>
    <row r="95" spans="1:17" x14ac:dyDescent="0.2">
      <c r="A95" s="82" t="s">
        <v>33</v>
      </c>
      <c r="B95" s="91"/>
      <c r="D95" s="337"/>
      <c r="E95" s="685">
        <v>0</v>
      </c>
      <c r="F95" s="720">
        <v>0</v>
      </c>
      <c r="G95" s="720">
        <v>0</v>
      </c>
      <c r="H95" s="720">
        <v>0</v>
      </c>
      <c r="I95" s="699">
        <f>'DNSP Data Inputs 2012-15'!I95</f>
        <v>0</v>
      </c>
      <c r="J95" s="691">
        <f>'DNSP Data Inputs 2012-15'!J95</f>
        <v>0</v>
      </c>
      <c r="K95" s="119"/>
      <c r="L95" s="2"/>
      <c r="M95" s="21"/>
      <c r="N95" s="2"/>
      <c r="O95" s="687">
        <f>'DNSP Data Inputs 2012-15'!O95</f>
        <v>0</v>
      </c>
      <c r="P95" s="739">
        <f>'DNSP Data Inputs 2012-15'!P95</f>
        <v>0</v>
      </c>
      <c r="Q95" s="688">
        <f>'DNSP Data Inputs 2012-15'!Q95</f>
        <v>0</v>
      </c>
    </row>
    <row r="96" spans="1:17" x14ac:dyDescent="0.2">
      <c r="A96" s="82" t="s">
        <v>34</v>
      </c>
      <c r="B96" s="91"/>
      <c r="D96" s="337"/>
      <c r="E96" s="685">
        <v>0</v>
      </c>
      <c r="F96" s="720">
        <v>0</v>
      </c>
      <c r="G96" s="720">
        <v>0</v>
      </c>
      <c r="H96" s="720">
        <v>0</v>
      </c>
      <c r="I96" s="699">
        <f>'DNSP Data Inputs 2012-15'!I96</f>
        <v>0</v>
      </c>
      <c r="J96" s="691">
        <f>'DNSP Data Inputs 2012-15'!J96</f>
        <v>0</v>
      </c>
      <c r="K96" s="119"/>
      <c r="L96" s="2"/>
      <c r="M96" s="21"/>
      <c r="N96" s="2"/>
      <c r="O96" s="687">
        <f>'DNSP Data Inputs 2012-15'!O96</f>
        <v>0</v>
      </c>
      <c r="P96" s="739">
        <f>'DNSP Data Inputs 2012-15'!P96</f>
        <v>0</v>
      </c>
      <c r="Q96" s="688">
        <f>'DNSP Data Inputs 2012-15'!Q96</f>
        <v>0</v>
      </c>
    </row>
    <row r="97" spans="1:17" x14ac:dyDescent="0.2">
      <c r="A97" s="82" t="s">
        <v>35</v>
      </c>
      <c r="B97" s="91"/>
      <c r="D97" s="337"/>
      <c r="E97" s="685">
        <v>0</v>
      </c>
      <c r="F97" s="720">
        <v>0</v>
      </c>
      <c r="G97" s="720">
        <v>0</v>
      </c>
      <c r="H97" s="720">
        <v>0</v>
      </c>
      <c r="I97" s="699">
        <f>'DNSP Data Inputs 2012-15'!I97</f>
        <v>0</v>
      </c>
      <c r="J97" s="691">
        <f>'DNSP Data Inputs 2012-15'!J97</f>
        <v>0</v>
      </c>
      <c r="K97" s="119"/>
      <c r="L97" s="2"/>
      <c r="M97" s="21"/>
      <c r="N97" s="2"/>
      <c r="O97" s="687">
        <f>'DNSP Data Inputs 2012-15'!O97</f>
        <v>0</v>
      </c>
      <c r="P97" s="739">
        <f>'DNSP Data Inputs 2012-15'!P97</f>
        <v>0</v>
      </c>
      <c r="Q97" s="688">
        <f>'DNSP Data Inputs 2012-15'!Q97</f>
        <v>0</v>
      </c>
    </row>
    <row r="98" spans="1:17" x14ac:dyDescent="0.2">
      <c r="A98" s="551" t="s">
        <v>370</v>
      </c>
      <c r="B98" s="91"/>
      <c r="D98" s="337"/>
      <c r="E98" s="685">
        <v>0</v>
      </c>
      <c r="F98" s="720">
        <v>0</v>
      </c>
      <c r="G98" s="720">
        <v>0</v>
      </c>
      <c r="H98" s="720">
        <v>0</v>
      </c>
      <c r="I98" s="699">
        <f>'DNSP Data Inputs 2012-15'!I98</f>
        <v>0</v>
      </c>
      <c r="J98" s="691">
        <f>'DNSP Data Inputs 2012-15'!J98</f>
        <v>0</v>
      </c>
      <c r="K98" s="119"/>
      <c r="L98" s="2"/>
      <c r="M98" s="21"/>
      <c r="N98" s="2"/>
      <c r="O98" s="687">
        <f>'DNSP Data Inputs 2012-15'!O98</f>
        <v>0</v>
      </c>
      <c r="P98" s="739">
        <f>'DNSP Data Inputs 2012-15'!P98</f>
        <v>0</v>
      </c>
      <c r="Q98" s="688">
        <f>'DNSP Data Inputs 2012-15'!Q98</f>
        <v>0</v>
      </c>
    </row>
    <row r="99" spans="1:17" x14ac:dyDescent="0.2">
      <c r="A99" s="551" t="s">
        <v>371</v>
      </c>
      <c r="B99" s="91"/>
      <c r="D99" s="337"/>
      <c r="E99" s="685">
        <v>0</v>
      </c>
      <c r="F99" s="720">
        <v>0</v>
      </c>
      <c r="G99" s="720">
        <v>0</v>
      </c>
      <c r="H99" s="720">
        <v>0</v>
      </c>
      <c r="I99" s="699">
        <f>'DNSP Data Inputs 2012-15'!I99</f>
        <v>0</v>
      </c>
      <c r="J99" s="691">
        <f>'DNSP Data Inputs 2012-15'!J99</f>
        <v>0</v>
      </c>
      <c r="K99" s="119"/>
      <c r="L99" s="2"/>
      <c r="M99" s="21"/>
      <c r="N99" s="2"/>
      <c r="O99" s="687">
        <f>'DNSP Data Inputs 2012-15'!O99</f>
        <v>0</v>
      </c>
      <c r="P99" s="739">
        <f>'DNSP Data Inputs 2012-15'!P99</f>
        <v>0</v>
      </c>
      <c r="Q99" s="688">
        <f>'DNSP Data Inputs 2012-15'!Q99</f>
        <v>0</v>
      </c>
    </row>
    <row r="100" spans="1:17" x14ac:dyDescent="0.2">
      <c r="A100" s="551" t="s">
        <v>372</v>
      </c>
      <c r="B100" s="91"/>
      <c r="D100" s="337"/>
      <c r="E100" s="685">
        <v>0</v>
      </c>
      <c r="F100" s="720">
        <v>0</v>
      </c>
      <c r="G100" s="720">
        <v>0</v>
      </c>
      <c r="H100" s="720">
        <v>0</v>
      </c>
      <c r="I100" s="699">
        <f>'DNSP Data Inputs 2012-15'!I100</f>
        <v>0</v>
      </c>
      <c r="J100" s="691">
        <f>'DNSP Data Inputs 2012-15'!J100</f>
        <v>0</v>
      </c>
      <c r="K100" s="119"/>
      <c r="L100" s="2"/>
      <c r="M100" s="21"/>
      <c r="N100" s="2"/>
      <c r="O100" s="687">
        <f>'DNSP Data Inputs 2012-15'!O100</f>
        <v>0</v>
      </c>
      <c r="P100" s="739">
        <f>'DNSP Data Inputs 2012-15'!P100</f>
        <v>0</v>
      </c>
      <c r="Q100" s="688">
        <f>'DNSP Data Inputs 2012-15'!Q100</f>
        <v>0</v>
      </c>
    </row>
    <row r="101" spans="1:17" x14ac:dyDescent="0.2">
      <c r="A101" s="551" t="s">
        <v>373</v>
      </c>
      <c r="B101" s="91"/>
      <c r="D101" s="337"/>
      <c r="E101" s="685">
        <v>0</v>
      </c>
      <c r="F101" s="720">
        <v>0</v>
      </c>
      <c r="G101" s="720">
        <v>0</v>
      </c>
      <c r="H101" s="720">
        <v>0</v>
      </c>
      <c r="I101" s="699">
        <f>'DNSP Data Inputs 2012-15'!I101</f>
        <v>0</v>
      </c>
      <c r="J101" s="691">
        <f>'DNSP Data Inputs 2012-15'!J101</f>
        <v>0</v>
      </c>
      <c r="K101" s="119"/>
      <c r="L101" s="2"/>
      <c r="M101" s="21"/>
      <c r="N101" s="2"/>
      <c r="O101" s="687">
        <f>'DNSP Data Inputs 2012-15'!O101</f>
        <v>0</v>
      </c>
      <c r="P101" s="739">
        <f>'DNSP Data Inputs 2012-15'!P101</f>
        <v>0</v>
      </c>
      <c r="Q101" s="688">
        <f>'DNSP Data Inputs 2012-15'!Q101</f>
        <v>0</v>
      </c>
    </row>
    <row r="102" spans="1:17" x14ac:dyDescent="0.2">
      <c r="A102" s="551" t="s">
        <v>374</v>
      </c>
      <c r="B102" s="91"/>
      <c r="D102" s="337"/>
      <c r="E102" s="685">
        <v>0</v>
      </c>
      <c r="F102" s="720">
        <v>0</v>
      </c>
      <c r="G102" s="720">
        <v>0</v>
      </c>
      <c r="H102" s="720">
        <v>0</v>
      </c>
      <c r="I102" s="699">
        <f>'DNSP Data Inputs 2012-15'!I102</f>
        <v>0</v>
      </c>
      <c r="J102" s="691">
        <f>'DNSP Data Inputs 2012-15'!J102</f>
        <v>0</v>
      </c>
      <c r="K102" s="119"/>
      <c r="L102" s="2"/>
      <c r="M102" s="21"/>
      <c r="N102" s="2"/>
      <c r="O102" s="687">
        <f>'DNSP Data Inputs 2012-15'!O102</f>
        <v>0</v>
      </c>
      <c r="P102" s="739">
        <f>'DNSP Data Inputs 2012-15'!P102</f>
        <v>0</v>
      </c>
      <c r="Q102" s="688">
        <f>'DNSP Data Inputs 2012-15'!Q102</f>
        <v>0</v>
      </c>
    </row>
    <row r="103" spans="1:17" x14ac:dyDescent="0.2">
      <c r="A103" s="82"/>
      <c r="B103" s="91"/>
      <c r="D103" s="338"/>
      <c r="E103" s="740"/>
      <c r="F103" s="334"/>
      <c r="G103" s="334"/>
      <c r="H103" s="334"/>
      <c r="I103" s="334"/>
      <c r="J103" s="741"/>
      <c r="K103" s="2"/>
      <c r="L103" s="2"/>
      <c r="M103" s="21"/>
      <c r="N103" s="2"/>
      <c r="O103" s="23"/>
      <c r="P103" s="20"/>
      <c r="Q103" s="725"/>
    </row>
    <row r="104" spans="1:17" x14ac:dyDescent="0.2">
      <c r="A104" s="82"/>
      <c r="B104" s="91"/>
      <c r="D104" s="338"/>
      <c r="E104" s="740"/>
      <c r="F104" s="334"/>
      <c r="G104" s="334"/>
      <c r="H104" s="334"/>
      <c r="I104" s="334"/>
      <c r="J104" s="741"/>
      <c r="K104" s="2"/>
      <c r="L104" s="2"/>
      <c r="M104" s="21"/>
      <c r="N104" s="2"/>
      <c r="O104" s="23"/>
      <c r="P104" s="20"/>
      <c r="Q104" s="725"/>
    </row>
    <row r="105" spans="1:17" x14ac:dyDescent="0.2">
      <c r="A105" s="88" t="s">
        <v>29</v>
      </c>
      <c r="D105" s="332"/>
      <c r="E105" s="511" t="s">
        <v>28</v>
      </c>
      <c r="F105" s="700"/>
      <c r="G105" s="700"/>
      <c r="H105" s="700"/>
      <c r="I105" s="700"/>
      <c r="J105" s="335"/>
      <c r="K105" s="118"/>
      <c r="L105" s="2"/>
      <c r="M105" s="21"/>
      <c r="N105" s="2"/>
      <c r="O105" s="23"/>
      <c r="P105" s="20"/>
      <c r="Q105" s="725"/>
    </row>
    <row r="106" spans="1:17" x14ac:dyDescent="0.2">
      <c r="A106" s="82" t="s">
        <v>30</v>
      </c>
      <c r="B106" s="91"/>
      <c r="D106" s="334"/>
      <c r="E106" s="685">
        <v>0</v>
      </c>
      <c r="F106" s="720">
        <v>0</v>
      </c>
      <c r="G106" s="720">
        <v>0</v>
      </c>
      <c r="H106" s="720">
        <v>0</v>
      </c>
      <c r="I106" s="699">
        <f>'DNSP Data Inputs 2012-15'!I106</f>
        <v>0</v>
      </c>
      <c r="J106" s="691">
        <f>'DNSP Data Inputs 2012-15'!J106</f>
        <v>0</v>
      </c>
      <c r="K106" s="119"/>
      <c r="L106" s="2"/>
      <c r="M106" s="21"/>
      <c r="N106" s="2"/>
      <c r="O106" s="687">
        <f>'DNSP Data Inputs 2012-15'!O106</f>
        <v>0</v>
      </c>
      <c r="P106" s="739">
        <f>'DNSP Data Inputs 2012-15'!P106</f>
        <v>0</v>
      </c>
      <c r="Q106" s="688">
        <f>'DNSP Data Inputs 2012-15'!Q106</f>
        <v>0</v>
      </c>
    </row>
    <row r="107" spans="1:17" x14ac:dyDescent="0.2">
      <c r="A107" s="82" t="s">
        <v>31</v>
      </c>
      <c r="B107" s="91"/>
      <c r="D107" s="337"/>
      <c r="E107" s="685">
        <v>0</v>
      </c>
      <c r="F107" s="720">
        <v>0</v>
      </c>
      <c r="G107" s="720">
        <v>0</v>
      </c>
      <c r="H107" s="720">
        <v>0</v>
      </c>
      <c r="I107" s="699">
        <f>'DNSP Data Inputs 2012-15'!I107</f>
        <v>0</v>
      </c>
      <c r="J107" s="691">
        <f>'DNSP Data Inputs 2012-15'!J107</f>
        <v>0</v>
      </c>
      <c r="K107" s="119"/>
      <c r="L107" s="2"/>
      <c r="M107" s="21"/>
      <c r="N107" s="2"/>
      <c r="O107" s="687">
        <f>'DNSP Data Inputs 2012-15'!O107</f>
        <v>0</v>
      </c>
      <c r="P107" s="739">
        <f>'DNSP Data Inputs 2012-15'!P107</f>
        <v>0</v>
      </c>
      <c r="Q107" s="688">
        <f>'DNSP Data Inputs 2012-15'!Q107</f>
        <v>0</v>
      </c>
    </row>
    <row r="108" spans="1:17" x14ac:dyDescent="0.2">
      <c r="A108" s="82" t="s">
        <v>32</v>
      </c>
      <c r="B108" s="91"/>
      <c r="D108" s="334"/>
      <c r="E108" s="685">
        <v>0</v>
      </c>
      <c r="F108" s="720">
        <v>0</v>
      </c>
      <c r="G108" s="720">
        <v>0</v>
      </c>
      <c r="H108" s="720">
        <v>0</v>
      </c>
      <c r="I108" s="699">
        <f>'DNSP Data Inputs 2012-15'!I108</f>
        <v>0</v>
      </c>
      <c r="J108" s="691">
        <f>'DNSP Data Inputs 2012-15'!J108</f>
        <v>0</v>
      </c>
      <c r="K108" s="119"/>
      <c r="L108" s="2"/>
      <c r="M108" s="21"/>
      <c r="N108" s="2"/>
      <c r="O108" s="687">
        <f>'DNSP Data Inputs 2012-15'!O108</f>
        <v>0</v>
      </c>
      <c r="P108" s="739">
        <f>'DNSP Data Inputs 2012-15'!P108</f>
        <v>0</v>
      </c>
      <c r="Q108" s="688">
        <f>'DNSP Data Inputs 2012-15'!Q108</f>
        <v>0</v>
      </c>
    </row>
    <row r="109" spans="1:17" x14ac:dyDescent="0.2">
      <c r="A109" s="82" t="s">
        <v>33</v>
      </c>
      <c r="B109" s="91"/>
      <c r="D109" s="334"/>
      <c r="E109" s="685">
        <v>0</v>
      </c>
      <c r="F109" s="720">
        <v>0</v>
      </c>
      <c r="G109" s="720">
        <v>0</v>
      </c>
      <c r="H109" s="720">
        <v>0</v>
      </c>
      <c r="I109" s="699">
        <f>'DNSP Data Inputs 2012-15'!I109</f>
        <v>0</v>
      </c>
      <c r="J109" s="691">
        <f>'DNSP Data Inputs 2012-15'!J109</f>
        <v>0</v>
      </c>
      <c r="K109" s="119"/>
      <c r="L109" s="2"/>
      <c r="M109" s="21"/>
      <c r="N109" s="2"/>
      <c r="O109" s="687">
        <f>'DNSP Data Inputs 2012-15'!O109</f>
        <v>0</v>
      </c>
      <c r="P109" s="739">
        <f>'DNSP Data Inputs 2012-15'!P109</f>
        <v>0</v>
      </c>
      <c r="Q109" s="688">
        <f>'DNSP Data Inputs 2012-15'!Q109</f>
        <v>0</v>
      </c>
    </row>
    <row r="110" spans="1:17" x14ac:dyDescent="0.2">
      <c r="A110" s="82" t="s">
        <v>34</v>
      </c>
      <c r="B110" s="91"/>
      <c r="D110" s="337"/>
      <c r="E110" s="685">
        <v>0</v>
      </c>
      <c r="F110" s="720">
        <v>0</v>
      </c>
      <c r="G110" s="720">
        <v>0</v>
      </c>
      <c r="H110" s="720">
        <v>0</v>
      </c>
      <c r="I110" s="699">
        <f>'DNSP Data Inputs 2012-15'!I110</f>
        <v>0</v>
      </c>
      <c r="J110" s="691">
        <f>'DNSP Data Inputs 2012-15'!J110</f>
        <v>0</v>
      </c>
      <c r="K110" s="119"/>
      <c r="L110" s="2"/>
      <c r="M110" s="21"/>
      <c r="N110" s="2"/>
      <c r="O110" s="687">
        <f>'DNSP Data Inputs 2012-15'!O110</f>
        <v>0</v>
      </c>
      <c r="P110" s="739">
        <f>'DNSP Data Inputs 2012-15'!P110</f>
        <v>0</v>
      </c>
      <c r="Q110" s="688">
        <f>'DNSP Data Inputs 2012-15'!Q110</f>
        <v>0</v>
      </c>
    </row>
    <row r="111" spans="1:17" x14ac:dyDescent="0.2">
      <c r="A111" s="82" t="s">
        <v>35</v>
      </c>
      <c r="B111" s="89"/>
      <c r="D111" s="334"/>
      <c r="E111" s="685">
        <v>0</v>
      </c>
      <c r="F111" s="720">
        <v>0</v>
      </c>
      <c r="G111" s="720">
        <v>0</v>
      </c>
      <c r="H111" s="720">
        <v>0</v>
      </c>
      <c r="I111" s="699">
        <f>'DNSP Data Inputs 2012-15'!I111</f>
        <v>0</v>
      </c>
      <c r="J111" s="691">
        <f>'DNSP Data Inputs 2012-15'!J111</f>
        <v>0</v>
      </c>
      <c r="K111" s="119"/>
      <c r="L111" s="2"/>
      <c r="M111" s="21"/>
      <c r="N111" s="2"/>
      <c r="O111" s="687">
        <f>'DNSP Data Inputs 2012-15'!O111</f>
        <v>0</v>
      </c>
      <c r="P111" s="739">
        <f>'DNSP Data Inputs 2012-15'!P111</f>
        <v>0</v>
      </c>
      <c r="Q111" s="688">
        <f>'DNSP Data Inputs 2012-15'!Q111</f>
        <v>0</v>
      </c>
    </row>
    <row r="112" spans="1:17" x14ac:dyDescent="0.2">
      <c r="A112" s="551" t="s">
        <v>375</v>
      </c>
      <c r="B112" s="89"/>
      <c r="D112" s="337"/>
      <c r="E112" s="577">
        <f t="shared" ref="E112:F114" si="20">E185</f>
        <v>96.67</v>
      </c>
      <c r="F112" s="742">
        <f t="shared" si="20"/>
        <v>95.01</v>
      </c>
      <c r="G112" s="742">
        <f t="shared" ref="G112:H112" si="21">G185</f>
        <v>102.96</v>
      </c>
      <c r="H112" s="742">
        <f t="shared" si="21"/>
        <v>127.75</v>
      </c>
      <c r="I112" s="699">
        <f>'DNSP Data Inputs 2012-15'!I112</f>
        <v>117.16075250118475</v>
      </c>
      <c r="J112" s="691">
        <f>'DNSP Data Inputs 2012-15'!J112</f>
        <v>117.16075250118475</v>
      </c>
      <c r="K112" s="119"/>
      <c r="L112" s="2"/>
      <c r="M112" s="21"/>
      <c r="N112" s="2"/>
      <c r="O112" s="687">
        <f>'DNSP Data Inputs 2012-15'!O112</f>
        <v>617598.49951628468</v>
      </c>
      <c r="P112" s="739">
        <f>'DNSP Data Inputs 2012-15'!P112</f>
        <v>627651.41215236764</v>
      </c>
      <c r="Q112" s="688">
        <f>'DNSP Data Inputs 2012-15'!Q112</f>
        <v>637222.32996039581</v>
      </c>
    </row>
    <row r="113" spans="1:17" x14ac:dyDescent="0.2">
      <c r="A113" s="551" t="s">
        <v>290</v>
      </c>
      <c r="B113" s="89"/>
      <c r="D113" s="337"/>
      <c r="E113" s="577">
        <f t="shared" si="20"/>
        <v>127.5</v>
      </c>
      <c r="F113" s="742">
        <f t="shared" si="20"/>
        <v>125.32</v>
      </c>
      <c r="G113" s="742">
        <f t="shared" ref="G113:H113" si="22">G186</f>
        <v>135.80000000000001</v>
      </c>
      <c r="H113" s="742">
        <f t="shared" si="22"/>
        <v>168.5</v>
      </c>
      <c r="I113" s="699">
        <f>'DNSP Data Inputs 2012-15'!I113</f>
        <v>154.53296905244329</v>
      </c>
      <c r="J113" s="691">
        <f>'DNSP Data Inputs 2012-15'!J113</f>
        <v>154.53296905244329</v>
      </c>
      <c r="K113" s="119"/>
      <c r="L113" s="2"/>
      <c r="M113" s="21"/>
      <c r="N113" s="2"/>
      <c r="O113" s="687">
        <f>'DNSP Data Inputs 2012-15'!O113</f>
        <v>118144.14401795466</v>
      </c>
      <c r="P113" s="739">
        <f>'DNSP Data Inputs 2012-15'!P113</f>
        <v>119645.55101336956</v>
      </c>
      <c r="Q113" s="688">
        <f>'DNSP Data Inputs 2012-15'!Q113</f>
        <v>121090.9262866326</v>
      </c>
    </row>
    <row r="114" spans="1:17" x14ac:dyDescent="0.2">
      <c r="A114" s="551" t="s">
        <v>291</v>
      </c>
      <c r="B114" s="89"/>
      <c r="D114" s="337"/>
      <c r="E114" s="577">
        <f t="shared" si="20"/>
        <v>168.94</v>
      </c>
      <c r="F114" s="742">
        <f t="shared" si="20"/>
        <v>166.05</v>
      </c>
      <c r="G114" s="742">
        <f t="shared" ref="G114:H114" si="23">G187</f>
        <v>179.94</v>
      </c>
      <c r="H114" s="742">
        <f t="shared" si="23"/>
        <v>223.27</v>
      </c>
      <c r="I114" s="699">
        <f>'DNSP Data Inputs 2012-15'!I114</f>
        <v>204.76306231655201</v>
      </c>
      <c r="J114" s="691">
        <f>'DNSP Data Inputs 2012-15'!J114</f>
        <v>204.76306231655201</v>
      </c>
      <c r="K114" s="119"/>
      <c r="L114" s="2"/>
      <c r="M114" s="21"/>
      <c r="N114" s="2"/>
      <c r="O114" s="687">
        <f>'DNSP Data Inputs 2012-15'!O114</f>
        <v>4336.3195815169502</v>
      </c>
      <c r="P114" s="739">
        <f>'DNSP Data Inputs 2012-15'!P114</f>
        <v>4485.4476854641198</v>
      </c>
      <c r="Q114" s="688">
        <f>'DNSP Data Inputs 2012-15'!Q114</f>
        <v>4585.1865444224395</v>
      </c>
    </row>
    <row r="115" spans="1:17" x14ac:dyDescent="0.2">
      <c r="A115" s="551" t="s">
        <v>373</v>
      </c>
      <c r="D115" s="337"/>
      <c r="E115" s="685">
        <v>0</v>
      </c>
      <c r="F115" s="720">
        <v>0</v>
      </c>
      <c r="G115" s="720">
        <v>0</v>
      </c>
      <c r="H115" s="720">
        <v>0</v>
      </c>
      <c r="I115" s="699">
        <f>'DNSP Data Inputs 2012-15'!I115</f>
        <v>0</v>
      </c>
      <c r="J115" s="691">
        <f>'DNSP Data Inputs 2012-15'!J115</f>
        <v>0</v>
      </c>
      <c r="K115" s="119"/>
      <c r="L115" s="2"/>
      <c r="M115" s="21"/>
      <c r="N115" s="2"/>
      <c r="O115" s="687">
        <f>'DNSP Data Inputs 2012-15'!O115</f>
        <v>0</v>
      </c>
      <c r="P115" s="739">
        <f>'DNSP Data Inputs 2012-15'!P115</f>
        <v>0</v>
      </c>
      <c r="Q115" s="688">
        <f>'DNSP Data Inputs 2012-15'!Q115</f>
        <v>0</v>
      </c>
    </row>
    <row r="116" spans="1:17" x14ac:dyDescent="0.2">
      <c r="A116" s="551" t="s">
        <v>374</v>
      </c>
      <c r="B116" s="58"/>
      <c r="D116" s="337"/>
      <c r="E116" s="686">
        <v>0</v>
      </c>
      <c r="F116" s="721">
        <v>0</v>
      </c>
      <c r="G116" s="721">
        <v>0</v>
      </c>
      <c r="H116" s="721">
        <v>0</v>
      </c>
      <c r="I116" s="743">
        <f>'DNSP Data Inputs 2012-15'!I116</f>
        <v>0</v>
      </c>
      <c r="J116" s="692">
        <f>'DNSP Data Inputs 2012-15'!J116</f>
        <v>0</v>
      </c>
      <c r="K116" s="119"/>
      <c r="L116" s="2"/>
      <c r="M116" s="21"/>
      <c r="N116" s="2"/>
      <c r="O116" s="689">
        <f>'DNSP Data Inputs 2012-15'!O116</f>
        <v>0</v>
      </c>
      <c r="P116" s="744">
        <f>'DNSP Data Inputs 2012-15'!P116</f>
        <v>0</v>
      </c>
      <c r="Q116" s="690">
        <f>'DNSP Data Inputs 2012-15'!Q116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6" t="s">
        <v>382</v>
      </c>
      <c r="D124" s="19"/>
      <c r="E124" s="19"/>
      <c r="F124" s="19"/>
      <c r="G124" s="19"/>
      <c r="H124" s="19"/>
      <c r="I124" s="696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7" t="s">
        <v>383</v>
      </c>
      <c r="D125" s="2"/>
      <c r="E125" s="2"/>
      <c r="F125" s="2"/>
      <c r="G125" s="2"/>
      <c r="H125" s="2"/>
      <c r="I125" s="697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f>'DNSP Data Inputs 2012-15'!I127</f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f>'DNSP Data Inputs 2012-15'!I128</f>
        <v>2.6200000000000001E-2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10">
        <f>'DNSP Data Inputs 2012-15'!I131</f>
        <v>7.2800000000000004E-2</v>
      </c>
    </row>
    <row r="132" spans="1:16" x14ac:dyDescent="0.2">
      <c r="A132" s="21" t="s">
        <v>14</v>
      </c>
      <c r="C132" s="101">
        <f>'Data 2006-08'!C131</f>
        <v>1</v>
      </c>
      <c r="I132" s="711">
        <f>'DNSP Data Inputs 2012-15'!I132</f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12">
        <f>'DNSP Data Inputs 2012-15'!I133</f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13">
        <f>'DNSP Data Inputs 2012-15'!I134</f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f>'DNSP Data Inputs 2012-15'!I137</f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11">
        <f>'DNSP Data Inputs 2012-15'!I138</f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44">
        <f>D$1</f>
        <v>2009</v>
      </c>
      <c r="E142" s="45">
        <f t="shared" ref="E142:J142" si="24">E$1</f>
        <v>2010</v>
      </c>
      <c r="F142" s="45">
        <f t="shared" si="24"/>
        <v>2011</v>
      </c>
      <c r="G142" s="45">
        <f t="shared" si="24"/>
        <v>2012</v>
      </c>
      <c r="H142" s="45">
        <f t="shared" si="24"/>
        <v>2013</v>
      </c>
      <c r="I142" s="45">
        <f t="shared" si="24"/>
        <v>2014</v>
      </c>
      <c r="J142" s="46">
        <f t="shared" si="24"/>
        <v>2015</v>
      </c>
      <c r="K142" s="54"/>
      <c r="L142" s="918" t="s">
        <v>36</v>
      </c>
      <c r="M142" s="904"/>
      <c r="N142" s="518" t="s">
        <v>75</v>
      </c>
    </row>
    <row r="143" spans="1:16" x14ac:dyDescent="0.2">
      <c r="A143" s="41" t="s">
        <v>86</v>
      </c>
      <c r="D143" s="706" t="s">
        <v>20</v>
      </c>
      <c r="E143" s="679" t="s">
        <v>20</v>
      </c>
      <c r="F143" s="679" t="s">
        <v>20</v>
      </c>
      <c r="G143" s="679" t="s">
        <v>20</v>
      </c>
      <c r="H143" s="679" t="s">
        <v>20</v>
      </c>
      <c r="I143" s="707" t="str">
        <f>I$3</f>
        <v>Forecast</v>
      </c>
      <c r="J143" s="708" t="str">
        <f>J$3</f>
        <v>Forecast</v>
      </c>
      <c r="K143" s="108"/>
      <c r="L143" s="312">
        <v>39355</v>
      </c>
      <c r="M143" s="680">
        <f>'Data 2006-08'!D150</f>
        <v>158.6</v>
      </c>
    </row>
    <row r="144" spans="1:16" x14ac:dyDescent="0.2">
      <c r="A144" s="21" t="s">
        <v>87</v>
      </c>
      <c r="D144" s="709">
        <f>'Data 2006-08'!F151</f>
        <v>4.9810844892812067E-2</v>
      </c>
      <c r="E144" s="709">
        <f>N145</f>
        <v>1.2612612612612484E-2</v>
      </c>
      <c r="F144" s="709">
        <f>N146</f>
        <v>2.7876631079478242E-2</v>
      </c>
      <c r="G144" s="802">
        <f>N147</f>
        <v>3.5199076745527913E-2</v>
      </c>
      <c r="H144" s="802">
        <f>N151</f>
        <v>2.0040080160320661E-2</v>
      </c>
      <c r="I144" s="113">
        <f>$I$134</f>
        <v>2.47E-2</v>
      </c>
      <c r="J144" s="113">
        <f>$I$134</f>
        <v>2.47E-2</v>
      </c>
      <c r="K144" s="113"/>
      <c r="L144" s="313">
        <v>39721</v>
      </c>
      <c r="M144" s="681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5">D145*(1+E144)</f>
        <v>1.0630517023959645</v>
      </c>
      <c r="F145" s="59">
        <f t="shared" si="25"/>
        <v>1.0926860025220682</v>
      </c>
      <c r="G145" s="59">
        <f t="shared" si="25"/>
        <v>1.1311475409836065</v>
      </c>
      <c r="H145" s="59">
        <f t="shared" si="25"/>
        <v>1.1538158283780675</v>
      </c>
      <c r="I145" s="59">
        <f t="shared" si="25"/>
        <v>1.1823150793390058</v>
      </c>
      <c r="J145" s="59">
        <f t="shared" si="25"/>
        <v>1.2115182617986793</v>
      </c>
      <c r="K145" s="59"/>
      <c r="L145" s="703">
        <v>40086</v>
      </c>
      <c r="M145" s="682">
        <v>168.6</v>
      </c>
      <c r="N145" s="314">
        <f>M145/M144-1</f>
        <v>1.2612612612612484E-2</v>
      </c>
    </row>
    <row r="146" spans="1:15" x14ac:dyDescent="0.2">
      <c r="B146" s="98"/>
      <c r="L146" s="703">
        <v>40451</v>
      </c>
      <c r="M146" s="682">
        <v>173.3</v>
      </c>
      <c r="N146" s="314">
        <f>M146/M145-1</f>
        <v>2.7876631079478242E-2</v>
      </c>
    </row>
    <row r="147" spans="1:15" x14ac:dyDescent="0.2">
      <c r="B147" s="98"/>
      <c r="L147" s="705">
        <v>40816</v>
      </c>
      <c r="M147" s="881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82" t="s">
        <v>404</v>
      </c>
      <c r="M149" s="21"/>
      <c r="N149" s="2"/>
    </row>
    <row r="150" spans="1:15" x14ac:dyDescent="0.2">
      <c r="B150" s="98"/>
      <c r="L150" s="883">
        <v>40816</v>
      </c>
      <c r="M150" s="884">
        <v>99.8</v>
      </c>
    </row>
    <row r="151" spans="1:15" x14ac:dyDescent="0.2">
      <c r="B151" s="98"/>
      <c r="L151" s="703">
        <v>41182</v>
      </c>
      <c r="M151" s="704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3">
        <v>41547</v>
      </c>
      <c r="M152" s="704"/>
      <c r="N152" s="21"/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5">
        <v>41912</v>
      </c>
      <c r="M153" s="683"/>
      <c r="N153" s="21"/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26">D$1</f>
        <v>2009</v>
      </c>
      <c r="E169" s="330">
        <f t="shared" si="26"/>
        <v>2010</v>
      </c>
      <c r="F169" s="330">
        <f t="shared" si="26"/>
        <v>2011</v>
      </c>
      <c r="G169" s="330">
        <f t="shared" si="26"/>
        <v>2012</v>
      </c>
      <c r="H169" s="330">
        <f t="shared" si="26"/>
        <v>2013</v>
      </c>
      <c r="I169" s="330">
        <f t="shared" si="26"/>
        <v>2014</v>
      </c>
      <c r="J169" s="330">
        <f t="shared" si="26"/>
        <v>2015</v>
      </c>
    </row>
    <row r="170" spans="1:10" x14ac:dyDescent="0.2">
      <c r="A170" s="30"/>
      <c r="D170" s="716" t="s">
        <v>20</v>
      </c>
      <c r="E170" s="716" t="s">
        <v>20</v>
      </c>
      <c r="F170" s="716" t="s">
        <v>20</v>
      </c>
      <c r="G170" s="716" t="s">
        <v>20</v>
      </c>
      <c r="H170" s="716" t="s">
        <v>20</v>
      </c>
      <c r="I170" s="716" t="s">
        <v>20</v>
      </c>
      <c r="J170" s="716" t="s">
        <v>20</v>
      </c>
    </row>
    <row r="171" spans="1:10" x14ac:dyDescent="0.2">
      <c r="A171" s="30"/>
      <c r="D171" s="717" t="s">
        <v>22</v>
      </c>
      <c r="E171" s="717" t="s">
        <v>22</v>
      </c>
      <c r="F171" s="717" t="s">
        <v>22</v>
      </c>
      <c r="G171" s="717" t="s">
        <v>22</v>
      </c>
      <c r="H171" s="717" t="s">
        <v>22</v>
      </c>
      <c r="I171" s="717" t="s">
        <v>22</v>
      </c>
      <c r="J171" s="717" t="s">
        <v>22</v>
      </c>
    </row>
    <row r="172" spans="1:10" x14ac:dyDescent="0.2">
      <c r="A172" s="30"/>
      <c r="B172" s="53"/>
      <c r="D172" s="331"/>
      <c r="E172" s="718"/>
      <c r="F172" s="718"/>
      <c r="G172" s="718"/>
      <c r="H172" s="718"/>
      <c r="I172" s="738"/>
      <c r="J172" s="737"/>
    </row>
    <row r="173" spans="1:10" x14ac:dyDescent="0.2">
      <c r="A173" s="88" t="s">
        <v>24</v>
      </c>
      <c r="D173" s="714" t="s">
        <v>28</v>
      </c>
      <c r="E173" s="718"/>
      <c r="F173" s="718"/>
      <c r="G173" s="718"/>
      <c r="H173" s="718"/>
      <c r="I173" s="20"/>
      <c r="J173" s="725"/>
    </row>
    <row r="174" spans="1:10" x14ac:dyDescent="0.2">
      <c r="A174" s="82" t="s">
        <v>26</v>
      </c>
      <c r="D174" s="548">
        <v>74.754999999999995</v>
      </c>
      <c r="E174" s="718"/>
      <c r="F174" s="718"/>
      <c r="G174" s="718"/>
      <c r="H174" s="718"/>
      <c r="I174" s="20"/>
      <c r="J174" s="725"/>
    </row>
    <row r="175" spans="1:10" x14ac:dyDescent="0.2">
      <c r="A175" s="82" t="s">
        <v>27</v>
      </c>
      <c r="D175" s="548">
        <v>26.5</v>
      </c>
      <c r="E175" s="718"/>
      <c r="F175" s="718"/>
      <c r="G175" s="718"/>
      <c r="H175" s="718"/>
      <c r="I175" s="20"/>
      <c r="J175" s="725"/>
    </row>
    <row r="176" spans="1:10" x14ac:dyDescent="0.2">
      <c r="A176" s="30"/>
      <c r="D176" s="549"/>
      <c r="E176" s="718"/>
      <c r="F176" s="718"/>
      <c r="G176" s="718"/>
      <c r="H176" s="718"/>
      <c r="I176" s="20"/>
      <c r="J176" s="725"/>
    </row>
    <row r="177" spans="1:17" x14ac:dyDescent="0.2">
      <c r="A177" s="88" t="s">
        <v>29</v>
      </c>
      <c r="B177" s="446"/>
      <c r="D177" s="715" t="s">
        <v>28</v>
      </c>
      <c r="E177" s="718"/>
      <c r="F177" s="718"/>
      <c r="G177" s="718"/>
      <c r="H177" s="718"/>
      <c r="I177" s="20"/>
      <c r="J177" s="725"/>
    </row>
    <row r="178" spans="1:17" x14ac:dyDescent="0.2">
      <c r="A178" s="55" t="s">
        <v>288</v>
      </c>
      <c r="B178" s="442"/>
      <c r="D178" s="548">
        <v>8.4499999999999993</v>
      </c>
      <c r="E178" s="718"/>
      <c r="F178" s="718"/>
      <c r="G178" s="718"/>
      <c r="H178" s="718"/>
      <c r="I178" s="20"/>
      <c r="J178" s="725"/>
    </row>
    <row r="179" spans="1:17" x14ac:dyDescent="0.2">
      <c r="A179" s="55" t="s">
        <v>289</v>
      </c>
      <c r="B179" s="443"/>
      <c r="D179" s="548">
        <v>21.736000000000001</v>
      </c>
      <c r="E179" s="718"/>
      <c r="F179" s="718"/>
      <c r="G179" s="718"/>
      <c r="H179" s="718"/>
      <c r="I179" s="20"/>
      <c r="J179" s="725"/>
    </row>
    <row r="180" spans="1:17" x14ac:dyDescent="0.2">
      <c r="A180" s="55" t="s">
        <v>290</v>
      </c>
      <c r="B180" s="86"/>
      <c r="D180" s="548">
        <v>64.293999999999997</v>
      </c>
      <c r="E180" s="718"/>
      <c r="F180" s="718"/>
      <c r="G180" s="718"/>
      <c r="H180" s="718"/>
      <c r="I180" s="20"/>
      <c r="J180" s="725"/>
    </row>
    <row r="181" spans="1:17" x14ac:dyDescent="0.2">
      <c r="A181" s="55" t="s">
        <v>291</v>
      </c>
      <c r="B181" s="86"/>
      <c r="D181" s="550">
        <v>102.741</v>
      </c>
      <c r="E181" s="718"/>
      <c r="F181" s="718"/>
      <c r="G181" s="718"/>
      <c r="H181" s="718"/>
      <c r="I181" s="20"/>
      <c r="J181" s="725"/>
    </row>
    <row r="182" spans="1:17" x14ac:dyDescent="0.2">
      <c r="E182" s="718"/>
      <c r="F182" s="718"/>
      <c r="G182" s="718"/>
      <c r="H182" s="718"/>
      <c r="I182" s="20"/>
      <c r="J182" s="725"/>
    </row>
    <row r="183" spans="1:17" x14ac:dyDescent="0.2">
      <c r="E183" s="718"/>
      <c r="F183" s="718"/>
      <c r="G183" s="718"/>
      <c r="H183" s="718"/>
      <c r="I183" s="20"/>
      <c r="J183" s="725"/>
    </row>
    <row r="184" spans="1:17" x14ac:dyDescent="0.2">
      <c r="A184" s="88" t="s">
        <v>29</v>
      </c>
      <c r="E184" s="719" t="s">
        <v>28</v>
      </c>
      <c r="F184" s="718"/>
      <c r="G184" s="718"/>
      <c r="H184" s="718"/>
      <c r="I184" s="20"/>
      <c r="J184" s="725"/>
    </row>
    <row r="185" spans="1:17" x14ac:dyDescent="0.2">
      <c r="A185" s="83" t="s">
        <v>375</v>
      </c>
      <c r="E185" s="720">
        <v>96.67</v>
      </c>
      <c r="F185" s="720">
        <v>95.01</v>
      </c>
      <c r="G185" s="720">
        <v>102.96</v>
      </c>
      <c r="H185" s="720">
        <v>127.75</v>
      </c>
      <c r="I185" s="20"/>
      <c r="J185" s="725"/>
    </row>
    <row r="186" spans="1:17" x14ac:dyDescent="0.2">
      <c r="A186" s="83" t="s">
        <v>290</v>
      </c>
      <c r="E186" s="720">
        <v>127.5</v>
      </c>
      <c r="F186" s="720">
        <v>125.32</v>
      </c>
      <c r="G186" s="720">
        <v>135.80000000000001</v>
      </c>
      <c r="H186" s="720">
        <v>168.5</v>
      </c>
      <c r="I186" s="20"/>
      <c r="J186" s="725"/>
    </row>
    <row r="187" spans="1:17" x14ac:dyDescent="0.2">
      <c r="A187" s="83" t="s">
        <v>291</v>
      </c>
      <c r="E187" s="721">
        <v>168.94</v>
      </c>
      <c r="F187" s="721">
        <v>166.05</v>
      </c>
      <c r="G187" s="721">
        <v>179.94</v>
      </c>
      <c r="H187" s="721">
        <v>223.27</v>
      </c>
      <c r="I187" s="734"/>
      <c r="J187" s="735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RowHeight="12.75" x14ac:dyDescent="0.2"/>
  <cols>
    <col min="1" max="1" width="33.5703125" style="55" customWidth="1"/>
    <col min="2" max="3" width="9.140625" style="55"/>
    <col min="4" max="10" width="15" style="55" customWidth="1"/>
    <col min="11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98630.984763917702</v>
      </c>
      <c r="I4" s="345">
        <f>'AMI Building Blocks 2009-15'!I34</f>
        <v>87687.144328970549</v>
      </c>
      <c r="J4" s="345">
        <f>'AMI Building Blocks 2009-15'!J34</f>
        <v>88224.573350298597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98630.984763917702</v>
      </c>
      <c r="I6" s="387">
        <f t="shared" si="0"/>
        <v>87687.144328970549</v>
      </c>
      <c r="J6" s="387">
        <f t="shared" si="0"/>
        <v>88224.573350298597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R76</f>
        <v>99773.666653196022</v>
      </c>
      <c r="I8" s="345">
        <f>S76</f>
        <v>92943.747992150515</v>
      </c>
      <c r="J8" s="345">
        <f>T76</f>
        <v>94308.864891230696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7.9215999999999953E-2</v>
      </c>
      <c r="J10" s="513">
        <f>'AMI Building Blocks 2009-15'!J24</f>
        <v>7.9215999999999953E-2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0.6127156052996735</v>
      </c>
      <c r="J11" s="514">
        <f t="shared" si="1"/>
        <v>0.56774140236956594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65219.983742472592</v>
      </c>
      <c r="I13" s="345">
        <f t="shared" si="2"/>
        <v>53727.281714525023</v>
      </c>
      <c r="J13" s="345">
        <f t="shared" si="2"/>
        <v>50088.742997355163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65975.584980967105</v>
      </c>
      <c r="I15" s="345">
        <f t="shared" si="3"/>
        <v>56948.08480983082</v>
      </c>
      <c r="J15" s="345">
        <f t="shared" si="3"/>
        <v>53543.04720922924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-6675.1073071798892</v>
      </c>
      <c r="I17" s="516">
        <f>SUM($D15:I15)-SUM($D13:I13)</f>
        <v>-3454.304211874085</v>
      </c>
      <c r="J17" s="516">
        <f>SUM($D15:J15)-SUM($D13:J13)</f>
        <v>0</v>
      </c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Compliant</v>
      </c>
    </row>
    <row r="21" spans="1:20" x14ac:dyDescent="0.2">
      <c r="A21" s="817"/>
      <c r="E21" s="783"/>
      <c r="F21" s="783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3"/>
      <c r="B24" s="393"/>
      <c r="C24" s="393"/>
      <c r="D24" s="694"/>
      <c r="E24" s="510"/>
      <c r="G24" s="510"/>
      <c r="J24" s="510"/>
    </row>
    <row r="25" spans="1:20" s="358" customFormat="1" x14ac:dyDescent="0.2">
      <c r="A25" s="86"/>
      <c r="B25" s="393"/>
      <c r="C25" s="393"/>
      <c r="D25" s="784"/>
    </row>
    <row r="26" spans="1:20" s="358" customFormat="1" x14ac:dyDescent="0.2">
      <c r="A26" s="493" t="s">
        <v>390</v>
      </c>
      <c r="B26" s="363"/>
      <c r="C26" s="363"/>
      <c r="F26" s="896" t="s">
        <v>387</v>
      </c>
      <c r="G26" s="919" t="s">
        <v>292</v>
      </c>
      <c r="H26" s="902"/>
      <c r="L26" s="919" t="s">
        <v>23</v>
      </c>
      <c r="M26" s="901"/>
      <c r="N26" s="902"/>
      <c r="R26" s="919" t="s">
        <v>341</v>
      </c>
      <c r="S26" s="901"/>
      <c r="T26" s="902"/>
    </row>
    <row r="27" spans="1:20" s="358" customFormat="1" x14ac:dyDescent="0.2">
      <c r="A27" s="407" t="s">
        <v>304</v>
      </c>
      <c r="B27" s="363"/>
      <c r="C27" s="363"/>
      <c r="F27" s="785">
        <v>2013</v>
      </c>
      <c r="G27" s="785">
        <v>2014</v>
      </c>
      <c r="H27" s="785">
        <v>2015</v>
      </c>
      <c r="L27" s="785">
        <f>F27</f>
        <v>2013</v>
      </c>
      <c r="M27" s="785">
        <f>G27</f>
        <v>2014</v>
      </c>
      <c r="N27" s="785">
        <f>H27</f>
        <v>2015</v>
      </c>
      <c r="R27" s="785">
        <f>L27</f>
        <v>2013</v>
      </c>
      <c r="S27" s="785">
        <f>M27</f>
        <v>2014</v>
      </c>
      <c r="T27" s="785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F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F30" s="508">
        <f>'Data 2009-15 (Real $2008)'!H72</f>
        <v>0</v>
      </c>
      <c r="G30" s="508">
        <f>'Data 2009-15 (Real $2008)'!I72</f>
        <v>0</v>
      </c>
      <c r="H30" s="508">
        <f>'Data 2009-15 (Real $2008)'!J72</f>
        <v>0</v>
      </c>
      <c r="L30" s="507">
        <f>'Data 2009-15 (Real $2008)'!O72</f>
        <v>0</v>
      </c>
      <c r="M30" s="507">
        <f>'Data 2009-15 (Real $2008)'!P72</f>
        <v>0</v>
      </c>
      <c r="N30" s="507">
        <f>'Data 2009-15 (Real $2008)'!Q72</f>
        <v>0</v>
      </c>
      <c r="R30" s="80">
        <f t="shared" ref="R30:T36" si="5">F30*L30/10^3</f>
        <v>0</v>
      </c>
      <c r="S30" s="80">
        <f t="shared" si="5"/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F31" s="508">
        <f>'Data 2009-15 (Real $2008)'!H73</f>
        <v>0</v>
      </c>
      <c r="G31" s="508">
        <f>'Data 2009-15 (Real $2008)'!I73</f>
        <v>0</v>
      </c>
      <c r="H31" s="508">
        <f>'Data 2009-15 (Real $2008)'!J73</f>
        <v>0</v>
      </c>
      <c r="L31" s="507">
        <f>'Data 2009-15 (Real $2008)'!O73</f>
        <v>0</v>
      </c>
      <c r="M31" s="507">
        <f>'Data 2009-15 (Real $2008)'!P73</f>
        <v>0</v>
      </c>
      <c r="N31" s="507">
        <f>'Data 2009-15 (Real $2008)'!Q73</f>
        <v>0</v>
      </c>
      <c r="R31" s="80">
        <f t="shared" si="5"/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F32" s="508">
        <f>'Data 2009-15 (Real $2008)'!H74</f>
        <v>0</v>
      </c>
      <c r="G32" s="508">
        <f>'Data 2009-15 (Real $2008)'!I74</f>
        <v>0</v>
      </c>
      <c r="H32" s="508">
        <f>'Data 2009-15 (Real $2008)'!J74</f>
        <v>0</v>
      </c>
      <c r="L32" s="507">
        <f>'Data 2009-15 (Real $2008)'!O74</f>
        <v>0</v>
      </c>
      <c r="M32" s="507">
        <f>'Data 2009-15 (Real $2008)'!P74</f>
        <v>0</v>
      </c>
      <c r="N32" s="507">
        <f>'Data 2009-15 (Real $2008)'!Q74</f>
        <v>0</v>
      </c>
      <c r="R32" s="80">
        <f t="shared" si="5"/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F33" s="508">
        <f>'Data 2009-15 (Real $2008)'!H75</f>
        <v>0</v>
      </c>
      <c r="G33" s="508">
        <f>'Data 2009-15 (Real $2008)'!I75</f>
        <v>0</v>
      </c>
      <c r="H33" s="508">
        <f>'Data 2009-15 (Real $2008)'!J75</f>
        <v>0</v>
      </c>
      <c r="L33" s="507">
        <f>'Data 2009-15 (Real $2008)'!O75</f>
        <v>0</v>
      </c>
      <c r="M33" s="507">
        <f>'Data 2009-15 (Real $2008)'!P75</f>
        <v>0</v>
      </c>
      <c r="N33" s="507">
        <f>'Data 2009-15 (Real $2008)'!Q75</f>
        <v>0</v>
      </c>
      <c r="R33" s="80">
        <f t="shared" si="5"/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F34" s="508">
        <f>'Data 2009-15 (Real $2008)'!H76</f>
        <v>0</v>
      </c>
      <c r="G34" s="508">
        <f>'Data 2009-15 (Real $2008)'!I76</f>
        <v>0</v>
      </c>
      <c r="H34" s="508">
        <f>'Data 2009-15 (Real $2008)'!J76</f>
        <v>0</v>
      </c>
      <c r="L34" s="507">
        <f>'Data 2009-15 (Real $2008)'!O76</f>
        <v>0</v>
      </c>
      <c r="M34" s="507">
        <f>'Data 2009-15 (Real $2008)'!P76</f>
        <v>0</v>
      </c>
      <c r="N34" s="507">
        <f>'Data 2009-15 (Real $2008)'!Q76</f>
        <v>0</v>
      </c>
      <c r="R34" s="80">
        <f t="shared" si="5"/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F35" s="508">
        <f>'Data 2009-15 (Real $2008)'!H77</f>
        <v>0</v>
      </c>
      <c r="G35" s="508">
        <f>'Data 2009-15 (Real $2008)'!I77</f>
        <v>0</v>
      </c>
      <c r="H35" s="508">
        <f>'Data 2009-15 (Real $2008)'!J77</f>
        <v>0</v>
      </c>
      <c r="L35" s="507">
        <f>'Data 2009-15 (Real $2008)'!O77</f>
        <v>0</v>
      </c>
      <c r="M35" s="507">
        <f>'Data 2009-15 (Real $2008)'!P77</f>
        <v>0</v>
      </c>
      <c r="N35" s="507">
        <f>'Data 2009-15 (Real $2008)'!Q77</f>
        <v>0</v>
      </c>
      <c r="R35" s="80">
        <f t="shared" si="5"/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F36" s="508">
        <f>'Data 2009-15 (Real $2008)'!H78</f>
        <v>0</v>
      </c>
      <c r="G36" s="508">
        <f>'Data 2009-15 (Real $2008)'!I78</f>
        <v>0</v>
      </c>
      <c r="H36" s="508">
        <f>'Data 2009-15 (Real $2008)'!J78</f>
        <v>0</v>
      </c>
      <c r="L36" s="507">
        <f>'Data 2009-15 (Real $2008)'!O78</f>
        <v>0</v>
      </c>
      <c r="M36" s="507">
        <f>'Data 2009-15 (Real $2008)'!P78</f>
        <v>0</v>
      </c>
      <c r="N36" s="507">
        <f>'Data 2009-15 (Real $2008)'!Q78</f>
        <v>0</v>
      </c>
      <c r="R36" s="80">
        <f t="shared" si="5"/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F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F40" s="508">
        <f>'Data 2009-15 (Real $2008)'!H82</f>
        <v>0</v>
      </c>
      <c r="G40" s="508">
        <f>'Data 2009-15 (Real $2008)'!I82</f>
        <v>0</v>
      </c>
      <c r="H40" s="508">
        <f>'Data 2009-15 (Real $2008)'!J82</f>
        <v>0</v>
      </c>
      <c r="L40" s="507">
        <f>'Data 2009-15 (Real $2008)'!O82</f>
        <v>0</v>
      </c>
      <c r="M40" s="507">
        <f>'Data 2009-15 (Real $2008)'!P82</f>
        <v>0</v>
      </c>
      <c r="N40" s="507">
        <f>'Data 2009-15 (Real $2008)'!Q82</f>
        <v>0</v>
      </c>
      <c r="R40" s="80">
        <f t="shared" ref="R40:T46" si="6">F40*L40/10^3</f>
        <v>0</v>
      </c>
      <c r="S40" s="80">
        <f t="shared" si="6"/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F41" s="508">
        <f>'Data 2009-15 (Real $2008)'!H83</f>
        <v>0</v>
      </c>
      <c r="G41" s="508">
        <f>'Data 2009-15 (Real $2008)'!I83</f>
        <v>0</v>
      </c>
      <c r="H41" s="508">
        <f>'Data 2009-15 (Real $2008)'!J83</f>
        <v>0</v>
      </c>
      <c r="L41" s="507">
        <f>'Data 2009-15 (Real $2008)'!O83</f>
        <v>0</v>
      </c>
      <c r="M41" s="507">
        <f>'Data 2009-15 (Real $2008)'!P83</f>
        <v>0</v>
      </c>
      <c r="N41" s="507">
        <f>'Data 2009-15 (Real $2008)'!Q83</f>
        <v>0</v>
      </c>
      <c r="R41" s="80">
        <f t="shared" si="6"/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F42" s="508">
        <f>'Data 2009-15 (Real $2008)'!H84</f>
        <v>0</v>
      </c>
      <c r="G42" s="508">
        <f>'Data 2009-15 (Real $2008)'!I84</f>
        <v>0</v>
      </c>
      <c r="H42" s="508">
        <f>'Data 2009-15 (Real $2008)'!J84</f>
        <v>0</v>
      </c>
      <c r="L42" s="507">
        <f>'Data 2009-15 (Real $2008)'!O84</f>
        <v>0</v>
      </c>
      <c r="M42" s="507">
        <f>'Data 2009-15 (Real $2008)'!P84</f>
        <v>0</v>
      </c>
      <c r="N42" s="507">
        <f>'Data 2009-15 (Real $2008)'!Q84</f>
        <v>0</v>
      </c>
      <c r="R42" s="80">
        <f t="shared" si="6"/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F43" s="508">
        <f>'Data 2009-15 (Real $2008)'!H85</f>
        <v>0</v>
      </c>
      <c r="G43" s="508">
        <f>'Data 2009-15 (Real $2008)'!I85</f>
        <v>0</v>
      </c>
      <c r="H43" s="508">
        <f>'Data 2009-15 (Real $2008)'!J85</f>
        <v>0</v>
      </c>
      <c r="L43" s="507">
        <f>'Data 2009-15 (Real $2008)'!O85</f>
        <v>0</v>
      </c>
      <c r="M43" s="507">
        <f>'Data 2009-15 (Real $2008)'!P85</f>
        <v>0</v>
      </c>
      <c r="N43" s="507">
        <f>'Data 2009-15 (Real $2008)'!Q85</f>
        <v>0</v>
      </c>
      <c r="R43" s="80">
        <f t="shared" si="6"/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F44" s="508">
        <f>'Data 2009-15 (Real $2008)'!H86</f>
        <v>0</v>
      </c>
      <c r="G44" s="508">
        <f>'Data 2009-15 (Real $2008)'!I86</f>
        <v>0</v>
      </c>
      <c r="H44" s="508">
        <f>'Data 2009-15 (Real $2008)'!J86</f>
        <v>0</v>
      </c>
      <c r="L44" s="507">
        <f>'Data 2009-15 (Real $2008)'!O86</f>
        <v>0</v>
      </c>
      <c r="M44" s="507">
        <f>'Data 2009-15 (Real $2008)'!P86</f>
        <v>0</v>
      </c>
      <c r="N44" s="507">
        <f>'Data 2009-15 (Real $2008)'!Q86</f>
        <v>0</v>
      </c>
      <c r="R44" s="80">
        <f t="shared" si="6"/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F45" s="508">
        <f>'Data 2009-15 (Real $2008)'!H87</f>
        <v>0</v>
      </c>
      <c r="G45" s="508">
        <f>'Data 2009-15 (Real $2008)'!I87</f>
        <v>0</v>
      </c>
      <c r="H45" s="508">
        <f>'Data 2009-15 (Real $2008)'!J87</f>
        <v>0</v>
      </c>
      <c r="L45" s="507">
        <f>'Data 2009-15 (Real $2008)'!O87</f>
        <v>0</v>
      </c>
      <c r="M45" s="507">
        <f>'Data 2009-15 (Real $2008)'!P87</f>
        <v>0</v>
      </c>
      <c r="N45" s="507">
        <f>'Data 2009-15 (Real $2008)'!Q87</f>
        <v>0</v>
      </c>
      <c r="R45" s="80">
        <f t="shared" si="6"/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F46" s="508">
        <f>'Data 2009-15 (Real $2008)'!H88</f>
        <v>0</v>
      </c>
      <c r="G46" s="508">
        <f>'Data 2009-15 (Real $2008)'!I88</f>
        <v>0</v>
      </c>
      <c r="H46" s="508">
        <f>'Data 2009-15 (Real $2008)'!J88</f>
        <v>0</v>
      </c>
      <c r="L46" s="507">
        <f>'Data 2009-15 (Real $2008)'!O88</f>
        <v>0</v>
      </c>
      <c r="M46" s="507">
        <f>'Data 2009-15 (Real $2008)'!P88</f>
        <v>0</v>
      </c>
      <c r="N46" s="507">
        <f>'Data 2009-15 (Real $2008)'!Q88</f>
        <v>0</v>
      </c>
      <c r="R46" s="80">
        <f t="shared" si="6"/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F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F50" s="508">
        <f>'Data 2009-15 (Real $2008)'!H92</f>
        <v>0</v>
      </c>
      <c r="G50" s="508">
        <f>'Data 2009-15 (Real $2008)'!I92</f>
        <v>0</v>
      </c>
      <c r="H50" s="508">
        <f>'Data 2009-15 (Real $2008)'!J92</f>
        <v>0</v>
      </c>
      <c r="L50" s="507">
        <f>'Data 2009-15 (Real $2008)'!O92</f>
        <v>0</v>
      </c>
      <c r="M50" s="507">
        <f>'Data 2009-15 (Real $2008)'!P92</f>
        <v>0</v>
      </c>
      <c r="N50" s="507">
        <f>'Data 2009-15 (Real $2008)'!Q92</f>
        <v>0</v>
      </c>
      <c r="R50" s="80">
        <f t="shared" ref="R50:T60" si="7">F50*L50/10^3</f>
        <v>0</v>
      </c>
      <c r="S50" s="80">
        <f t="shared" si="7"/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F51" s="508">
        <f>'Data 2009-15 (Real $2008)'!H93</f>
        <v>0</v>
      </c>
      <c r="G51" s="508">
        <f>'Data 2009-15 (Real $2008)'!I93</f>
        <v>0</v>
      </c>
      <c r="H51" s="508">
        <f>'Data 2009-15 (Real $2008)'!J93</f>
        <v>0</v>
      </c>
      <c r="L51" s="507">
        <f>'Data 2009-15 (Real $2008)'!O93</f>
        <v>0</v>
      </c>
      <c r="M51" s="507">
        <f>'Data 2009-15 (Real $2008)'!P93</f>
        <v>0</v>
      </c>
      <c r="N51" s="507">
        <f>'Data 2009-15 (Real $2008)'!Q93</f>
        <v>0</v>
      </c>
      <c r="R51" s="80">
        <f t="shared" si="7"/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F52" s="508">
        <f>'Data 2009-15 (Real $2008)'!H94</f>
        <v>0</v>
      </c>
      <c r="G52" s="508">
        <f>'Data 2009-15 (Real $2008)'!I94</f>
        <v>0</v>
      </c>
      <c r="H52" s="508">
        <f>'Data 2009-15 (Real $2008)'!J94</f>
        <v>0</v>
      </c>
      <c r="L52" s="507">
        <f>'Data 2009-15 (Real $2008)'!O94</f>
        <v>0</v>
      </c>
      <c r="M52" s="507">
        <f>'Data 2009-15 (Real $2008)'!P94</f>
        <v>0</v>
      </c>
      <c r="N52" s="507">
        <f>'Data 2009-15 (Real $2008)'!Q94</f>
        <v>0</v>
      </c>
      <c r="R52" s="80">
        <f t="shared" si="7"/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F53" s="508">
        <f>'Data 2009-15 (Real $2008)'!H95</f>
        <v>0</v>
      </c>
      <c r="G53" s="508">
        <f>'Data 2009-15 (Real $2008)'!I95</f>
        <v>0</v>
      </c>
      <c r="H53" s="508">
        <f>'Data 2009-15 (Real $2008)'!J95</f>
        <v>0</v>
      </c>
      <c r="L53" s="507">
        <f>'Data 2009-15 (Real $2008)'!O95</f>
        <v>0</v>
      </c>
      <c r="M53" s="507">
        <f>'Data 2009-15 (Real $2008)'!P95</f>
        <v>0</v>
      </c>
      <c r="N53" s="507">
        <f>'Data 2009-15 (Real $2008)'!Q95</f>
        <v>0</v>
      </c>
      <c r="R53" s="80">
        <f t="shared" si="7"/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F54" s="508">
        <f>'Data 2009-15 (Real $2008)'!H96</f>
        <v>0</v>
      </c>
      <c r="G54" s="508">
        <f>'Data 2009-15 (Real $2008)'!I96</f>
        <v>0</v>
      </c>
      <c r="H54" s="508">
        <f>'Data 2009-15 (Real $2008)'!J96</f>
        <v>0</v>
      </c>
      <c r="L54" s="507">
        <f>'Data 2009-15 (Real $2008)'!O96</f>
        <v>0</v>
      </c>
      <c r="M54" s="507">
        <f>'Data 2009-15 (Real $2008)'!P96</f>
        <v>0</v>
      </c>
      <c r="N54" s="507">
        <f>'Data 2009-15 (Real $2008)'!Q96</f>
        <v>0</v>
      </c>
      <c r="R54" s="80">
        <f t="shared" si="7"/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F55" s="508">
        <f>'Data 2009-15 (Real $2008)'!H97</f>
        <v>0</v>
      </c>
      <c r="G55" s="508">
        <f>'Data 2009-15 (Real $2008)'!I97</f>
        <v>0</v>
      </c>
      <c r="H55" s="508">
        <f>'Data 2009-15 (Real $2008)'!J97</f>
        <v>0</v>
      </c>
      <c r="L55" s="507">
        <f>'Data 2009-15 (Real $2008)'!O97</f>
        <v>0</v>
      </c>
      <c r="M55" s="507">
        <f>'Data 2009-15 (Real $2008)'!P97</f>
        <v>0</v>
      </c>
      <c r="N55" s="507">
        <f>'Data 2009-15 (Real $2008)'!Q97</f>
        <v>0</v>
      </c>
      <c r="R55" s="80">
        <f t="shared" si="7"/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F56" s="508">
        <f>'Data 2009-15 (Real $2008)'!H98</f>
        <v>0</v>
      </c>
      <c r="G56" s="508">
        <f>'Data 2009-15 (Real $2008)'!I98</f>
        <v>0</v>
      </c>
      <c r="H56" s="508">
        <f>'Data 2009-15 (Real $2008)'!J98</f>
        <v>0</v>
      </c>
      <c r="L56" s="507">
        <f>'Data 2009-15 (Real $2008)'!O98</f>
        <v>0</v>
      </c>
      <c r="M56" s="507">
        <f>'Data 2009-15 (Real $2008)'!P98</f>
        <v>0</v>
      </c>
      <c r="N56" s="507">
        <f>'Data 2009-15 (Real $2008)'!Q98</f>
        <v>0</v>
      </c>
      <c r="R56" s="80">
        <f t="shared" si="7"/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F57" s="508">
        <f>'Data 2009-15 (Real $2008)'!H99</f>
        <v>0</v>
      </c>
      <c r="G57" s="508">
        <f>'Data 2009-15 (Real $2008)'!I99</f>
        <v>0</v>
      </c>
      <c r="H57" s="508">
        <f>'Data 2009-15 (Real $2008)'!J99</f>
        <v>0</v>
      </c>
      <c r="L57" s="507">
        <f>'Data 2009-15 (Real $2008)'!O99</f>
        <v>0</v>
      </c>
      <c r="M57" s="507">
        <f>'Data 2009-15 (Real $2008)'!P99</f>
        <v>0</v>
      </c>
      <c r="N57" s="507">
        <f>'Data 2009-15 (Real $2008)'!Q99</f>
        <v>0</v>
      </c>
      <c r="R57" s="80">
        <f t="shared" si="7"/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F58" s="508">
        <f>'Data 2009-15 (Real $2008)'!H100</f>
        <v>0</v>
      </c>
      <c r="G58" s="508">
        <f>'Data 2009-15 (Real $2008)'!I100</f>
        <v>0</v>
      </c>
      <c r="H58" s="508">
        <f>'Data 2009-15 (Real $2008)'!J100</f>
        <v>0</v>
      </c>
      <c r="L58" s="507">
        <f>'Data 2009-15 (Real $2008)'!O100</f>
        <v>0</v>
      </c>
      <c r="M58" s="507">
        <f>'Data 2009-15 (Real $2008)'!P100</f>
        <v>0</v>
      </c>
      <c r="N58" s="507">
        <f>'Data 2009-15 (Real $2008)'!Q100</f>
        <v>0</v>
      </c>
      <c r="R58" s="80">
        <f t="shared" si="7"/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F59" s="508">
        <f>'Data 2009-15 (Real $2008)'!H101</f>
        <v>0</v>
      </c>
      <c r="G59" s="508">
        <f>'Data 2009-15 (Real $2008)'!I101</f>
        <v>0</v>
      </c>
      <c r="H59" s="508">
        <f>'Data 2009-15 (Real $2008)'!J101</f>
        <v>0</v>
      </c>
      <c r="L59" s="507">
        <f>'Data 2009-15 (Real $2008)'!O101</f>
        <v>0</v>
      </c>
      <c r="M59" s="507">
        <f>'Data 2009-15 (Real $2008)'!P101</f>
        <v>0</v>
      </c>
      <c r="N59" s="507">
        <f>'Data 2009-15 (Real $2008)'!Q101</f>
        <v>0</v>
      </c>
      <c r="R59" s="80">
        <f t="shared" si="7"/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F60" s="508">
        <f>'Data 2009-15 (Real $2008)'!H102</f>
        <v>0</v>
      </c>
      <c r="G60" s="508">
        <f>'Data 2009-15 (Real $2008)'!I102</f>
        <v>0</v>
      </c>
      <c r="H60" s="508">
        <f>'Data 2009-15 (Real $2008)'!J102</f>
        <v>0</v>
      </c>
      <c r="L60" s="507">
        <f>'Data 2009-15 (Real $2008)'!O102</f>
        <v>0</v>
      </c>
      <c r="M60" s="507">
        <f>'Data 2009-15 (Real $2008)'!P102</f>
        <v>0</v>
      </c>
      <c r="N60" s="507">
        <f>'Data 2009-15 (Real $2008)'!Q102</f>
        <v>0</v>
      </c>
      <c r="R60" s="80">
        <f t="shared" si="7"/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F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F64" s="508">
        <f>'Data 2009-15 (Real $2008)'!H106</f>
        <v>0</v>
      </c>
      <c r="G64" s="508">
        <f>'Data 2009-15 (Real $2008)'!I106</f>
        <v>0</v>
      </c>
      <c r="H64" s="508">
        <f>'Data 2009-15 (Real $2008)'!J106</f>
        <v>0</v>
      </c>
      <c r="L64" s="507">
        <f>'Data 2009-15 (Real $2008)'!O106</f>
        <v>0</v>
      </c>
      <c r="M64" s="507">
        <f>'Data 2009-15 (Real $2008)'!P106</f>
        <v>0</v>
      </c>
      <c r="N64" s="507">
        <f>'Data 2009-15 (Real $2008)'!Q106</f>
        <v>0</v>
      </c>
      <c r="R64" s="80">
        <f t="shared" ref="R64:T74" si="8">F64*L64/10^3</f>
        <v>0</v>
      </c>
      <c r="S64" s="80">
        <f t="shared" si="8"/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F65" s="508">
        <f>'Data 2009-15 (Real $2008)'!H107</f>
        <v>0</v>
      </c>
      <c r="G65" s="508">
        <f>'Data 2009-15 (Real $2008)'!I107</f>
        <v>0</v>
      </c>
      <c r="H65" s="508">
        <f>'Data 2009-15 (Real $2008)'!J107</f>
        <v>0</v>
      </c>
      <c r="L65" s="507">
        <f>'Data 2009-15 (Real $2008)'!O107</f>
        <v>0</v>
      </c>
      <c r="M65" s="507">
        <f>'Data 2009-15 (Real $2008)'!P107</f>
        <v>0</v>
      </c>
      <c r="N65" s="507">
        <f>'Data 2009-15 (Real $2008)'!Q107</f>
        <v>0</v>
      </c>
      <c r="R65" s="80">
        <f t="shared" si="8"/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F66" s="508">
        <f>'Data 2009-15 (Real $2008)'!H108</f>
        <v>0</v>
      </c>
      <c r="G66" s="508">
        <f>'Data 2009-15 (Real $2008)'!I108</f>
        <v>0</v>
      </c>
      <c r="H66" s="508">
        <f>'Data 2009-15 (Real $2008)'!J108</f>
        <v>0</v>
      </c>
      <c r="L66" s="507">
        <f>'Data 2009-15 (Real $2008)'!O108</f>
        <v>0</v>
      </c>
      <c r="M66" s="507">
        <f>'Data 2009-15 (Real $2008)'!P108</f>
        <v>0</v>
      </c>
      <c r="N66" s="507">
        <f>'Data 2009-15 (Real $2008)'!Q108</f>
        <v>0</v>
      </c>
      <c r="R66" s="80">
        <f t="shared" si="8"/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F67" s="508">
        <f>'Data 2009-15 (Real $2008)'!H109</f>
        <v>0</v>
      </c>
      <c r="G67" s="508">
        <f>'Data 2009-15 (Real $2008)'!I109</f>
        <v>0</v>
      </c>
      <c r="H67" s="508">
        <f>'Data 2009-15 (Real $2008)'!J109</f>
        <v>0</v>
      </c>
      <c r="L67" s="507">
        <f>'Data 2009-15 (Real $2008)'!O109</f>
        <v>0</v>
      </c>
      <c r="M67" s="507">
        <f>'Data 2009-15 (Real $2008)'!P109</f>
        <v>0</v>
      </c>
      <c r="N67" s="507">
        <f>'Data 2009-15 (Real $2008)'!Q109</f>
        <v>0</v>
      </c>
      <c r="R67" s="80">
        <f t="shared" si="8"/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F68" s="508">
        <f>'Data 2009-15 (Real $2008)'!H110</f>
        <v>0</v>
      </c>
      <c r="G68" s="508">
        <f>'Data 2009-15 (Real $2008)'!I110</f>
        <v>0</v>
      </c>
      <c r="H68" s="508">
        <f>'Data 2009-15 (Real $2008)'!J110</f>
        <v>0</v>
      </c>
      <c r="L68" s="507">
        <f>'Data 2009-15 (Real $2008)'!O110</f>
        <v>0</v>
      </c>
      <c r="M68" s="507">
        <f>'Data 2009-15 (Real $2008)'!P110</f>
        <v>0</v>
      </c>
      <c r="N68" s="507">
        <f>'Data 2009-15 (Real $2008)'!Q110</f>
        <v>0</v>
      </c>
      <c r="R68" s="80">
        <f t="shared" si="8"/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F69" s="508">
        <f>'Data 2009-15 (Real $2008)'!H111</f>
        <v>0</v>
      </c>
      <c r="G69" s="508">
        <f>'Data 2009-15 (Real $2008)'!I111</f>
        <v>0</v>
      </c>
      <c r="H69" s="508">
        <f>'Data 2009-15 (Real $2008)'!J111</f>
        <v>0</v>
      </c>
      <c r="L69" s="507">
        <f>'Data 2009-15 (Real $2008)'!O111</f>
        <v>0</v>
      </c>
      <c r="M69" s="507">
        <f>'Data 2009-15 (Real $2008)'!P111</f>
        <v>0</v>
      </c>
      <c r="N69" s="507">
        <f>'Data 2009-15 (Real $2008)'!Q111</f>
        <v>0</v>
      </c>
      <c r="R69" s="80">
        <f t="shared" si="8"/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F70" s="508">
        <f>'Data 2009-15 (Real $2008)'!H112</f>
        <v>127.75</v>
      </c>
      <c r="G70" s="508">
        <f>'Data 2009-15 (Real $2008)'!I112</f>
        <v>117.16075250118475</v>
      </c>
      <c r="H70" s="508">
        <f>'Data 2009-15 (Real $2008)'!J112</f>
        <v>117.16075250118475</v>
      </c>
      <c r="L70" s="507">
        <f>'Data 2009-15 (Real $2008)'!O112</f>
        <v>617598.49951628468</v>
      </c>
      <c r="M70" s="507">
        <f>'Data 2009-15 (Real $2008)'!P112</f>
        <v>627651.41215236764</v>
      </c>
      <c r="N70" s="507">
        <f>'Data 2009-15 (Real $2008)'!Q112</f>
        <v>637222.32996039581</v>
      </c>
      <c r="R70" s="80">
        <f t="shared" si="8"/>
        <v>78898.208313205367</v>
      </c>
      <c r="S70" s="80">
        <f t="shared" si="8"/>
        <v>73536.111756202634</v>
      </c>
      <c r="T70" s="80">
        <f t="shared" si="8"/>
        <v>74657.44768871821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F71" s="508">
        <f>'Data 2009-15 (Real $2008)'!H113</f>
        <v>168.5</v>
      </c>
      <c r="G71" s="508">
        <f>'Data 2009-15 (Real $2008)'!I113</f>
        <v>154.53296905244329</v>
      </c>
      <c r="H71" s="508">
        <f>'Data 2009-15 (Real $2008)'!J113</f>
        <v>154.53296905244329</v>
      </c>
      <c r="L71" s="507">
        <f>'Data 2009-15 (Real $2008)'!O113</f>
        <v>118144.14401795466</v>
      </c>
      <c r="M71" s="507">
        <f>'Data 2009-15 (Real $2008)'!P113</f>
        <v>119645.55101336956</v>
      </c>
      <c r="N71" s="507">
        <f>'Data 2009-15 (Real $2008)'!Q113</f>
        <v>121090.9262866326</v>
      </c>
      <c r="R71" s="80">
        <f t="shared" si="8"/>
        <v>19907.28826702536</v>
      </c>
      <c r="S71" s="80">
        <f t="shared" si="8"/>
        <v>18489.182232011564</v>
      </c>
      <c r="T71" s="80">
        <f t="shared" si="8"/>
        <v>18712.540364383887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F72" s="508">
        <f>'Data 2009-15 (Real $2008)'!H114</f>
        <v>223.27</v>
      </c>
      <c r="G72" s="508">
        <f>'Data 2009-15 (Real $2008)'!I114</f>
        <v>204.76306231655201</v>
      </c>
      <c r="H72" s="508">
        <f>'Data 2009-15 (Real $2008)'!J114</f>
        <v>204.76306231655201</v>
      </c>
      <c r="L72" s="507">
        <f>'Data 2009-15 (Real $2008)'!O114</f>
        <v>4336.3195815169502</v>
      </c>
      <c r="M72" s="507">
        <f>'Data 2009-15 (Real $2008)'!P114</f>
        <v>4485.4476854641198</v>
      </c>
      <c r="N72" s="507">
        <f>'Data 2009-15 (Real $2008)'!Q114</f>
        <v>4585.1865444224395</v>
      </c>
      <c r="R72" s="80">
        <f t="shared" si="8"/>
        <v>968.17007296528948</v>
      </c>
      <c r="S72" s="80">
        <f t="shared" si="8"/>
        <v>918.4540039363236</v>
      </c>
      <c r="T72" s="80">
        <f t="shared" si="8"/>
        <v>938.87683812858768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F73" s="508">
        <f>'Data 2009-15 (Real $2008)'!H115</f>
        <v>0</v>
      </c>
      <c r="G73" s="508">
        <f>'Data 2009-15 (Real $2008)'!I115</f>
        <v>0</v>
      </c>
      <c r="H73" s="508">
        <f>'Data 2009-15 (Real $2008)'!J115</f>
        <v>0</v>
      </c>
      <c r="L73" s="507">
        <f>'Data 2009-15 (Real $2008)'!O115</f>
        <v>0</v>
      </c>
      <c r="M73" s="507">
        <f>'Data 2009-15 (Real $2008)'!P115</f>
        <v>0</v>
      </c>
      <c r="N73" s="507">
        <f>'Data 2009-15 (Real $2008)'!Q115</f>
        <v>0</v>
      </c>
      <c r="R73" s="80">
        <f t="shared" si="8"/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F74" s="508">
        <f>'Data 2009-15 (Real $2008)'!H116</f>
        <v>0</v>
      </c>
      <c r="G74" s="508">
        <f>'Data 2009-15 (Real $2008)'!I116</f>
        <v>0</v>
      </c>
      <c r="H74" s="508">
        <f>'Data 2009-15 (Real $2008)'!J116</f>
        <v>0</v>
      </c>
      <c r="L74" s="507">
        <f>'Data 2009-15 (Real $2008)'!O116</f>
        <v>0</v>
      </c>
      <c r="M74" s="507">
        <f>'Data 2009-15 (Real $2008)'!P116</f>
        <v>0</v>
      </c>
      <c r="N74" s="507">
        <f>'Data 2009-15 (Real $2008)'!Q116</f>
        <v>0</v>
      </c>
      <c r="R74" s="80">
        <f t="shared" si="8"/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R76" s="509">
        <f>SUM(R30:R74)</f>
        <v>99773.666653196022</v>
      </c>
      <c r="S76" s="509">
        <f>SUM(S30:S74)</f>
        <v>92943.747992150515</v>
      </c>
      <c r="T76" s="509">
        <f>SUM(T30:T74)</f>
        <v>94308.864891230696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3">
    <mergeCell ref="G26:H26"/>
    <mergeCell ref="L26:N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L19" sqref="L19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86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76" t="s">
        <v>389</v>
      </c>
      <c r="I3" s="776" t="s">
        <v>385</v>
      </c>
    </row>
    <row r="4" spans="1:22" s="82" customFormat="1" x14ac:dyDescent="0.2">
      <c r="A4" s="431" t="s">
        <v>315</v>
      </c>
      <c r="C4" s="776" t="s">
        <v>383</v>
      </c>
      <c r="I4" s="776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2.6200000000000001E-2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7.2800000000000004E-2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7.1962525617254025E-2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9.844E-2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4.0694837513418625E-2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77"/>
      <c r="E16" s="778"/>
      <c r="F16" s="779"/>
      <c r="G16" s="779"/>
      <c r="H16" s="779"/>
      <c r="I16" s="440">
        <f>I6+I7</f>
        <v>6.6400000000000001E-2</v>
      </c>
      <c r="J16" s="779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77"/>
      <c r="E18" s="778"/>
      <c r="F18" s="780"/>
      <c r="G18" s="780"/>
      <c r="H18" s="780"/>
      <c r="I18" s="437">
        <f>(I13*(1-I10))+(I15*I10)</f>
        <v>5.3201912754952785E-2</v>
      </c>
      <c r="J18" s="780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81"/>
      <c r="E19" s="782"/>
      <c r="F19" s="83"/>
      <c r="G19" s="83"/>
      <c r="H19" s="83"/>
      <c r="I19" s="440">
        <f>(I14*(1-I10))+(I16*I10)</f>
        <v>7.9216000000000009E-2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2.47E-2</v>
      </c>
      <c r="J22" s="541">
        <f>'Data 2009-15 (Real $2008)'!J144</f>
        <v>2.47E-2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5.3201912754952785E-2</v>
      </c>
      <c r="J23" s="503">
        <f>$I$18</f>
        <v>5.3201912754952785E-2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7.9215999999999953E-2</v>
      </c>
      <c r="J24" s="503">
        <f t="shared" si="0"/>
        <v>7.9215999999999953E-2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30923.936142690269</v>
      </c>
      <c r="I30" s="80">
        <f>I24*('AMI RAB 2009-15'!I12*'Data 2009-15 (Real $2008)'!I145-I38)</f>
        <v>28291.443541430657</v>
      </c>
      <c r="J30" s="80">
        <f>J24*('AMI RAB 2009-15'!J12*'Data 2009-15 (Real $2008)'!J145-J38)</f>
        <v>26686.451104621414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23969.68579477739</v>
      </c>
      <c r="U30" s="80">
        <f>I23*'AMI RAB 2009-15'!I12*'Data 2009-15 (Real $2008)'!I145</f>
        <v>19470.010302270221</v>
      </c>
      <c r="V30" s="80">
        <f>J23*'AMI RAB 2009-15'!J12*'Data 2009-15 (Real $2008)'!J145</f>
        <v>18365.463649004556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20774.273679770766</v>
      </c>
      <c r="AF30" s="80">
        <f>I23*'AMI RAB 2009-15'!I12</f>
        <v>16467.700228567901</v>
      </c>
      <c r="AG30" s="80">
        <f>J23*'AMI RAB 2009-15'!J12</f>
        <v>15159.048136623456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43375.834866942983</v>
      </c>
      <c r="I31" s="80">
        <f t="shared" si="1"/>
        <v>35731.221721956084</v>
      </c>
      <c r="J31" s="80">
        <f t="shared" si="1"/>
        <v>37597.659905067063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50330.085214855848</v>
      </c>
      <c r="U31" s="80">
        <f>'AMI RAB 2009-15'!I9*'Data 2009-15 (Real $2008)'!I145</f>
        <v>44552.654961116576</v>
      </c>
      <c r="V31" s="80">
        <f>'AMI RAB 2009-15'!J9*'Data 2009-15 (Real $2008)'!J145</f>
        <v>45918.647360683972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43620.553624754342</v>
      </c>
      <c r="AF31" s="80">
        <f>'AMI RAB 2009-15'!I9</f>
        <v>37682.556654884691</v>
      </c>
      <c r="AG31" s="80">
        <f>'AMI RAB 2009-15'!J9</f>
        <v>37901.737686158274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24331.213754284443</v>
      </c>
      <c r="I32" s="80">
        <f>'Data 2009-15 (Real $2008)'!I55*'Data 2009-15 (Real $2008)'!I145/10^3</f>
        <v>23664.479065583808</v>
      </c>
      <c r="J32" s="80">
        <f>'Data 2009-15 (Real $2008)'!J55*'Data 2009-15 (Real $2008)'!J145/10^3</f>
        <v>23940.46234061012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24331.213754284443</v>
      </c>
      <c r="U32" s="80">
        <f>'Data 2009-15 (Real $2008)'!I55*'Data 2009-15 (Real $2008)'!I145/10^3</f>
        <v>23664.479065583808</v>
      </c>
      <c r="V32" s="80">
        <f>'Data 2009-15 (Real $2008)'!J55*'Data 2009-15 (Real $2008)'!J145/10^3</f>
        <v>23940.46234061012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21087.606146370097</v>
      </c>
      <c r="AF32" s="80">
        <f>'Data 2009-15 (Real $2008)'!I55/10^3</f>
        <v>20015.374479376387</v>
      </c>
      <c r="AG32" s="80">
        <f>'Data 2009-15 (Real $2008)'!J55/10^3</f>
        <v>19760.711080877096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98630.984763917702</v>
      </c>
      <c r="I34" s="107">
        <f t="shared" si="5"/>
        <v>87687.144328970549</v>
      </c>
      <c r="J34" s="107">
        <f t="shared" si="5"/>
        <v>88224.573350298597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98630.984763917673</v>
      </c>
      <c r="U34" s="107">
        <f t="shared" si="6"/>
        <v>87687.144328970608</v>
      </c>
      <c r="V34" s="107">
        <f t="shared" si="6"/>
        <v>88224.57335029864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85482.433450895216</v>
      </c>
      <c r="AF34" s="107">
        <f t="shared" si="7"/>
        <v>74165.631362828979</v>
      </c>
      <c r="AG34" s="107">
        <f t="shared" si="7"/>
        <v>72821.49690365883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50330.085214855848</v>
      </c>
      <c r="I37" s="507">
        <f>'AMI RAB 2009-15'!I9*'Data 2009-15 (Real $2008)'!I145</f>
        <v>44552.654961116576</v>
      </c>
      <c r="J37" s="507">
        <f>'AMI RAB 2009-15'!J9*'Data 2009-15 (Real $2008)'!J145</f>
        <v>45918.647360683972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6954.2503479128682</v>
      </c>
      <c r="I38" s="507">
        <f>'AMI RAB 2009-15'!I12*'Data 2009-15 (Real $2008)'!H145*'Data 2009-15 (Real $2008)'!I144</f>
        <v>8821.433239160493</v>
      </c>
      <c r="J38" s="507">
        <f>'AMI RAB 2009-15'!J12*'Data 2009-15 (Real $2008)'!I145*'Data 2009-15 (Real $2008)'!J144</f>
        <v>8320.9874556169125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43375.834866942983</v>
      </c>
      <c r="I39" s="558">
        <f t="shared" si="9"/>
        <v>35731.221721956084</v>
      </c>
      <c r="J39" s="558">
        <f t="shared" si="9"/>
        <v>37597.659905067063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6.6400000000000015E-2</v>
      </c>
      <c r="J46" s="503">
        <f>(1+$I$15)*(1+'Data 2009-15 (Real $2008)'!J144)-1</f>
        <v>6.6400000000000015E-2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99773.666653196022</v>
      </c>
      <c r="I51" s="81">
        <f>'Tariff Compliance'!I8</f>
        <v>92943.747992150515</v>
      </c>
      <c r="J51" s="81">
        <f>'Tariff Compliance'!J8</f>
        <v>94308.864891230696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24331.213754284443</v>
      </c>
      <c r="I53" s="80">
        <f>'Data 2009-15 (Real $2008)'!I55/10^3*'Data 2009-15 (Real $2008)'!I145</f>
        <v>23664.479065583804</v>
      </c>
      <c r="J53" s="80">
        <f>'Data 2009-15 (Real $2008)'!J55/10^3*'Data 2009-15 (Real $2008)'!J145</f>
        <v>23940.46234061012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88865.779326686228</v>
      </c>
      <c r="I54" s="80">
        <f>'AMI Tax Depn 2009-15'!I56</f>
        <v>74435.924688975312</v>
      </c>
      <c r="J54" s="80">
        <f>'AMI Tax Depn 2009-15'!J56</f>
        <v>53021.228551086584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17341.956713761789</v>
      </c>
      <c r="I55" s="80">
        <f>'AMI RAB 2009-15'!I12*I45*'Data 2009-15 (Real $2008)'!I145*I46</f>
        <v>14580.024857663302</v>
      </c>
      <c r="J55" s="80">
        <f>'AMI RAB 2009-15'!J12*J45*'Data 2009-15 (Real $2008)'!J145*J46</f>
        <v>13752.890335850314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102954.761744459</v>
      </c>
      <c r="J56" s="80">
        <f t="shared" si="10"/>
        <v>122691.4423645309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-102954.761744459</v>
      </c>
      <c r="I57" s="80">
        <f t="shared" si="11"/>
        <v>-122691.4423645309</v>
      </c>
      <c r="J57" s="80">
        <f t="shared" si="11"/>
        <v>-119097.15870084723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86">
        <f>C59</f>
        <v>2.7966962079517543E-11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65893.974688994989</v>
      </c>
      <c r="I16" s="80">
        <f>'Data 2009-15 (Real $2008)'!I22*'Data 2009-15 (Real $2008)'!I$145/10^3</f>
        <v>7386.0291639621382</v>
      </c>
      <c r="J16" s="80">
        <f>'Data 2009-15 (Real $2008)'!J22*'Data 2009-15 (Real $2008)'!J$145/10^3</f>
        <v>7540.7386753428937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9022.0867167293236</v>
      </c>
      <c r="I18" s="80">
        <f>'Data 2009-15 (Real $2008)'!I24*'Data 2009-15 (Real $2008)'!I$145/10^3</f>
        <v>7290.5684212248598</v>
      </c>
      <c r="J18" s="80">
        <f>'Data 2009-15 (Real $2008)'!J24*'Data 2009-15 (Real $2008)'!J$145/10^3</f>
        <v>5566.5627361371107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8366.8161912810465</v>
      </c>
      <c r="I19" s="80">
        <f>'Data 2009-15 (Real $2008)'!I25*'Data 2009-15 (Real $2008)'!I$145/10^3</f>
        <v>2356.8923480613944</v>
      </c>
      <c r="J19" s="80">
        <f>'Data 2009-15 (Real $2008)'!J25*'Data 2009-15 (Real $2008)'!J$145/10^3</f>
        <v>1139.9014657820621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123.22028133821014</v>
      </c>
      <c r="I20" s="80">
        <f>'Data 2009-15 (Real $2008)'!I26*'Data 2009-15 (Real $2008)'!I$145/10^3</f>
        <v>126.26382228726393</v>
      </c>
      <c r="J20" s="80">
        <f>'Data 2009-15 (Real $2008)'!J26*'Data 2009-15 (Real $2008)'!J$145/10^3</f>
        <v>139.48770835541694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83282.877597005354</v>
      </c>
      <c r="I21" s="107">
        <f t="shared" si="1"/>
        <v>17033.489933248395</v>
      </c>
      <c r="J21" s="107">
        <f t="shared" si="1"/>
        <v>14247.202877262067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151011.54558789413</v>
      </c>
      <c r="J24" s="80">
        <f t="shared" si="2"/>
        <v>100383.36468815307</v>
      </c>
      <c r="K24" s="80">
        <f t="shared" si="2"/>
        <v>68866.453103811771</v>
      </c>
      <c r="L24" s="80">
        <f t="shared" si="2"/>
        <v>43041.533189882357</v>
      </c>
      <c r="M24" s="80">
        <f t="shared" si="2"/>
        <v>26900.958243676472</v>
      </c>
      <c r="N24" s="80">
        <f t="shared" si="2"/>
        <v>16813.098902297796</v>
      </c>
      <c r="O24" s="80">
        <f t="shared" si="2"/>
        <v>10508.186813936121</v>
      </c>
      <c r="P24" s="80">
        <f t="shared" si="2"/>
        <v>6567.6167587100754</v>
      </c>
      <c r="Q24" s="80">
        <f t="shared" si="2"/>
        <v>4104.7604741937976</v>
      </c>
      <c r="R24" s="80">
        <f t="shared" si="2"/>
        <v>2565.4752963711235</v>
      </c>
      <c r="S24" s="80">
        <f t="shared" si="2"/>
        <v>1603.4220602319522</v>
      </c>
      <c r="T24" s="80">
        <f t="shared" si="2"/>
        <v>1002.1387876449701</v>
      </c>
      <c r="U24" s="80">
        <f t="shared" si="2"/>
        <v>626.33674227810627</v>
      </c>
      <c r="V24" s="80">
        <f t="shared" si="2"/>
        <v>391.46046392381641</v>
      </c>
      <c r="W24" s="80">
        <f t="shared" si="2"/>
        <v>244.66278995238525</v>
      </c>
      <c r="X24" s="80">
        <f>W27</f>
        <v>152.91424372024079</v>
      </c>
      <c r="Y24" s="80">
        <f>X27</f>
        <v>95.571402325150501</v>
      </c>
      <c r="Z24" s="80">
        <f>Y27</f>
        <v>59.732126453219067</v>
      </c>
      <c r="AA24" s="80">
        <f>Z27</f>
        <v>37.332579033261915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70838.734946037992</v>
      </c>
      <c r="I25" s="80">
        <f t="shared" si="3"/>
        <v>58014.210063703198</v>
      </c>
      <c r="J25" s="80">
        <f t="shared" si="3"/>
        <v>39057.650259684196</v>
      </c>
      <c r="K25" s="80">
        <f t="shared" si="3"/>
        <v>25824.919913929414</v>
      </c>
      <c r="L25" s="80">
        <f t="shared" si="3"/>
        <v>16140.574946205885</v>
      </c>
      <c r="M25" s="80">
        <f t="shared" si="3"/>
        <v>10087.859341378677</v>
      </c>
      <c r="N25" s="80">
        <f t="shared" si="3"/>
        <v>6304.9120883616733</v>
      </c>
      <c r="O25" s="80">
        <f t="shared" si="3"/>
        <v>3940.5700552260455</v>
      </c>
      <c r="P25" s="80">
        <f t="shared" si="3"/>
        <v>2462.8562845162783</v>
      </c>
      <c r="Q25" s="80">
        <f t="shared" si="3"/>
        <v>1539.2851778226741</v>
      </c>
      <c r="R25" s="80">
        <f t="shared" si="3"/>
        <v>962.0532361391713</v>
      </c>
      <c r="S25" s="80">
        <f t="shared" si="3"/>
        <v>601.28327258698209</v>
      </c>
      <c r="T25" s="80">
        <f t="shared" si="3"/>
        <v>375.80204536686381</v>
      </c>
      <c r="U25" s="80">
        <f t="shared" si="3"/>
        <v>234.87627835428987</v>
      </c>
      <c r="V25" s="80">
        <f t="shared" si="3"/>
        <v>146.79767397143115</v>
      </c>
      <c r="W25" s="80">
        <f t="shared" si="3"/>
        <v>91.748546232144463</v>
      </c>
      <c r="X25" s="80">
        <f>$D$6*(X24+X26*0.5)</f>
        <v>57.342841395090296</v>
      </c>
      <c r="Y25" s="80">
        <f>$D$6*(Y24+Y26*0.5)</f>
        <v>35.839275871931434</v>
      </c>
      <c r="Z25" s="80">
        <f>$D$6*(Z24+Z26*0.5)</f>
        <v>22.399547419957152</v>
      </c>
      <c r="AA25" s="80">
        <f>$D$6*(AA24+AA26*0.5)</f>
        <v>13.999717137473219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65893.974688994989</v>
      </c>
      <c r="I26" s="80">
        <f t="shared" si="4"/>
        <v>7386.0291639621382</v>
      </c>
      <c r="J26" s="80">
        <f t="shared" si="4"/>
        <v>7540.7386753428937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151011.54558789413</v>
      </c>
      <c r="I27" s="107">
        <f t="shared" si="5"/>
        <v>100383.36468815307</v>
      </c>
      <c r="J27" s="107">
        <f t="shared" si="5"/>
        <v>68866.453103811771</v>
      </c>
      <c r="K27" s="107">
        <f t="shared" si="5"/>
        <v>43041.533189882357</v>
      </c>
      <c r="L27" s="107">
        <f t="shared" si="5"/>
        <v>26900.958243676472</v>
      </c>
      <c r="M27" s="107">
        <f t="shared" si="5"/>
        <v>16813.098902297796</v>
      </c>
      <c r="N27" s="107">
        <f t="shared" si="5"/>
        <v>10508.186813936121</v>
      </c>
      <c r="O27" s="107">
        <f t="shared" si="5"/>
        <v>6567.6167587100754</v>
      </c>
      <c r="P27" s="107">
        <f t="shared" si="5"/>
        <v>4104.7604741937976</v>
      </c>
      <c r="Q27" s="107">
        <f t="shared" si="5"/>
        <v>2565.4752963711235</v>
      </c>
      <c r="R27" s="107">
        <f t="shared" si="5"/>
        <v>1603.4220602319522</v>
      </c>
      <c r="S27" s="107">
        <f t="shared" si="5"/>
        <v>1002.1387876449701</v>
      </c>
      <c r="T27" s="107">
        <f t="shared" si="5"/>
        <v>626.33674227810627</v>
      </c>
      <c r="U27" s="107">
        <f t="shared" si="5"/>
        <v>391.46046392381641</v>
      </c>
      <c r="V27" s="107">
        <f t="shared" si="5"/>
        <v>244.66278995238525</v>
      </c>
      <c r="W27" s="107">
        <f t="shared" si="5"/>
        <v>152.91424372024079</v>
      </c>
      <c r="X27" s="107">
        <f>X24-X25+X26</f>
        <v>95.571402325150501</v>
      </c>
      <c r="Y27" s="107">
        <f>Y24-Y25+Y26</f>
        <v>59.732126453219067</v>
      </c>
      <c r="Z27" s="107">
        <f>Z24-Z25+Z26</f>
        <v>37.332579033261915</v>
      </c>
      <c r="AA27" s="107">
        <f>AA24-AA25+AA26</f>
        <v>23.332861895788696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22153.596830648399</v>
      </c>
      <c r="J36" s="80">
        <f t="shared" si="10"/>
        <v>19124.612835368927</v>
      </c>
      <c r="K36" s="80">
        <f t="shared" si="10"/>
        <v>15928.017890131046</v>
      </c>
      <c r="L36" s="80">
        <f t="shared" si="10"/>
        <v>9556.8107340786264</v>
      </c>
      <c r="M36" s="80">
        <f t="shared" si="10"/>
        <v>5734.0864404471758</v>
      </c>
      <c r="N36" s="80">
        <f t="shared" si="10"/>
        <v>3440.4518642683056</v>
      </c>
      <c r="O36" s="80">
        <f t="shared" si="10"/>
        <v>2064.2711185609833</v>
      </c>
      <c r="P36" s="80">
        <f t="shared" si="10"/>
        <v>1238.5626711365899</v>
      </c>
      <c r="Q36" s="80">
        <f t="shared" si="10"/>
        <v>743.13760268195392</v>
      </c>
      <c r="R36" s="80">
        <f t="shared" si="10"/>
        <v>445.88256160917234</v>
      </c>
      <c r="S36" s="80">
        <f t="shared" si="10"/>
        <v>267.52953696550338</v>
      </c>
      <c r="T36" s="80">
        <f t="shared" si="10"/>
        <v>160.51772217930204</v>
      </c>
      <c r="U36" s="80">
        <f t="shared" si="10"/>
        <v>96.310633307581227</v>
      </c>
      <c r="V36" s="80">
        <f t="shared" si="10"/>
        <v>57.786379984548731</v>
      </c>
      <c r="W36" s="80">
        <f t="shared" si="10"/>
        <v>34.671827990729241</v>
      </c>
      <c r="X36" s="80">
        <f>W39</f>
        <v>20.803096794437543</v>
      </c>
      <c r="Y36" s="80">
        <f>X39</f>
        <v>12.481858076662526</v>
      </c>
      <c r="Z36" s="80">
        <f>Y39</f>
        <v>7.4891148459975154</v>
      </c>
      <c r="AA36" s="80">
        <f>Z39</f>
        <v>4.4934689075985093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11761.702314855827</v>
      </c>
      <c r="I37" s="80">
        <f t="shared" si="11"/>
        <v>10319.552416504332</v>
      </c>
      <c r="J37" s="80">
        <f t="shared" si="11"/>
        <v>8763.1576813749925</v>
      </c>
      <c r="K37" s="80">
        <f t="shared" si="11"/>
        <v>6371.2071560524191</v>
      </c>
      <c r="L37" s="80">
        <f t="shared" si="11"/>
        <v>3822.7242936314506</v>
      </c>
      <c r="M37" s="80">
        <f t="shared" si="11"/>
        <v>2293.6345761788702</v>
      </c>
      <c r="N37" s="80">
        <f t="shared" si="11"/>
        <v>1376.1807457073223</v>
      </c>
      <c r="O37" s="80">
        <f t="shared" si="11"/>
        <v>825.7084474243934</v>
      </c>
      <c r="P37" s="80">
        <f t="shared" si="11"/>
        <v>495.42506845463595</v>
      </c>
      <c r="Q37" s="80">
        <f t="shared" si="11"/>
        <v>297.25504107278158</v>
      </c>
      <c r="R37" s="80">
        <f t="shared" si="11"/>
        <v>178.35302464366896</v>
      </c>
      <c r="S37" s="80">
        <f t="shared" si="11"/>
        <v>107.01181478620136</v>
      </c>
      <c r="T37" s="80">
        <f t="shared" si="11"/>
        <v>64.207088871720813</v>
      </c>
      <c r="U37" s="80">
        <f t="shared" si="11"/>
        <v>38.524253323032497</v>
      </c>
      <c r="V37" s="80">
        <f t="shared" si="11"/>
        <v>23.114551993819493</v>
      </c>
      <c r="W37" s="80">
        <f t="shared" si="11"/>
        <v>13.868731196291698</v>
      </c>
      <c r="X37" s="80">
        <f>$D$8*(X36+X38*0.5)</f>
        <v>8.3212387177750173</v>
      </c>
      <c r="Y37" s="80">
        <f>$D$8*(Y36+Y38*0.5)</f>
        <v>4.9927432306650106</v>
      </c>
      <c r="Z37" s="80">
        <f>$D$8*(Z36+Z38*0.5)</f>
        <v>2.9956459383990062</v>
      </c>
      <c r="AA37" s="80">
        <f>$D$8*(AA36+AA38*0.5)</f>
        <v>1.7973875630394038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9022.0867167293236</v>
      </c>
      <c r="I38" s="80">
        <f t="shared" si="12"/>
        <v>7290.5684212248598</v>
      </c>
      <c r="J38" s="80">
        <f t="shared" si="12"/>
        <v>5566.5627361371107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22153.596830648399</v>
      </c>
      <c r="I39" s="107">
        <f t="shared" si="13"/>
        <v>19124.612835368927</v>
      </c>
      <c r="J39" s="107">
        <f t="shared" si="13"/>
        <v>15928.017890131046</v>
      </c>
      <c r="K39" s="107">
        <f t="shared" si="13"/>
        <v>9556.8107340786264</v>
      </c>
      <c r="L39" s="107">
        <f t="shared" si="13"/>
        <v>5734.0864404471758</v>
      </c>
      <c r="M39" s="107">
        <f t="shared" si="13"/>
        <v>3440.4518642683056</v>
      </c>
      <c r="N39" s="107">
        <f t="shared" si="13"/>
        <v>2064.2711185609833</v>
      </c>
      <c r="O39" s="107">
        <f t="shared" si="13"/>
        <v>1238.5626711365899</v>
      </c>
      <c r="P39" s="107">
        <f t="shared" si="13"/>
        <v>743.13760268195392</v>
      </c>
      <c r="Q39" s="107">
        <f t="shared" si="13"/>
        <v>445.88256160917234</v>
      </c>
      <c r="R39" s="107">
        <f t="shared" si="13"/>
        <v>267.52953696550338</v>
      </c>
      <c r="S39" s="107">
        <f t="shared" si="13"/>
        <v>160.51772217930204</v>
      </c>
      <c r="T39" s="107">
        <f t="shared" si="13"/>
        <v>96.310633307581227</v>
      </c>
      <c r="U39" s="107">
        <f t="shared" si="13"/>
        <v>57.786379984548731</v>
      </c>
      <c r="V39" s="107">
        <f t="shared" si="13"/>
        <v>34.671827990729241</v>
      </c>
      <c r="W39" s="107">
        <f t="shared" si="13"/>
        <v>20.803096794437543</v>
      </c>
      <c r="X39" s="107">
        <f>X36-X37+X38</f>
        <v>12.481858076662526</v>
      </c>
      <c r="Y39" s="107">
        <f>Y36-Y37+Y38</f>
        <v>7.4891148459975154</v>
      </c>
      <c r="Z39" s="107">
        <f>Z36-Z37+Z38</f>
        <v>4.4934689075985093</v>
      </c>
      <c r="AA39" s="107">
        <f>AA36-AA37+AA38</f>
        <v>2.6960813445591052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26340.737892583045</v>
      </c>
      <c r="J42" s="80">
        <f t="shared" si="14"/>
        <v>22800.66222637007</v>
      </c>
      <c r="K42" s="80">
        <f t="shared" si="14"/>
        <v>18932.575200881896</v>
      </c>
      <c r="L42" s="80">
        <f t="shared" si="14"/>
        <v>14875.594800692919</v>
      </c>
      <c r="M42" s="80">
        <f t="shared" si="14"/>
        <v>11687.967343401579</v>
      </c>
      <c r="N42" s="80">
        <f t="shared" si="14"/>
        <v>9183.4029126726691</v>
      </c>
      <c r="O42" s="80">
        <f t="shared" si="14"/>
        <v>7215.5308599570972</v>
      </c>
      <c r="P42" s="80">
        <f t="shared" si="14"/>
        <v>5669.3456756805763</v>
      </c>
      <c r="Q42" s="80">
        <f t="shared" si="14"/>
        <v>4454.4858880347383</v>
      </c>
      <c r="R42" s="80">
        <f t="shared" si="14"/>
        <v>3499.95319774158</v>
      </c>
      <c r="S42" s="80">
        <f t="shared" si="14"/>
        <v>2749.9632267969555</v>
      </c>
      <c r="T42" s="80">
        <f t="shared" si="14"/>
        <v>2160.6853924833222</v>
      </c>
      <c r="U42" s="80">
        <f t="shared" si="14"/>
        <v>1697.6813798083247</v>
      </c>
      <c r="V42" s="80">
        <f t="shared" si="14"/>
        <v>1333.8925127065409</v>
      </c>
      <c r="W42" s="80">
        <f t="shared" si="14"/>
        <v>1048.0584028408534</v>
      </c>
      <c r="X42" s="80">
        <f>W45</f>
        <v>823.47445937495627</v>
      </c>
      <c r="Y42" s="80">
        <f>X45</f>
        <v>647.01564665175135</v>
      </c>
      <c r="Z42" s="80">
        <f>Y45</f>
        <v>508.36943665494749</v>
      </c>
      <c r="AA42" s="80">
        <f>Z45</f>
        <v>399.4331288003159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6042.9081264388697</v>
      </c>
      <c r="I43" s="80">
        <f t="shared" si="15"/>
        <v>5896.9680142743728</v>
      </c>
      <c r="J43" s="80">
        <f t="shared" si="15"/>
        <v>5007.9884912702355</v>
      </c>
      <c r="K43" s="80">
        <f t="shared" si="15"/>
        <v>4056.9804001889775</v>
      </c>
      <c r="L43" s="80">
        <f t="shared" si="15"/>
        <v>3187.6274572913399</v>
      </c>
      <c r="M43" s="80">
        <f t="shared" si="15"/>
        <v>2504.5644307289094</v>
      </c>
      <c r="N43" s="80">
        <f t="shared" si="15"/>
        <v>1967.872052715572</v>
      </c>
      <c r="O43" s="80">
        <f t="shared" si="15"/>
        <v>1546.1851842765207</v>
      </c>
      <c r="P43" s="80">
        <f t="shared" si="15"/>
        <v>1214.8597876458377</v>
      </c>
      <c r="Q43" s="80">
        <f t="shared" si="15"/>
        <v>954.53269029315811</v>
      </c>
      <c r="R43" s="80">
        <f t="shared" si="15"/>
        <v>749.98997094462425</v>
      </c>
      <c r="S43" s="80">
        <f t="shared" si="15"/>
        <v>589.27783431363332</v>
      </c>
      <c r="T43" s="80">
        <f t="shared" si="15"/>
        <v>463.00401267499757</v>
      </c>
      <c r="U43" s="80">
        <f t="shared" si="15"/>
        <v>363.78886710178386</v>
      </c>
      <c r="V43" s="80">
        <f t="shared" si="15"/>
        <v>285.83410986568731</v>
      </c>
      <c r="W43" s="80">
        <f t="shared" si="15"/>
        <v>224.58394346589716</v>
      </c>
      <c r="X43" s="80">
        <f>$D$9*(X42+X44*0.5)</f>
        <v>176.45881272320491</v>
      </c>
      <c r="Y43" s="80">
        <f>$D$9*(Y42+Y44*0.5)</f>
        <v>138.64620999680386</v>
      </c>
      <c r="Z43" s="80">
        <f>$D$9*(Z42+Z44*0.5)</f>
        <v>108.93630785463159</v>
      </c>
      <c r="AA43" s="80">
        <f>$D$9*(AA42+AA44*0.5)</f>
        <v>85.592813314353407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8366.8161912810465</v>
      </c>
      <c r="I44" s="80">
        <f t="shared" si="16"/>
        <v>2356.8923480613944</v>
      </c>
      <c r="J44" s="80">
        <f t="shared" si="16"/>
        <v>1139.9014657820621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26340.737892583045</v>
      </c>
      <c r="I45" s="107">
        <f t="shared" si="17"/>
        <v>22800.66222637007</v>
      </c>
      <c r="J45" s="107">
        <f t="shared" si="17"/>
        <v>18932.575200881896</v>
      </c>
      <c r="K45" s="107">
        <f t="shared" si="17"/>
        <v>14875.594800692919</v>
      </c>
      <c r="L45" s="107">
        <f t="shared" si="17"/>
        <v>11687.967343401579</v>
      </c>
      <c r="M45" s="107">
        <f t="shared" si="17"/>
        <v>9183.4029126726691</v>
      </c>
      <c r="N45" s="107">
        <f t="shared" si="17"/>
        <v>7215.5308599570972</v>
      </c>
      <c r="O45" s="107">
        <f t="shared" si="17"/>
        <v>5669.3456756805763</v>
      </c>
      <c r="P45" s="107">
        <f t="shared" si="17"/>
        <v>4454.4858880347383</v>
      </c>
      <c r="Q45" s="107">
        <f t="shared" si="17"/>
        <v>3499.95319774158</v>
      </c>
      <c r="R45" s="107">
        <f t="shared" si="17"/>
        <v>2749.9632267969555</v>
      </c>
      <c r="S45" s="107">
        <f t="shared" si="17"/>
        <v>2160.6853924833222</v>
      </c>
      <c r="T45" s="107">
        <f t="shared" si="17"/>
        <v>1697.6813798083247</v>
      </c>
      <c r="U45" s="107">
        <f t="shared" si="17"/>
        <v>1333.8925127065409</v>
      </c>
      <c r="V45" s="107">
        <f t="shared" si="17"/>
        <v>1048.0584028408534</v>
      </c>
      <c r="W45" s="107">
        <f t="shared" si="17"/>
        <v>823.47445937495627</v>
      </c>
      <c r="X45" s="107">
        <f>X42-X43+X44</f>
        <v>647.01564665175135</v>
      </c>
      <c r="Y45" s="107">
        <f>Y42-Y43+Y44</f>
        <v>508.36943665494749</v>
      </c>
      <c r="Z45" s="107">
        <f>Z42-Z43+Z44</f>
        <v>399.4331288003159</v>
      </c>
      <c r="AA45" s="107">
        <f>AA42-AA43+AA44</f>
        <v>313.84031548596249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1099.6351909856774</v>
      </c>
      <c r="J48" s="80">
        <f t="shared" si="18"/>
        <v>1020.7048187795338</v>
      </c>
      <c r="K48" s="80">
        <f t="shared" si="18"/>
        <v>967.76040837779033</v>
      </c>
      <c r="L48" s="80">
        <f t="shared" si="18"/>
        <v>796.97915984053316</v>
      </c>
      <c r="M48" s="80">
        <f t="shared" si="18"/>
        <v>656.3357786922038</v>
      </c>
      <c r="N48" s="80">
        <f t="shared" si="18"/>
        <v>540.51181774652082</v>
      </c>
      <c r="O48" s="80">
        <f t="shared" si="18"/>
        <v>445.1273793206642</v>
      </c>
      <c r="P48" s="80">
        <f t="shared" si="18"/>
        <v>366.57548885231171</v>
      </c>
      <c r="Q48" s="80">
        <f t="shared" si="18"/>
        <v>301.88569670190378</v>
      </c>
      <c r="R48" s="80">
        <f t="shared" si="18"/>
        <v>248.61175022509724</v>
      </c>
      <c r="S48" s="80">
        <f t="shared" si="18"/>
        <v>204.73908842066831</v>
      </c>
      <c r="T48" s="80">
        <f t="shared" si="18"/>
        <v>168.60866105231509</v>
      </c>
      <c r="U48" s="80">
        <f t="shared" si="18"/>
        <v>138.85419145484772</v>
      </c>
      <c r="V48" s="80">
        <f t="shared" si="18"/>
        <v>114.35051060987459</v>
      </c>
      <c r="W48" s="80">
        <f t="shared" si="18"/>
        <v>94.171008737543787</v>
      </c>
      <c r="X48" s="80">
        <f>W51</f>
        <v>77.552595430918416</v>
      </c>
      <c r="Y48" s="80">
        <f>X51</f>
        <v>63.866843296050462</v>
      </c>
      <c r="Z48" s="80">
        <f>Y51</f>
        <v>52.59622389086509</v>
      </c>
      <c r="AA48" s="80">
        <f>Z51</f>
        <v>43.314537321888899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222.43393935355118</v>
      </c>
      <c r="I49" s="80">
        <f t="shared" si="19"/>
        <v>205.19419449340751</v>
      </c>
      <c r="J49" s="80">
        <f t="shared" si="19"/>
        <v>192.43211875716037</v>
      </c>
      <c r="K49" s="80">
        <f t="shared" si="19"/>
        <v>170.78124853725711</v>
      </c>
      <c r="L49" s="80">
        <f t="shared" si="19"/>
        <v>140.64338114832935</v>
      </c>
      <c r="M49" s="80">
        <f t="shared" si="19"/>
        <v>115.82396094568301</v>
      </c>
      <c r="N49" s="80">
        <f t="shared" si="19"/>
        <v>95.384438425856601</v>
      </c>
      <c r="O49" s="80">
        <f t="shared" si="19"/>
        <v>78.551890468352497</v>
      </c>
      <c r="P49" s="80">
        <f t="shared" si="19"/>
        <v>64.689792150407939</v>
      </c>
      <c r="Q49" s="80">
        <f t="shared" si="19"/>
        <v>53.273946476806543</v>
      </c>
      <c r="R49" s="80">
        <f t="shared" si="19"/>
        <v>43.872661804428922</v>
      </c>
      <c r="S49" s="80">
        <f t="shared" si="19"/>
        <v>36.130427368353224</v>
      </c>
      <c r="T49" s="80">
        <f t="shared" si="19"/>
        <v>29.754469597467367</v>
      </c>
      <c r="U49" s="80">
        <f t="shared" si="19"/>
        <v>24.503680844973125</v>
      </c>
      <c r="V49" s="80">
        <f t="shared" si="19"/>
        <v>20.179501872330807</v>
      </c>
      <c r="W49" s="80">
        <f t="shared" si="19"/>
        <v>16.618413306625374</v>
      </c>
      <c r="X49" s="80">
        <f>$D$10*(X48+X50*0.5)</f>
        <v>13.685752134867954</v>
      </c>
      <c r="Y49" s="80">
        <f>$D$10*(Y48+Y50*0.5)</f>
        <v>11.270619405185375</v>
      </c>
      <c r="Z49" s="80">
        <f>$D$10*(Z48+Z50*0.5)</f>
        <v>9.2816865689761912</v>
      </c>
      <c r="AA49" s="80">
        <f>$D$10*(AA48+AA50*0.5)</f>
        <v>7.6437418803333346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123.22028133821014</v>
      </c>
      <c r="I50" s="80">
        <f t="shared" si="20"/>
        <v>126.26382228726393</v>
      </c>
      <c r="J50" s="80">
        <f t="shared" si="20"/>
        <v>139.48770835541694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1099.6351909856774</v>
      </c>
      <c r="I51" s="107">
        <f t="shared" si="21"/>
        <v>1020.7048187795338</v>
      </c>
      <c r="J51" s="107">
        <f t="shared" si="21"/>
        <v>967.76040837779033</v>
      </c>
      <c r="K51" s="107">
        <f t="shared" si="21"/>
        <v>796.97915984053316</v>
      </c>
      <c r="L51" s="107">
        <f t="shared" si="21"/>
        <v>656.3357786922038</v>
      </c>
      <c r="M51" s="107">
        <f t="shared" si="21"/>
        <v>540.51181774652082</v>
      </c>
      <c r="N51" s="107">
        <f t="shared" si="21"/>
        <v>445.1273793206642</v>
      </c>
      <c r="O51" s="107">
        <f t="shared" si="21"/>
        <v>366.57548885231171</v>
      </c>
      <c r="P51" s="107">
        <f t="shared" si="21"/>
        <v>301.88569670190378</v>
      </c>
      <c r="Q51" s="107">
        <f t="shared" si="21"/>
        <v>248.61175022509724</v>
      </c>
      <c r="R51" s="107">
        <f t="shared" si="21"/>
        <v>204.73908842066831</v>
      </c>
      <c r="S51" s="107">
        <f t="shared" si="21"/>
        <v>168.60866105231509</v>
      </c>
      <c r="T51" s="107">
        <f t="shared" si="21"/>
        <v>138.85419145484772</v>
      </c>
      <c r="U51" s="107">
        <f t="shared" si="21"/>
        <v>114.35051060987459</v>
      </c>
      <c r="V51" s="107">
        <f t="shared" si="21"/>
        <v>94.171008737543787</v>
      </c>
      <c r="W51" s="107">
        <f t="shared" si="21"/>
        <v>77.552595430918416</v>
      </c>
      <c r="X51" s="107">
        <f>X48-X49+X50</f>
        <v>63.866843296050462</v>
      </c>
      <c r="Y51" s="107">
        <f>Y48-Y49+Y50</f>
        <v>52.59622389086509</v>
      </c>
      <c r="Z51" s="107">
        <f>Z48-Z49+Z50</f>
        <v>43.314537321888899</v>
      </c>
      <c r="AA51" s="107">
        <f>AA48-AA49+AA50</f>
        <v>35.670795441555562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200605.51550211126</v>
      </c>
      <c r="J55" s="80">
        <f t="shared" si="23"/>
        <v>143329.3445686716</v>
      </c>
      <c r="K55" s="80">
        <f t="shared" si="23"/>
        <v>104694.80660320249</v>
      </c>
      <c r="L55" s="80">
        <f t="shared" si="23"/>
        <v>68270.91788449444</v>
      </c>
      <c r="M55" s="80">
        <f t="shared" si="23"/>
        <v>44979.347806217433</v>
      </c>
      <c r="N55" s="80">
        <f t="shared" si="23"/>
        <v>29977.465496985293</v>
      </c>
      <c r="O55" s="80">
        <f t="shared" si="23"/>
        <v>20233.116171774866</v>
      </c>
      <c r="P55" s="80">
        <f t="shared" si="23"/>
        <v>13842.100594379554</v>
      </c>
      <c r="Q55" s="80">
        <f t="shared" si="23"/>
        <v>9604.269661612394</v>
      </c>
      <c r="R55" s="80">
        <f t="shared" si="23"/>
        <v>6759.9228059469724</v>
      </c>
      <c r="S55" s="80">
        <f t="shared" si="23"/>
        <v>4825.6539124150795</v>
      </c>
      <c r="T55" s="80">
        <f t="shared" si="23"/>
        <v>3491.9505633599097</v>
      </c>
      <c r="U55" s="80">
        <f t="shared" si="23"/>
        <v>2559.18294684886</v>
      </c>
      <c r="V55" s="80">
        <f t="shared" si="23"/>
        <v>1897.4898672247805</v>
      </c>
      <c r="W55" s="80">
        <f t="shared" si="23"/>
        <v>1421.5640295215119</v>
      </c>
      <c r="X55" s="80">
        <f t="shared" ref="X55:AA58" si="24">SUM(X24,X30,X36,X42,X48)</f>
        <v>1074.7443953205529</v>
      </c>
      <c r="Y55" s="80">
        <f t="shared" si="24"/>
        <v>818.93575034961475</v>
      </c>
      <c r="Z55" s="80">
        <f t="shared" si="24"/>
        <v>628.18690184502918</v>
      </c>
      <c r="AA55" s="80">
        <f t="shared" si="24"/>
        <v>484.57371406306521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88865.779326686228</v>
      </c>
      <c r="I56" s="80">
        <f t="shared" si="25"/>
        <v>74435.924688975312</v>
      </c>
      <c r="J56" s="80">
        <f t="shared" si="25"/>
        <v>53021.228551086584</v>
      </c>
      <c r="K56" s="80">
        <f t="shared" si="25"/>
        <v>36423.888718708069</v>
      </c>
      <c r="L56" s="80">
        <f t="shared" si="25"/>
        <v>23291.570078277004</v>
      </c>
      <c r="M56" s="80">
        <f t="shared" si="25"/>
        <v>15001.88230923214</v>
      </c>
      <c r="N56" s="80">
        <f t="shared" si="25"/>
        <v>9744.3493252104254</v>
      </c>
      <c r="O56" s="80">
        <f t="shared" si="25"/>
        <v>6391.015577395312</v>
      </c>
      <c r="P56" s="80">
        <f t="shared" si="25"/>
        <v>4237.8309327671595</v>
      </c>
      <c r="Q56" s="80">
        <f t="shared" si="25"/>
        <v>2844.3468556654202</v>
      </c>
      <c r="R56" s="80">
        <f t="shared" si="25"/>
        <v>1934.2688935318934</v>
      </c>
      <c r="S56" s="80">
        <f t="shared" si="25"/>
        <v>1333.7033490551698</v>
      </c>
      <c r="T56" s="80">
        <f t="shared" si="25"/>
        <v>932.7676165110496</v>
      </c>
      <c r="U56" s="80">
        <f t="shared" si="25"/>
        <v>661.69307962407936</v>
      </c>
      <c r="V56" s="80">
        <f t="shared" si="25"/>
        <v>475.92583770326877</v>
      </c>
      <c r="W56" s="80">
        <f t="shared" si="25"/>
        <v>346.81963420095872</v>
      </c>
      <c r="X56" s="80">
        <f t="shared" si="24"/>
        <v>255.80864497093819</v>
      </c>
      <c r="Y56" s="80">
        <f t="shared" si="24"/>
        <v>190.74884850458571</v>
      </c>
      <c r="Z56" s="80">
        <f t="shared" si="24"/>
        <v>143.61318778196394</v>
      </c>
      <c r="AA56" s="80">
        <f t="shared" si="24"/>
        <v>109.03365989519936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83406.097878343571</v>
      </c>
      <c r="I57" s="80">
        <f t="shared" si="26"/>
        <v>17159.753755535658</v>
      </c>
      <c r="J57" s="80">
        <f t="shared" si="26"/>
        <v>14386.690585617484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200605.51550211126</v>
      </c>
      <c r="I58" s="107">
        <f t="shared" si="27"/>
        <v>143329.3445686716</v>
      </c>
      <c r="J58" s="107">
        <f t="shared" si="27"/>
        <v>104694.80660320249</v>
      </c>
      <c r="K58" s="107">
        <f t="shared" si="27"/>
        <v>68270.91788449444</v>
      </c>
      <c r="L58" s="107">
        <f t="shared" si="27"/>
        <v>44979.347806217433</v>
      </c>
      <c r="M58" s="107">
        <f t="shared" si="27"/>
        <v>29977.465496985293</v>
      </c>
      <c r="N58" s="107">
        <f t="shared" si="27"/>
        <v>20233.116171774866</v>
      </c>
      <c r="O58" s="107">
        <f t="shared" si="27"/>
        <v>13842.100594379554</v>
      </c>
      <c r="P58" s="107">
        <f t="shared" si="27"/>
        <v>9604.269661612394</v>
      </c>
      <c r="Q58" s="107">
        <f t="shared" si="27"/>
        <v>6759.9228059469724</v>
      </c>
      <c r="R58" s="107">
        <f t="shared" si="27"/>
        <v>4825.6539124150795</v>
      </c>
      <c r="S58" s="107">
        <f t="shared" si="27"/>
        <v>3491.9505633599097</v>
      </c>
      <c r="T58" s="107">
        <f t="shared" si="27"/>
        <v>2559.18294684886</v>
      </c>
      <c r="U58" s="107">
        <f t="shared" si="27"/>
        <v>1897.4898672247805</v>
      </c>
      <c r="V58" s="107">
        <f t="shared" si="27"/>
        <v>1421.5640295215119</v>
      </c>
      <c r="W58" s="107">
        <f t="shared" si="27"/>
        <v>1074.7443953205529</v>
      </c>
      <c r="X58" s="107">
        <f t="shared" si="24"/>
        <v>818.93575034961475</v>
      </c>
      <c r="Y58" s="107">
        <f t="shared" si="24"/>
        <v>628.18690184502918</v>
      </c>
      <c r="Z58" s="107">
        <f t="shared" si="24"/>
        <v>484.57371406306521</v>
      </c>
      <c r="AA58" s="107">
        <f t="shared" si="24"/>
        <v>375.54005416786589</v>
      </c>
    </row>
    <row r="59" spans="1:27" s="82" customFormat="1" x14ac:dyDescent="0.2">
      <c r="A59" s="556" t="s">
        <v>0</v>
      </c>
      <c r="B59" s="544"/>
      <c r="C59" s="544">
        <f>SUM(D59:AA59)</f>
        <v>2.7966962079517543E-11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0</v>
      </c>
      <c r="I59" s="547">
        <f t="shared" si="28"/>
        <v>0</v>
      </c>
      <c r="J59" s="547">
        <f t="shared" si="28"/>
        <v>0</v>
      </c>
      <c r="K59" s="547">
        <f t="shared" si="28"/>
        <v>1.4551915228366852E-11</v>
      </c>
      <c r="L59" s="547">
        <f t="shared" si="28"/>
        <v>7.2759576141834259E-12</v>
      </c>
      <c r="M59" s="547">
        <f t="shared" si="28"/>
        <v>0</v>
      </c>
      <c r="N59" s="547">
        <f t="shared" si="28"/>
        <v>3.637978807091713E-12</v>
      </c>
      <c r="O59" s="547">
        <f t="shared" si="28"/>
        <v>0</v>
      </c>
      <c r="P59" s="547">
        <f t="shared" si="28"/>
        <v>0</v>
      </c>
      <c r="Q59" s="547">
        <f t="shared" si="28"/>
        <v>9.0949470177292824E-13</v>
      </c>
      <c r="R59" s="547">
        <f t="shared" si="28"/>
        <v>9.0949470177292824E-13</v>
      </c>
      <c r="S59" s="547">
        <f t="shared" si="28"/>
        <v>0</v>
      </c>
      <c r="T59" s="547">
        <f t="shared" si="28"/>
        <v>0</v>
      </c>
      <c r="U59" s="547">
        <f t="shared" si="28"/>
        <v>0</v>
      </c>
      <c r="V59" s="547">
        <f t="shared" si="28"/>
        <v>2.2737367544323206E-13</v>
      </c>
      <c r="W59" s="547">
        <f t="shared" si="28"/>
        <v>2.2737367544323206E-13</v>
      </c>
      <c r="X59" s="547">
        <f>ABS(X55-X56+X57-X58)</f>
        <v>0</v>
      </c>
      <c r="Y59" s="547">
        <f>ABS(Y55-Y56+Y57-Y58)</f>
        <v>1.1368683772161603E-13</v>
      </c>
      <c r="Z59" s="547">
        <f>ABS(Z55-Z56+Z57-Z58)</f>
        <v>5.6843418860808015E-14</v>
      </c>
      <c r="AA59" s="547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86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321116.54210996378</v>
      </c>
      <c r="J5" s="80">
        <f t="shared" si="1"/>
        <v>297947.67478832271</v>
      </c>
      <c r="K5" s="80">
        <f t="shared" si="1"/>
        <v>271920.86382779077</v>
      </c>
      <c r="L5" s="80">
        <f t="shared" si="1"/>
        <v>236043.28341317948</v>
      </c>
      <c r="M5" s="80">
        <f t="shared" si="1"/>
        <v>203586.767513706</v>
      </c>
      <c r="N5" s="80">
        <f t="shared" si="1"/>
        <v>174635.76089729497</v>
      </c>
      <c r="O5" s="80">
        <f t="shared" si="1"/>
        <v>148829.28293252963</v>
      </c>
      <c r="P5" s="80">
        <f t="shared" si="1"/>
        <v>125430.56428363593</v>
      </c>
      <c r="Q5" s="80">
        <f t="shared" si="1"/>
        <v>103706.42929740294</v>
      </c>
      <c r="R5" s="80">
        <f t="shared" si="1"/>
        <v>82976.388606551205</v>
      </c>
      <c r="S5" s="80">
        <f t="shared" si="1"/>
        <v>62649.970857621636</v>
      </c>
      <c r="T5" s="80">
        <f t="shared" si="1"/>
        <v>42393.750343135311</v>
      </c>
      <c r="U5" s="80">
        <f t="shared" si="1"/>
        <v>24279.192693631983</v>
      </c>
      <c r="V5" s="80">
        <f t="shared" si="1"/>
        <v>11068.788009245749</v>
      </c>
      <c r="W5" s="80">
        <f t="shared" si="1"/>
        <v>3563.148049245573</v>
      </c>
      <c r="X5" s="80">
        <f>W10</f>
        <v>830.65690003211284</v>
      </c>
      <c r="Y5" s="80">
        <f>X10</f>
        <v>207.4735179571652</v>
      </c>
      <c r="Z5" s="80">
        <f>Y10</f>
        <v>-3.2855496101547033E-11</v>
      </c>
      <c r="AA5" s="80">
        <f>Z10</f>
        <v>-3.2855496101547033E-11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72287.184684915002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43620.553624754342</v>
      </c>
      <c r="I9" s="80">
        <f t="shared" si="2"/>
        <v>37682.556654884691</v>
      </c>
      <c r="J9" s="80">
        <f t="shared" si="2"/>
        <v>37901.737686158274</v>
      </c>
      <c r="K9" s="80">
        <f t="shared" si="2"/>
        <v>35877.580414611301</v>
      </c>
      <c r="L9" s="80">
        <f t="shared" si="2"/>
        <v>32456.515899473485</v>
      </c>
      <c r="M9" s="80">
        <f t="shared" si="2"/>
        <v>28951.006616411036</v>
      </c>
      <c r="N9" s="80">
        <f t="shared" si="2"/>
        <v>25806.477964765341</v>
      </c>
      <c r="O9" s="80">
        <f t="shared" si="2"/>
        <v>23398.718648893704</v>
      </c>
      <c r="P9" s="80">
        <f t="shared" si="2"/>
        <v>21724.134986232988</v>
      </c>
      <c r="Q9" s="80">
        <f t="shared" si="2"/>
        <v>20730.040690851733</v>
      </c>
      <c r="R9" s="80">
        <f t="shared" si="2"/>
        <v>20326.417748929565</v>
      </c>
      <c r="S9" s="80">
        <f t="shared" si="2"/>
        <v>20256.220514486322</v>
      </c>
      <c r="T9" s="80">
        <f t="shared" si="2"/>
        <v>18114.557649503327</v>
      </c>
      <c r="U9" s="80">
        <f t="shared" si="2"/>
        <v>13210.404684386234</v>
      </c>
      <c r="V9" s="80">
        <f t="shared" si="2"/>
        <v>7505.639960000176</v>
      </c>
      <c r="W9" s="80">
        <f t="shared" si="2"/>
        <v>2732.4911492134602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321116.54210996378</v>
      </c>
      <c r="I10" s="107">
        <f t="shared" si="3"/>
        <v>297947.67478832271</v>
      </c>
      <c r="J10" s="107">
        <f t="shared" si="3"/>
        <v>271920.86382779077</v>
      </c>
      <c r="K10" s="107">
        <f t="shared" si="3"/>
        <v>236043.28341317948</v>
      </c>
      <c r="L10" s="107">
        <f t="shared" si="3"/>
        <v>203586.767513706</v>
      </c>
      <c r="M10" s="107">
        <f t="shared" si="3"/>
        <v>174635.76089729497</v>
      </c>
      <c r="N10" s="107">
        <f t="shared" si="3"/>
        <v>148829.28293252963</v>
      </c>
      <c r="O10" s="107">
        <f t="shared" si="3"/>
        <v>125430.56428363593</v>
      </c>
      <c r="P10" s="107">
        <f t="shared" si="3"/>
        <v>103706.42929740294</v>
      </c>
      <c r="Q10" s="107">
        <f t="shared" si="3"/>
        <v>82976.388606551205</v>
      </c>
      <c r="R10" s="107">
        <f t="shared" si="3"/>
        <v>62649.970857621636</v>
      </c>
      <c r="S10" s="107">
        <f t="shared" si="3"/>
        <v>42393.750343135311</v>
      </c>
      <c r="T10" s="107">
        <f t="shared" si="3"/>
        <v>24279.192693631983</v>
      </c>
      <c r="U10" s="107">
        <f t="shared" si="3"/>
        <v>11068.788009245749</v>
      </c>
      <c r="V10" s="107">
        <f t="shared" si="3"/>
        <v>3563.148049245573</v>
      </c>
      <c r="W10" s="107">
        <f t="shared" si="3"/>
        <v>830.65690003211284</v>
      </c>
      <c r="X10" s="107">
        <f>X5+X6-SUM(X7:X9)</f>
        <v>207.4735179571652</v>
      </c>
      <c r="Y10" s="107">
        <f>Y5+Y6-SUM(Y7:Y9)</f>
        <v>-3.2855496101547033E-11</v>
      </c>
      <c r="Z10" s="107">
        <f>Z5+Z6-SUM(Z7:Z9)</f>
        <v>-3.2855496101547033E-11</v>
      </c>
      <c r="AA10" s="107">
        <f>AA5+AA6-SUM(AA7:AA9)</f>
        <v>-3.2855496101547033E-11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306783.22657988349</v>
      </c>
      <c r="I12" s="80">
        <f t="shared" si="4"/>
        <v>309532.10844914324</v>
      </c>
      <c r="J12" s="80">
        <f t="shared" si="4"/>
        <v>284934.26930805674</v>
      </c>
      <c r="K12" s="80">
        <f t="shared" si="4"/>
        <v>253982.07362048514</v>
      </c>
      <c r="L12" s="80">
        <f t="shared" si="4"/>
        <v>219815.02546344273</v>
      </c>
      <c r="M12" s="80">
        <f t="shared" si="4"/>
        <v>189111.26420550048</v>
      </c>
      <c r="N12" s="80">
        <f t="shared" si="4"/>
        <v>161732.5219149123</v>
      </c>
      <c r="O12" s="80">
        <f t="shared" si="4"/>
        <v>137129.92360808278</v>
      </c>
      <c r="P12" s="80">
        <f t="shared" si="4"/>
        <v>114568.49679051944</v>
      </c>
      <c r="Q12" s="80">
        <f t="shared" si="4"/>
        <v>93341.408951977064</v>
      </c>
      <c r="R12" s="80">
        <f t="shared" si="4"/>
        <v>72813.179732086428</v>
      </c>
      <c r="S12" s="80">
        <f t="shared" si="4"/>
        <v>52521.860600378473</v>
      </c>
      <c r="T12" s="80">
        <f t="shared" si="4"/>
        <v>33336.471518383645</v>
      </c>
      <c r="U12" s="80">
        <f t="shared" si="4"/>
        <v>17673.990351438864</v>
      </c>
      <c r="V12" s="80">
        <f t="shared" si="4"/>
        <v>7315.9680292456615</v>
      </c>
      <c r="W12" s="80">
        <f t="shared" si="4"/>
        <v>2196.9024746388432</v>
      </c>
      <c r="X12" s="80">
        <f>AVERAGE(X5,X10)</f>
        <v>519.06520899463908</v>
      </c>
      <c r="Y12" s="80">
        <f>AVERAGE(Y5,Y10)</f>
        <v>103.73675897856617</v>
      </c>
      <c r="Z12" s="80">
        <f>AVERAGE(Z5,Z10)</f>
        <v>-3.2855496101547033E-11</v>
      </c>
      <c r="AA12" s="80">
        <f>AVERAGE(AA5,AA10)</f>
        <v>-3.2855496101547033E-11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33.904311093644807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5020.0686495221507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43.565415660110993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4364.8580553254151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252612.19552335277</v>
      </c>
      <c r="J40" s="80">
        <f t="shared" si="15"/>
        <v>239156.05154131455</v>
      </c>
      <c r="K40" s="80">
        <f t="shared" si="15"/>
        <v>225261.31284905816</v>
      </c>
      <c r="L40" s="80">
        <f t="shared" si="15"/>
        <v>204934.8951001286</v>
      </c>
      <c r="M40" s="80">
        <f t="shared" si="15"/>
        <v>184608.47735119905</v>
      </c>
      <c r="N40" s="80">
        <f t="shared" si="15"/>
        <v>164282.0596022695</v>
      </c>
      <c r="O40" s="80">
        <f t="shared" si="15"/>
        <v>143955.64185333994</v>
      </c>
      <c r="P40" s="80">
        <f t="shared" si="15"/>
        <v>123629.22410441037</v>
      </c>
      <c r="Q40" s="80">
        <f t="shared" si="15"/>
        <v>103302.8063554808</v>
      </c>
      <c r="R40" s="80">
        <f t="shared" si="15"/>
        <v>82976.388606551234</v>
      </c>
      <c r="S40" s="80">
        <f t="shared" si="15"/>
        <v>62649.970857621665</v>
      </c>
      <c r="T40" s="80">
        <f t="shared" si="15"/>
        <v>42393.75034313534</v>
      </c>
      <c r="U40" s="80">
        <f t="shared" si="15"/>
        <v>24279.192693632012</v>
      </c>
      <c r="V40" s="80">
        <f t="shared" si="15"/>
        <v>11068.788009245778</v>
      </c>
      <c r="W40" s="80">
        <f t="shared" si="15"/>
        <v>3563.1480492456021</v>
      </c>
      <c r="X40" s="80">
        <f>W45</f>
        <v>830.65690003214195</v>
      </c>
      <c r="Y40" s="80">
        <f>X45</f>
        <v>207.4735179571943</v>
      </c>
      <c r="Z40" s="80">
        <f>Y45</f>
        <v>-3.751665644813329E-12</v>
      </c>
      <c r="AA40" s="80">
        <f>Z45</f>
        <v>-3.751665644813329E-12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57032.142629338574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17593.926599716116</v>
      </c>
      <c r="I44" s="80">
        <f t="shared" si="16"/>
        <v>19703.234366854616</v>
      </c>
      <c r="J44" s="80">
        <f t="shared" si="16"/>
        <v>20118.944230972364</v>
      </c>
      <c r="K44" s="80">
        <f t="shared" si="16"/>
        <v>20326.417748929565</v>
      </c>
      <c r="L44" s="80">
        <f t="shared" si="16"/>
        <v>20326.417748929565</v>
      </c>
      <c r="M44" s="80">
        <f t="shared" si="16"/>
        <v>20326.417748929565</v>
      </c>
      <c r="N44" s="80">
        <f t="shared" si="16"/>
        <v>20326.417748929565</v>
      </c>
      <c r="O44" s="80">
        <f t="shared" si="16"/>
        <v>20326.417748929565</v>
      </c>
      <c r="P44" s="80">
        <f t="shared" si="16"/>
        <v>20326.417748929565</v>
      </c>
      <c r="Q44" s="80">
        <f t="shared" si="16"/>
        <v>20326.417748929565</v>
      </c>
      <c r="R44" s="80">
        <f t="shared" si="16"/>
        <v>20326.417748929565</v>
      </c>
      <c r="S44" s="80">
        <f t="shared" si="16"/>
        <v>20256.220514486322</v>
      </c>
      <c r="T44" s="80">
        <f t="shared" si="16"/>
        <v>18114.557649503327</v>
      </c>
      <c r="U44" s="80">
        <f t="shared" si="16"/>
        <v>13210.404684386234</v>
      </c>
      <c r="V44" s="80">
        <f t="shared" si="16"/>
        <v>7505.639960000176</v>
      </c>
      <c r="W44" s="80">
        <f t="shared" si="16"/>
        <v>2732.4911492134602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252612.19552335277</v>
      </c>
      <c r="I45" s="107">
        <f t="shared" si="17"/>
        <v>239156.05154131455</v>
      </c>
      <c r="J45" s="107">
        <f t="shared" si="17"/>
        <v>225261.31284905816</v>
      </c>
      <c r="K45" s="107">
        <f t="shared" si="17"/>
        <v>204934.8951001286</v>
      </c>
      <c r="L45" s="107">
        <f t="shared" si="17"/>
        <v>184608.47735119905</v>
      </c>
      <c r="M45" s="107">
        <f t="shared" si="17"/>
        <v>164282.0596022695</v>
      </c>
      <c r="N45" s="107">
        <f t="shared" si="17"/>
        <v>143955.64185333994</v>
      </c>
      <c r="O45" s="107">
        <f t="shared" si="17"/>
        <v>123629.22410441037</v>
      </c>
      <c r="P45" s="107">
        <f t="shared" si="17"/>
        <v>103302.8063554808</v>
      </c>
      <c r="Q45" s="107">
        <f t="shared" si="17"/>
        <v>82976.388606551234</v>
      </c>
      <c r="R45" s="107">
        <f t="shared" si="17"/>
        <v>62649.970857621665</v>
      </c>
      <c r="S45" s="107">
        <f t="shared" si="17"/>
        <v>42393.75034313534</v>
      </c>
      <c r="T45" s="107">
        <f t="shared" si="17"/>
        <v>24279.192693632012</v>
      </c>
      <c r="U45" s="107">
        <f t="shared" si="17"/>
        <v>11068.788009245778</v>
      </c>
      <c r="V45" s="107">
        <f t="shared" si="17"/>
        <v>3563.1480492456021</v>
      </c>
      <c r="W45" s="107">
        <f t="shared" si="17"/>
        <v>830.65690003214195</v>
      </c>
      <c r="X45" s="107">
        <f>X40+X41-SUM(X42:X44)</f>
        <v>207.4735179571943</v>
      </c>
      <c r="Y45" s="107">
        <f>Y40+Y41-SUM(Y42:Y44)</f>
        <v>-3.751665644813329E-12</v>
      </c>
      <c r="Z45" s="107">
        <f>Z40+Z41-SUM(Z42:Z44)</f>
        <v>-3.751665644813329E-12</v>
      </c>
      <c r="AA45" s="107">
        <f>AA40+AA41-SUM(AA42:AA44)</f>
        <v>-3.751665644813329E-12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41325.01492879181</v>
      </c>
      <c r="J50" s="80">
        <f t="shared" si="19"/>
        <v>35176.353203567334</v>
      </c>
      <c r="K50" s="80">
        <f t="shared" si="19"/>
        <v>27827.729105551647</v>
      </c>
      <c r="L50" s="80">
        <f t="shared" si="19"/>
        <v>18048.373683736656</v>
      </c>
      <c r="M50" s="80">
        <f t="shared" si="19"/>
        <v>11324.16456924201</v>
      </c>
      <c r="N50" s="80">
        <f t="shared" si="19"/>
        <v>6759.7814592946879</v>
      </c>
      <c r="O50" s="80">
        <f t="shared" si="19"/>
        <v>3520.8497135258849</v>
      </c>
      <c r="P50" s="80">
        <f t="shared" si="19"/>
        <v>1425.0320935411555</v>
      </c>
      <c r="Q50" s="80">
        <f t="shared" si="19"/>
        <v>328.1928440925667</v>
      </c>
      <c r="R50" s="80">
        <f t="shared" si="19"/>
        <v>-1.8189894035458565E-12</v>
      </c>
      <c r="S50" s="80">
        <f t="shared" si="19"/>
        <v>-1.8189894035458565E-12</v>
      </c>
      <c r="T50" s="80">
        <f t="shared" si="19"/>
        <v>-1.8189894035458565E-12</v>
      </c>
      <c r="U50" s="80">
        <f t="shared" si="19"/>
        <v>-1.8189894035458565E-12</v>
      </c>
      <c r="V50" s="80">
        <f t="shared" si="19"/>
        <v>-1.8189894035458565E-12</v>
      </c>
      <c r="W50" s="80">
        <f t="shared" si="19"/>
        <v>-1.8189894035458565E-12</v>
      </c>
      <c r="X50" s="80">
        <f>W55</f>
        <v>-1.8189894035458565E-12</v>
      </c>
      <c r="Y50" s="80">
        <f>X55</f>
        <v>-1.8189894035458565E-12</v>
      </c>
      <c r="Z50" s="80">
        <f>Y55</f>
        <v>-1.8189894035458565E-12</v>
      </c>
      <c r="AA50" s="80">
        <f>Z55</f>
        <v>-1.8189894035458565E-12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7819.3473298175995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11645.543719155998</v>
      </c>
      <c r="I54" s="80">
        <f t="shared" si="20"/>
        <v>12315.011582912819</v>
      </c>
      <c r="J54" s="80">
        <f t="shared" si="20"/>
        <v>11943.323915311645</v>
      </c>
      <c r="K54" s="80">
        <f t="shared" si="20"/>
        <v>9779.3554218149911</v>
      </c>
      <c r="L54" s="80">
        <f t="shared" si="20"/>
        <v>6724.2091144946471</v>
      </c>
      <c r="M54" s="80">
        <f t="shared" si="20"/>
        <v>4564.3831099473218</v>
      </c>
      <c r="N54" s="80">
        <f t="shared" si="20"/>
        <v>3238.931745768803</v>
      </c>
      <c r="O54" s="80">
        <f t="shared" si="20"/>
        <v>2095.8176199847294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41325.01492879181</v>
      </c>
      <c r="I55" s="107">
        <f t="shared" si="21"/>
        <v>35176.353203567334</v>
      </c>
      <c r="J55" s="107">
        <f t="shared" si="21"/>
        <v>27827.729105551647</v>
      </c>
      <c r="K55" s="107">
        <f t="shared" si="21"/>
        <v>18048.373683736656</v>
      </c>
      <c r="L55" s="107">
        <f t="shared" si="21"/>
        <v>11324.16456924201</v>
      </c>
      <c r="M55" s="107">
        <f t="shared" si="21"/>
        <v>6759.7814592946879</v>
      </c>
      <c r="N55" s="107">
        <f t="shared" si="21"/>
        <v>3520.8497135258849</v>
      </c>
      <c r="O55" s="107">
        <f t="shared" si="21"/>
        <v>1425.0320935411555</v>
      </c>
      <c r="P55" s="107">
        <f t="shared" si="21"/>
        <v>328.1928440925667</v>
      </c>
      <c r="Q55" s="107">
        <f t="shared" si="21"/>
        <v>-1.8189894035458565E-12</v>
      </c>
      <c r="R55" s="107">
        <f t="shared" si="21"/>
        <v>-1.8189894035458565E-12</v>
      </c>
      <c r="S55" s="107">
        <f t="shared" si="21"/>
        <v>-1.8189894035458565E-12</v>
      </c>
      <c r="T55" s="107">
        <f t="shared" si="21"/>
        <v>-1.8189894035458565E-12</v>
      </c>
      <c r="U55" s="107">
        <f t="shared" si="21"/>
        <v>-1.8189894035458565E-12</v>
      </c>
      <c r="V55" s="107">
        <f t="shared" si="21"/>
        <v>-1.8189894035458565E-12</v>
      </c>
      <c r="W55" s="107">
        <f t="shared" si="21"/>
        <v>-1.8189894035458565E-12</v>
      </c>
      <c r="X55" s="107">
        <f>X50+X51-SUM(X52:X54)</f>
        <v>-1.8189894035458565E-12</v>
      </c>
      <c r="Y55" s="107">
        <f>Y50+Y51-SUM(Y52:Y54)</f>
        <v>-1.8189894035458565E-12</v>
      </c>
      <c r="Z55" s="107">
        <f>Z50+Z51-SUM(Z52:Z54)</f>
        <v>-1.8189894035458565E-12</v>
      </c>
      <c r="AA55" s="107">
        <f>AA50+AA51-SUM(AA52:AA54)</f>
        <v>-1.8189894035458565E-12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26226.505309124925</v>
      </c>
      <c r="J60" s="80">
        <f t="shared" si="23"/>
        <v>22839.659905986635</v>
      </c>
      <c r="K60" s="80">
        <f t="shared" si="23"/>
        <v>18218.584627314045</v>
      </c>
      <c r="L60" s="80">
        <f t="shared" si="23"/>
        <v>12681.699169033029</v>
      </c>
      <c r="M60" s="80">
        <f t="shared" si="23"/>
        <v>7432.6522052181062</v>
      </c>
      <c r="N60" s="80">
        <f t="shared" si="23"/>
        <v>3464.2942560001866</v>
      </c>
      <c r="O60" s="80">
        <f t="shared" si="23"/>
        <v>1281.1593638502964</v>
      </c>
      <c r="P60" s="80">
        <f t="shared" si="23"/>
        <v>344.00825632163571</v>
      </c>
      <c r="Q60" s="80">
        <f t="shared" si="23"/>
        <v>67.206195595644431</v>
      </c>
      <c r="R60" s="80">
        <f t="shared" si="23"/>
        <v>-8.1854523159563541E-12</v>
      </c>
      <c r="S60" s="80">
        <f t="shared" si="23"/>
        <v>-8.1854523159563541E-12</v>
      </c>
      <c r="T60" s="80">
        <f t="shared" si="23"/>
        <v>-8.1854523159563541E-12</v>
      </c>
      <c r="U60" s="80">
        <f t="shared" si="23"/>
        <v>-8.1854523159563541E-12</v>
      </c>
      <c r="V60" s="80">
        <f t="shared" si="23"/>
        <v>-8.1854523159563541E-12</v>
      </c>
      <c r="W60" s="80">
        <f t="shared" si="23"/>
        <v>-8.1854523159563541E-12</v>
      </c>
      <c r="X60" s="80">
        <f>W65</f>
        <v>-8.1854523159563541E-12</v>
      </c>
      <c r="Y60" s="80">
        <f>X65</f>
        <v>-8.1854523159563541E-12</v>
      </c>
      <c r="Z60" s="80">
        <f>Y65</f>
        <v>-8.1854523159563541E-12</v>
      </c>
      <c r="AA60" s="80">
        <f>Z65</f>
        <v>-8.1854523159563541E-12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7251.4312817517657</v>
      </c>
      <c r="I61" s="80">
        <f>'Data 2009-15 (Real $2008)'!I14/10^3</f>
        <v>1993.4553734855997</v>
      </c>
      <c r="J61" s="80">
        <f>'Data 2009-15 (Real $2008)'!J14/10^3</f>
        <v>940.88673833913879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4719.9517298212186</v>
      </c>
      <c r="I64" s="80">
        <f t="shared" si="24"/>
        <v>5380.300776623887</v>
      </c>
      <c r="J64" s="80">
        <f t="shared" si="24"/>
        <v>5561.9620170117278</v>
      </c>
      <c r="K64" s="80">
        <f t="shared" si="24"/>
        <v>5536.8854582810154</v>
      </c>
      <c r="L64" s="80">
        <f t="shared" si="24"/>
        <v>5249.0469638149225</v>
      </c>
      <c r="M64" s="80">
        <f t="shared" si="24"/>
        <v>3968.3579492179197</v>
      </c>
      <c r="N64" s="80">
        <f t="shared" si="24"/>
        <v>2183.1348921498902</v>
      </c>
      <c r="O64" s="80">
        <f t="shared" si="24"/>
        <v>937.15110752866065</v>
      </c>
      <c r="P64" s="80">
        <f t="shared" si="24"/>
        <v>276.80206072599128</v>
      </c>
      <c r="Q64" s="80">
        <f t="shared" si="24"/>
        <v>67.206195595652616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26226.505309124925</v>
      </c>
      <c r="I65" s="107">
        <f t="shared" si="25"/>
        <v>22839.659905986635</v>
      </c>
      <c r="J65" s="107">
        <f t="shared" si="25"/>
        <v>18218.584627314045</v>
      </c>
      <c r="K65" s="107">
        <f t="shared" si="25"/>
        <v>12681.699169033029</v>
      </c>
      <c r="L65" s="107">
        <f t="shared" si="25"/>
        <v>7432.6522052181062</v>
      </c>
      <c r="M65" s="107">
        <f t="shared" si="25"/>
        <v>3464.2942560001866</v>
      </c>
      <c r="N65" s="107">
        <f t="shared" si="25"/>
        <v>1281.1593638502964</v>
      </c>
      <c r="O65" s="107">
        <f t="shared" si="25"/>
        <v>344.00825632163571</v>
      </c>
      <c r="P65" s="107">
        <f t="shared" si="25"/>
        <v>67.206195595644431</v>
      </c>
      <c r="Q65" s="107">
        <f t="shared" si="25"/>
        <v>-8.1854523159563541E-12</v>
      </c>
      <c r="R65" s="107">
        <f t="shared" si="25"/>
        <v>-8.1854523159563541E-12</v>
      </c>
      <c r="S65" s="107">
        <f t="shared" si="25"/>
        <v>-8.1854523159563541E-12</v>
      </c>
      <c r="T65" s="107">
        <f t="shared" si="25"/>
        <v>-8.1854523159563541E-12</v>
      </c>
      <c r="U65" s="107">
        <f t="shared" si="25"/>
        <v>-8.1854523159563541E-12</v>
      </c>
      <c r="V65" s="107">
        <f t="shared" si="25"/>
        <v>-8.1854523159563541E-12</v>
      </c>
      <c r="W65" s="107">
        <f t="shared" si="25"/>
        <v>-8.1854523159563541E-12</v>
      </c>
      <c r="X65" s="107">
        <f>X60+X61-SUM(X62:X64)</f>
        <v>-8.1854523159563541E-12</v>
      </c>
      <c r="Y65" s="107">
        <f>Y60+Y61-SUM(Y62:Y64)</f>
        <v>-8.1854523159563541E-12</v>
      </c>
      <c r="Z65" s="107">
        <f>Z60+Z61-SUM(Z62:Z64)</f>
        <v>-8.1854523159563541E-12</v>
      </c>
      <c r="AA65" s="107">
        <f>AA60+AA61-SUM(AA62:AA64)</f>
        <v>-8.1854523159563541E-12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952.82634869427091</v>
      </c>
      <c r="J70" s="80">
        <f t="shared" si="27"/>
        <v>775.61013745422554</v>
      </c>
      <c r="K70" s="80">
        <f t="shared" si="27"/>
        <v>613.23724586692833</v>
      </c>
      <c r="L70" s="80">
        <f t="shared" si="27"/>
        <v>378.31546028119828</v>
      </c>
      <c r="M70" s="80">
        <f t="shared" si="27"/>
        <v>221.47338804684702</v>
      </c>
      <c r="N70" s="80">
        <f t="shared" si="27"/>
        <v>129.6255797306157</v>
      </c>
      <c r="O70" s="80">
        <f t="shared" si="27"/>
        <v>71.632001813535368</v>
      </c>
      <c r="P70" s="80">
        <f t="shared" si="27"/>
        <v>32.299829362789339</v>
      </c>
      <c r="Q70" s="80">
        <f t="shared" si="27"/>
        <v>8.2239022339458714</v>
      </c>
      <c r="R70" s="80">
        <f t="shared" si="27"/>
        <v>-1.9184653865522705E-13</v>
      </c>
      <c r="S70" s="80">
        <f t="shared" si="27"/>
        <v>-1.9184653865522705E-13</v>
      </c>
      <c r="T70" s="80">
        <f t="shared" si="27"/>
        <v>-1.9184653865522705E-13</v>
      </c>
      <c r="U70" s="80">
        <f t="shared" si="27"/>
        <v>-1.9184653865522705E-13</v>
      </c>
      <c r="V70" s="80">
        <f t="shared" si="27"/>
        <v>-1.9184653865522705E-13</v>
      </c>
      <c r="W70" s="80">
        <f t="shared" si="27"/>
        <v>-1.9184653865522705E-13</v>
      </c>
      <c r="X70" s="80">
        <f>W75</f>
        <v>-1.9184653865522705E-13</v>
      </c>
      <c r="Y70" s="80">
        <f>X75</f>
        <v>-1.9184653865522705E-13</v>
      </c>
      <c r="Z70" s="80">
        <f>Y75</f>
        <v>-1.9184653865522705E-13</v>
      </c>
      <c r="AA70" s="80">
        <f>Z75</f>
        <v>-1.9184653865522705E-13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106.79371725331792</v>
      </c>
      <c r="I71" s="80">
        <f>'Data 2009-15 (Real $2008)'!I15/10^3</f>
        <v>106.79371725331792</v>
      </c>
      <c r="J71" s="80">
        <f>'Data 2009-15 (Real $2008)'!J15/10^3</f>
        <v>115.13463127524523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276.20487121344752</v>
      </c>
      <c r="I74" s="80">
        <f t="shared" si="28"/>
        <v>284.00992849336319</v>
      </c>
      <c r="J74" s="80">
        <f t="shared" si="28"/>
        <v>277.50752286254232</v>
      </c>
      <c r="K74" s="80">
        <f t="shared" si="28"/>
        <v>234.92178558573005</v>
      </c>
      <c r="L74" s="80">
        <f t="shared" si="28"/>
        <v>156.84207223435126</v>
      </c>
      <c r="M74" s="80">
        <f t="shared" si="28"/>
        <v>91.847808316231323</v>
      </c>
      <c r="N74" s="80">
        <f t="shared" si="28"/>
        <v>57.993577917080337</v>
      </c>
      <c r="O74" s="80">
        <f t="shared" si="28"/>
        <v>39.332172450746029</v>
      </c>
      <c r="P74" s="80">
        <f t="shared" si="28"/>
        <v>24.075927128843468</v>
      </c>
      <c r="Q74" s="80">
        <f t="shared" si="28"/>
        <v>8.2239022339460632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952.82634869427091</v>
      </c>
      <c r="I75" s="107">
        <f t="shared" si="29"/>
        <v>775.61013745422554</v>
      </c>
      <c r="J75" s="107">
        <f t="shared" si="29"/>
        <v>613.23724586692833</v>
      </c>
      <c r="K75" s="107">
        <f t="shared" si="29"/>
        <v>378.31546028119828</v>
      </c>
      <c r="L75" s="107">
        <f t="shared" si="29"/>
        <v>221.47338804684702</v>
      </c>
      <c r="M75" s="107">
        <f t="shared" si="29"/>
        <v>129.6255797306157</v>
      </c>
      <c r="N75" s="107">
        <f t="shared" si="29"/>
        <v>71.632001813535368</v>
      </c>
      <c r="O75" s="107">
        <f t="shared" si="29"/>
        <v>32.299829362789339</v>
      </c>
      <c r="P75" s="107">
        <f t="shared" si="29"/>
        <v>8.2239022339458714</v>
      </c>
      <c r="Q75" s="107">
        <f t="shared" si="29"/>
        <v>-1.9184653865522705E-13</v>
      </c>
      <c r="R75" s="107">
        <f t="shared" si="29"/>
        <v>-1.9184653865522705E-13</v>
      </c>
      <c r="S75" s="107">
        <f t="shared" si="29"/>
        <v>-1.9184653865522705E-13</v>
      </c>
      <c r="T75" s="107">
        <f t="shared" si="29"/>
        <v>-1.9184653865522705E-13</v>
      </c>
      <c r="U75" s="107">
        <f t="shared" si="29"/>
        <v>-1.9184653865522705E-13</v>
      </c>
      <c r="V75" s="107">
        <f t="shared" si="29"/>
        <v>-1.9184653865522705E-13</v>
      </c>
      <c r="W75" s="107">
        <f t="shared" si="29"/>
        <v>-1.9184653865522705E-13</v>
      </c>
      <c r="X75" s="107">
        <f>X70+X71-SUM(X72:X74)</f>
        <v>-1.9184653865522705E-13</v>
      </c>
      <c r="Y75" s="107">
        <f>Y70+Y71-SUM(Y72:Y74)</f>
        <v>-1.9184653865522705E-13</v>
      </c>
      <c r="Z75" s="107">
        <f>Z70+Z71-SUM(Z72:Z74)</f>
        <v>-1.9184653865522705E-13</v>
      </c>
      <c r="AA75" s="107">
        <f>AA70+AA71-SUM(AA72:AA74)</f>
        <v>-1.9184653865522705E-13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318128.28527298779</v>
      </c>
      <c r="J170" s="85">
        <f t="shared" si="58"/>
        <v>297048.85793394747</v>
      </c>
      <c r="K170" s="85">
        <f t="shared" si="58"/>
        <v>271920.86382779083</v>
      </c>
      <c r="L170" s="85">
        <f t="shared" si="58"/>
        <v>236043.28341317954</v>
      </c>
      <c r="M170" s="85">
        <f t="shared" si="58"/>
        <v>203586.76751370606</v>
      </c>
      <c r="N170" s="85">
        <f t="shared" si="58"/>
        <v>174635.76089729503</v>
      </c>
      <c r="O170" s="85">
        <f t="shared" si="58"/>
        <v>148829.28293252969</v>
      </c>
      <c r="P170" s="85">
        <f t="shared" si="58"/>
        <v>125430.56428363599</v>
      </c>
      <c r="Q170" s="85">
        <f t="shared" si="58"/>
        <v>103706.429297403</v>
      </c>
      <c r="R170" s="85">
        <f t="shared" si="58"/>
        <v>82976.388606551263</v>
      </c>
      <c r="S170" s="85">
        <f t="shared" si="58"/>
        <v>62649.970857621694</v>
      </c>
      <c r="T170" s="85">
        <f t="shared" si="58"/>
        <v>42393.750343135369</v>
      </c>
      <c r="U170" s="85">
        <f t="shared" si="58"/>
        <v>24279.192693632041</v>
      </c>
      <c r="V170" s="85">
        <f t="shared" si="58"/>
        <v>11068.788009245807</v>
      </c>
      <c r="W170" s="85">
        <f t="shared" si="58"/>
        <v>3563.1480492456312</v>
      </c>
      <c r="X170" s="85">
        <f>W173</f>
        <v>830.65690003217105</v>
      </c>
      <c r="Y170" s="85">
        <f>X173</f>
        <v>207.47351795722341</v>
      </c>
      <c r="Z170" s="85">
        <f>Y173</f>
        <v>2.5352164811920375E-11</v>
      </c>
      <c r="AA170" s="85">
        <f>Z173</f>
        <v>2.5352164811920375E-11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72287.184684915002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37580.139434999284</v>
      </c>
      <c r="I172" s="85">
        <f t="shared" si="60"/>
        <v>35593.116672283984</v>
      </c>
      <c r="J172" s="85">
        <f t="shared" si="60"/>
        <v>37002.920831782976</v>
      </c>
      <c r="K172" s="85">
        <f t="shared" si="60"/>
        <v>35877.580414611301</v>
      </c>
      <c r="L172" s="85">
        <f t="shared" si="60"/>
        <v>32456.515899473485</v>
      </c>
      <c r="M172" s="85">
        <f t="shared" si="60"/>
        <v>28951.006616411036</v>
      </c>
      <c r="N172" s="85">
        <f t="shared" si="60"/>
        <v>25806.477964765341</v>
      </c>
      <c r="O172" s="85">
        <f t="shared" si="60"/>
        <v>23398.718648893704</v>
      </c>
      <c r="P172" s="85">
        <f t="shared" si="60"/>
        <v>21724.134986232988</v>
      </c>
      <c r="Q172" s="85">
        <f t="shared" si="60"/>
        <v>20730.040690851733</v>
      </c>
      <c r="R172" s="85">
        <f t="shared" si="60"/>
        <v>20326.417748929565</v>
      </c>
      <c r="S172" s="85">
        <f t="shared" si="60"/>
        <v>20256.220514486322</v>
      </c>
      <c r="T172" s="85">
        <f t="shared" si="60"/>
        <v>18114.557649503327</v>
      </c>
      <c r="U172" s="85">
        <f t="shared" si="60"/>
        <v>13210.404684386234</v>
      </c>
      <c r="V172" s="85">
        <f t="shared" si="60"/>
        <v>7505.639960000176</v>
      </c>
      <c r="W172" s="85">
        <f t="shared" si="60"/>
        <v>2732.4911492134602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318128.28527298779</v>
      </c>
      <c r="I173" s="74">
        <f t="shared" si="61"/>
        <v>297048.85793394747</v>
      </c>
      <c r="J173" s="74">
        <f t="shared" si="61"/>
        <v>271920.86382779083</v>
      </c>
      <c r="K173" s="74">
        <f t="shared" si="61"/>
        <v>236043.28341317954</v>
      </c>
      <c r="L173" s="74">
        <f t="shared" si="61"/>
        <v>203586.76751370606</v>
      </c>
      <c r="M173" s="74">
        <f t="shared" si="61"/>
        <v>174635.76089729503</v>
      </c>
      <c r="N173" s="74">
        <f t="shared" si="61"/>
        <v>148829.28293252969</v>
      </c>
      <c r="O173" s="74">
        <f t="shared" si="61"/>
        <v>125430.56428363599</v>
      </c>
      <c r="P173" s="74">
        <f t="shared" si="61"/>
        <v>103706.429297403</v>
      </c>
      <c r="Q173" s="74">
        <f t="shared" si="61"/>
        <v>82976.388606551263</v>
      </c>
      <c r="R173" s="74">
        <f t="shared" si="61"/>
        <v>62649.970857621694</v>
      </c>
      <c r="S173" s="74">
        <f t="shared" si="61"/>
        <v>42393.750343135369</v>
      </c>
      <c r="T173" s="74">
        <f t="shared" si="61"/>
        <v>24279.192693632041</v>
      </c>
      <c r="U173" s="74">
        <f t="shared" si="61"/>
        <v>11068.788009245807</v>
      </c>
      <c r="V173" s="74">
        <f t="shared" si="61"/>
        <v>3563.1480492456312</v>
      </c>
      <c r="W173" s="74">
        <f t="shared" si="61"/>
        <v>830.65690003217105</v>
      </c>
      <c r="X173" s="74">
        <f>X170+X171-X172</f>
        <v>207.47351795722341</v>
      </c>
      <c r="Y173" s="74">
        <f>Y170+Y171-Y172</f>
        <v>2.5352164811920375E-11</v>
      </c>
      <c r="Z173" s="74">
        <f>Z170+Z171-Z172</f>
        <v>2.5352164811920375E-11</v>
      </c>
      <c r="AA173" s="74">
        <f>AA170+AA171-AA172</f>
        <v>2.5352164811920375E-11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33.904311093644807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43.565415660110993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57032.142629338574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7819.3473298175995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7251.4312817517657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940.88673833913879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106.79371725331792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115.13463127524523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72287.184684915002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33.904311093644807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33.904311093644807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10310.495605378799</v>
      </c>
      <c r="D198" s="695">
        <f t="shared" ref="D198:AA198" si="66">SUM(D191:D197)</f>
        <v>479.71327694313072</v>
      </c>
      <c r="E198" s="695">
        <f t="shared" si="66"/>
        <v>1483.7199992654221</v>
      </c>
      <c r="F198" s="695">
        <f t="shared" si="66"/>
        <v>2297.9912857340228</v>
      </c>
      <c r="G198" s="695">
        <f t="shared" si="66"/>
        <v>2867.7119530553473</v>
      </c>
      <c r="H198" s="695">
        <f t="shared" si="66"/>
        <v>3181.3590903808768</v>
      </c>
      <c r="I198" s="695">
        <f t="shared" si="66"/>
        <v>0</v>
      </c>
      <c r="J198" s="695">
        <f t="shared" si="66"/>
        <v>0</v>
      </c>
      <c r="K198" s="695">
        <f t="shared" si="66"/>
        <v>0</v>
      </c>
      <c r="L198" s="695">
        <f t="shared" si="66"/>
        <v>0</v>
      </c>
      <c r="M198" s="695">
        <f t="shared" si="66"/>
        <v>0</v>
      </c>
      <c r="N198" s="695">
        <f t="shared" si="66"/>
        <v>0</v>
      </c>
      <c r="O198" s="695">
        <f t="shared" si="66"/>
        <v>0</v>
      </c>
      <c r="P198" s="695">
        <f t="shared" si="66"/>
        <v>0</v>
      </c>
      <c r="Q198" s="695">
        <f t="shared" si="66"/>
        <v>0</v>
      </c>
      <c r="R198" s="695">
        <f t="shared" si="66"/>
        <v>0</v>
      </c>
      <c r="S198" s="695">
        <f t="shared" si="66"/>
        <v>0</v>
      </c>
      <c r="T198" s="695">
        <f t="shared" si="66"/>
        <v>0</v>
      </c>
      <c r="U198" s="695">
        <f t="shared" si="66"/>
        <v>0</v>
      </c>
      <c r="V198" s="695">
        <f t="shared" si="66"/>
        <v>0</v>
      </c>
      <c r="W198" s="695">
        <f t="shared" si="66"/>
        <v>0</v>
      </c>
      <c r="X198" s="695">
        <f t="shared" si="66"/>
        <v>0</v>
      </c>
      <c r="Y198" s="695">
        <f t="shared" si="66"/>
        <v>0</v>
      </c>
      <c r="Z198" s="695">
        <f t="shared" si="66"/>
        <v>0</v>
      </c>
      <c r="AA198" s="695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43.565415660110993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43.565415660110993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9365.5761433955067</v>
      </c>
      <c r="D210" s="695">
        <f t="shared" ref="D210:AA210" si="68">SUM(D203:D209)</f>
        <v>439.13070003037296</v>
      </c>
      <c r="E210" s="695">
        <f t="shared" si="68"/>
        <v>1525.6999817661244</v>
      </c>
      <c r="F210" s="695">
        <f t="shared" si="68"/>
        <v>2312.3823989821776</v>
      </c>
      <c r="G210" s="695">
        <f t="shared" si="68"/>
        <v>2498.807960483191</v>
      </c>
      <c r="H210" s="695">
        <f t="shared" si="68"/>
        <v>2589.55510213364</v>
      </c>
      <c r="I210" s="695">
        <f t="shared" si="68"/>
        <v>0</v>
      </c>
      <c r="J210" s="695">
        <f t="shared" si="68"/>
        <v>0</v>
      </c>
      <c r="K210" s="695">
        <f t="shared" si="68"/>
        <v>0</v>
      </c>
      <c r="L210" s="695">
        <f t="shared" si="68"/>
        <v>0</v>
      </c>
      <c r="M210" s="695">
        <f t="shared" si="68"/>
        <v>0</v>
      </c>
      <c r="N210" s="695">
        <f t="shared" si="68"/>
        <v>0</v>
      </c>
      <c r="O210" s="695">
        <f t="shared" si="68"/>
        <v>0</v>
      </c>
      <c r="P210" s="695">
        <f t="shared" si="68"/>
        <v>0</v>
      </c>
      <c r="Q210" s="695">
        <f t="shared" si="68"/>
        <v>0</v>
      </c>
      <c r="R210" s="695">
        <f t="shared" si="68"/>
        <v>0</v>
      </c>
      <c r="S210" s="695">
        <f t="shared" si="68"/>
        <v>0</v>
      </c>
      <c r="T210" s="695">
        <f t="shared" si="68"/>
        <v>0</v>
      </c>
      <c r="U210" s="695">
        <f t="shared" si="68"/>
        <v>0</v>
      </c>
      <c r="V210" s="695">
        <f t="shared" si="68"/>
        <v>0</v>
      </c>
      <c r="W210" s="695">
        <f t="shared" si="68"/>
        <v>0</v>
      </c>
      <c r="X210" s="695">
        <f t="shared" si="68"/>
        <v>0</v>
      </c>
      <c r="Y210" s="695">
        <f t="shared" si="68"/>
        <v>0</v>
      </c>
      <c r="Z210" s="695">
        <f t="shared" si="68"/>
        <v>0</v>
      </c>
      <c r="AA210" s="695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57032.142629338574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1901.0714209779524</v>
      </c>
      <c r="I219" s="85">
        <f>IF((SUM($D219:H219)+$B219/$C219)&gt;$B219,$B219-SUM($D219:H219),$B219/$C219)</f>
        <v>3802.1428419559047</v>
      </c>
      <c r="J219" s="85">
        <f>IF((SUM($D219:I219)+$B219/$C219)&gt;$B219,$B219-SUM($D219:I219),$B219/$C219)</f>
        <v>3802.1428419559047</v>
      </c>
      <c r="K219" s="85">
        <f>IF((SUM($D219:J219)+$B219/$C219)&gt;$B219,$B219-SUM($D219:J219),$B219/$C219)</f>
        <v>3802.1428419559047</v>
      </c>
      <c r="L219" s="85">
        <f>IF((SUM($D219:K219)+$B219/$C219)&gt;$B219,$B219-SUM($D219:K219),$B219/$C219)</f>
        <v>3802.1428419559047</v>
      </c>
      <c r="M219" s="85">
        <f>IF((SUM($D219:L219)+$B219/$C219)&gt;$B219,$B219-SUM($D219:L219),$B219/$C219)</f>
        <v>3802.1428419559047</v>
      </c>
      <c r="N219" s="85">
        <f>IF((SUM($D219:M219)+$B219/$C219)&gt;$B219,$B219-SUM($D219:M219),$B219/$C219)</f>
        <v>3802.1428419559047</v>
      </c>
      <c r="O219" s="85">
        <f>IF((SUM($D219:N219)+$B219/$C219)&gt;$B219,$B219-SUM($D219:N219),$B219/$C219)</f>
        <v>3802.1428419559047</v>
      </c>
      <c r="P219" s="85">
        <f>IF((SUM($D219:O219)+$B219/$C219)&gt;$B219,$B219-SUM($D219:O219),$B219/$C219)</f>
        <v>3802.1428419559047</v>
      </c>
      <c r="Q219" s="85">
        <f>IF((SUM($D219:P219)+$B219/$C219)&gt;$B219,$B219-SUM($D219:P219),$B219/$C219)</f>
        <v>3802.1428419559047</v>
      </c>
      <c r="R219" s="85">
        <f>IF((SUM($D219:Q219)+$B219/$C219)&gt;$B219,$B219-SUM($D219:Q219),$B219/$C219)</f>
        <v>3802.1428419559047</v>
      </c>
      <c r="S219" s="85">
        <f>IF((SUM($D219:R219)+$B219/$C219)&gt;$B219,$B219-SUM($D219:R219),$B219/$C219)</f>
        <v>3802.1428419559047</v>
      </c>
      <c r="T219" s="85">
        <f>IF((SUM($D219:S219)+$B219/$C219)&gt;$B219,$B219-SUM($D219:S219),$B219/$C219)</f>
        <v>3802.1428419559047</v>
      </c>
      <c r="U219" s="85">
        <f>IF((SUM($D219:T219)+$B219/$C219)&gt;$B219,$B219-SUM($D219:T219),$B219/$C219)</f>
        <v>3802.1428419559047</v>
      </c>
      <c r="V219" s="85">
        <f>IF((SUM($D219:U219)+$B219/$C219)&gt;$B219,$B219-SUM($D219:U219),$B219/$C219)</f>
        <v>3802.1428419559047</v>
      </c>
      <c r="W219" s="85">
        <f>IF((SUM($D219:V219)+$B219/$C219)&gt;$B219,$B219-SUM($D219:V219),$B219/$C219)</f>
        <v>1901.071420977969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304896.26623394346</v>
      </c>
      <c r="D222" s="695">
        <f t="shared" ref="D222:AA222" si="70">SUM(D215:D221)</f>
        <v>70.197234443243261</v>
      </c>
      <c r="E222" s="695">
        <f t="shared" si="70"/>
        <v>2211.8600994262256</v>
      </c>
      <c r="F222" s="695">
        <f t="shared" si="70"/>
        <v>7116.0130645433128</v>
      </c>
      <c r="G222" s="695">
        <f t="shared" si="70"/>
        <v>12820.777788929414</v>
      </c>
      <c r="H222" s="695">
        <f t="shared" si="70"/>
        <v>17593.926599716116</v>
      </c>
      <c r="I222" s="695">
        <f t="shared" si="70"/>
        <v>19703.234366854616</v>
      </c>
      <c r="J222" s="695">
        <f t="shared" si="70"/>
        <v>20118.944230972364</v>
      </c>
      <c r="K222" s="695">
        <f t="shared" si="70"/>
        <v>20326.417748929565</v>
      </c>
      <c r="L222" s="695">
        <f t="shared" si="70"/>
        <v>20326.417748929565</v>
      </c>
      <c r="M222" s="695">
        <f t="shared" si="70"/>
        <v>20326.417748929565</v>
      </c>
      <c r="N222" s="695">
        <f t="shared" si="70"/>
        <v>20326.417748929565</v>
      </c>
      <c r="O222" s="695">
        <f t="shared" si="70"/>
        <v>20326.417748929565</v>
      </c>
      <c r="P222" s="695">
        <f t="shared" si="70"/>
        <v>20326.417748929565</v>
      </c>
      <c r="Q222" s="695">
        <f t="shared" si="70"/>
        <v>20326.417748929565</v>
      </c>
      <c r="R222" s="695">
        <f t="shared" si="70"/>
        <v>20326.417748929565</v>
      </c>
      <c r="S222" s="695">
        <f t="shared" si="70"/>
        <v>20256.220514486322</v>
      </c>
      <c r="T222" s="695">
        <f t="shared" si="70"/>
        <v>18114.557649503327</v>
      </c>
      <c r="U222" s="695">
        <f t="shared" si="70"/>
        <v>13210.404684386234</v>
      </c>
      <c r="V222" s="695">
        <f t="shared" si="70"/>
        <v>7505.639960000176</v>
      </c>
      <c r="W222" s="695">
        <f t="shared" si="70"/>
        <v>2732.4911492134602</v>
      </c>
      <c r="X222" s="695">
        <f t="shared" si="70"/>
        <v>623.18338207494764</v>
      </c>
      <c r="Y222" s="695">
        <f t="shared" si="70"/>
        <v>207.47351795719806</v>
      </c>
      <c r="Z222" s="695">
        <f t="shared" si="70"/>
        <v>0</v>
      </c>
      <c r="AA222" s="695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7819.3473298175995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558.52480927268573</v>
      </c>
      <c r="I231" s="85">
        <f>IF((SUM($D231:H231)+$B231/$C231)&gt;$B231,$B231-SUM($D231:H231),$B231/$C231)</f>
        <v>1117.0496185453715</v>
      </c>
      <c r="J231" s="85">
        <f>IF((SUM($D231:I231)+$B231/$C231)&gt;$B231,$B231-SUM($D231:I231),$B231/$C231)</f>
        <v>1117.0496185453715</v>
      </c>
      <c r="K231" s="85">
        <f>IF((SUM($D231:J231)+$B231/$C231)&gt;$B231,$B231-SUM($D231:J231),$B231/$C231)</f>
        <v>1117.0496185453715</v>
      </c>
      <c r="L231" s="85">
        <f>IF((SUM($D231:K231)+$B231/$C231)&gt;$B231,$B231-SUM($D231:K231),$B231/$C231)</f>
        <v>1117.0496185453715</v>
      </c>
      <c r="M231" s="85">
        <f>IF((SUM($D231:L231)+$B231/$C231)&gt;$B231,$B231-SUM($D231:L231),$B231/$C231)</f>
        <v>1117.0496185453715</v>
      </c>
      <c r="N231" s="85">
        <f>IF((SUM($D231:M231)+$B231/$C231)&gt;$B231,$B231-SUM($D231:M231),$B231/$C231)</f>
        <v>1117.0496185453715</v>
      </c>
      <c r="O231" s="85">
        <f>IF((SUM($D231:N231)+$B231/$C231)&gt;$B231,$B231-SUM($D231:N231),$B231/$C231)</f>
        <v>558.52480927268607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79908.764405786016</v>
      </c>
      <c r="D234" s="695">
        <f t="shared" ref="D234:AA234" si="72">SUM(D227:D233)</f>
        <v>1636.1823504401543</v>
      </c>
      <c r="E234" s="695">
        <f t="shared" si="72"/>
        <v>4691.3286577604986</v>
      </c>
      <c r="F234" s="695">
        <f t="shared" si="72"/>
        <v>6851.1546623078229</v>
      </c>
      <c r="G234" s="695">
        <f t="shared" si="72"/>
        <v>8176.6060264863445</v>
      </c>
      <c r="H234" s="695">
        <f t="shared" si="72"/>
        <v>9319.7201522704163</v>
      </c>
      <c r="I234" s="695">
        <f t="shared" si="72"/>
        <v>10318.698522806557</v>
      </c>
      <c r="J234" s="695">
        <f t="shared" si="72"/>
        <v>11087.344928162578</v>
      </c>
      <c r="K234" s="695">
        <f t="shared" si="72"/>
        <v>9779.3554218149911</v>
      </c>
      <c r="L234" s="695">
        <f t="shared" si="72"/>
        <v>6724.2091144946471</v>
      </c>
      <c r="M234" s="695">
        <f t="shared" si="72"/>
        <v>4564.3831099473218</v>
      </c>
      <c r="N234" s="695">
        <f t="shared" si="72"/>
        <v>3238.931745768803</v>
      </c>
      <c r="O234" s="695">
        <f t="shared" si="72"/>
        <v>2095.8176199847294</v>
      </c>
      <c r="P234" s="695">
        <f t="shared" si="72"/>
        <v>1096.8392494485888</v>
      </c>
      <c r="Q234" s="695">
        <f t="shared" si="72"/>
        <v>328.19284409256852</v>
      </c>
      <c r="R234" s="695">
        <f t="shared" si="72"/>
        <v>0</v>
      </c>
      <c r="S234" s="695">
        <f t="shared" si="72"/>
        <v>0</v>
      </c>
      <c r="T234" s="695">
        <f t="shared" si="72"/>
        <v>0</v>
      </c>
      <c r="U234" s="695">
        <f t="shared" si="72"/>
        <v>0</v>
      </c>
      <c r="V234" s="695">
        <f t="shared" si="72"/>
        <v>0</v>
      </c>
      <c r="W234" s="695">
        <f t="shared" si="72"/>
        <v>0</v>
      </c>
      <c r="X234" s="695">
        <f t="shared" si="72"/>
        <v>0</v>
      </c>
      <c r="Y234" s="695">
        <f t="shared" si="72"/>
        <v>0</v>
      </c>
      <c r="Z234" s="695">
        <f t="shared" si="72"/>
        <v>0</v>
      </c>
      <c r="AA234" s="695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7251.4312817517657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517.95937726798331</v>
      </c>
      <c r="I243" s="85">
        <f>IF((SUM($D243:H243)+$B243/$C243)&gt;$B243,$B243-SUM($D243:H243),$B243/$C243)</f>
        <v>1035.9187545359666</v>
      </c>
      <c r="J243" s="85">
        <f>IF((SUM($D243:I243)+$B243/$C243)&gt;$B243,$B243-SUM($D243:I243),$B243/$C243)</f>
        <v>1035.9187545359666</v>
      </c>
      <c r="K243" s="85">
        <f>IF((SUM($D243:J243)+$B243/$C243)&gt;$B243,$B243-SUM($D243:J243),$B243/$C243)</f>
        <v>1035.9187545359666</v>
      </c>
      <c r="L243" s="85">
        <f>IF((SUM($D243:K243)+$B243/$C243)&gt;$B243,$B243-SUM($D243:K243),$B243/$C243)</f>
        <v>1035.9187545359666</v>
      </c>
      <c r="M243" s="85">
        <f>IF((SUM($D243:L243)+$B243/$C243)&gt;$B243,$B243-SUM($D243:L243),$B243/$C243)</f>
        <v>1035.9187545359666</v>
      </c>
      <c r="N243" s="85">
        <f>IF((SUM($D243:M243)+$B243/$C243)&gt;$B243,$B243-SUM($D243:M243),$B243/$C243)</f>
        <v>1035.9187545359666</v>
      </c>
      <c r="O243" s="85">
        <f>IF((SUM($D243:N243)+$B243/$C243)&gt;$B243,$B243-SUM($D243:N243),$B243/$C243)</f>
        <v>517.95937726798365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940.88673833913879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67.206195595652773</v>
      </c>
      <c r="K245" s="85">
        <f>IF((SUM($D245:J245)+$B245/$C245)&gt;$B245,$B245-SUM($D245:J245),$B245/$C245)</f>
        <v>134.41239119130555</v>
      </c>
      <c r="L245" s="85">
        <f>IF((SUM($D245:K245)+$B245/$C245)&gt;$B245,$B245-SUM($D245:K245),$B245/$C245)</f>
        <v>134.41239119130555</v>
      </c>
      <c r="M245" s="85">
        <f>IF((SUM($D245:L245)+$B245/$C245)&gt;$B245,$B245-SUM($D245:L245),$B245/$C245)</f>
        <v>134.41239119130555</v>
      </c>
      <c r="N245" s="85">
        <f>IF((SUM($D245:M245)+$B245/$C245)&gt;$B245,$B245-SUM($D245:M245),$B245/$C245)</f>
        <v>134.41239119130555</v>
      </c>
      <c r="O245" s="85">
        <f>IF((SUM($D245:N245)+$B245/$C245)&gt;$B245,$B245-SUM($D245:N245),$B245/$C245)</f>
        <v>134.41239119130555</v>
      </c>
      <c r="P245" s="85">
        <f>IF((SUM($D245:O245)+$B245/$C245)&gt;$B245,$B245-SUM($D245:O245),$B245/$C245)</f>
        <v>134.41239119130555</v>
      </c>
      <c r="Q245" s="85">
        <f>IF((SUM($D245:P245)+$B245/$C245)&gt;$B245,$B245-SUM($D245:P245),$B245/$C245)</f>
        <v>67.206195595652616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39208.635115054196</v>
      </c>
      <c r="D246" s="695">
        <f t="shared" ref="D246:AA246" si="74">SUM(D239:D245)</f>
        <v>64.348129583869579</v>
      </c>
      <c r="E246" s="695">
        <f t="shared" si="74"/>
        <v>352.18662404996252</v>
      </c>
      <c r="F246" s="695">
        <f t="shared" si="74"/>
        <v>1632.8756386469661</v>
      </c>
      <c r="G246" s="695">
        <f t="shared" si="74"/>
        <v>3418.0986957149939</v>
      </c>
      <c r="H246" s="695">
        <f t="shared" si="74"/>
        <v>4664.0824803362248</v>
      </c>
      <c r="I246" s="695">
        <f t="shared" si="74"/>
        <v>5324.4315271388932</v>
      </c>
      <c r="J246" s="695">
        <f t="shared" si="74"/>
        <v>5534.0273922692313</v>
      </c>
      <c r="K246" s="695">
        <f t="shared" si="74"/>
        <v>5536.8854582810154</v>
      </c>
      <c r="L246" s="695">
        <f t="shared" si="74"/>
        <v>5249.0469638149225</v>
      </c>
      <c r="M246" s="695">
        <f t="shared" si="74"/>
        <v>3968.3579492179197</v>
      </c>
      <c r="N246" s="695">
        <f t="shared" si="74"/>
        <v>2183.1348921498902</v>
      </c>
      <c r="O246" s="695">
        <f t="shared" si="74"/>
        <v>937.15110752866065</v>
      </c>
      <c r="P246" s="695">
        <f t="shared" si="74"/>
        <v>276.80206072599128</v>
      </c>
      <c r="Q246" s="695">
        <f t="shared" si="74"/>
        <v>67.206195595652616</v>
      </c>
      <c r="R246" s="695">
        <f t="shared" si="74"/>
        <v>0</v>
      </c>
      <c r="S246" s="695">
        <f t="shared" si="74"/>
        <v>0</v>
      </c>
      <c r="T246" s="695">
        <f t="shared" si="74"/>
        <v>0</v>
      </c>
      <c r="U246" s="695">
        <f t="shared" si="74"/>
        <v>0</v>
      </c>
      <c r="V246" s="695">
        <f t="shared" si="74"/>
        <v>0</v>
      </c>
      <c r="W246" s="695">
        <f t="shared" si="74"/>
        <v>0</v>
      </c>
      <c r="X246" s="695">
        <f t="shared" si="74"/>
        <v>0</v>
      </c>
      <c r="Y246" s="695">
        <f t="shared" si="74"/>
        <v>0</v>
      </c>
      <c r="Z246" s="695">
        <f t="shared" si="74"/>
        <v>0</v>
      </c>
      <c r="AA246" s="695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106.79371725331792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7.6281226609512798</v>
      </c>
      <c r="I255" s="85">
        <f>IF((SUM($D255:H255)+$B255/$C255)&gt;$B255,$B255-SUM($D255:H255),$B255/$C255)</f>
        <v>15.25624532190256</v>
      </c>
      <c r="J255" s="85">
        <f>IF((SUM($D255:I255)+$B255/$C255)&gt;$B255,$B255-SUM($D255:I255),$B255/$C255)</f>
        <v>15.25624532190256</v>
      </c>
      <c r="K255" s="85">
        <f>IF((SUM($D255:J255)+$B255/$C255)&gt;$B255,$B255-SUM($D255:J255),$B255/$C255)</f>
        <v>15.25624532190256</v>
      </c>
      <c r="L255" s="85">
        <f>IF((SUM($D255:K255)+$B255/$C255)&gt;$B255,$B255-SUM($D255:K255),$B255/$C255)</f>
        <v>15.25624532190256</v>
      </c>
      <c r="M255" s="85">
        <f>IF((SUM($D255:L255)+$B255/$C255)&gt;$B255,$B255-SUM($D255:L255),$B255/$C255)</f>
        <v>15.25624532190256</v>
      </c>
      <c r="N255" s="85">
        <f>IF((SUM($D255:M255)+$B255/$C255)&gt;$B255,$B255-SUM($D255:M255),$B255/$C255)</f>
        <v>15.25624532190256</v>
      </c>
      <c r="O255" s="85">
        <f>IF((SUM($D255:N255)+$B255/$C255)&gt;$B255,$B255-SUM($D255:N255),$B255/$C255)</f>
        <v>7.6281226609512913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115.13463127524523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8.2239022339460632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1895.7972782892998</v>
      </c>
      <c r="D258" s="695">
        <f t="shared" ref="D258:AA258" si="76">SUM(D251:D257)</f>
        <v>35.906397027027026</v>
      </c>
      <c r="E258" s="695">
        <f t="shared" si="76"/>
        <v>113.98611037840587</v>
      </c>
      <c r="F258" s="695">
        <f t="shared" si="76"/>
        <v>178.98037429652572</v>
      </c>
      <c r="G258" s="695">
        <f t="shared" si="76"/>
        <v>212.83460469567677</v>
      </c>
      <c r="H258" s="695">
        <f t="shared" si="76"/>
        <v>231.49601016201109</v>
      </c>
      <c r="I258" s="695">
        <f t="shared" si="76"/>
        <v>246.75225548391364</v>
      </c>
      <c r="J258" s="695">
        <f t="shared" si="76"/>
        <v>262.60428037881098</v>
      </c>
      <c r="K258" s="695">
        <f t="shared" si="76"/>
        <v>234.92178558573005</v>
      </c>
      <c r="L258" s="695">
        <f t="shared" si="76"/>
        <v>156.84207223435126</v>
      </c>
      <c r="M258" s="695">
        <f t="shared" si="76"/>
        <v>91.847808316231323</v>
      </c>
      <c r="N258" s="695">
        <f t="shared" si="76"/>
        <v>57.993577917080337</v>
      </c>
      <c r="O258" s="695">
        <f t="shared" si="76"/>
        <v>39.332172450746029</v>
      </c>
      <c r="P258" s="695">
        <f t="shared" si="76"/>
        <v>24.075927128843468</v>
      </c>
      <c r="Q258" s="695">
        <f t="shared" si="76"/>
        <v>8.2239022339460632</v>
      </c>
      <c r="R258" s="695">
        <f t="shared" si="76"/>
        <v>0</v>
      </c>
      <c r="S258" s="695">
        <f t="shared" si="76"/>
        <v>0</v>
      </c>
      <c r="T258" s="695">
        <f t="shared" si="76"/>
        <v>0</v>
      </c>
      <c r="U258" s="695">
        <f t="shared" si="76"/>
        <v>0</v>
      </c>
      <c r="V258" s="695">
        <f t="shared" si="76"/>
        <v>0</v>
      </c>
      <c r="W258" s="695">
        <f t="shared" si="76"/>
        <v>0</v>
      </c>
      <c r="X258" s="695">
        <f t="shared" si="76"/>
        <v>0</v>
      </c>
      <c r="Y258" s="695">
        <f t="shared" si="76"/>
        <v>0</v>
      </c>
      <c r="Z258" s="695">
        <f t="shared" si="76"/>
        <v>0</v>
      </c>
      <c r="AA258" s="695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445585.53478184727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37580.139434999284</v>
      </c>
      <c r="I261" s="472">
        <f t="shared" si="77"/>
        <v>35593.116672283984</v>
      </c>
      <c r="J261" s="472">
        <f t="shared" si="77"/>
        <v>37002.920831782976</v>
      </c>
      <c r="K261" s="472">
        <f t="shared" si="77"/>
        <v>35877.580414611301</v>
      </c>
      <c r="L261" s="472">
        <f t="shared" si="77"/>
        <v>32456.515899473485</v>
      </c>
      <c r="M261" s="472">
        <f t="shared" si="77"/>
        <v>28951.006616411036</v>
      </c>
      <c r="N261" s="472">
        <f t="shared" si="77"/>
        <v>25806.477964765341</v>
      </c>
      <c r="O261" s="472">
        <f t="shared" si="77"/>
        <v>23398.718648893704</v>
      </c>
      <c r="P261" s="472">
        <f t="shared" si="77"/>
        <v>21724.134986232988</v>
      </c>
      <c r="Q261" s="472">
        <f t="shared" si="77"/>
        <v>20730.040690851733</v>
      </c>
      <c r="R261" s="472">
        <f t="shared" si="77"/>
        <v>20326.417748929565</v>
      </c>
      <c r="S261" s="472">
        <f t="shared" si="77"/>
        <v>20256.220514486322</v>
      </c>
      <c r="T261" s="472">
        <f t="shared" si="77"/>
        <v>18114.557649503327</v>
      </c>
      <c r="U261" s="472">
        <f t="shared" si="77"/>
        <v>13210.404684386234</v>
      </c>
      <c r="V261" s="472">
        <f t="shared" si="77"/>
        <v>7505.639960000176</v>
      </c>
      <c r="W261" s="472">
        <f t="shared" si="77"/>
        <v>2732.4911492134602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de Villiers, Mark</cp:lastModifiedBy>
  <cp:lastPrinted>2009-05-05T01:34:38Z</cp:lastPrinted>
  <dcterms:created xsi:type="dcterms:W3CDTF">2009-04-11T02:58:03Z</dcterms:created>
  <dcterms:modified xsi:type="dcterms:W3CDTF">2013-10-21T20:38:42Z</dcterms:modified>
</cp:coreProperties>
</file>